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trlProps/ctrlProp3.xml" ContentType="application/vnd.ms-excel.controlproperties+xml"/>
  <Override PartName="/xl/slicers/slicer1.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theme/themeOverride1.xml" ContentType="application/vnd.openxmlformats-officedocument.themeOverride+xml"/>
  <Override PartName="/xl/drawings/drawing14.xml" ContentType="application/vnd.openxmlformats-officedocument.drawingml.chartshapes+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harts/chart13.xml" ContentType="application/vnd.openxmlformats-officedocument.drawingml.chart+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ml.chartshapes+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charts/chartEx1.xml" ContentType="application/vnd.ms-office.chartex+xml"/>
  <Override PartName="/xl/charts/style16.xml" ContentType="application/vnd.ms-office.chartstyle+xml"/>
  <Override PartName="/xl/charts/colors16.xml" ContentType="application/vnd.ms-office.chartcolorstyle+xml"/>
  <Override PartName="/xl/charts/chartEx2.xml" ContentType="application/vnd.ms-office.chartex+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7.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8.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Ex3.xml" ContentType="application/vnd.ms-office.chartex+xml"/>
  <Override PartName="/xl/charts/style21.xml" ContentType="application/vnd.ms-office.chartstyle+xml"/>
  <Override PartName="/xl/charts/colors21.xml" ContentType="application/vnd.ms-office.chartcolorstyle+xml"/>
  <Override PartName="/xl/charts/chartEx4.xml" ContentType="application/vnd.ms-office.chartex+xml"/>
  <Override PartName="/xl/charts/style22.xml" ContentType="application/vnd.ms-office.chartstyle+xml"/>
  <Override PartName="/xl/charts/colors22.xml" ContentType="application/vnd.ms-office.chartcolorstyle+xml"/>
  <Override PartName="/xl/charts/chartEx5.xml" ContentType="application/vnd.ms-office.chartex+xml"/>
  <Override PartName="/xl/charts/style23.xml" ContentType="application/vnd.ms-office.chartstyle+xml"/>
  <Override PartName="/xl/charts/colors23.xml" ContentType="application/vnd.ms-office.chartcolorstyle+xml"/>
  <Override PartName="/xl/charts/chartEx6.xml" ContentType="application/vnd.ms-office.chartex+xml"/>
  <Override PartName="/xl/charts/style24.xml" ContentType="application/vnd.ms-office.chartstyle+xml"/>
  <Override PartName="/xl/charts/colors24.xml" ContentType="application/vnd.ms-office.chartcolorstyle+xml"/>
  <Override PartName="/xl/charts/chart2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9.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harts/chart22.xml" ContentType="application/vnd.openxmlformats-officedocument.drawingml.chart+xml"/>
  <Override PartName="/xl/charts/chart23.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0.xml" ContentType="application/vnd.openxmlformats-officedocument.drawingml.chartshapes+xml"/>
  <Override PartName="/xl/charts/chart24.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1.xml" ContentType="application/vnd.openxmlformats-officedocument.drawingml.chartshapes+xml"/>
  <Override PartName="/xl/charts/chart25.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2.xml" ContentType="application/vnd.openxmlformats-officedocument.drawingml.chartshapes+xml"/>
  <Override PartName="/xl/charts/chart26.xml" ContentType="application/vnd.openxmlformats-officedocument.drawingml.chart+xml"/>
  <Override PartName="/xl/charts/style29.xml" ContentType="application/vnd.ms-office.chartstyle+xml"/>
  <Override PartName="/xl/charts/colors29.xml" ContentType="application/vnd.ms-office.chartcolorstyle+xml"/>
  <Override PartName="/xl/charts/chart27.xml" ContentType="application/vnd.openxmlformats-officedocument.drawingml.chart+xml"/>
  <Override PartName="/xl/charts/style30.xml" ContentType="application/vnd.ms-office.chartstyle+xml"/>
  <Override PartName="/xl/charts/colors30.xml" ContentType="application/vnd.ms-office.chartcolorstyle+xml"/>
  <Override PartName="/xl/charts/chart28.xml" ContentType="application/vnd.openxmlformats-officedocument.drawingml.chart+xml"/>
  <Override PartName="/xl/charts/style31.xml" ContentType="application/vnd.ms-office.chartstyle+xml"/>
  <Override PartName="/xl/charts/colors31.xml" ContentType="application/vnd.ms-office.chartcolorstyle+xml"/>
  <Override PartName="/xl/charts/chart29.xml" ContentType="application/vnd.openxmlformats-officedocument.drawingml.chart+xml"/>
  <Override PartName="/xl/charts/style32.xml" ContentType="application/vnd.ms-office.chartstyle+xml"/>
  <Override PartName="/xl/charts/colors32.xml" ContentType="application/vnd.ms-office.chartcolorstyle+xml"/>
  <Override PartName="/xl/charts/chart30.xml" ContentType="application/vnd.openxmlformats-officedocument.drawingml.chart+xml"/>
  <Override PartName="/xl/charts/style33.xml" ContentType="application/vnd.ms-office.chartstyle+xml"/>
  <Override PartName="/xl/charts/colors33.xml" ContentType="application/vnd.ms-office.chartcolorstyle+xml"/>
  <Override PartName="/xl/charts/chart31.xml" ContentType="application/vnd.openxmlformats-officedocument.drawingml.chart+xml"/>
  <Override PartName="/xl/charts/style34.xml" ContentType="application/vnd.ms-office.chartstyle+xml"/>
  <Override PartName="/xl/charts/colors34.xml" ContentType="application/vnd.ms-office.chartcolorstyle+xml"/>
  <Override PartName="/xl/charts/chart32.xml" ContentType="application/vnd.openxmlformats-officedocument.drawingml.chart+xml"/>
  <Override PartName="/xl/charts/style35.xml" ContentType="application/vnd.ms-office.chartstyle+xml"/>
  <Override PartName="/xl/charts/colors35.xml" ContentType="application/vnd.ms-office.chartcolorstyle+xml"/>
  <Override PartName="/xl/charts/chart33.xml" ContentType="application/vnd.openxmlformats-officedocument.drawingml.chart+xml"/>
  <Override PartName="/xl/charts/style36.xml" ContentType="application/vnd.ms-office.chartstyle+xml"/>
  <Override PartName="/xl/charts/colors36.xml" ContentType="application/vnd.ms-office.chartcolorstyle+xml"/>
  <Override PartName="/xl/charts/chart34.xml" ContentType="application/vnd.openxmlformats-officedocument.drawingml.chart+xml"/>
  <Override PartName="/xl/charts/chart35.xml" ContentType="application/vnd.openxmlformats-officedocument.drawingml.chart+xml"/>
  <Override PartName="/xl/charts/style37.xml" ContentType="application/vnd.ms-office.chartstyle+xml"/>
  <Override PartName="/xl/charts/colors37.xml" ContentType="application/vnd.ms-office.chartcolorstyle+xml"/>
  <Override PartName="/xl/charts/chart36.xml" ContentType="application/vnd.openxmlformats-officedocument.drawingml.chart+xml"/>
  <Override PartName="/xl/charts/style38.xml" ContentType="application/vnd.ms-office.chartstyle+xml"/>
  <Override PartName="/xl/charts/colors38.xml" ContentType="application/vnd.ms-office.chartcolorstyle+xml"/>
  <Override PartName="/xl/charts/chart37.xml" ContentType="application/vnd.openxmlformats-officedocument.drawingml.chart+xml"/>
  <Override PartName="/xl/charts/style39.xml" ContentType="application/vnd.ms-office.chartstyle+xml"/>
  <Override PartName="/xl/charts/colors39.xml" ContentType="application/vnd.ms-office.chartcolorstyle+xml"/>
  <Override PartName="/xl/charts/chart38.xml" ContentType="application/vnd.openxmlformats-officedocument.drawingml.chart+xml"/>
  <Override PartName="/xl/charts/style40.xml" ContentType="application/vnd.ms-office.chartstyle+xml"/>
  <Override PartName="/xl/charts/colors40.xml" ContentType="application/vnd.ms-office.chartcolorstyle+xml"/>
  <Override PartName="/xl/charts/chart39.xml" ContentType="application/vnd.openxmlformats-officedocument.drawingml.chart+xml"/>
  <Override PartName="/xl/charts/style41.xml" ContentType="application/vnd.ms-office.chartstyle+xml"/>
  <Override PartName="/xl/charts/colors41.xml" ContentType="application/vnd.ms-office.chartcolorstyle+xml"/>
  <Override PartName="/xl/charts/chart40.xml" ContentType="application/vnd.openxmlformats-officedocument.drawingml.chart+xml"/>
  <Override PartName="/xl/charts/style42.xml" ContentType="application/vnd.ms-office.chartstyle+xml"/>
  <Override PartName="/xl/charts/colors42.xml" ContentType="application/vnd.ms-office.chartcolorstyle+xml"/>
  <Override PartName="/xl/charts/chart41.xml" ContentType="application/vnd.openxmlformats-officedocument.drawingml.chart+xml"/>
  <Override PartName="/xl/charts/style43.xml" ContentType="application/vnd.ms-office.chartstyle+xml"/>
  <Override PartName="/xl/charts/colors43.xml" ContentType="application/vnd.ms-office.chartcolorstyle+xml"/>
  <Override PartName="/xl/charts/chart42.xml" ContentType="application/vnd.openxmlformats-officedocument.drawingml.chart+xml"/>
  <Override PartName="/xl/charts/style44.xml" ContentType="application/vnd.ms-office.chartstyle+xml"/>
  <Override PartName="/xl/charts/colors44.xml" ContentType="application/vnd.ms-office.chartcolorstyle+xml"/>
  <Override PartName="/xl/charts/chart43.xml" ContentType="application/vnd.openxmlformats-officedocument.drawingml.chart+xml"/>
  <Override PartName="/xl/charts/style45.xml" ContentType="application/vnd.ms-office.chartstyle+xml"/>
  <Override PartName="/xl/charts/colors45.xml" ContentType="application/vnd.ms-office.chartcolorstyle+xml"/>
  <Override PartName="/xl/charts/chart44.xml" ContentType="application/vnd.openxmlformats-officedocument.drawingml.chart+xml"/>
  <Override PartName="/xl/charts/style46.xml" ContentType="application/vnd.ms-office.chartstyle+xml"/>
  <Override PartName="/xl/charts/colors46.xml" ContentType="application/vnd.ms-office.chartcolorstyle+xml"/>
  <Override PartName="/xl/charts/chart45.xml" ContentType="application/vnd.openxmlformats-officedocument.drawingml.chart+xml"/>
  <Override PartName="/xl/charts/style47.xml" ContentType="application/vnd.ms-office.chartstyle+xml"/>
  <Override PartName="/xl/charts/colors47.xml" ContentType="application/vnd.ms-office.chartcolorstyle+xml"/>
  <Override PartName="/xl/charts/chart46.xml" ContentType="application/vnd.openxmlformats-officedocument.drawingml.chart+xml"/>
  <Override PartName="/xl/charts/style48.xml" ContentType="application/vnd.ms-office.chartstyle+xml"/>
  <Override PartName="/xl/charts/colors48.xml" ContentType="application/vnd.ms-office.chartcolorstyle+xml"/>
  <Override PartName="/xl/charts/chart47.xml" ContentType="application/vnd.openxmlformats-officedocument.drawingml.chart+xml"/>
  <Override PartName="/xl/charts/style49.xml" ContentType="application/vnd.ms-office.chartstyle+xml"/>
  <Override PartName="/xl/charts/colors49.xml" ContentType="application/vnd.ms-office.chartcolorstyle+xml"/>
  <Override PartName="/xl/charts/chart48.xml" ContentType="application/vnd.openxmlformats-officedocument.drawingml.chart+xml"/>
  <Override PartName="/xl/charts/style50.xml" ContentType="application/vnd.ms-office.chartstyle+xml"/>
  <Override PartName="/xl/charts/colors50.xml" ContentType="application/vnd.ms-office.chartcolorstyle+xml"/>
  <Override PartName="/xl/charts/chart49.xml" ContentType="application/vnd.openxmlformats-officedocument.drawingml.chart+xml"/>
  <Override PartName="/xl/charts/style51.xml" ContentType="application/vnd.ms-office.chartstyle+xml"/>
  <Override PartName="/xl/charts/colors51.xml" ContentType="application/vnd.ms-office.chartcolorstyle+xml"/>
  <Override PartName="/xl/charts/chart50.xml" ContentType="application/vnd.openxmlformats-officedocument.drawingml.chart+xml"/>
  <Override PartName="/xl/charts/style52.xml" ContentType="application/vnd.ms-office.chartstyle+xml"/>
  <Override PartName="/xl/charts/colors52.xml" ContentType="application/vnd.ms-office.chartcolorstyle+xml"/>
  <Override PartName="/xl/charts/chart51.xml" ContentType="application/vnd.openxmlformats-officedocument.drawingml.chart+xml"/>
  <Override PartName="/xl/drawings/drawing23.xml" ContentType="application/vnd.openxmlformats-officedocument.drawing+xml"/>
  <Override PartName="/xl/ctrlProps/ctrlProp12.xml" ContentType="application/vnd.ms-excel.controlproperties+xml"/>
  <Override PartName="/xl/charts/chart52.xml" ContentType="application/vnd.openxmlformats-officedocument.drawingml.chart+xml"/>
  <Override PartName="/xl/theme/themeOverride2.xml" ContentType="application/vnd.openxmlformats-officedocument.themeOverride+xml"/>
  <Override PartName="/xl/drawings/drawing24.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3.xml" ContentType="application/vnd.openxmlformats-officedocument.themeOverride+xml"/>
  <Override PartName="/xl/charts/chart54.xml" ContentType="application/vnd.openxmlformats-officedocument.drawingml.chart+xml"/>
  <Override PartName="/xl/theme/themeOverride4.xml" ContentType="application/vnd.openxmlformats-officedocument.themeOverride+xml"/>
  <Override PartName="/xl/drawings/drawing25.xml" ContentType="application/vnd.openxmlformats-officedocument.drawingml.chartshapes+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5.xml" ContentType="application/vnd.openxmlformats-officedocument.themeOverrid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6.xml" ContentType="application/vnd.openxmlformats-officedocument.themeOverrid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7.xml" ContentType="application/vnd.openxmlformats-officedocument.themeOverride+xml"/>
  <Override PartName="/xl/charts/chart58.xml" ContentType="application/vnd.openxmlformats-officedocument.drawingml.chart+xml"/>
  <Override PartName="/xl/theme/themeOverride8.xml" ContentType="application/vnd.openxmlformats-officedocument.themeOverride+xml"/>
  <Override PartName="/xl/charts/chart59.xml" ContentType="application/vnd.openxmlformats-officedocument.drawingml.chart+xml"/>
  <Override PartName="/xl/theme/themeOverride9.xml" ContentType="application/vnd.openxmlformats-officedocument.themeOverride+xml"/>
  <Override PartName="/xl/drawings/drawing26.xml" ContentType="application/vnd.openxmlformats-officedocument.drawingml.chartshapes+xml"/>
  <Override PartName="/xl/charts/chart60.xml" ContentType="application/vnd.openxmlformats-officedocument.drawingml.chart+xml"/>
  <Override PartName="/xl/theme/themeOverride10.xml" ContentType="application/vnd.openxmlformats-officedocument.themeOverride+xml"/>
  <Override PartName="/xl/charts/chart61.xml" ContentType="application/vnd.openxmlformats-officedocument.drawingml.chart+xml"/>
  <Override PartName="/xl/theme/themeOverride11.xml" ContentType="application/vnd.openxmlformats-officedocument.themeOverride+xml"/>
  <Override PartName="/xl/drawings/drawing27.xml" ContentType="application/vnd.openxmlformats-officedocument.drawingml.chartshapes+xml"/>
  <Override PartName="/xl/charts/chart62.xml" ContentType="application/vnd.openxmlformats-officedocument.drawingml.chart+xml"/>
  <Override PartName="/xl/theme/themeOverride12.xml" ContentType="application/vnd.openxmlformats-officedocument.themeOverride+xml"/>
  <Override PartName="/xl/charts/chart63.xml" ContentType="application/vnd.openxmlformats-officedocument.drawingml.chart+xml"/>
  <Override PartName="/xl/theme/themeOverride13.xml" ContentType="application/vnd.openxmlformats-officedocument.themeOverride+xml"/>
  <Override PartName="/xl/drawings/drawing28.xml" ContentType="application/vnd.openxmlformats-officedocument.drawing+xml"/>
  <Override PartName="/xl/charts/chart64.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14.xml" ContentType="application/vnd.openxmlformats-officedocument.themeOverride+xml"/>
  <Override PartName="/xl/charts/chart65.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15.xml" ContentType="application/vnd.openxmlformats-officedocument.themeOverride+xml"/>
  <Override PartName="/xl/charts/chart66.xml" ContentType="application/vnd.openxmlformats-officedocument.drawingml.chart+xml"/>
  <Override PartName="/xl/theme/themeOverride16.xml" ContentType="application/vnd.openxmlformats-officedocument.themeOverride+xml"/>
  <Override PartName="/xl/charts/chart67.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17.xml" ContentType="application/vnd.openxmlformats-officedocument.themeOverride+xml"/>
  <Override PartName="/xl/charts/chart68.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18.xml" ContentType="application/vnd.openxmlformats-officedocument.themeOverride+xml"/>
  <Override PartName="/xl/charts/chart69.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19.xml" ContentType="application/vnd.openxmlformats-officedocument.themeOverride+xml"/>
  <Override PartName="/xl/charts/chart70.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20.xml" ContentType="application/vnd.openxmlformats-officedocument.themeOverride+xml"/>
  <Override PartName="/xl/drawings/drawing29.xml" ContentType="application/vnd.openxmlformats-officedocument.drawing+xml"/>
  <Override PartName="/xl/ctrlProps/ctrlProp13.xml" ContentType="application/vnd.ms-excel.controlproperties+xml"/>
  <Override PartName="/xl/charts/chart71.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30.xml" ContentType="application/vnd.openxmlformats-officedocument.drawingml.chartshapes+xml"/>
  <Override PartName="/xl/charts/chart72.xml" ContentType="application/vnd.openxmlformats-officedocument.drawingml.chart+xml"/>
  <Override PartName="/xl/charts/style64.xml" ContentType="application/vnd.ms-office.chartstyle+xml"/>
  <Override PartName="/xl/charts/colors64.xml" ContentType="application/vnd.ms-office.chartcolorstyle+xml"/>
  <Override PartName="/xl/charts/chart73.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trlProps/ctrlProp14.xml" ContentType="application/vnd.ms-excel.controlproperties+xml"/>
  <Override PartName="/xl/charts/chart74.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33.xml" ContentType="application/vnd.openxmlformats-officedocument.drawingml.chartshapes+xml"/>
  <Override PartName="/xl/charts/chart75.xml" ContentType="application/vnd.openxmlformats-officedocument.drawingml.chart+xml"/>
  <Override PartName="/xl/charts/style67.xml" ContentType="application/vnd.ms-office.chartstyle+xml"/>
  <Override PartName="/xl/charts/colors67.xml" ContentType="application/vnd.ms-office.chartcolorstyle+xml"/>
  <Override PartName="/xl/charts/chart76.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trlProps/ctrlProp15.xml" ContentType="application/vnd.ms-excel.controlproperties+xml"/>
  <Override PartName="/xl/charts/chart77.xml" ContentType="application/vnd.openxmlformats-officedocument.drawingml.chart+xml"/>
  <Override PartName="/xl/theme/themeOverride21.xml" ContentType="application/vnd.openxmlformats-officedocument.themeOverride+xml"/>
  <Override PartName="/xl/drawings/drawing36.xml" ContentType="application/vnd.openxmlformats-officedocument.drawingml.chartshapes+xml"/>
  <Override PartName="/xl/charts/chart78.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37.xml" ContentType="application/vnd.openxmlformats-officedocument.drawingml.chartshapes+xml"/>
  <Override PartName="/xl/charts/chart79.xml" ContentType="application/vnd.openxmlformats-officedocument.drawingml.chart+xml"/>
  <Override PartName="/xl/charts/style70.xml" ContentType="application/vnd.ms-office.chartstyle+xml"/>
  <Override PartName="/xl/charts/colors70.xml" ContentType="application/vnd.ms-office.chartcolorstyle+xml"/>
  <Override PartName="/xl/charts/chart80.xml" ContentType="application/vnd.openxmlformats-officedocument.drawingml.chart+xml"/>
  <Override PartName="/xl/charts/style71.xml" ContentType="application/vnd.ms-office.chartstyle+xml"/>
  <Override PartName="/xl/charts/colors71.xml" ContentType="application/vnd.ms-office.chartcolorstyle+xml"/>
  <Override PartName="/xl/pivotTables/pivotTable1.xml" ContentType="application/vnd.openxmlformats-officedocument.spreadsheetml.pivotTable+xml"/>
  <Override PartName="/xl/drawings/drawing38.xml" ContentType="application/vnd.openxmlformats-officedocument.drawing+xml"/>
  <Override PartName="/xl/slicers/slicer2.xml" ContentType="application/vnd.ms-excel.slicer+xml"/>
  <Override PartName="/xl/charts/chart81.xml" ContentType="application/vnd.openxmlformats-officedocument.drawingml.chart+xml"/>
  <Override PartName="/xl/charts/style72.xml" ContentType="application/vnd.ms-office.chartstyle+xml"/>
  <Override PartName="/xl/charts/colors72.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39.xml" ContentType="application/vnd.openxmlformats-officedocument.drawing+xml"/>
  <Override PartName="/xl/slicers/slicer3.xml" ContentType="application/vnd.ms-excel.slicer+xml"/>
  <Override PartName="/xl/charts/chart82.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harts/chart83.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44.xml" ContentType="application/vnd.openxmlformats-officedocument.drawingml.chartshapes+xml"/>
  <Override PartName="/xl/charts/chart84.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45.xml" ContentType="application/vnd.openxmlformats-officedocument.drawingml.chartshapes+xml"/>
  <Override PartName="/xl/charts/chart85.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46.xml" ContentType="application/vnd.openxmlformats-officedocument.drawingml.chartshapes+xml"/>
  <Override PartName="/xl/charts/chart86.xml" ContentType="application/vnd.openxmlformats-officedocument.drawingml.chart+xml"/>
  <Override PartName="/xl/charts/style77.xml" ContentType="application/vnd.ms-office.chartstyle+xml"/>
  <Override PartName="/xl/charts/colors77.xml" ContentType="application/vnd.ms-office.chartcolorstyle+xml"/>
  <Override PartName="/xl/charts/chartEx7.xml" ContentType="application/vnd.ms-office.chartex+xml"/>
  <Override PartName="/xl/charts/style78.xml" ContentType="application/vnd.ms-office.chartstyle+xml"/>
  <Override PartName="/xl/charts/colors78.xml" ContentType="application/vnd.ms-office.chartcolorstyle+xml"/>
  <Override PartName="/xl/charts/chartEx8.xml" ContentType="application/vnd.ms-office.chartex+xml"/>
  <Override PartName="/xl/charts/style79.xml" ContentType="application/vnd.ms-office.chartstyle+xml"/>
  <Override PartName="/xl/charts/colors79.xml" ContentType="application/vnd.ms-office.chartcolorstyle+xml"/>
  <Override PartName="/xl/charts/chart87.xml" ContentType="application/vnd.openxmlformats-officedocument.drawingml.chart+xml"/>
  <Override PartName="/xl/charts/style80.xml" ContentType="application/vnd.ms-office.chartstyle+xml"/>
  <Override PartName="/xl/charts/colors80.xml" ContentType="application/vnd.ms-office.chartcolorstyle+xml"/>
  <Override PartName="/xl/charts/chartEx9.xml" ContentType="application/vnd.ms-office.chartex+xml"/>
  <Override PartName="/xl/charts/style81.xml" ContentType="application/vnd.ms-office.chartstyle+xml"/>
  <Override PartName="/xl/charts/colors81.xml" ContentType="application/vnd.ms-office.chartcolorstyle+xml"/>
  <Override PartName="/xl/charts/chartEx10.xml" ContentType="application/vnd.ms-office.chartex+xml"/>
  <Override PartName="/xl/charts/style82.xml" ContentType="application/vnd.ms-office.chartstyle+xml"/>
  <Override PartName="/xl/charts/colors82.xml" ContentType="application/vnd.ms-office.chartcolorstyle+xml"/>
  <Override PartName="/xl/charts/chartEx11.xml" ContentType="application/vnd.ms-office.chartex+xml"/>
  <Override PartName="/xl/charts/style83.xml" ContentType="application/vnd.ms-office.chartstyle+xml"/>
  <Override PartName="/xl/charts/colors83.xml" ContentType="application/vnd.ms-office.chartcolorstyle+xml"/>
  <Override PartName="/xl/charts/chartEx12.xml" ContentType="application/vnd.ms-office.chartex+xml"/>
  <Override PartName="/xl/charts/style84.xml" ContentType="application/vnd.ms-office.chartstyle+xml"/>
  <Override PartName="/xl/charts/colors84.xml" ContentType="application/vnd.ms-office.chartcolorstyle+xml"/>
  <Override PartName="/xl/charts/chart88.xml" ContentType="application/vnd.openxmlformats-officedocument.drawingml.chart+xml"/>
  <Override PartName="/xl/charts/style85.xml" ContentType="application/vnd.ms-office.chartstyle+xml"/>
  <Override PartName="/xl/charts/colors85.xml" ContentType="application/vnd.ms-office.chartcolorstyle+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drawings/drawing47.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harts/chart92.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48.xml" ContentType="application/vnd.openxmlformats-officedocument.drawingml.chartshapes+xml"/>
  <Override PartName="/xl/charts/chart93.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49.xml" ContentType="application/vnd.openxmlformats-officedocument.drawingml.chartshapes+xml"/>
  <Override PartName="/xl/charts/chart94.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50.xml" ContentType="application/vnd.openxmlformats-officedocument.drawingml.chartshapes+xml"/>
  <Override PartName="/xl/charts/chart95.xml" ContentType="application/vnd.openxmlformats-officedocument.drawingml.chart+xml"/>
  <Override PartName="/xl/charts/style89.xml" ContentType="application/vnd.ms-office.chartstyle+xml"/>
  <Override PartName="/xl/charts/colors89.xml" ContentType="application/vnd.ms-office.chartcolorstyle+xml"/>
  <Override PartName="/xl/charts/chart96.xml" ContentType="application/vnd.openxmlformats-officedocument.drawingml.chart+xml"/>
  <Override PartName="/xl/charts/style90.xml" ContentType="application/vnd.ms-office.chartstyle+xml"/>
  <Override PartName="/xl/charts/colors90.xml" ContentType="application/vnd.ms-office.chartcolorstyle+xml"/>
  <Override PartName="/xl/charts/chart97.xml" ContentType="application/vnd.openxmlformats-officedocument.drawingml.chart+xml"/>
  <Override PartName="/xl/charts/style91.xml" ContentType="application/vnd.ms-office.chartstyle+xml"/>
  <Override PartName="/xl/charts/colors91.xml" ContentType="application/vnd.ms-office.chartcolorstyle+xml"/>
  <Override PartName="/xl/charts/chart98.xml" ContentType="application/vnd.openxmlformats-officedocument.drawingml.chart+xml"/>
  <Override PartName="/xl/charts/style92.xml" ContentType="application/vnd.ms-office.chartstyle+xml"/>
  <Override PartName="/xl/charts/colors92.xml" ContentType="application/vnd.ms-office.chartcolorstyle+xml"/>
  <Override PartName="/xl/charts/chart99.xml" ContentType="application/vnd.openxmlformats-officedocument.drawingml.chart+xml"/>
  <Override PartName="/xl/charts/style93.xml" ContentType="application/vnd.ms-office.chartstyle+xml"/>
  <Override PartName="/xl/charts/colors93.xml" ContentType="application/vnd.ms-office.chartcolorstyle+xml"/>
  <Override PartName="/xl/charts/chart100.xml" ContentType="application/vnd.openxmlformats-officedocument.drawingml.chart+xml"/>
  <Override PartName="/xl/charts/style94.xml" ContentType="application/vnd.ms-office.chartstyle+xml"/>
  <Override PartName="/xl/charts/colors94.xml" ContentType="application/vnd.ms-office.chartcolorstyle+xml"/>
  <Override PartName="/xl/charts/chart101.xml" ContentType="application/vnd.openxmlformats-officedocument.drawingml.chart+xml"/>
  <Override PartName="/xl/charts/style95.xml" ContentType="application/vnd.ms-office.chartstyle+xml"/>
  <Override PartName="/xl/charts/colors95.xml" ContentType="application/vnd.ms-office.chartcolorstyle+xml"/>
  <Override PartName="/xl/charts/chart102.xml" ContentType="application/vnd.openxmlformats-officedocument.drawingml.chart+xml"/>
  <Override PartName="/xl/charts/style96.xml" ContentType="application/vnd.ms-office.chartstyle+xml"/>
  <Override PartName="/xl/charts/colors96.xml" ContentType="application/vnd.ms-office.chartcolorstyle+xml"/>
  <Override PartName="/xl/charts/chart103.xml" ContentType="application/vnd.openxmlformats-officedocument.drawingml.chart+xml"/>
  <Override PartName="/xl/charts/style97.xml" ContentType="application/vnd.ms-office.chartstyle+xml"/>
  <Override PartName="/xl/charts/colors97.xml" ContentType="application/vnd.ms-office.chartcolorstyle+xml"/>
  <Override PartName="/xl/charts/chart104.xml" ContentType="application/vnd.openxmlformats-officedocument.drawingml.chart+xml"/>
  <Override PartName="/xl/charts/style98.xml" ContentType="application/vnd.ms-office.chartstyle+xml"/>
  <Override PartName="/xl/charts/colors98.xml" ContentType="application/vnd.ms-office.chartcolorstyle+xml"/>
  <Override PartName="/xl/charts/chart105.xml" ContentType="application/vnd.openxmlformats-officedocument.drawingml.chart+xml"/>
  <Override PartName="/xl/charts/style99.xml" ContentType="application/vnd.ms-office.chartstyle+xml"/>
  <Override PartName="/xl/charts/colors99.xml" ContentType="application/vnd.ms-office.chartcolorstyle+xml"/>
  <Override PartName="/xl/charts/chart106.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7.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8.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9.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10.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11.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12.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13.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14.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15.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6.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7.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8.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drawings/drawing51.xml" ContentType="application/vnd.openxmlformats-officedocument.drawing+xml"/>
  <Override PartName="/xl/drawings/drawing52.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harts/chart122.xml" ContentType="application/vnd.openxmlformats-officedocument.drawingml.chart+xml"/>
  <Override PartName="/xl/theme/themeOverride22.xml" ContentType="application/vnd.openxmlformats-officedocument.themeOverride+xml"/>
  <Override PartName="/xl/drawings/drawing53.xml" ContentType="application/vnd.openxmlformats-officedocument.drawingml.chartshapes+xml"/>
  <Override PartName="/xl/charts/chart123.xml" ContentType="application/vnd.openxmlformats-officedocument.drawingml.chart+xml"/>
  <Override PartName="/xl/charts/style113.xml" ContentType="application/vnd.ms-office.chartstyle+xml"/>
  <Override PartName="/xl/charts/colors113.xml" ContentType="application/vnd.ms-office.chartcolorstyle+xml"/>
  <Override PartName="/xl/theme/themeOverride23.xml" ContentType="application/vnd.openxmlformats-officedocument.themeOverride+xml"/>
  <Override PartName="/xl/charts/chart124.xml" ContentType="application/vnd.openxmlformats-officedocument.drawingml.chart+xml"/>
  <Override PartName="/xl/theme/themeOverride24.xml" ContentType="application/vnd.openxmlformats-officedocument.themeOverride+xml"/>
  <Override PartName="/xl/charts/chart125.xml" ContentType="application/vnd.openxmlformats-officedocument.drawingml.chart+xml"/>
  <Override PartName="/xl/theme/themeOverride25.xml" ContentType="application/vnd.openxmlformats-officedocument.themeOverride+xml"/>
  <Override PartName="/xl/drawings/drawing54.xml" ContentType="application/vnd.openxmlformats-officedocument.drawingml.chartshapes+xml"/>
  <Override PartName="/xl/charts/chart126.xml" ContentType="application/vnd.openxmlformats-officedocument.drawingml.chart+xml"/>
  <Override PartName="/xl/theme/themeOverride26.xml" ContentType="application/vnd.openxmlformats-officedocument.themeOverride+xml"/>
  <Override PartName="/xl/drawings/drawing55.xml" ContentType="application/vnd.openxmlformats-officedocument.drawingml.chartshapes+xml"/>
  <Override PartName="/xl/charts/chart127.xml" ContentType="application/vnd.openxmlformats-officedocument.drawingml.chart+xml"/>
  <Override PartName="/xl/charts/style114.xml" ContentType="application/vnd.ms-office.chartstyle+xml"/>
  <Override PartName="/xl/charts/colors114.xml" ContentType="application/vnd.ms-office.chartcolorstyle+xml"/>
  <Override PartName="/xl/theme/themeOverride27.xml" ContentType="application/vnd.openxmlformats-officedocument.themeOverride+xml"/>
  <Override PartName="/xl/charts/chart128.xml" ContentType="application/vnd.openxmlformats-officedocument.drawingml.chart+xml"/>
  <Override PartName="/xl/theme/themeOverride28.xml" ContentType="application/vnd.openxmlformats-officedocument.themeOverride+xml"/>
  <Override PartName="/xl/charts/chart129.xml" ContentType="application/vnd.openxmlformats-officedocument.drawingml.chart+xml"/>
  <Override PartName="/xl/theme/themeOverride29.xml" ContentType="application/vnd.openxmlformats-officedocument.themeOverride+xml"/>
  <Override PartName="/xl/drawings/drawing56.xml" ContentType="application/vnd.openxmlformats-officedocument.drawingml.chartshapes+xml"/>
  <Override PartName="/xl/charts/chart130.xml" ContentType="application/vnd.openxmlformats-officedocument.drawingml.chart+xml"/>
  <Override PartName="/xl/charts/style115.xml" ContentType="application/vnd.ms-office.chartstyle+xml"/>
  <Override PartName="/xl/charts/colors115.xml" ContentType="application/vnd.ms-office.chartcolorstyle+xml"/>
  <Override PartName="/xl/theme/themeOverride30.xml" ContentType="application/vnd.openxmlformats-officedocument.themeOverride+xml"/>
  <Override PartName="/xl/charts/chart131.xml" ContentType="application/vnd.openxmlformats-officedocument.drawingml.chart+xml"/>
  <Override PartName="/xl/charts/style116.xml" ContentType="application/vnd.ms-office.chartstyle+xml"/>
  <Override PartName="/xl/charts/colors116.xml" ContentType="application/vnd.ms-office.chartcolorstyle+xml"/>
  <Override PartName="/xl/theme/themeOverride31.xml" ContentType="application/vnd.openxmlformats-officedocument.themeOverride+xml"/>
  <Override PartName="/xl/charts/chart132.xml" ContentType="application/vnd.openxmlformats-officedocument.drawingml.chart+xml"/>
  <Override PartName="/xl/theme/themeOverride32.xml" ContentType="application/vnd.openxmlformats-officedocument.themeOverride+xml"/>
  <Override PartName="/xl/charts/chart133.xml" ContentType="application/vnd.openxmlformats-officedocument.drawingml.chart+xml"/>
  <Override PartName="/xl/theme/themeOverride33.xml" ContentType="application/vnd.openxmlformats-officedocument.themeOverride+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harts/chart134.xml" ContentType="application/vnd.openxmlformats-officedocument.drawingml.chart+xml"/>
  <Override PartName="/xl/charts/style117.xml" ContentType="application/vnd.ms-office.chartstyle+xml"/>
  <Override PartName="/xl/charts/colors117.xml" ContentType="application/vnd.ms-office.chartcolorstyle+xml"/>
  <Override PartName="/xl/theme/themeOverride34.xml" ContentType="application/vnd.openxmlformats-officedocument.themeOverride+xml"/>
  <Override PartName="/xl/charts/chart135.xml" ContentType="application/vnd.openxmlformats-officedocument.drawingml.chart+xml"/>
  <Override PartName="/xl/charts/style118.xml" ContentType="application/vnd.ms-office.chartstyle+xml"/>
  <Override PartName="/xl/charts/colors118.xml" ContentType="application/vnd.ms-office.chartcolorstyle+xml"/>
  <Override PartName="/xl/theme/themeOverride35.xml" ContentType="application/vnd.openxmlformats-officedocument.themeOverride+xml"/>
  <Override PartName="/xl/drawings/drawing61.xml" ContentType="application/vnd.openxmlformats-officedocument.drawing+xml"/>
  <Override PartName="/xl/charts/chart136.xml" ContentType="application/vnd.openxmlformats-officedocument.drawingml.chart+xml"/>
  <Override PartName="/xl/charts/style119.xml" ContentType="application/vnd.ms-office.chartstyle+xml"/>
  <Override PartName="/xl/charts/colors119.xml" ContentType="application/vnd.ms-office.chartcolorstyle+xml"/>
  <Override PartName="/xl/theme/themeOverride36.xml" ContentType="application/vnd.openxmlformats-officedocument.themeOverride+xml"/>
  <Override PartName="/xl/charts/chart137.xml" ContentType="application/vnd.openxmlformats-officedocument.drawingml.chart+xml"/>
  <Override PartName="/xl/charts/style120.xml" ContentType="application/vnd.ms-office.chartstyle+xml"/>
  <Override PartName="/xl/charts/colors120.xml" ContentType="application/vnd.ms-office.chartcolorstyle+xml"/>
  <Override PartName="/xl/theme/themeOverride37.xml" ContentType="application/vnd.openxmlformats-officedocument.themeOverride+xml"/>
  <Override PartName="/xl/charts/chart138.xml" ContentType="application/vnd.openxmlformats-officedocument.drawingml.chart+xml"/>
  <Override PartName="/xl/charts/style121.xml" ContentType="application/vnd.ms-office.chartstyle+xml"/>
  <Override PartName="/xl/charts/colors121.xml" ContentType="application/vnd.ms-office.chartcolorstyle+xml"/>
  <Override PartName="/xl/theme/themeOverride38.xml" ContentType="application/vnd.openxmlformats-officedocument.themeOverride+xml"/>
  <Override PartName="/xl/drawings/drawing62.xml" ContentType="application/vnd.openxmlformats-officedocument.drawing+xml"/>
  <Override PartName="/xl/charts/chart139.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40.xml" ContentType="application/vnd.openxmlformats-officedocument.drawingml.chart+xml"/>
  <Override PartName="/xl/theme/themeOverride39.xml" ContentType="application/vnd.openxmlformats-officedocument.themeOverride+xml"/>
  <Override PartName="/xl/charts/chart141.xml" ContentType="application/vnd.openxmlformats-officedocument.drawingml.chart+xml"/>
  <Override PartName="/xl/charts/style123.xml" ContentType="application/vnd.ms-office.chartstyle+xml"/>
  <Override PartName="/xl/charts/colors123.xml" ContentType="application/vnd.ms-office.chartcolorstyle+xml"/>
  <Override PartName="/xl/theme/themeOverride40.xml" ContentType="application/vnd.openxmlformats-officedocument.themeOverride+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EsteLivro" hidePivotFieldList="1"/>
  <mc:AlternateContent xmlns:mc="http://schemas.openxmlformats.org/markup-compatibility/2006">
    <mc:Choice Requires="x15">
      <x15ac:absPath xmlns:x15ac="http://schemas.microsoft.com/office/spreadsheetml/2010/11/ac" url="\\scoufs.seg-social.pt\gep$\G_EME_INFOESTAT\4_produtos\4_series\1_Quadros de Pessoal\2012_2022\Dashboard\FINAIS\"/>
    </mc:Choice>
  </mc:AlternateContent>
  <xr:revisionPtr revIDLastSave="0" documentId="8_{87A41DF0-4B5F-4808-9733-D4A56BDE0C82}" xr6:coauthVersionLast="47" xr6:coauthVersionMax="47" xr10:uidLastSave="{00000000-0000-0000-0000-000000000000}"/>
  <workbookProtection workbookAlgorithmName="SHA-512" workbookHashValue="OZqWLhTPzXGQn9kbzOGWtPQNlH7xK1juo02tD9wxpPhZ99tU408K04SXneQy1GZpcx8Ne4MsgdYk1Z4Sa24Dmg==" workbookSaltValue="eG2aFb/aQJSeJmaTVLsp9g==" workbookSpinCount="100000" lockStructure="1"/>
  <bookViews>
    <workbookView xWindow="-120" yWindow="-120" windowWidth="29040" windowHeight="15840" tabRatio="932" firstSheet="1" activeTab="1" xr2:uid="{00000000-000D-0000-FFFF-FFFF00000000}"/>
  </bookViews>
  <sheets>
    <sheet name="Capa_Serie" sheetId="64" state="hidden" r:id="rId1"/>
    <sheet name="Capa_Indice" sheetId="95" r:id="rId2"/>
    <sheet name="Introdução e Metainformação" sheetId="90" r:id="rId3"/>
    <sheet name="ficha técnica" sheetId="58" state="hidden" r:id="rId4"/>
    <sheet name="índice de quadros" sheetId="17" state="hidden" r:id="rId5"/>
    <sheet name="Introdução" sheetId="44" state="hidden" r:id="rId6"/>
    <sheet name="Estrutura Empresarial_Sep" sheetId="59" state="hidden" r:id="rId7"/>
    <sheet name="Estrutura Empresarial" sheetId="66" r:id="rId8"/>
    <sheet name="Estrutura Empresarial_Rem" sheetId="87" r:id="rId9"/>
    <sheet name="Distritos" sheetId="78" r:id="rId10"/>
    <sheet name="NUTS 2024" sheetId="107" r:id="rId11"/>
    <sheet name="Caracteristicas TCO" sheetId="81" r:id="rId12"/>
    <sheet name="Desigualdade_Contratacao" sheetId="86" r:id="rId13"/>
    <sheet name="q1_q2_q4_q5_Fig" sheetId="72" state="hidden" r:id="rId14"/>
    <sheet name="q7_q8_q10_q11_Fig" sheetId="74" state="hidden" r:id="rId15"/>
    <sheet name="q17_q18_q25_q26_Fig" sheetId="75" state="hidden" r:id="rId16"/>
    <sheet name="q18_q26_Fig" sheetId="88" state="hidden" r:id="rId17"/>
    <sheet name="q17_q25_Fig" sheetId="76" state="hidden" r:id="rId18"/>
    <sheet name="q11a" sheetId="98" state="hidden" r:id="rId19"/>
    <sheet name="q18_Aux" sheetId="91" state="hidden" r:id="rId20"/>
    <sheet name="q26_Aux" sheetId="92" state="hidden" r:id="rId21"/>
    <sheet name="q3_q6_q9_q12_q19_q27_Fig" sheetId="79" state="hidden" r:id="rId22"/>
    <sheet name="q3.1_6.1_9.1_12.1_19.1_27.1_Fig" sheetId="105" state="hidden" r:id="rId23"/>
    <sheet name="Imagem - Legenda" sheetId="106" state="hidden" r:id="rId24"/>
    <sheet name="q13_q14_q20_q21_q28_q29_Fig" sheetId="80" state="hidden" r:id="rId25"/>
    <sheet name="q13a" sheetId="97" state="hidden" r:id="rId26"/>
    <sheet name="q20_Aux" sheetId="93" state="hidden" r:id="rId27"/>
    <sheet name="q28_Aux" sheetId="94" state="hidden" r:id="rId28"/>
    <sheet name="q16_q23_Fig" sheetId="82" state="hidden" r:id="rId29"/>
    <sheet name="q15_q22_q31_Fig" sheetId="84" state="hidden" r:id="rId30"/>
    <sheet name="q24_Fig" sheetId="85" state="hidden" r:id="rId31"/>
    <sheet name="Aux" sheetId="68" state="hidden" r:id="rId32"/>
    <sheet name="COMBO BOX" sheetId="73" state="hidden" r:id="rId33"/>
    <sheet name="q1" sheetId="19" state="hidden" r:id="rId34"/>
    <sheet name="q2" sheetId="20" state="hidden" r:id="rId35"/>
    <sheet name="q3" sheetId="21" state="hidden" r:id="rId36"/>
    <sheet name="q3.1" sheetId="99" state="hidden" r:id="rId37"/>
    <sheet name="q4" sheetId="23" state="hidden" r:id="rId38"/>
    <sheet name="q5" sheetId="24" state="hidden" r:id="rId39"/>
    <sheet name="q6" sheetId="25" state="hidden" r:id="rId40"/>
    <sheet name="q6.1" sheetId="100" state="hidden" r:id="rId41"/>
    <sheet name="Emprego" sheetId="61" state="hidden" r:id="rId42"/>
    <sheet name="q7" sheetId="27" state="hidden" r:id="rId43"/>
    <sheet name="q8" sheetId="28" state="hidden" r:id="rId44"/>
    <sheet name="q9" sheetId="29" state="hidden" r:id="rId45"/>
    <sheet name="q9.1" sheetId="101" state="hidden" r:id="rId46"/>
    <sheet name="q10" sheetId="31" state="hidden" r:id="rId47"/>
    <sheet name="q11" sheetId="32" state="hidden" r:id="rId48"/>
    <sheet name="q12" sheetId="4" state="hidden" r:id="rId49"/>
    <sheet name="q12.1" sheetId="102" state="hidden" r:id="rId50"/>
    <sheet name="q13" sheetId="1" state="hidden" r:id="rId51"/>
    <sheet name="q14" sheetId="2" state="hidden" r:id="rId52"/>
    <sheet name="q15" sheetId="5" state="hidden" r:id="rId53"/>
    <sheet name="Remunerações" sheetId="62" state="hidden" r:id="rId54"/>
    <sheet name="q16" sheetId="48" state="hidden" r:id="rId55"/>
    <sheet name="q17" sheetId="50" state="hidden" r:id="rId56"/>
    <sheet name="q18" sheetId="51" state="hidden" r:id="rId57"/>
    <sheet name="q19" sheetId="52" state="hidden" r:id="rId58"/>
    <sheet name="q19.1" sheetId="103" state="hidden" r:id="rId59"/>
    <sheet name="q20" sheetId="53" state="hidden" r:id="rId60"/>
    <sheet name="q21" sheetId="54" state="hidden" r:id="rId61"/>
    <sheet name="q22" sheetId="55" state="hidden" r:id="rId62"/>
    <sheet name="q23" sheetId="43" state="hidden" r:id="rId63"/>
    <sheet name="q24 " sheetId="41" state="hidden" r:id="rId64"/>
    <sheet name="q25" sheetId="14" state="hidden" r:id="rId65"/>
    <sheet name="q26" sheetId="15" state="hidden" r:id="rId66"/>
    <sheet name="q27" sheetId="16" state="hidden" r:id="rId67"/>
    <sheet name="q27.1" sheetId="104" state="hidden" r:id="rId68"/>
    <sheet name="q28" sheetId="33" state="hidden" r:id="rId69"/>
    <sheet name="q29" sheetId="34" state="hidden" r:id="rId70"/>
    <sheet name="q30" sheetId="56" state="hidden" r:id="rId71"/>
    <sheet name="q31" sheetId="35" state="hidden" r:id="rId72"/>
    <sheet name="Conceitos e nomenclaturas" sheetId="63" state="hidden" r:id="rId73"/>
    <sheet name="Conceitos1" sheetId="46" state="hidden" r:id="rId74"/>
    <sheet name="Conceitos2" sheetId="47" state="hidden" r:id="rId75"/>
    <sheet name="Nomenclaturas" sheetId="45" state="hidden" r:id="rId76"/>
  </sheets>
  <externalReferences>
    <externalReference r:id="rId77"/>
  </externalReferences>
  <definedNames>
    <definedName name="_xlchart.v5.0" hidden="1">q3_q6_q9_q12_q19_q27_Fig!$AZ$19</definedName>
    <definedName name="_xlchart.v5.1" hidden="1">q3_q6_q9_q12_q19_q27_Fig!$AZ$20:$AZ$37</definedName>
    <definedName name="_xlchart.v5.10" hidden="1">q3_q6_q9_q12_q19_q27_Fig!$AM$19</definedName>
    <definedName name="_xlchart.v5.11" hidden="1">q3_q6_q9_q12_q19_q27_Fig!$AM$20:$AM$37</definedName>
    <definedName name="_xlchart.v5.12" hidden="1">q3_q6_q9_q12_q19_q27_Fig!$AS$19</definedName>
    <definedName name="_xlchart.v5.13" hidden="1">q3_q6_q9_q12_q19_q27_Fig!$AS$20:$AS$37</definedName>
    <definedName name="_xlchart.v5.14" hidden="1">q3_q6_q9_q12_q19_q27_Fig!$AT$19</definedName>
    <definedName name="_xlchart.v5.15" hidden="1">q3_q6_q9_q12_q19_q27_Fig!$AT$20:$AT$37</definedName>
    <definedName name="_xlchart.v5.16" hidden="1">q3_q6_q9_q12_q19_q27_Fig!$AL$19</definedName>
    <definedName name="_xlchart.v5.17" hidden="1">q3_q6_q9_q12_q19_q27_Fig!$AL$20:$AL$37</definedName>
    <definedName name="_xlchart.v5.18" hidden="1">q3_q6_q9_q12_q19_q27_Fig!$AN$19</definedName>
    <definedName name="_xlchart.v5.19" hidden="1">q3_q6_q9_q12_q19_q27_Fig!$AN$20:$AN$37</definedName>
    <definedName name="_xlchart.v5.2" hidden="1">q3_q6_q9_q12_q19_q27_Fig!$BB$19</definedName>
    <definedName name="_xlchart.v5.20" hidden="1">q3_q6_q9_q12_q19_q27_Fig!$AN$19</definedName>
    <definedName name="_xlchart.v5.21" hidden="1">q3_q6_q9_q12_q19_q27_Fig!$AS$19</definedName>
    <definedName name="_xlchart.v5.22" hidden="1">q3_q6_q9_q12_q19_q27_Fig!$AS$20:$AS$37</definedName>
    <definedName name="_xlchart.v5.23" hidden="1">q3_q6_q9_q12_q19_q27_Fig!$AU$19</definedName>
    <definedName name="_xlchart.v5.24" hidden="1">q3_q6_q9_q12_q19_q27_Fig!$AU$20:$AU$37</definedName>
    <definedName name="_xlchart.v5.25" hidden="1">q3_q6_q9_q12_q19_q27_Fig!$AN$19</definedName>
    <definedName name="_xlchart.v5.26" hidden="1">q3_q6_q9_q12_q19_q27_Fig!$AS$19</definedName>
    <definedName name="_xlchart.v5.27" hidden="1">q3_q6_q9_q12_q19_q27_Fig!$AS$20:$AS$37</definedName>
    <definedName name="_xlchart.v5.28" hidden="1">q3_q6_q9_q12_q19_q27_Fig!$AU$19</definedName>
    <definedName name="_xlchart.v5.29" hidden="1">q3_q6_q9_q12_q19_q27_Fig!$AU$20:$AU$37</definedName>
    <definedName name="_xlchart.v5.3" hidden="1">q3_q6_q9_q12_q19_q27_Fig!$BB$20:$BB$37</definedName>
    <definedName name="_xlchart.v5.30" hidden="1">q3_q6_q9_q12_q19_q27_Fig!$AZ$19</definedName>
    <definedName name="_xlchart.v5.31" hidden="1">q3_q6_q9_q12_q19_q27_Fig!$AZ$20:$AZ$38</definedName>
    <definedName name="_xlchart.v5.32" hidden="1">q3_q6_q9_q12_q19_q27_Fig!$BA$19</definedName>
    <definedName name="_xlchart.v5.33" hidden="1">q3_q6_q9_q12_q19_q27_Fig!$BA$20:$BA$38</definedName>
    <definedName name="_xlchart.v5.34" hidden="1">q3_q6_q9_q12_q19_q27_Fig!$AL$19</definedName>
    <definedName name="_xlchart.v5.35" hidden="1">q3_q6_q9_q12_q19_q27_Fig!$AL$20:$AL$37</definedName>
    <definedName name="_xlchart.v5.36" hidden="1">q3_q6_q9_q12_q19_q27_Fig!$AM$19</definedName>
    <definedName name="_xlchart.v5.37" hidden="1">q3_q6_q9_q12_q19_q27_Fig!$AM$20:$AM$37</definedName>
    <definedName name="_xlchart.v5.38" hidden="1">q3_q6_q9_q12_q19_q27_Fig!$AS$19</definedName>
    <definedName name="_xlchart.v5.39" hidden="1">q3_q6_q9_q12_q19_q27_Fig!$AS$20:$AS$37</definedName>
    <definedName name="_xlchart.v5.4" hidden="1">q3_q6_q9_q12_q19_q27_Fig!$AZ$19</definedName>
    <definedName name="_xlchart.v5.40" hidden="1">q3_q6_q9_q12_q19_q27_Fig!$AT$19</definedName>
    <definedName name="_xlchart.v5.41" hidden="1">q3_q6_q9_q12_q19_q27_Fig!$AT$20:$AT$37</definedName>
    <definedName name="_xlchart.v5.42" hidden="1">q3_q6_q9_q12_q19_q27_Fig!$AL$19</definedName>
    <definedName name="_xlchart.v5.43" hidden="1">q3_q6_q9_q12_q19_q27_Fig!$AL$20:$AL$37</definedName>
    <definedName name="_xlchart.v5.44" hidden="1">q3_q6_q9_q12_q19_q27_Fig!$AN$19</definedName>
    <definedName name="_xlchart.v5.45" hidden="1">q3_q6_q9_q12_q19_q27_Fig!$AN$20:$AN$37</definedName>
    <definedName name="_xlchart.v5.46" hidden="1">q3_q6_q9_q12_q19_q27_Fig!$AZ$19</definedName>
    <definedName name="_xlchart.v5.47" hidden="1">q3_q6_q9_q12_q19_q27_Fig!$AZ$20:$AZ$37</definedName>
    <definedName name="_xlchart.v5.48" hidden="1">q3_q6_q9_q12_q19_q27_Fig!$BB$19</definedName>
    <definedName name="_xlchart.v5.49" hidden="1">q3_q6_q9_q12_q19_q27_Fig!$BB$20:$BB$37</definedName>
    <definedName name="_xlchart.v5.5" hidden="1">q3_q6_q9_q12_q19_q27_Fig!$AZ$20:$AZ$38</definedName>
    <definedName name="_xlchart.v5.6" hidden="1">q3_q6_q9_q12_q19_q27_Fig!$BA$19</definedName>
    <definedName name="_xlchart.v5.7" hidden="1">q3_q6_q9_q12_q19_q27_Fig!$BA$20:$BA$38</definedName>
    <definedName name="_xlchart.v5.8" hidden="1">q3_q6_q9_q12_q19_q27_Fig!$AL$19</definedName>
    <definedName name="_xlchart.v5.9" hidden="1">q3_q6_q9_q12_q19_q27_Fig!$AL$20:$AL$37</definedName>
    <definedName name="acidentes" localSheetId="10">#REF!</definedName>
    <definedName name="acidentes">#REF!</definedName>
    <definedName name="_xlnm.Print_Area" localSheetId="1">Capa_Indice!$A$1:$L$53</definedName>
    <definedName name="_xlnm.Print_Area" localSheetId="0">Capa_Serie!$A$1:$L$53</definedName>
    <definedName name="_xlnm.Print_Area" localSheetId="11">'Caracteristicas TCO'!$A$1:$W$54</definedName>
    <definedName name="_xlnm.Print_Area" localSheetId="73">Conceitos1!$A$1:$J$53</definedName>
    <definedName name="_xlnm.Print_Area" localSheetId="74">Conceitos2!$A$1:$J$49</definedName>
    <definedName name="_xlnm.Print_Area" localSheetId="12">Desigualdade_Contratacao!$A$1:$W$54</definedName>
    <definedName name="_xlnm.Print_Area" localSheetId="9">Distritos!$A$1:$W$57</definedName>
    <definedName name="_xlnm.Print_Area" localSheetId="7">'Estrutura Empresarial'!$A$1:$W$53</definedName>
    <definedName name="_xlnm.Print_Area" localSheetId="8">'Estrutura Empresarial_Rem'!$A$1:$W$53</definedName>
    <definedName name="_xlnm.Print_Area" localSheetId="4">'índice de quadros'!$A$1:$A$39</definedName>
    <definedName name="_xlnm.Print_Area" localSheetId="5">Introdução!$A$1:$J$55</definedName>
    <definedName name="_xlnm.Print_Area" localSheetId="2">'Introdução e Metainformação'!$A$1:$U$7</definedName>
    <definedName name="_xlnm.Print_Area" localSheetId="75">Nomenclaturas!$A$1:$J$53</definedName>
    <definedName name="_xlnm.Print_Area" localSheetId="10">'NUTS 2024'!$A$1:$W$57</definedName>
    <definedName name="_xlnm.Print_Area" localSheetId="33">'q1'!$A$1:$M$50</definedName>
    <definedName name="_xlnm.Print_Area" localSheetId="46">'q10'!$A$1:$M$50</definedName>
    <definedName name="_xlnm.Print_Area" localSheetId="47">'q11'!$A$1:$M$42</definedName>
    <definedName name="_xlnm.Print_Area" localSheetId="18">q11a!$A$1:$M$42</definedName>
    <definedName name="_xlnm.Print_Area" localSheetId="48">'q12'!$A$1:$L$24</definedName>
    <definedName name="_xlnm.Print_Area" localSheetId="49">'q12.1'!$A$1:$L$34</definedName>
    <definedName name="_xlnm.Print_Area" localSheetId="50">'q13'!$A$1:$M$44</definedName>
    <definedName name="_xlnm.Print_Area" localSheetId="25">q13a!$A$1:$M$44</definedName>
    <definedName name="_xlnm.Print_Area" localSheetId="51">'q14'!$A$1:$M$32</definedName>
    <definedName name="_xlnm.Print_Area" localSheetId="52">'q15'!$A$1:$L$13</definedName>
    <definedName name="_xlnm.Print_Area" localSheetId="54">'q16'!$A$1:$L$29</definedName>
    <definedName name="_xlnm.Print_Area" localSheetId="55">'q17'!$A$1:$M$51</definedName>
    <definedName name="_xlnm.Print_Area" localSheetId="56">'q18'!$A$1:$M$42</definedName>
    <definedName name="_xlnm.Print_Area" localSheetId="19">q18_Aux!$A$1:$M$42</definedName>
    <definedName name="_xlnm.Print_Area" localSheetId="57">'q19'!$A$1:$L$25</definedName>
    <definedName name="_xlnm.Print_Area" localSheetId="58">'q19.1'!$A$1:$L$35</definedName>
    <definedName name="_xlnm.Print_Area" localSheetId="34">'q2'!$A$1:$L$18</definedName>
    <definedName name="_xlnm.Print_Area" localSheetId="59">'q20'!$A$1:$M$45</definedName>
    <definedName name="_xlnm.Print_Area" localSheetId="26">q20_Aux!$A$1:$M$45</definedName>
    <definedName name="_xlnm.Print_Area" localSheetId="60">'q21'!$A$1:$M$33</definedName>
    <definedName name="_xlnm.Print_Area" localSheetId="61">'q22'!$A$1:$L$14</definedName>
    <definedName name="_xlnm.Print_Area" localSheetId="62">'q23'!$A$1:$L$29</definedName>
    <definedName name="_xlnm.Print_Area" localSheetId="63">'q24 '!$A$1:$L$24</definedName>
    <definedName name="_xlnm.Print_Area" localSheetId="64">'q25'!$A$1:$M$51</definedName>
    <definedName name="_xlnm.Print_Area" localSheetId="65">'q26'!$A$1:$M$42</definedName>
    <definedName name="_xlnm.Print_Area" localSheetId="20">q26_Aux!$A$1:$M$42</definedName>
    <definedName name="_xlnm.Print_Area" localSheetId="66">'q27'!$A$1:$L$25</definedName>
    <definedName name="_xlnm.Print_Area" localSheetId="67">'q27.1'!$A$1:$L$35</definedName>
    <definedName name="_xlnm.Print_Area" localSheetId="68">'q28'!$A$1:$M$45</definedName>
    <definedName name="_xlnm.Print_Area" localSheetId="27">q28_Aux!$A$1:$M$45</definedName>
    <definedName name="_xlnm.Print_Area" localSheetId="69">'q29'!$A$1:$M$33</definedName>
    <definedName name="_xlnm.Print_Area" localSheetId="35">'q3'!$A$1:$L$24</definedName>
    <definedName name="_xlnm.Print_Area" localSheetId="36">'q3.1'!$A$1:$L$34</definedName>
    <definedName name="_xlnm.Print_Area" localSheetId="70">'q30'!$A$1:$N$37</definedName>
    <definedName name="_xlnm.Print_Area" localSheetId="71">'q31'!$A$1:$L$14</definedName>
    <definedName name="_xlnm.Print_Area" localSheetId="37">'q4'!$A$1:$M$50</definedName>
    <definedName name="_xlnm.Print_Area" localSheetId="38">'q5'!$A$1:$L$18</definedName>
    <definedName name="_xlnm.Print_Area" localSheetId="39">'q6'!$A$1:$L$24</definedName>
    <definedName name="_xlnm.Print_Area" localSheetId="40">'q6.1'!$A$1:$L$34</definedName>
    <definedName name="_xlnm.Print_Area" localSheetId="42">'q7'!$A$1:$M$50</definedName>
    <definedName name="_xlnm.Print_Area" localSheetId="43">'q8'!$A$1:$L$18</definedName>
    <definedName name="_xlnm.Print_Area" localSheetId="44">'q9'!$A$1:$L$24</definedName>
    <definedName name="_xlnm.Print_Area" localSheetId="45">'q9.1'!$A$1:$L$34</definedName>
    <definedName name="Bolas" localSheetId="10">INDEX(#REF!, MATCH(#REF!,#REF!,0))</definedName>
    <definedName name="Bolas">INDEX(#REF!, MATCH(#REF!,#REF!,0))</definedName>
    <definedName name="CAE" localSheetId="10">#REF!</definedName>
    <definedName name="CAE">#REF!</definedName>
    <definedName name="Changes" localSheetId="10">#REF!</definedName>
    <definedName name="Changes">#REF!</definedName>
    <definedName name="Comments" localSheetId="10">#REF!</definedName>
    <definedName name="Comments">#REF!</definedName>
    <definedName name="Contact" localSheetId="10">#REF!</definedName>
    <definedName name="Contact">#REF!</definedName>
    <definedName name="Country" localSheetId="10">#REF!</definedName>
    <definedName name="Country">#REF!</definedName>
    <definedName name="CUSTOS" localSheetId="10">#REF!</definedName>
    <definedName name="CUSTOS">#REF!</definedName>
    <definedName name="CV_employed" localSheetId="10">#REF!</definedName>
    <definedName name="CV_employed">#REF!</definedName>
    <definedName name="CV_parttime" localSheetId="10">#REF!</definedName>
    <definedName name="CV_parttime">#REF!</definedName>
    <definedName name="CV_unemployed" localSheetId="10">#REF!</definedName>
    <definedName name="CV_unemployed">#REF!</definedName>
    <definedName name="CV_unemploymentRate" localSheetId="10">#REF!</definedName>
    <definedName name="CV_unemploymentRate">#REF!</definedName>
    <definedName name="CV_UsualHours" localSheetId="10">#REF!</definedName>
    <definedName name="CV_UsualHours">#REF!</definedName>
    <definedName name="dgalsjdgAD" localSheetId="10">#REF!</definedName>
    <definedName name="dgalsjdgAD">#REF!</definedName>
    <definedName name="DimensãoUL" localSheetId="10">#REF!</definedName>
    <definedName name="DimensãoUL">#REF!</definedName>
    <definedName name="dsadsa" localSheetId="10">#REF!</definedName>
    <definedName name="dsadsa">#REF!</definedName>
    <definedName name="email" localSheetId="10">#REF!</definedName>
    <definedName name="email">#REF!</definedName>
    <definedName name="Globais" localSheetId="10">#REF!</definedName>
    <definedName name="Globais">#REF!</definedName>
    <definedName name="hdbtrgs" localSheetId="10">#REF!</definedName>
    <definedName name="hdbtrgs">#REF!</definedName>
    <definedName name="Limit_a_q" localSheetId="10">#REF!</definedName>
    <definedName name="Limit_a_q">#REF!</definedName>
    <definedName name="Limit_b_a" localSheetId="10">#REF!</definedName>
    <definedName name="Limit_b_a">#REF!</definedName>
    <definedName name="Limit_b_q" localSheetId="10">#REF!</definedName>
    <definedName name="Limit_b_q">#REF!</definedName>
    <definedName name="md" localSheetId="10">#REF!</definedName>
    <definedName name="md">#REF!</definedName>
    <definedName name="mom3b" localSheetId="10">#REF!</definedName>
    <definedName name="mom3b">#REF!</definedName>
    <definedName name="mom8b" localSheetId="10">#REF!</definedName>
    <definedName name="mom8b">#REF!</definedName>
    <definedName name="mom9b" localSheetId="10">#REF!</definedName>
    <definedName name="mom9b">#REF!</definedName>
    <definedName name="mySortCriteria">[1]Calculation!$E$7</definedName>
    <definedName name="NR_NonContacts" localSheetId="10">#REF!</definedName>
    <definedName name="NR_NonContacts">#REF!</definedName>
    <definedName name="NR_Other" localSheetId="10">#REF!</definedName>
    <definedName name="NR_Other">#REF!</definedName>
    <definedName name="NR_Refusals" localSheetId="10">#REF!</definedName>
    <definedName name="NR_Refusals">#REF!</definedName>
    <definedName name="NR_Total" localSheetId="10">#REF!</definedName>
    <definedName name="NR_Total">#REF!</definedName>
    <definedName name="NUTII" localSheetId="10">#REF!</definedName>
    <definedName name="NUTII">#REF!</definedName>
    <definedName name="Quarter" localSheetId="10">#REF!</definedName>
    <definedName name="Quarter">#REF!</definedName>
    <definedName name="REM_GANHO" localSheetId="10">#REF!</definedName>
    <definedName name="REM_GANHO">#REF!</definedName>
    <definedName name="REMBASE" localSheetId="10">#REF!</definedName>
    <definedName name="REMBASE">#REF!</definedName>
    <definedName name="RMMG" localSheetId="10">#REF!</definedName>
    <definedName name="RMMG">#REF!</definedName>
    <definedName name="SegmentaçãoDeDados_Selecionar_CAE">#N/A</definedName>
    <definedName name="SegmentaçãoDeDados_Sexo">#N/A</definedName>
    <definedName name="SegmentaçãoDeDados_Tipo_de_remuneração">#N/A</definedName>
    <definedName name="SegmentaçãoDeDados_Tipo_Remuneração">#N/A</definedName>
    <definedName name="setas" localSheetId="10">INDEX(#REF!,MATCH(#REF!,#REF!),0)</definedName>
    <definedName name="setas">INDEX(#REF!,MATCH(#REF!,#REF!),0)</definedName>
    <definedName name="Telephone" localSheetId="10">#REF!</definedName>
    <definedName name="Telephone">#REF!</definedName>
    <definedName name="ue" localSheetId="10">#REF!</definedName>
    <definedName name="ue">#REF!</definedName>
    <definedName name="Year" localSheetId="10">#REF!</definedName>
    <definedName name="Year">#REF!</definedName>
  </definedNames>
  <calcPr calcId="191029"/>
  <pivotCaches>
    <pivotCache cacheId="10" r:id="rId78"/>
    <pivotCache cacheId="11" r:id="rId79"/>
  </pivotCaches>
  <extLst>
    <ext xmlns:x14="http://schemas.microsoft.com/office/spreadsheetml/2009/9/main" uri="{BBE1A952-AA13-448e-AADC-164F8A28A991}">
      <x14:slicerCaches>
        <x14:slicerCache r:id="rId80"/>
        <x14:slicerCache r:id="rId81"/>
        <x14:slicerCache r:id="rId82"/>
        <x14:slicerCache r:id="rId83"/>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146" i="105" l="1"/>
  <c r="CP31" i="105"/>
  <c r="CF31" i="105"/>
  <c r="CF26" i="105"/>
  <c r="CF25" i="105"/>
  <c r="BL31" i="105"/>
  <c r="BL26" i="105"/>
  <c r="BL25" i="105"/>
  <c r="CP9" i="105"/>
  <c r="CP10" i="105"/>
  <c r="CP11" i="105"/>
  <c r="CP12" i="105"/>
  <c r="CP13" i="105"/>
  <c r="CP14" i="105"/>
  <c r="CP15" i="105"/>
  <c r="CP16" i="105"/>
  <c r="CP17" i="105"/>
  <c r="CP18" i="105"/>
  <c r="CP19" i="105"/>
  <c r="CP20" i="105"/>
  <c r="CP21" i="105"/>
  <c r="CP22" i="105"/>
  <c r="CP23" i="105"/>
  <c r="CP24" i="105"/>
  <c r="CP25" i="105"/>
  <c r="CP26" i="105"/>
  <c r="CP27" i="105"/>
  <c r="CP28" i="105"/>
  <c r="CP29" i="105"/>
  <c r="CP30" i="105"/>
  <c r="CP8" i="105"/>
  <c r="BT9" i="105"/>
  <c r="BT10" i="105"/>
  <c r="BT11" i="105"/>
  <c r="BT12" i="105"/>
  <c r="BT13" i="105"/>
  <c r="BT14" i="105"/>
  <c r="BT15" i="105"/>
  <c r="BT16" i="105"/>
  <c r="BT17" i="105"/>
  <c r="BT18" i="105"/>
  <c r="BT19" i="105"/>
  <c r="BT20" i="105"/>
  <c r="BT21" i="105"/>
  <c r="BT22" i="105"/>
  <c r="BT23" i="105"/>
  <c r="BT24" i="105"/>
  <c r="BT25" i="105"/>
  <c r="BT26" i="105"/>
  <c r="BT27" i="105"/>
  <c r="BT28" i="105"/>
  <c r="BT29" i="105"/>
  <c r="BT30" i="105"/>
  <c r="BT31" i="105"/>
  <c r="BT8" i="105"/>
  <c r="AY9" i="105" l="1"/>
  <c r="AY10" i="105"/>
  <c r="AY11" i="105"/>
  <c r="AY12" i="105"/>
  <c r="AY13" i="105"/>
  <c r="AY14" i="105"/>
  <c r="AY15" i="105"/>
  <c r="AY16" i="105"/>
  <c r="AY17" i="105"/>
  <c r="AY18" i="105"/>
  <c r="AY19" i="105"/>
  <c r="AY20" i="105"/>
  <c r="AY21" i="105"/>
  <c r="AY22" i="105"/>
  <c r="AY23" i="105"/>
  <c r="AY24" i="105"/>
  <c r="AY25" i="105"/>
  <c r="AY26" i="105"/>
  <c r="AY27" i="105"/>
  <c r="AY28" i="105"/>
  <c r="AY29" i="105"/>
  <c r="AY30" i="105"/>
  <c r="AY31" i="105"/>
  <c r="AY8" i="105"/>
  <c r="AQ26" i="105" l="1"/>
  <c r="AQ25" i="105"/>
  <c r="AQ31" i="105"/>
  <c r="M265" i="105" l="1"/>
  <c r="L265" i="105"/>
  <c r="K265" i="105"/>
  <c r="J265" i="105"/>
  <c r="I265" i="105"/>
  <c r="H265" i="105"/>
  <c r="G265" i="105"/>
  <c r="F265" i="105"/>
  <c r="E265" i="105"/>
  <c r="D265" i="105"/>
  <c r="C265" i="105"/>
  <c r="M225" i="105"/>
  <c r="L225" i="105"/>
  <c r="K225" i="105"/>
  <c r="J225" i="105"/>
  <c r="I225" i="105"/>
  <c r="H225" i="105"/>
  <c r="G225" i="105"/>
  <c r="F225" i="105"/>
  <c r="E225" i="105"/>
  <c r="D225" i="105"/>
  <c r="C225" i="105"/>
  <c r="M185" i="105"/>
  <c r="L185" i="105"/>
  <c r="K185" i="105"/>
  <c r="J185" i="105"/>
  <c r="I185" i="105"/>
  <c r="H185" i="105"/>
  <c r="G185" i="105"/>
  <c r="F185" i="105"/>
  <c r="E185" i="105"/>
  <c r="D185" i="105"/>
  <c r="C185" i="105"/>
  <c r="M145" i="105"/>
  <c r="L145" i="105"/>
  <c r="K145" i="105"/>
  <c r="J145" i="105"/>
  <c r="I145" i="105"/>
  <c r="H145" i="105"/>
  <c r="G145" i="105"/>
  <c r="F145" i="105"/>
  <c r="E145" i="105"/>
  <c r="D145" i="105"/>
  <c r="C145" i="105"/>
  <c r="M105" i="105"/>
  <c r="L105" i="105"/>
  <c r="K105" i="105"/>
  <c r="J105" i="105"/>
  <c r="I105" i="105"/>
  <c r="H105" i="105"/>
  <c r="G105" i="105"/>
  <c r="F105" i="105"/>
  <c r="E105" i="105"/>
  <c r="D105" i="105"/>
  <c r="C105" i="105"/>
  <c r="M65" i="105"/>
  <c r="L65" i="105"/>
  <c r="K65" i="105"/>
  <c r="J65" i="105"/>
  <c r="I65" i="105"/>
  <c r="H65" i="105"/>
  <c r="G65" i="105"/>
  <c r="F65" i="105"/>
  <c r="E65" i="105"/>
  <c r="D65" i="105"/>
  <c r="C65" i="105"/>
  <c r="R70" i="105"/>
  <c r="R36" i="105"/>
  <c r="R4" i="105"/>
  <c r="M264" i="105"/>
  <c r="L264" i="105"/>
  <c r="K264" i="105"/>
  <c r="J264" i="105"/>
  <c r="I264" i="105"/>
  <c r="H264" i="105"/>
  <c r="G264" i="105"/>
  <c r="F264" i="105"/>
  <c r="E264" i="105"/>
  <c r="D264" i="105"/>
  <c r="C264" i="105"/>
  <c r="B264" i="105"/>
  <c r="M263" i="105"/>
  <c r="L263" i="105"/>
  <c r="K263" i="105"/>
  <c r="J263" i="105"/>
  <c r="I263" i="105"/>
  <c r="H263" i="105"/>
  <c r="G263" i="105"/>
  <c r="F263" i="105"/>
  <c r="E263" i="105"/>
  <c r="D263" i="105"/>
  <c r="C263" i="105"/>
  <c r="B263" i="105"/>
  <c r="M262" i="105"/>
  <c r="L262" i="105"/>
  <c r="K262" i="105"/>
  <c r="J262" i="105"/>
  <c r="I262" i="105"/>
  <c r="H262" i="105"/>
  <c r="G262" i="105"/>
  <c r="F262" i="105"/>
  <c r="E262" i="105"/>
  <c r="D262" i="105"/>
  <c r="C262" i="105"/>
  <c r="B262" i="105"/>
  <c r="M261" i="105"/>
  <c r="L261" i="105"/>
  <c r="K261" i="105"/>
  <c r="J261" i="105"/>
  <c r="I261" i="105"/>
  <c r="H261" i="105"/>
  <c r="G261" i="105"/>
  <c r="F261" i="105"/>
  <c r="E261" i="105"/>
  <c r="D261" i="105"/>
  <c r="C261" i="105"/>
  <c r="B261" i="105"/>
  <c r="M260" i="105"/>
  <c r="L260" i="105"/>
  <c r="K260" i="105"/>
  <c r="J260" i="105"/>
  <c r="I260" i="105"/>
  <c r="H260" i="105"/>
  <c r="G260" i="105"/>
  <c r="F260" i="105"/>
  <c r="E260" i="105"/>
  <c r="D260" i="105"/>
  <c r="C260" i="105"/>
  <c r="B260" i="105"/>
  <c r="M259" i="105"/>
  <c r="L259" i="105"/>
  <c r="K259" i="105"/>
  <c r="J259" i="105"/>
  <c r="I259" i="105"/>
  <c r="H259" i="105"/>
  <c r="G259" i="105"/>
  <c r="F259" i="105"/>
  <c r="E259" i="105"/>
  <c r="D259" i="105"/>
  <c r="C259" i="105"/>
  <c r="B259" i="105"/>
  <c r="M258" i="105"/>
  <c r="L258" i="105"/>
  <c r="K258" i="105"/>
  <c r="J258" i="105"/>
  <c r="I258" i="105"/>
  <c r="H258" i="105"/>
  <c r="G258" i="105"/>
  <c r="F258" i="105"/>
  <c r="E258" i="105"/>
  <c r="D258" i="105"/>
  <c r="C258" i="105"/>
  <c r="B258" i="105"/>
  <c r="M257" i="105"/>
  <c r="L257" i="105"/>
  <c r="K257" i="105"/>
  <c r="J257" i="105"/>
  <c r="I257" i="105"/>
  <c r="H257" i="105"/>
  <c r="G257" i="105"/>
  <c r="F257" i="105"/>
  <c r="E257" i="105"/>
  <c r="D257" i="105"/>
  <c r="C257" i="105"/>
  <c r="B257" i="105"/>
  <c r="M256" i="105"/>
  <c r="L256" i="105"/>
  <c r="K256" i="105"/>
  <c r="J256" i="105"/>
  <c r="I256" i="105"/>
  <c r="H256" i="105"/>
  <c r="G256" i="105"/>
  <c r="F256" i="105"/>
  <c r="E256" i="105"/>
  <c r="D256" i="105"/>
  <c r="C256" i="105"/>
  <c r="B256" i="105"/>
  <c r="M255" i="105"/>
  <c r="L255" i="105"/>
  <c r="K255" i="105"/>
  <c r="J255" i="105"/>
  <c r="I255" i="105"/>
  <c r="H255" i="105"/>
  <c r="G255" i="105"/>
  <c r="F255" i="105"/>
  <c r="E255" i="105"/>
  <c r="D255" i="105"/>
  <c r="C255" i="105"/>
  <c r="B255" i="105"/>
  <c r="M254" i="105"/>
  <c r="L254" i="105"/>
  <c r="K254" i="105"/>
  <c r="J254" i="105"/>
  <c r="I254" i="105"/>
  <c r="H254" i="105"/>
  <c r="G254" i="105"/>
  <c r="F254" i="105"/>
  <c r="E254" i="105"/>
  <c r="D254" i="105"/>
  <c r="C254" i="105"/>
  <c r="B254" i="105"/>
  <c r="M253" i="105"/>
  <c r="L253" i="105"/>
  <c r="K253" i="105"/>
  <c r="J253" i="105"/>
  <c r="I253" i="105"/>
  <c r="H253" i="105"/>
  <c r="G253" i="105"/>
  <c r="F253" i="105"/>
  <c r="E253" i="105"/>
  <c r="D253" i="105"/>
  <c r="C253" i="105"/>
  <c r="B253" i="105"/>
  <c r="M252" i="105"/>
  <c r="L252" i="105"/>
  <c r="K252" i="105"/>
  <c r="J252" i="105"/>
  <c r="I252" i="105"/>
  <c r="H252" i="105"/>
  <c r="G252" i="105"/>
  <c r="F252" i="105"/>
  <c r="E252" i="105"/>
  <c r="D252" i="105"/>
  <c r="C252" i="105"/>
  <c r="B252" i="105"/>
  <c r="M251" i="105"/>
  <c r="L251" i="105"/>
  <c r="K251" i="105"/>
  <c r="J251" i="105"/>
  <c r="I251" i="105"/>
  <c r="H251" i="105"/>
  <c r="G251" i="105"/>
  <c r="F251" i="105"/>
  <c r="E251" i="105"/>
  <c r="D251" i="105"/>
  <c r="C251" i="105"/>
  <c r="B251" i="105"/>
  <c r="M250" i="105"/>
  <c r="L250" i="105"/>
  <c r="K250" i="105"/>
  <c r="J250" i="105"/>
  <c r="I250" i="105"/>
  <c r="H250" i="105"/>
  <c r="G250" i="105"/>
  <c r="F250" i="105"/>
  <c r="E250" i="105"/>
  <c r="D250" i="105"/>
  <c r="C250" i="105"/>
  <c r="B250" i="105"/>
  <c r="M249" i="105"/>
  <c r="L249" i="105"/>
  <c r="K249" i="105"/>
  <c r="J249" i="105"/>
  <c r="I249" i="105"/>
  <c r="H249" i="105"/>
  <c r="G249" i="105"/>
  <c r="F249" i="105"/>
  <c r="E249" i="105"/>
  <c r="D249" i="105"/>
  <c r="C249" i="105"/>
  <c r="B249" i="105"/>
  <c r="M248" i="105"/>
  <c r="L248" i="105"/>
  <c r="K248" i="105"/>
  <c r="J248" i="105"/>
  <c r="I248" i="105"/>
  <c r="H248" i="105"/>
  <c r="G248" i="105"/>
  <c r="F248" i="105"/>
  <c r="E248" i="105"/>
  <c r="D248" i="105"/>
  <c r="C248" i="105"/>
  <c r="B248" i="105"/>
  <c r="M247" i="105"/>
  <c r="L247" i="105"/>
  <c r="K247" i="105"/>
  <c r="J247" i="105"/>
  <c r="I247" i="105"/>
  <c r="H247" i="105"/>
  <c r="G247" i="105"/>
  <c r="F247" i="105"/>
  <c r="E247" i="105"/>
  <c r="D247" i="105"/>
  <c r="C247" i="105"/>
  <c r="B247" i="105"/>
  <c r="M246" i="105"/>
  <c r="L246" i="105"/>
  <c r="K246" i="105"/>
  <c r="J246" i="105"/>
  <c r="I246" i="105"/>
  <c r="H246" i="105"/>
  <c r="G246" i="105"/>
  <c r="F246" i="105"/>
  <c r="E246" i="105"/>
  <c r="D246" i="105"/>
  <c r="C246" i="105"/>
  <c r="B246" i="105"/>
  <c r="M245" i="105"/>
  <c r="L245" i="105"/>
  <c r="K245" i="105"/>
  <c r="J245" i="105"/>
  <c r="I245" i="105"/>
  <c r="H245" i="105"/>
  <c r="G245" i="105"/>
  <c r="F245" i="105"/>
  <c r="E245" i="105"/>
  <c r="D245" i="105"/>
  <c r="C245" i="105"/>
  <c r="B245" i="105"/>
  <c r="M244" i="105"/>
  <c r="L244" i="105"/>
  <c r="K244" i="105"/>
  <c r="J244" i="105"/>
  <c r="I244" i="105"/>
  <c r="H244" i="105"/>
  <c r="G244" i="105"/>
  <c r="F244" i="105"/>
  <c r="E244" i="105"/>
  <c r="D244" i="105"/>
  <c r="C244" i="105"/>
  <c r="B244" i="105"/>
  <c r="M243" i="105"/>
  <c r="L243" i="105"/>
  <c r="K243" i="105"/>
  <c r="J243" i="105"/>
  <c r="I243" i="105"/>
  <c r="H243" i="105"/>
  <c r="G243" i="105"/>
  <c r="F243" i="105"/>
  <c r="E243" i="105"/>
  <c r="D243" i="105"/>
  <c r="C243" i="105"/>
  <c r="B243" i="105"/>
  <c r="M242" i="105"/>
  <c r="L242" i="105"/>
  <c r="K242" i="105"/>
  <c r="J242" i="105"/>
  <c r="I242" i="105"/>
  <c r="H242" i="105"/>
  <c r="G242" i="105"/>
  <c r="F242" i="105"/>
  <c r="E242" i="105"/>
  <c r="D242" i="105"/>
  <c r="C242" i="105"/>
  <c r="B242" i="105"/>
  <c r="M241" i="105"/>
  <c r="L241" i="105"/>
  <c r="K241" i="105"/>
  <c r="J241" i="105"/>
  <c r="I241" i="105"/>
  <c r="H241" i="105"/>
  <c r="G241" i="105"/>
  <c r="F241" i="105"/>
  <c r="E241" i="105"/>
  <c r="D241" i="105"/>
  <c r="C241" i="105"/>
  <c r="B241" i="105"/>
  <c r="M238" i="105"/>
  <c r="L238" i="105"/>
  <c r="K238" i="105"/>
  <c r="J238" i="105"/>
  <c r="I238" i="105"/>
  <c r="H238" i="105"/>
  <c r="G238" i="105"/>
  <c r="F238" i="105"/>
  <c r="E238" i="105"/>
  <c r="D238" i="105"/>
  <c r="C238" i="105"/>
  <c r="M237" i="105"/>
  <c r="L237" i="105"/>
  <c r="K237" i="105"/>
  <c r="J237" i="105"/>
  <c r="I237" i="105"/>
  <c r="H237" i="105"/>
  <c r="G237" i="105"/>
  <c r="F237" i="105"/>
  <c r="E237" i="105"/>
  <c r="D237" i="105"/>
  <c r="C237" i="105"/>
  <c r="B237" i="105"/>
  <c r="M236" i="105"/>
  <c r="L236" i="105"/>
  <c r="K236" i="105"/>
  <c r="J236" i="105"/>
  <c r="I236" i="105"/>
  <c r="H236" i="105"/>
  <c r="G236" i="105"/>
  <c r="F236" i="105"/>
  <c r="E236" i="105"/>
  <c r="D236" i="105"/>
  <c r="C236" i="105"/>
  <c r="B236" i="105"/>
  <c r="M235" i="105"/>
  <c r="L235" i="105"/>
  <c r="K235" i="105"/>
  <c r="J235" i="105"/>
  <c r="I235" i="105"/>
  <c r="H235" i="105"/>
  <c r="G235" i="105"/>
  <c r="F235" i="105"/>
  <c r="E235" i="105"/>
  <c r="D235" i="105"/>
  <c r="C235" i="105"/>
  <c r="B235" i="105"/>
  <c r="M234" i="105"/>
  <c r="L234" i="105"/>
  <c r="K234" i="105"/>
  <c r="J234" i="105"/>
  <c r="I234" i="105"/>
  <c r="H234" i="105"/>
  <c r="G234" i="105"/>
  <c r="F234" i="105"/>
  <c r="E234" i="105"/>
  <c r="D234" i="105"/>
  <c r="C234" i="105"/>
  <c r="B234" i="105"/>
  <c r="M233" i="105"/>
  <c r="L233" i="105"/>
  <c r="K233" i="105"/>
  <c r="J233" i="105"/>
  <c r="I233" i="105"/>
  <c r="H233" i="105"/>
  <c r="G233" i="105"/>
  <c r="F233" i="105"/>
  <c r="E233" i="105"/>
  <c r="D233" i="105"/>
  <c r="C233" i="105"/>
  <c r="B233" i="105"/>
  <c r="M232" i="105"/>
  <c r="L232" i="105"/>
  <c r="K232" i="105"/>
  <c r="J232" i="105"/>
  <c r="I232" i="105"/>
  <c r="H232" i="105"/>
  <c r="G232" i="105"/>
  <c r="F232" i="105"/>
  <c r="E232" i="105"/>
  <c r="D232" i="105"/>
  <c r="C232" i="105"/>
  <c r="B232" i="105"/>
  <c r="M231" i="105"/>
  <c r="L231" i="105"/>
  <c r="K231" i="105"/>
  <c r="J231" i="105"/>
  <c r="I231" i="105"/>
  <c r="H231" i="105"/>
  <c r="G231" i="105"/>
  <c r="F231" i="105"/>
  <c r="E231" i="105"/>
  <c r="D231" i="105"/>
  <c r="C231" i="105"/>
  <c r="B231" i="105"/>
  <c r="M230" i="105"/>
  <c r="M240" i="105" s="1"/>
  <c r="L230" i="105"/>
  <c r="L240" i="105" s="1"/>
  <c r="K230" i="105"/>
  <c r="K240" i="105" s="1"/>
  <c r="J230" i="105"/>
  <c r="J240" i="105" s="1"/>
  <c r="I230" i="105"/>
  <c r="I240" i="105" s="1"/>
  <c r="H230" i="105"/>
  <c r="G230" i="105"/>
  <c r="G240" i="105" s="1"/>
  <c r="F230" i="105"/>
  <c r="F240" i="105" s="1"/>
  <c r="E230" i="105"/>
  <c r="E240" i="105" s="1"/>
  <c r="D230" i="105"/>
  <c r="D240" i="105" s="1"/>
  <c r="C230" i="105"/>
  <c r="C240" i="105" s="1"/>
  <c r="H240" i="105"/>
  <c r="M224" i="105"/>
  <c r="L224" i="105"/>
  <c r="K224" i="105"/>
  <c r="J224" i="105"/>
  <c r="I224" i="105"/>
  <c r="H224" i="105"/>
  <c r="G224" i="105"/>
  <c r="F224" i="105"/>
  <c r="E224" i="105"/>
  <c r="D224" i="105"/>
  <c r="C224" i="105"/>
  <c r="B224" i="105"/>
  <c r="M223" i="105"/>
  <c r="L223" i="105"/>
  <c r="K223" i="105"/>
  <c r="J223" i="105"/>
  <c r="I223" i="105"/>
  <c r="H223" i="105"/>
  <c r="G223" i="105"/>
  <c r="F223" i="105"/>
  <c r="E223" i="105"/>
  <c r="D223" i="105"/>
  <c r="C223" i="105"/>
  <c r="B223" i="105"/>
  <c r="M222" i="105"/>
  <c r="L222" i="105"/>
  <c r="K222" i="105"/>
  <c r="J222" i="105"/>
  <c r="I222" i="105"/>
  <c r="H222" i="105"/>
  <c r="G222" i="105"/>
  <c r="F222" i="105"/>
  <c r="E222" i="105"/>
  <c r="D222" i="105"/>
  <c r="C222" i="105"/>
  <c r="B222" i="105"/>
  <c r="M221" i="105"/>
  <c r="L221" i="105"/>
  <c r="K221" i="105"/>
  <c r="J221" i="105"/>
  <c r="I221" i="105"/>
  <c r="H221" i="105"/>
  <c r="G221" i="105"/>
  <c r="F221" i="105"/>
  <c r="E221" i="105"/>
  <c r="D221" i="105"/>
  <c r="C221" i="105"/>
  <c r="B221" i="105"/>
  <c r="M220" i="105"/>
  <c r="L220" i="105"/>
  <c r="K220" i="105"/>
  <c r="J220" i="105"/>
  <c r="I220" i="105"/>
  <c r="H220" i="105"/>
  <c r="G220" i="105"/>
  <c r="F220" i="105"/>
  <c r="E220" i="105"/>
  <c r="D220" i="105"/>
  <c r="C220" i="105"/>
  <c r="B220" i="105"/>
  <c r="M219" i="105"/>
  <c r="L219" i="105"/>
  <c r="K219" i="105"/>
  <c r="J219" i="105"/>
  <c r="I219" i="105"/>
  <c r="H219" i="105"/>
  <c r="G219" i="105"/>
  <c r="F219" i="105"/>
  <c r="E219" i="105"/>
  <c r="D219" i="105"/>
  <c r="C219" i="105"/>
  <c r="B219" i="105"/>
  <c r="M218" i="105"/>
  <c r="L218" i="105"/>
  <c r="K218" i="105"/>
  <c r="J218" i="105"/>
  <c r="I218" i="105"/>
  <c r="H218" i="105"/>
  <c r="G218" i="105"/>
  <c r="F218" i="105"/>
  <c r="E218" i="105"/>
  <c r="D218" i="105"/>
  <c r="C218" i="105"/>
  <c r="B218" i="105"/>
  <c r="M217" i="105"/>
  <c r="L217" i="105"/>
  <c r="K217" i="105"/>
  <c r="J217" i="105"/>
  <c r="I217" i="105"/>
  <c r="H217" i="105"/>
  <c r="G217" i="105"/>
  <c r="F217" i="105"/>
  <c r="E217" i="105"/>
  <c r="D217" i="105"/>
  <c r="C217" i="105"/>
  <c r="B217" i="105"/>
  <c r="M216" i="105"/>
  <c r="L216" i="105"/>
  <c r="K216" i="105"/>
  <c r="J216" i="105"/>
  <c r="I216" i="105"/>
  <c r="H216" i="105"/>
  <c r="G216" i="105"/>
  <c r="F216" i="105"/>
  <c r="E216" i="105"/>
  <c r="D216" i="105"/>
  <c r="C216" i="105"/>
  <c r="B216" i="105"/>
  <c r="M215" i="105"/>
  <c r="L215" i="105"/>
  <c r="K215" i="105"/>
  <c r="J215" i="105"/>
  <c r="I215" i="105"/>
  <c r="H215" i="105"/>
  <c r="G215" i="105"/>
  <c r="F215" i="105"/>
  <c r="E215" i="105"/>
  <c r="D215" i="105"/>
  <c r="C215" i="105"/>
  <c r="B215" i="105"/>
  <c r="M214" i="105"/>
  <c r="L214" i="105"/>
  <c r="K214" i="105"/>
  <c r="J214" i="105"/>
  <c r="I214" i="105"/>
  <c r="H214" i="105"/>
  <c r="G214" i="105"/>
  <c r="F214" i="105"/>
  <c r="E214" i="105"/>
  <c r="D214" i="105"/>
  <c r="C214" i="105"/>
  <c r="B214" i="105"/>
  <c r="M213" i="105"/>
  <c r="L213" i="105"/>
  <c r="K213" i="105"/>
  <c r="J213" i="105"/>
  <c r="I213" i="105"/>
  <c r="H213" i="105"/>
  <c r="G213" i="105"/>
  <c r="F213" i="105"/>
  <c r="E213" i="105"/>
  <c r="D213" i="105"/>
  <c r="C213" i="105"/>
  <c r="B213" i="105"/>
  <c r="M212" i="105"/>
  <c r="L212" i="105"/>
  <c r="K212" i="105"/>
  <c r="J212" i="105"/>
  <c r="I212" i="105"/>
  <c r="H212" i="105"/>
  <c r="G212" i="105"/>
  <c r="F212" i="105"/>
  <c r="E212" i="105"/>
  <c r="D212" i="105"/>
  <c r="C212" i="105"/>
  <c r="B212" i="105"/>
  <c r="M211" i="105"/>
  <c r="L211" i="105"/>
  <c r="K211" i="105"/>
  <c r="J211" i="105"/>
  <c r="I211" i="105"/>
  <c r="H211" i="105"/>
  <c r="G211" i="105"/>
  <c r="F211" i="105"/>
  <c r="E211" i="105"/>
  <c r="D211" i="105"/>
  <c r="C211" i="105"/>
  <c r="B211" i="105"/>
  <c r="M210" i="105"/>
  <c r="L210" i="105"/>
  <c r="K210" i="105"/>
  <c r="J210" i="105"/>
  <c r="I210" i="105"/>
  <c r="H210" i="105"/>
  <c r="G210" i="105"/>
  <c r="F210" i="105"/>
  <c r="E210" i="105"/>
  <c r="D210" i="105"/>
  <c r="C210" i="105"/>
  <c r="B210" i="105"/>
  <c r="M209" i="105"/>
  <c r="L209" i="105"/>
  <c r="K209" i="105"/>
  <c r="J209" i="105"/>
  <c r="I209" i="105"/>
  <c r="H209" i="105"/>
  <c r="G209" i="105"/>
  <c r="F209" i="105"/>
  <c r="E209" i="105"/>
  <c r="D209" i="105"/>
  <c r="C209" i="105"/>
  <c r="B209" i="105"/>
  <c r="M208" i="105"/>
  <c r="L208" i="105"/>
  <c r="K208" i="105"/>
  <c r="J208" i="105"/>
  <c r="I208" i="105"/>
  <c r="H208" i="105"/>
  <c r="G208" i="105"/>
  <c r="F208" i="105"/>
  <c r="E208" i="105"/>
  <c r="D208" i="105"/>
  <c r="C208" i="105"/>
  <c r="B208" i="105"/>
  <c r="M207" i="105"/>
  <c r="L207" i="105"/>
  <c r="K207" i="105"/>
  <c r="J207" i="105"/>
  <c r="I207" i="105"/>
  <c r="H207" i="105"/>
  <c r="G207" i="105"/>
  <c r="F207" i="105"/>
  <c r="E207" i="105"/>
  <c r="D207" i="105"/>
  <c r="C207" i="105"/>
  <c r="B207" i="105"/>
  <c r="M206" i="105"/>
  <c r="L206" i="105"/>
  <c r="K206" i="105"/>
  <c r="J206" i="105"/>
  <c r="I206" i="105"/>
  <c r="H206" i="105"/>
  <c r="G206" i="105"/>
  <c r="F206" i="105"/>
  <c r="E206" i="105"/>
  <c r="D206" i="105"/>
  <c r="C206" i="105"/>
  <c r="B206" i="105"/>
  <c r="M205" i="105"/>
  <c r="L205" i="105"/>
  <c r="K205" i="105"/>
  <c r="J205" i="105"/>
  <c r="I205" i="105"/>
  <c r="H205" i="105"/>
  <c r="G205" i="105"/>
  <c r="F205" i="105"/>
  <c r="E205" i="105"/>
  <c r="D205" i="105"/>
  <c r="C205" i="105"/>
  <c r="B205" i="105"/>
  <c r="M204" i="105"/>
  <c r="L204" i="105"/>
  <c r="K204" i="105"/>
  <c r="J204" i="105"/>
  <c r="I204" i="105"/>
  <c r="H204" i="105"/>
  <c r="G204" i="105"/>
  <c r="F204" i="105"/>
  <c r="E204" i="105"/>
  <c r="D204" i="105"/>
  <c r="C204" i="105"/>
  <c r="B204" i="105"/>
  <c r="M203" i="105"/>
  <c r="L203" i="105"/>
  <c r="K203" i="105"/>
  <c r="J203" i="105"/>
  <c r="I203" i="105"/>
  <c r="H203" i="105"/>
  <c r="G203" i="105"/>
  <c r="F203" i="105"/>
  <c r="E203" i="105"/>
  <c r="D203" i="105"/>
  <c r="C203" i="105"/>
  <c r="B203" i="105"/>
  <c r="M202" i="105"/>
  <c r="L202" i="105"/>
  <c r="K202" i="105"/>
  <c r="J202" i="105"/>
  <c r="I202" i="105"/>
  <c r="H202" i="105"/>
  <c r="G202" i="105"/>
  <c r="F202" i="105"/>
  <c r="E202" i="105"/>
  <c r="D202" i="105"/>
  <c r="C202" i="105"/>
  <c r="B202" i="105"/>
  <c r="M201" i="105"/>
  <c r="L201" i="105"/>
  <c r="K201" i="105"/>
  <c r="J201" i="105"/>
  <c r="I201" i="105"/>
  <c r="H201" i="105"/>
  <c r="G201" i="105"/>
  <c r="F201" i="105"/>
  <c r="E201" i="105"/>
  <c r="D201" i="105"/>
  <c r="C201" i="105"/>
  <c r="B201" i="105"/>
  <c r="M198" i="105"/>
  <c r="L198" i="105"/>
  <c r="K198" i="105"/>
  <c r="J198" i="105"/>
  <c r="I198" i="105"/>
  <c r="H198" i="105"/>
  <c r="G198" i="105"/>
  <c r="F198" i="105"/>
  <c r="E198" i="105"/>
  <c r="D198" i="105"/>
  <c r="C198" i="105"/>
  <c r="M197" i="105"/>
  <c r="L197" i="105"/>
  <c r="K197" i="105"/>
  <c r="J197" i="105"/>
  <c r="I197" i="105"/>
  <c r="H197" i="105"/>
  <c r="G197" i="105"/>
  <c r="F197" i="105"/>
  <c r="E197" i="105"/>
  <c r="D197" i="105"/>
  <c r="C197" i="105"/>
  <c r="B197" i="105"/>
  <c r="M196" i="105"/>
  <c r="L196" i="105"/>
  <c r="K196" i="105"/>
  <c r="J196" i="105"/>
  <c r="I196" i="105"/>
  <c r="H196" i="105"/>
  <c r="G196" i="105"/>
  <c r="F196" i="105"/>
  <c r="E196" i="105"/>
  <c r="D196" i="105"/>
  <c r="C196" i="105"/>
  <c r="B196" i="105"/>
  <c r="M195" i="105"/>
  <c r="L195" i="105"/>
  <c r="K195" i="105"/>
  <c r="J195" i="105"/>
  <c r="I195" i="105"/>
  <c r="H195" i="105"/>
  <c r="G195" i="105"/>
  <c r="F195" i="105"/>
  <c r="E195" i="105"/>
  <c r="D195" i="105"/>
  <c r="C195" i="105"/>
  <c r="B195" i="105"/>
  <c r="M194" i="105"/>
  <c r="L194" i="105"/>
  <c r="K194" i="105"/>
  <c r="J194" i="105"/>
  <c r="I194" i="105"/>
  <c r="H194" i="105"/>
  <c r="G194" i="105"/>
  <c r="F194" i="105"/>
  <c r="E194" i="105"/>
  <c r="D194" i="105"/>
  <c r="C194" i="105"/>
  <c r="B194" i="105"/>
  <c r="M193" i="105"/>
  <c r="L193" i="105"/>
  <c r="K193" i="105"/>
  <c r="J193" i="105"/>
  <c r="I193" i="105"/>
  <c r="H193" i="105"/>
  <c r="G193" i="105"/>
  <c r="F193" i="105"/>
  <c r="E193" i="105"/>
  <c r="D193" i="105"/>
  <c r="C193" i="105"/>
  <c r="B193" i="105"/>
  <c r="M192" i="105"/>
  <c r="L192" i="105"/>
  <c r="K192" i="105"/>
  <c r="J192" i="105"/>
  <c r="I192" i="105"/>
  <c r="H192" i="105"/>
  <c r="G192" i="105"/>
  <c r="F192" i="105"/>
  <c r="E192" i="105"/>
  <c r="D192" i="105"/>
  <c r="C192" i="105"/>
  <c r="B192" i="105"/>
  <c r="M191" i="105"/>
  <c r="L191" i="105"/>
  <c r="K191" i="105"/>
  <c r="J191" i="105"/>
  <c r="I191" i="105"/>
  <c r="H191" i="105"/>
  <c r="G191" i="105"/>
  <c r="F191" i="105"/>
  <c r="E191" i="105"/>
  <c r="D191" i="105"/>
  <c r="C191" i="105"/>
  <c r="B191" i="105"/>
  <c r="M190" i="105"/>
  <c r="M200" i="105" s="1"/>
  <c r="L190" i="105"/>
  <c r="L200" i="105" s="1"/>
  <c r="K190" i="105"/>
  <c r="K200" i="105" s="1"/>
  <c r="J190" i="105"/>
  <c r="J200" i="105" s="1"/>
  <c r="I190" i="105"/>
  <c r="I200" i="105" s="1"/>
  <c r="H190" i="105"/>
  <c r="G190" i="105"/>
  <c r="G200" i="105" s="1"/>
  <c r="F190" i="105"/>
  <c r="F200" i="105" s="1"/>
  <c r="E190" i="105"/>
  <c r="E200" i="105" s="1"/>
  <c r="D190" i="105"/>
  <c r="D200" i="105" s="1"/>
  <c r="C190" i="105"/>
  <c r="C200" i="105" s="1"/>
  <c r="H200" i="105"/>
  <c r="M184" i="105"/>
  <c r="L184" i="105"/>
  <c r="K184" i="105"/>
  <c r="J184" i="105"/>
  <c r="I184" i="105"/>
  <c r="H184" i="105"/>
  <c r="G184" i="105"/>
  <c r="F184" i="105"/>
  <c r="E184" i="105"/>
  <c r="D184" i="105"/>
  <c r="C184" i="105"/>
  <c r="B184" i="105"/>
  <c r="M183" i="105"/>
  <c r="L183" i="105"/>
  <c r="K183" i="105"/>
  <c r="J183" i="105"/>
  <c r="I183" i="105"/>
  <c r="H183" i="105"/>
  <c r="G183" i="105"/>
  <c r="F183" i="105"/>
  <c r="E183" i="105"/>
  <c r="D183" i="105"/>
  <c r="C183" i="105"/>
  <c r="B183" i="105"/>
  <c r="M182" i="105"/>
  <c r="L182" i="105"/>
  <c r="K182" i="105"/>
  <c r="J182" i="105"/>
  <c r="I182" i="105"/>
  <c r="H182" i="105"/>
  <c r="G182" i="105"/>
  <c r="F182" i="105"/>
  <c r="E182" i="105"/>
  <c r="D182" i="105"/>
  <c r="C182" i="105"/>
  <c r="B182" i="105"/>
  <c r="M181" i="105"/>
  <c r="L181" i="105"/>
  <c r="K181" i="105"/>
  <c r="J181" i="105"/>
  <c r="I181" i="105"/>
  <c r="H181" i="105"/>
  <c r="G181" i="105"/>
  <c r="F181" i="105"/>
  <c r="E181" i="105"/>
  <c r="D181" i="105"/>
  <c r="C181" i="105"/>
  <c r="B181" i="105"/>
  <c r="M180" i="105"/>
  <c r="L180" i="105"/>
  <c r="K180" i="105"/>
  <c r="J180" i="105"/>
  <c r="I180" i="105"/>
  <c r="H180" i="105"/>
  <c r="G180" i="105"/>
  <c r="F180" i="105"/>
  <c r="E180" i="105"/>
  <c r="D180" i="105"/>
  <c r="C180" i="105"/>
  <c r="B180" i="105"/>
  <c r="M179" i="105"/>
  <c r="L179" i="105"/>
  <c r="K179" i="105"/>
  <c r="J179" i="105"/>
  <c r="I179" i="105"/>
  <c r="H179" i="105"/>
  <c r="G179" i="105"/>
  <c r="F179" i="105"/>
  <c r="E179" i="105"/>
  <c r="D179" i="105"/>
  <c r="C179" i="105"/>
  <c r="B179" i="105"/>
  <c r="M178" i="105"/>
  <c r="L178" i="105"/>
  <c r="K178" i="105"/>
  <c r="J178" i="105"/>
  <c r="I178" i="105"/>
  <c r="H178" i="105"/>
  <c r="G178" i="105"/>
  <c r="F178" i="105"/>
  <c r="E178" i="105"/>
  <c r="D178" i="105"/>
  <c r="C178" i="105"/>
  <c r="B178" i="105"/>
  <c r="M177" i="105"/>
  <c r="L177" i="105"/>
  <c r="K177" i="105"/>
  <c r="J177" i="105"/>
  <c r="I177" i="105"/>
  <c r="H177" i="105"/>
  <c r="G177" i="105"/>
  <c r="F177" i="105"/>
  <c r="E177" i="105"/>
  <c r="D177" i="105"/>
  <c r="C177" i="105"/>
  <c r="B177" i="105"/>
  <c r="M176" i="105"/>
  <c r="L176" i="105"/>
  <c r="K176" i="105"/>
  <c r="J176" i="105"/>
  <c r="I176" i="105"/>
  <c r="H176" i="105"/>
  <c r="G176" i="105"/>
  <c r="F176" i="105"/>
  <c r="E176" i="105"/>
  <c r="D176" i="105"/>
  <c r="C176" i="105"/>
  <c r="B176" i="105"/>
  <c r="M175" i="105"/>
  <c r="L175" i="105"/>
  <c r="K175" i="105"/>
  <c r="J175" i="105"/>
  <c r="I175" i="105"/>
  <c r="H175" i="105"/>
  <c r="G175" i="105"/>
  <c r="F175" i="105"/>
  <c r="E175" i="105"/>
  <c r="D175" i="105"/>
  <c r="C175" i="105"/>
  <c r="B175" i="105"/>
  <c r="M174" i="105"/>
  <c r="L174" i="105"/>
  <c r="K174" i="105"/>
  <c r="J174" i="105"/>
  <c r="I174" i="105"/>
  <c r="H174" i="105"/>
  <c r="G174" i="105"/>
  <c r="F174" i="105"/>
  <c r="E174" i="105"/>
  <c r="D174" i="105"/>
  <c r="C174" i="105"/>
  <c r="B174" i="105"/>
  <c r="M173" i="105"/>
  <c r="L173" i="105"/>
  <c r="K173" i="105"/>
  <c r="J173" i="105"/>
  <c r="I173" i="105"/>
  <c r="H173" i="105"/>
  <c r="G173" i="105"/>
  <c r="F173" i="105"/>
  <c r="E173" i="105"/>
  <c r="D173" i="105"/>
  <c r="C173" i="105"/>
  <c r="B173" i="105"/>
  <c r="M172" i="105"/>
  <c r="L172" i="105"/>
  <c r="K172" i="105"/>
  <c r="J172" i="105"/>
  <c r="I172" i="105"/>
  <c r="H172" i="105"/>
  <c r="G172" i="105"/>
  <c r="F172" i="105"/>
  <c r="E172" i="105"/>
  <c r="D172" i="105"/>
  <c r="C172" i="105"/>
  <c r="B172" i="105"/>
  <c r="M171" i="105"/>
  <c r="L171" i="105"/>
  <c r="K171" i="105"/>
  <c r="J171" i="105"/>
  <c r="I171" i="105"/>
  <c r="H171" i="105"/>
  <c r="G171" i="105"/>
  <c r="F171" i="105"/>
  <c r="E171" i="105"/>
  <c r="D171" i="105"/>
  <c r="C171" i="105"/>
  <c r="B171" i="105"/>
  <c r="M170" i="105"/>
  <c r="L170" i="105"/>
  <c r="K170" i="105"/>
  <c r="J170" i="105"/>
  <c r="I170" i="105"/>
  <c r="H170" i="105"/>
  <c r="G170" i="105"/>
  <c r="F170" i="105"/>
  <c r="E170" i="105"/>
  <c r="D170" i="105"/>
  <c r="C170" i="105"/>
  <c r="B170" i="105"/>
  <c r="M169" i="105"/>
  <c r="L169" i="105"/>
  <c r="K169" i="105"/>
  <c r="J169" i="105"/>
  <c r="I169" i="105"/>
  <c r="H169" i="105"/>
  <c r="G169" i="105"/>
  <c r="F169" i="105"/>
  <c r="E169" i="105"/>
  <c r="D169" i="105"/>
  <c r="C169" i="105"/>
  <c r="B169" i="105"/>
  <c r="M168" i="105"/>
  <c r="L168" i="105"/>
  <c r="K168" i="105"/>
  <c r="J168" i="105"/>
  <c r="I168" i="105"/>
  <c r="H168" i="105"/>
  <c r="G168" i="105"/>
  <c r="F168" i="105"/>
  <c r="E168" i="105"/>
  <c r="D168" i="105"/>
  <c r="C168" i="105"/>
  <c r="B168" i="105"/>
  <c r="M167" i="105"/>
  <c r="L167" i="105"/>
  <c r="K167" i="105"/>
  <c r="J167" i="105"/>
  <c r="I167" i="105"/>
  <c r="H167" i="105"/>
  <c r="G167" i="105"/>
  <c r="F167" i="105"/>
  <c r="E167" i="105"/>
  <c r="D167" i="105"/>
  <c r="C167" i="105"/>
  <c r="B167" i="105"/>
  <c r="M166" i="105"/>
  <c r="L166" i="105"/>
  <c r="K166" i="105"/>
  <c r="J166" i="105"/>
  <c r="I166" i="105"/>
  <c r="H166" i="105"/>
  <c r="G166" i="105"/>
  <c r="F166" i="105"/>
  <c r="E166" i="105"/>
  <c r="D166" i="105"/>
  <c r="C166" i="105"/>
  <c r="B166" i="105"/>
  <c r="M165" i="105"/>
  <c r="L165" i="105"/>
  <c r="K165" i="105"/>
  <c r="J165" i="105"/>
  <c r="I165" i="105"/>
  <c r="H165" i="105"/>
  <c r="G165" i="105"/>
  <c r="F165" i="105"/>
  <c r="E165" i="105"/>
  <c r="D165" i="105"/>
  <c r="C165" i="105"/>
  <c r="B165" i="105"/>
  <c r="M164" i="105"/>
  <c r="L164" i="105"/>
  <c r="K164" i="105"/>
  <c r="J164" i="105"/>
  <c r="I164" i="105"/>
  <c r="H164" i="105"/>
  <c r="G164" i="105"/>
  <c r="F164" i="105"/>
  <c r="E164" i="105"/>
  <c r="D164" i="105"/>
  <c r="C164" i="105"/>
  <c r="B164" i="105"/>
  <c r="M163" i="105"/>
  <c r="L163" i="105"/>
  <c r="K163" i="105"/>
  <c r="J163" i="105"/>
  <c r="I163" i="105"/>
  <c r="H163" i="105"/>
  <c r="G163" i="105"/>
  <c r="F163" i="105"/>
  <c r="E163" i="105"/>
  <c r="D163" i="105"/>
  <c r="C163" i="105"/>
  <c r="B163" i="105"/>
  <c r="M162" i="105"/>
  <c r="L162" i="105"/>
  <c r="K162" i="105"/>
  <c r="J162" i="105"/>
  <c r="I162" i="105"/>
  <c r="H162" i="105"/>
  <c r="G162" i="105"/>
  <c r="F162" i="105"/>
  <c r="E162" i="105"/>
  <c r="D162" i="105"/>
  <c r="C162" i="105"/>
  <c r="B162" i="105"/>
  <c r="M161" i="105"/>
  <c r="L161" i="105"/>
  <c r="K161" i="105"/>
  <c r="J161" i="105"/>
  <c r="I161" i="105"/>
  <c r="H161" i="105"/>
  <c r="G161" i="105"/>
  <c r="F161" i="105"/>
  <c r="E161" i="105"/>
  <c r="D161" i="105"/>
  <c r="C161" i="105"/>
  <c r="B161" i="105"/>
  <c r="M158" i="105"/>
  <c r="L158" i="105"/>
  <c r="K158" i="105"/>
  <c r="J158" i="105"/>
  <c r="I158" i="105"/>
  <c r="H158" i="105"/>
  <c r="G158" i="105"/>
  <c r="F158" i="105"/>
  <c r="E158" i="105"/>
  <c r="D158" i="105"/>
  <c r="C158" i="105"/>
  <c r="M157" i="105"/>
  <c r="L157" i="105"/>
  <c r="K157" i="105"/>
  <c r="J157" i="105"/>
  <c r="I157" i="105"/>
  <c r="H157" i="105"/>
  <c r="G157" i="105"/>
  <c r="F157" i="105"/>
  <c r="E157" i="105"/>
  <c r="D157" i="105"/>
  <c r="C157" i="105"/>
  <c r="B157" i="105"/>
  <c r="M156" i="105"/>
  <c r="L156" i="105"/>
  <c r="K156" i="105"/>
  <c r="J156" i="105"/>
  <c r="I156" i="105"/>
  <c r="H156" i="105"/>
  <c r="G156" i="105"/>
  <c r="F156" i="105"/>
  <c r="E156" i="105"/>
  <c r="D156" i="105"/>
  <c r="C156" i="105"/>
  <c r="B156" i="105"/>
  <c r="M155" i="105"/>
  <c r="L155" i="105"/>
  <c r="K155" i="105"/>
  <c r="J155" i="105"/>
  <c r="I155" i="105"/>
  <c r="H155" i="105"/>
  <c r="G155" i="105"/>
  <c r="F155" i="105"/>
  <c r="E155" i="105"/>
  <c r="D155" i="105"/>
  <c r="C155" i="105"/>
  <c r="B155" i="105"/>
  <c r="M154" i="105"/>
  <c r="L154" i="105"/>
  <c r="K154" i="105"/>
  <c r="J154" i="105"/>
  <c r="I154" i="105"/>
  <c r="H154" i="105"/>
  <c r="G154" i="105"/>
  <c r="F154" i="105"/>
  <c r="E154" i="105"/>
  <c r="D154" i="105"/>
  <c r="C154" i="105"/>
  <c r="B154" i="105"/>
  <c r="M153" i="105"/>
  <c r="L153" i="105"/>
  <c r="K153" i="105"/>
  <c r="J153" i="105"/>
  <c r="I153" i="105"/>
  <c r="H153" i="105"/>
  <c r="G153" i="105"/>
  <c r="F153" i="105"/>
  <c r="E153" i="105"/>
  <c r="D153" i="105"/>
  <c r="C153" i="105"/>
  <c r="B153" i="105"/>
  <c r="M152" i="105"/>
  <c r="L152" i="105"/>
  <c r="K152" i="105"/>
  <c r="J152" i="105"/>
  <c r="I152" i="105"/>
  <c r="H152" i="105"/>
  <c r="G152" i="105"/>
  <c r="F152" i="105"/>
  <c r="E152" i="105"/>
  <c r="D152" i="105"/>
  <c r="C152" i="105"/>
  <c r="B152" i="105"/>
  <c r="M151" i="105"/>
  <c r="L151" i="105"/>
  <c r="K151" i="105"/>
  <c r="J151" i="105"/>
  <c r="I151" i="105"/>
  <c r="H151" i="105"/>
  <c r="G151" i="105"/>
  <c r="F151" i="105"/>
  <c r="E151" i="105"/>
  <c r="D151" i="105"/>
  <c r="C151" i="105"/>
  <c r="B151" i="105"/>
  <c r="M150" i="105"/>
  <c r="M160" i="105" s="1"/>
  <c r="L150" i="105"/>
  <c r="L160" i="105" s="1"/>
  <c r="K150" i="105"/>
  <c r="K160" i="105" s="1"/>
  <c r="J150" i="105"/>
  <c r="J160" i="105" s="1"/>
  <c r="I150" i="105"/>
  <c r="I160" i="105" s="1"/>
  <c r="H150" i="105"/>
  <c r="H160" i="105" s="1"/>
  <c r="G150" i="105"/>
  <c r="G160" i="105" s="1"/>
  <c r="F150" i="105"/>
  <c r="F160" i="105" s="1"/>
  <c r="E150" i="105"/>
  <c r="E160" i="105" s="1"/>
  <c r="D150" i="105"/>
  <c r="D160" i="105" s="1"/>
  <c r="C150" i="105"/>
  <c r="C160" i="105" s="1"/>
  <c r="M144" i="105"/>
  <c r="L144" i="105"/>
  <c r="K144" i="105"/>
  <c r="J144" i="105"/>
  <c r="I144" i="105"/>
  <c r="H144" i="105"/>
  <c r="G144" i="105"/>
  <c r="F144" i="105"/>
  <c r="E144" i="105"/>
  <c r="D144" i="105"/>
  <c r="C144" i="105"/>
  <c r="B144" i="105"/>
  <c r="M143" i="105"/>
  <c r="L143" i="105"/>
  <c r="K143" i="105"/>
  <c r="J143" i="105"/>
  <c r="I143" i="105"/>
  <c r="H143" i="105"/>
  <c r="G143" i="105"/>
  <c r="F143" i="105"/>
  <c r="E143" i="105"/>
  <c r="D143" i="105"/>
  <c r="C143" i="105"/>
  <c r="B143" i="105"/>
  <c r="M142" i="105"/>
  <c r="L142" i="105"/>
  <c r="K142" i="105"/>
  <c r="J142" i="105"/>
  <c r="I142" i="105"/>
  <c r="H142" i="105"/>
  <c r="G142" i="105"/>
  <c r="F142" i="105"/>
  <c r="E142" i="105"/>
  <c r="D142" i="105"/>
  <c r="C142" i="105"/>
  <c r="B142" i="105"/>
  <c r="M141" i="105"/>
  <c r="L141" i="105"/>
  <c r="K141" i="105"/>
  <c r="J141" i="105"/>
  <c r="I141" i="105"/>
  <c r="H141" i="105"/>
  <c r="G141" i="105"/>
  <c r="F141" i="105"/>
  <c r="E141" i="105"/>
  <c r="D141" i="105"/>
  <c r="C141" i="105"/>
  <c r="B141" i="105"/>
  <c r="M140" i="105"/>
  <c r="L140" i="105"/>
  <c r="K140" i="105"/>
  <c r="J140" i="105"/>
  <c r="I140" i="105"/>
  <c r="H140" i="105"/>
  <c r="G140" i="105"/>
  <c r="F140" i="105"/>
  <c r="E140" i="105"/>
  <c r="D140" i="105"/>
  <c r="C140" i="105"/>
  <c r="B140" i="105"/>
  <c r="M139" i="105"/>
  <c r="L139" i="105"/>
  <c r="K139" i="105"/>
  <c r="J139" i="105"/>
  <c r="I139" i="105"/>
  <c r="H139" i="105"/>
  <c r="G139" i="105"/>
  <c r="F139" i="105"/>
  <c r="E139" i="105"/>
  <c r="D139" i="105"/>
  <c r="C139" i="105"/>
  <c r="B139" i="105"/>
  <c r="M138" i="105"/>
  <c r="L138" i="105"/>
  <c r="K138" i="105"/>
  <c r="J138" i="105"/>
  <c r="I138" i="105"/>
  <c r="H138" i="105"/>
  <c r="G138" i="105"/>
  <c r="F138" i="105"/>
  <c r="E138" i="105"/>
  <c r="D138" i="105"/>
  <c r="C138" i="105"/>
  <c r="B138" i="105"/>
  <c r="M137" i="105"/>
  <c r="L137" i="105"/>
  <c r="K137" i="105"/>
  <c r="J137" i="105"/>
  <c r="I137" i="105"/>
  <c r="H137" i="105"/>
  <c r="G137" i="105"/>
  <c r="F137" i="105"/>
  <c r="E137" i="105"/>
  <c r="D137" i="105"/>
  <c r="C137" i="105"/>
  <c r="B137" i="105"/>
  <c r="M136" i="105"/>
  <c r="L136" i="105"/>
  <c r="K136" i="105"/>
  <c r="J136" i="105"/>
  <c r="I136" i="105"/>
  <c r="H136" i="105"/>
  <c r="G136" i="105"/>
  <c r="F136" i="105"/>
  <c r="E136" i="105"/>
  <c r="D136" i="105"/>
  <c r="C136" i="105"/>
  <c r="B136" i="105"/>
  <c r="M135" i="105"/>
  <c r="L135" i="105"/>
  <c r="K135" i="105"/>
  <c r="J135" i="105"/>
  <c r="I135" i="105"/>
  <c r="H135" i="105"/>
  <c r="G135" i="105"/>
  <c r="F135" i="105"/>
  <c r="E135" i="105"/>
  <c r="D135" i="105"/>
  <c r="C135" i="105"/>
  <c r="B135" i="105"/>
  <c r="M134" i="105"/>
  <c r="L134" i="105"/>
  <c r="K134" i="105"/>
  <c r="J134" i="105"/>
  <c r="I134" i="105"/>
  <c r="H134" i="105"/>
  <c r="G134" i="105"/>
  <c r="F134" i="105"/>
  <c r="E134" i="105"/>
  <c r="D134" i="105"/>
  <c r="C134" i="105"/>
  <c r="B134" i="105"/>
  <c r="M133" i="105"/>
  <c r="L133" i="105"/>
  <c r="K133" i="105"/>
  <c r="J133" i="105"/>
  <c r="I133" i="105"/>
  <c r="H133" i="105"/>
  <c r="G133" i="105"/>
  <c r="F133" i="105"/>
  <c r="E133" i="105"/>
  <c r="D133" i="105"/>
  <c r="C133" i="105"/>
  <c r="B133" i="105"/>
  <c r="M132" i="105"/>
  <c r="L132" i="105"/>
  <c r="K132" i="105"/>
  <c r="J132" i="105"/>
  <c r="I132" i="105"/>
  <c r="H132" i="105"/>
  <c r="G132" i="105"/>
  <c r="F132" i="105"/>
  <c r="E132" i="105"/>
  <c r="D132" i="105"/>
  <c r="C132" i="105"/>
  <c r="B132" i="105"/>
  <c r="M131" i="105"/>
  <c r="L131" i="105"/>
  <c r="K131" i="105"/>
  <c r="J131" i="105"/>
  <c r="I131" i="105"/>
  <c r="H131" i="105"/>
  <c r="G131" i="105"/>
  <c r="F131" i="105"/>
  <c r="E131" i="105"/>
  <c r="D131" i="105"/>
  <c r="C131" i="105"/>
  <c r="B131" i="105"/>
  <c r="M130" i="105"/>
  <c r="L130" i="105"/>
  <c r="K130" i="105"/>
  <c r="J130" i="105"/>
  <c r="I130" i="105"/>
  <c r="H130" i="105"/>
  <c r="G130" i="105"/>
  <c r="F130" i="105"/>
  <c r="E130" i="105"/>
  <c r="D130" i="105"/>
  <c r="C130" i="105"/>
  <c r="B130" i="105"/>
  <c r="M129" i="105"/>
  <c r="L129" i="105"/>
  <c r="K129" i="105"/>
  <c r="J129" i="105"/>
  <c r="I129" i="105"/>
  <c r="H129" i="105"/>
  <c r="G129" i="105"/>
  <c r="F129" i="105"/>
  <c r="E129" i="105"/>
  <c r="D129" i="105"/>
  <c r="C129" i="105"/>
  <c r="B129" i="105"/>
  <c r="M128" i="105"/>
  <c r="L128" i="105"/>
  <c r="K128" i="105"/>
  <c r="J128" i="105"/>
  <c r="I128" i="105"/>
  <c r="H128" i="105"/>
  <c r="G128" i="105"/>
  <c r="F128" i="105"/>
  <c r="E128" i="105"/>
  <c r="D128" i="105"/>
  <c r="C128" i="105"/>
  <c r="B128" i="105"/>
  <c r="M127" i="105"/>
  <c r="L127" i="105"/>
  <c r="K127" i="105"/>
  <c r="J127" i="105"/>
  <c r="I127" i="105"/>
  <c r="H127" i="105"/>
  <c r="G127" i="105"/>
  <c r="F127" i="105"/>
  <c r="E127" i="105"/>
  <c r="D127" i="105"/>
  <c r="C127" i="105"/>
  <c r="B127" i="105"/>
  <c r="M126" i="105"/>
  <c r="L126" i="105"/>
  <c r="K126" i="105"/>
  <c r="J126" i="105"/>
  <c r="I126" i="105"/>
  <c r="H126" i="105"/>
  <c r="G126" i="105"/>
  <c r="F126" i="105"/>
  <c r="E126" i="105"/>
  <c r="D126" i="105"/>
  <c r="C126" i="105"/>
  <c r="B126" i="105"/>
  <c r="M125" i="105"/>
  <c r="L125" i="105"/>
  <c r="K125" i="105"/>
  <c r="J125" i="105"/>
  <c r="I125" i="105"/>
  <c r="H125" i="105"/>
  <c r="G125" i="105"/>
  <c r="F125" i="105"/>
  <c r="E125" i="105"/>
  <c r="D125" i="105"/>
  <c r="C125" i="105"/>
  <c r="B125" i="105"/>
  <c r="M124" i="105"/>
  <c r="L124" i="105"/>
  <c r="K124" i="105"/>
  <c r="J124" i="105"/>
  <c r="I124" i="105"/>
  <c r="H124" i="105"/>
  <c r="G124" i="105"/>
  <c r="F124" i="105"/>
  <c r="E124" i="105"/>
  <c r="D124" i="105"/>
  <c r="C124" i="105"/>
  <c r="B124" i="105"/>
  <c r="M123" i="105"/>
  <c r="L123" i="105"/>
  <c r="K123" i="105"/>
  <c r="J123" i="105"/>
  <c r="I123" i="105"/>
  <c r="H123" i="105"/>
  <c r="G123" i="105"/>
  <c r="F123" i="105"/>
  <c r="E123" i="105"/>
  <c r="D123" i="105"/>
  <c r="C123" i="105"/>
  <c r="B123" i="105"/>
  <c r="M122" i="105"/>
  <c r="L122" i="105"/>
  <c r="K122" i="105"/>
  <c r="J122" i="105"/>
  <c r="I122" i="105"/>
  <c r="H122" i="105"/>
  <c r="G122" i="105"/>
  <c r="F122" i="105"/>
  <c r="E122" i="105"/>
  <c r="D122" i="105"/>
  <c r="C122" i="105"/>
  <c r="B122" i="105"/>
  <c r="M121" i="105"/>
  <c r="L121" i="105"/>
  <c r="K121" i="105"/>
  <c r="J121" i="105"/>
  <c r="I121" i="105"/>
  <c r="H121" i="105"/>
  <c r="G121" i="105"/>
  <c r="F121" i="105"/>
  <c r="E121" i="105"/>
  <c r="D121" i="105"/>
  <c r="C121" i="105"/>
  <c r="B121" i="105"/>
  <c r="M118" i="105"/>
  <c r="L118" i="105"/>
  <c r="K118" i="105"/>
  <c r="J118" i="105"/>
  <c r="I118" i="105"/>
  <c r="H118" i="105"/>
  <c r="G118" i="105"/>
  <c r="F118" i="105"/>
  <c r="E118" i="105"/>
  <c r="D118" i="105"/>
  <c r="C118" i="105"/>
  <c r="M117" i="105"/>
  <c r="L117" i="105"/>
  <c r="K117" i="105"/>
  <c r="J117" i="105"/>
  <c r="I117" i="105"/>
  <c r="H117" i="105"/>
  <c r="G117" i="105"/>
  <c r="F117" i="105"/>
  <c r="E117" i="105"/>
  <c r="D117" i="105"/>
  <c r="C117" i="105"/>
  <c r="B117" i="105"/>
  <c r="M116" i="105"/>
  <c r="L116" i="105"/>
  <c r="K116" i="105"/>
  <c r="J116" i="105"/>
  <c r="I116" i="105"/>
  <c r="H116" i="105"/>
  <c r="G116" i="105"/>
  <c r="F116" i="105"/>
  <c r="E116" i="105"/>
  <c r="D116" i="105"/>
  <c r="C116" i="105"/>
  <c r="B116" i="105"/>
  <c r="M115" i="105"/>
  <c r="L115" i="105"/>
  <c r="K115" i="105"/>
  <c r="J115" i="105"/>
  <c r="I115" i="105"/>
  <c r="H115" i="105"/>
  <c r="G115" i="105"/>
  <c r="F115" i="105"/>
  <c r="E115" i="105"/>
  <c r="D115" i="105"/>
  <c r="C115" i="105"/>
  <c r="B115" i="105"/>
  <c r="M114" i="105"/>
  <c r="L114" i="105"/>
  <c r="K114" i="105"/>
  <c r="J114" i="105"/>
  <c r="I114" i="105"/>
  <c r="H114" i="105"/>
  <c r="G114" i="105"/>
  <c r="F114" i="105"/>
  <c r="E114" i="105"/>
  <c r="D114" i="105"/>
  <c r="C114" i="105"/>
  <c r="B114" i="105"/>
  <c r="M113" i="105"/>
  <c r="L113" i="105"/>
  <c r="K113" i="105"/>
  <c r="J113" i="105"/>
  <c r="I113" i="105"/>
  <c r="H113" i="105"/>
  <c r="G113" i="105"/>
  <c r="F113" i="105"/>
  <c r="E113" i="105"/>
  <c r="D113" i="105"/>
  <c r="C113" i="105"/>
  <c r="B113" i="105"/>
  <c r="M112" i="105"/>
  <c r="L112" i="105"/>
  <c r="K112" i="105"/>
  <c r="J112" i="105"/>
  <c r="I112" i="105"/>
  <c r="H112" i="105"/>
  <c r="G112" i="105"/>
  <c r="F112" i="105"/>
  <c r="E112" i="105"/>
  <c r="D112" i="105"/>
  <c r="C112" i="105"/>
  <c r="B112" i="105"/>
  <c r="M111" i="105"/>
  <c r="L111" i="105"/>
  <c r="K111" i="105"/>
  <c r="J111" i="105"/>
  <c r="I111" i="105"/>
  <c r="H111" i="105"/>
  <c r="G111" i="105"/>
  <c r="F111" i="105"/>
  <c r="E111" i="105"/>
  <c r="D111" i="105"/>
  <c r="C111" i="105"/>
  <c r="B111" i="105"/>
  <c r="M110" i="105"/>
  <c r="M120" i="105" s="1"/>
  <c r="L110" i="105"/>
  <c r="L120" i="105" s="1"/>
  <c r="K110" i="105"/>
  <c r="K120" i="105" s="1"/>
  <c r="J110" i="105"/>
  <c r="J120" i="105" s="1"/>
  <c r="I110" i="105"/>
  <c r="I120" i="105" s="1"/>
  <c r="H110" i="105"/>
  <c r="H120" i="105" s="1"/>
  <c r="G110" i="105"/>
  <c r="G120" i="105" s="1"/>
  <c r="F110" i="105"/>
  <c r="F120" i="105" s="1"/>
  <c r="E110" i="105"/>
  <c r="E120" i="105" s="1"/>
  <c r="D110" i="105"/>
  <c r="D120" i="105" s="1"/>
  <c r="C110" i="105"/>
  <c r="C120" i="105" s="1"/>
  <c r="M104" i="105"/>
  <c r="L104" i="105"/>
  <c r="K104" i="105"/>
  <c r="J104" i="105"/>
  <c r="I104" i="105"/>
  <c r="H104" i="105"/>
  <c r="G104" i="105"/>
  <c r="F104" i="105"/>
  <c r="E104" i="105"/>
  <c r="D104" i="105"/>
  <c r="C104" i="105"/>
  <c r="B104" i="105"/>
  <c r="M103" i="105"/>
  <c r="L103" i="105"/>
  <c r="K103" i="105"/>
  <c r="J103" i="105"/>
  <c r="I103" i="105"/>
  <c r="H103" i="105"/>
  <c r="G103" i="105"/>
  <c r="F103" i="105"/>
  <c r="E103" i="105"/>
  <c r="D103" i="105"/>
  <c r="C103" i="105"/>
  <c r="B103" i="105"/>
  <c r="M102" i="105"/>
  <c r="L102" i="105"/>
  <c r="K102" i="105"/>
  <c r="J102" i="105"/>
  <c r="I102" i="105"/>
  <c r="H102" i="105"/>
  <c r="G102" i="105"/>
  <c r="F102" i="105"/>
  <c r="E102" i="105"/>
  <c r="D102" i="105"/>
  <c r="C102" i="105"/>
  <c r="B102" i="105"/>
  <c r="M101" i="105"/>
  <c r="L101" i="105"/>
  <c r="K101" i="105"/>
  <c r="J101" i="105"/>
  <c r="I101" i="105"/>
  <c r="H101" i="105"/>
  <c r="G101" i="105"/>
  <c r="F101" i="105"/>
  <c r="E101" i="105"/>
  <c r="D101" i="105"/>
  <c r="C101" i="105"/>
  <c r="B101" i="105"/>
  <c r="M100" i="105"/>
  <c r="L100" i="105"/>
  <c r="K100" i="105"/>
  <c r="J100" i="105"/>
  <c r="I100" i="105"/>
  <c r="H100" i="105"/>
  <c r="G100" i="105"/>
  <c r="F100" i="105"/>
  <c r="E100" i="105"/>
  <c r="D100" i="105"/>
  <c r="C100" i="105"/>
  <c r="B100" i="105"/>
  <c r="M99" i="105"/>
  <c r="L99" i="105"/>
  <c r="K99" i="105"/>
  <c r="J99" i="105"/>
  <c r="I99" i="105"/>
  <c r="H99" i="105"/>
  <c r="G99" i="105"/>
  <c r="F99" i="105"/>
  <c r="E99" i="105"/>
  <c r="D99" i="105"/>
  <c r="C99" i="105"/>
  <c r="B99" i="105"/>
  <c r="M98" i="105"/>
  <c r="L98" i="105"/>
  <c r="K98" i="105"/>
  <c r="J98" i="105"/>
  <c r="I98" i="105"/>
  <c r="H98" i="105"/>
  <c r="G98" i="105"/>
  <c r="F98" i="105"/>
  <c r="E98" i="105"/>
  <c r="D98" i="105"/>
  <c r="C98" i="105"/>
  <c r="B98" i="105"/>
  <c r="M97" i="105"/>
  <c r="L97" i="105"/>
  <c r="K97" i="105"/>
  <c r="J97" i="105"/>
  <c r="I97" i="105"/>
  <c r="H97" i="105"/>
  <c r="G97" i="105"/>
  <c r="F97" i="105"/>
  <c r="E97" i="105"/>
  <c r="D97" i="105"/>
  <c r="C97" i="105"/>
  <c r="B97" i="105"/>
  <c r="M96" i="105"/>
  <c r="L96" i="105"/>
  <c r="K96" i="105"/>
  <c r="J96" i="105"/>
  <c r="I96" i="105"/>
  <c r="H96" i="105"/>
  <c r="G96" i="105"/>
  <c r="F96" i="105"/>
  <c r="E96" i="105"/>
  <c r="D96" i="105"/>
  <c r="C96" i="105"/>
  <c r="B96" i="105"/>
  <c r="M95" i="105"/>
  <c r="L95" i="105"/>
  <c r="K95" i="105"/>
  <c r="J95" i="105"/>
  <c r="I95" i="105"/>
  <c r="H95" i="105"/>
  <c r="G95" i="105"/>
  <c r="F95" i="105"/>
  <c r="E95" i="105"/>
  <c r="D95" i="105"/>
  <c r="C95" i="105"/>
  <c r="B95" i="105"/>
  <c r="M94" i="105"/>
  <c r="L94" i="105"/>
  <c r="K94" i="105"/>
  <c r="J94" i="105"/>
  <c r="I94" i="105"/>
  <c r="H94" i="105"/>
  <c r="G94" i="105"/>
  <c r="F94" i="105"/>
  <c r="E94" i="105"/>
  <c r="D94" i="105"/>
  <c r="C94" i="105"/>
  <c r="B94" i="105"/>
  <c r="M93" i="105"/>
  <c r="L93" i="105"/>
  <c r="K93" i="105"/>
  <c r="J93" i="105"/>
  <c r="I93" i="105"/>
  <c r="H93" i="105"/>
  <c r="G93" i="105"/>
  <c r="F93" i="105"/>
  <c r="E93" i="105"/>
  <c r="D93" i="105"/>
  <c r="C93" i="105"/>
  <c r="B93" i="105"/>
  <c r="M92" i="105"/>
  <c r="L92" i="105"/>
  <c r="K92" i="105"/>
  <c r="J92" i="105"/>
  <c r="I92" i="105"/>
  <c r="H92" i="105"/>
  <c r="G92" i="105"/>
  <c r="F92" i="105"/>
  <c r="E92" i="105"/>
  <c r="D92" i="105"/>
  <c r="C92" i="105"/>
  <c r="B92" i="105"/>
  <c r="M91" i="105"/>
  <c r="L91" i="105"/>
  <c r="K91" i="105"/>
  <c r="J91" i="105"/>
  <c r="I91" i="105"/>
  <c r="H91" i="105"/>
  <c r="G91" i="105"/>
  <c r="F91" i="105"/>
  <c r="E91" i="105"/>
  <c r="D91" i="105"/>
  <c r="C91" i="105"/>
  <c r="B91" i="105"/>
  <c r="M90" i="105"/>
  <c r="L90" i="105"/>
  <c r="K90" i="105"/>
  <c r="J90" i="105"/>
  <c r="I90" i="105"/>
  <c r="H90" i="105"/>
  <c r="G90" i="105"/>
  <c r="F90" i="105"/>
  <c r="E90" i="105"/>
  <c r="D90" i="105"/>
  <c r="C90" i="105"/>
  <c r="B90" i="105"/>
  <c r="M89" i="105"/>
  <c r="L89" i="105"/>
  <c r="K89" i="105"/>
  <c r="J89" i="105"/>
  <c r="I89" i="105"/>
  <c r="H89" i="105"/>
  <c r="G89" i="105"/>
  <c r="F89" i="105"/>
  <c r="E89" i="105"/>
  <c r="D89" i="105"/>
  <c r="C89" i="105"/>
  <c r="B89" i="105"/>
  <c r="M88" i="105"/>
  <c r="L88" i="105"/>
  <c r="K88" i="105"/>
  <c r="J88" i="105"/>
  <c r="I88" i="105"/>
  <c r="H88" i="105"/>
  <c r="G88" i="105"/>
  <c r="F88" i="105"/>
  <c r="E88" i="105"/>
  <c r="D88" i="105"/>
  <c r="C88" i="105"/>
  <c r="B88" i="105"/>
  <c r="M87" i="105"/>
  <c r="L87" i="105"/>
  <c r="K87" i="105"/>
  <c r="J87" i="105"/>
  <c r="I87" i="105"/>
  <c r="H87" i="105"/>
  <c r="G87" i="105"/>
  <c r="F87" i="105"/>
  <c r="E87" i="105"/>
  <c r="D87" i="105"/>
  <c r="C87" i="105"/>
  <c r="B87" i="105"/>
  <c r="M86" i="105"/>
  <c r="L86" i="105"/>
  <c r="K86" i="105"/>
  <c r="J86" i="105"/>
  <c r="I86" i="105"/>
  <c r="H86" i="105"/>
  <c r="G86" i="105"/>
  <c r="F86" i="105"/>
  <c r="E86" i="105"/>
  <c r="D86" i="105"/>
  <c r="C86" i="105"/>
  <c r="B86" i="105"/>
  <c r="M85" i="105"/>
  <c r="L85" i="105"/>
  <c r="K85" i="105"/>
  <c r="J85" i="105"/>
  <c r="I85" i="105"/>
  <c r="H85" i="105"/>
  <c r="G85" i="105"/>
  <c r="F85" i="105"/>
  <c r="E85" i="105"/>
  <c r="D85" i="105"/>
  <c r="C85" i="105"/>
  <c r="B85" i="105"/>
  <c r="M84" i="105"/>
  <c r="L84" i="105"/>
  <c r="K84" i="105"/>
  <c r="J84" i="105"/>
  <c r="I84" i="105"/>
  <c r="H84" i="105"/>
  <c r="G84" i="105"/>
  <c r="F84" i="105"/>
  <c r="E84" i="105"/>
  <c r="D84" i="105"/>
  <c r="C84" i="105"/>
  <c r="B84" i="105"/>
  <c r="M83" i="105"/>
  <c r="L83" i="105"/>
  <c r="K83" i="105"/>
  <c r="J83" i="105"/>
  <c r="I83" i="105"/>
  <c r="H83" i="105"/>
  <c r="G83" i="105"/>
  <c r="F83" i="105"/>
  <c r="E83" i="105"/>
  <c r="D83" i="105"/>
  <c r="C83" i="105"/>
  <c r="B83" i="105"/>
  <c r="M82" i="105"/>
  <c r="L82" i="105"/>
  <c r="K82" i="105"/>
  <c r="J82" i="105"/>
  <c r="I82" i="105"/>
  <c r="H82" i="105"/>
  <c r="G82" i="105"/>
  <c r="F82" i="105"/>
  <c r="E82" i="105"/>
  <c r="D82" i="105"/>
  <c r="C82" i="105"/>
  <c r="B82" i="105"/>
  <c r="M81" i="105"/>
  <c r="L81" i="105"/>
  <c r="K81" i="105"/>
  <c r="J81" i="105"/>
  <c r="I81" i="105"/>
  <c r="H81" i="105"/>
  <c r="G81" i="105"/>
  <c r="F81" i="105"/>
  <c r="E81" i="105"/>
  <c r="D81" i="105"/>
  <c r="C81" i="105"/>
  <c r="B81" i="105"/>
  <c r="M78" i="105"/>
  <c r="L78" i="105"/>
  <c r="K78" i="105"/>
  <c r="J78" i="105"/>
  <c r="I78" i="105"/>
  <c r="H78" i="105"/>
  <c r="G78" i="105"/>
  <c r="F78" i="105"/>
  <c r="E78" i="105"/>
  <c r="D78" i="105"/>
  <c r="C78" i="105"/>
  <c r="M77" i="105"/>
  <c r="L77" i="105"/>
  <c r="K77" i="105"/>
  <c r="J77" i="105"/>
  <c r="I77" i="105"/>
  <c r="H77" i="105"/>
  <c r="G77" i="105"/>
  <c r="F77" i="105"/>
  <c r="E77" i="105"/>
  <c r="D77" i="105"/>
  <c r="C77" i="105"/>
  <c r="B77" i="105"/>
  <c r="M76" i="105"/>
  <c r="L76" i="105"/>
  <c r="K76" i="105"/>
  <c r="J76" i="105"/>
  <c r="I76" i="105"/>
  <c r="H76" i="105"/>
  <c r="G76" i="105"/>
  <c r="F76" i="105"/>
  <c r="E76" i="105"/>
  <c r="D76" i="105"/>
  <c r="C76" i="105"/>
  <c r="B76" i="105"/>
  <c r="M75" i="105"/>
  <c r="L75" i="105"/>
  <c r="K75" i="105"/>
  <c r="J75" i="105"/>
  <c r="I75" i="105"/>
  <c r="H75" i="105"/>
  <c r="G75" i="105"/>
  <c r="F75" i="105"/>
  <c r="E75" i="105"/>
  <c r="D75" i="105"/>
  <c r="C75" i="105"/>
  <c r="B75" i="105"/>
  <c r="M74" i="105"/>
  <c r="L74" i="105"/>
  <c r="K74" i="105"/>
  <c r="J74" i="105"/>
  <c r="I74" i="105"/>
  <c r="H74" i="105"/>
  <c r="G74" i="105"/>
  <c r="F74" i="105"/>
  <c r="E74" i="105"/>
  <c r="D74" i="105"/>
  <c r="C74" i="105"/>
  <c r="B74" i="105"/>
  <c r="M73" i="105"/>
  <c r="L73" i="105"/>
  <c r="K73" i="105"/>
  <c r="J73" i="105"/>
  <c r="I73" i="105"/>
  <c r="H73" i="105"/>
  <c r="G73" i="105"/>
  <c r="F73" i="105"/>
  <c r="E73" i="105"/>
  <c r="D73" i="105"/>
  <c r="C73" i="105"/>
  <c r="B73" i="105"/>
  <c r="M72" i="105"/>
  <c r="L72" i="105"/>
  <c r="K72" i="105"/>
  <c r="J72" i="105"/>
  <c r="I72" i="105"/>
  <c r="H72" i="105"/>
  <c r="G72" i="105"/>
  <c r="F72" i="105"/>
  <c r="E72" i="105"/>
  <c r="D72" i="105"/>
  <c r="C72" i="105"/>
  <c r="B72" i="105"/>
  <c r="M71" i="105"/>
  <c r="L71" i="105"/>
  <c r="K71" i="105"/>
  <c r="J71" i="105"/>
  <c r="I71" i="105"/>
  <c r="H71" i="105"/>
  <c r="G71" i="105"/>
  <c r="F71" i="105"/>
  <c r="E71" i="105"/>
  <c r="D71" i="105"/>
  <c r="C71" i="105"/>
  <c r="B71" i="105"/>
  <c r="M70" i="105"/>
  <c r="M80" i="105" s="1"/>
  <c r="L70" i="105"/>
  <c r="L80" i="105" s="1"/>
  <c r="K70" i="105"/>
  <c r="K80" i="105" s="1"/>
  <c r="J70" i="105"/>
  <c r="J80" i="105" s="1"/>
  <c r="I70" i="105"/>
  <c r="I80" i="105" s="1"/>
  <c r="H70" i="105"/>
  <c r="H80" i="105" s="1"/>
  <c r="G70" i="105"/>
  <c r="G80" i="105" s="1"/>
  <c r="F70" i="105"/>
  <c r="F80" i="105" s="1"/>
  <c r="E70" i="105"/>
  <c r="E80" i="105" s="1"/>
  <c r="D70" i="105"/>
  <c r="D80" i="105" s="1"/>
  <c r="C70" i="105"/>
  <c r="C80" i="105" s="1"/>
  <c r="M64" i="105"/>
  <c r="M63" i="105"/>
  <c r="M62" i="105"/>
  <c r="M61" i="105"/>
  <c r="M60" i="105"/>
  <c r="M59" i="105"/>
  <c r="M58" i="105"/>
  <c r="M57" i="105"/>
  <c r="M56" i="105"/>
  <c r="M55" i="105"/>
  <c r="M54" i="105"/>
  <c r="M53" i="105"/>
  <c r="M52" i="105"/>
  <c r="M51" i="105"/>
  <c r="M50" i="105"/>
  <c r="M49" i="105"/>
  <c r="M48" i="105"/>
  <c r="M47" i="105"/>
  <c r="M46" i="105"/>
  <c r="M45" i="105"/>
  <c r="M44" i="105"/>
  <c r="M43" i="105"/>
  <c r="M42" i="105"/>
  <c r="M41" i="105"/>
  <c r="L64" i="105"/>
  <c r="L63" i="105"/>
  <c r="L62" i="105"/>
  <c r="L61" i="105"/>
  <c r="L60" i="105"/>
  <c r="L59" i="105"/>
  <c r="L58" i="105"/>
  <c r="L57" i="105"/>
  <c r="L56" i="105"/>
  <c r="L55" i="105"/>
  <c r="L54" i="105"/>
  <c r="L53" i="105"/>
  <c r="L52" i="105"/>
  <c r="L51" i="105"/>
  <c r="L50" i="105"/>
  <c r="L49" i="105"/>
  <c r="L48" i="105"/>
  <c r="L47" i="105"/>
  <c r="L46" i="105"/>
  <c r="L45" i="105"/>
  <c r="L44" i="105"/>
  <c r="L43" i="105"/>
  <c r="L42" i="105"/>
  <c r="L41" i="105"/>
  <c r="K64" i="105"/>
  <c r="K63" i="105"/>
  <c r="K62" i="105"/>
  <c r="K61" i="105"/>
  <c r="K60" i="105"/>
  <c r="K59" i="105"/>
  <c r="K58" i="105"/>
  <c r="K57" i="105"/>
  <c r="K56" i="105"/>
  <c r="K55" i="105"/>
  <c r="K54" i="105"/>
  <c r="K53" i="105"/>
  <c r="K52" i="105"/>
  <c r="K51" i="105"/>
  <c r="K50" i="105"/>
  <c r="K49" i="105"/>
  <c r="K48" i="105"/>
  <c r="K47" i="105"/>
  <c r="K46" i="105"/>
  <c r="K45" i="105"/>
  <c r="K44" i="105"/>
  <c r="K43" i="105"/>
  <c r="K42" i="105"/>
  <c r="K41" i="105"/>
  <c r="J64" i="105"/>
  <c r="J63" i="105"/>
  <c r="J62" i="105"/>
  <c r="J61" i="105"/>
  <c r="J60" i="105"/>
  <c r="J59" i="105"/>
  <c r="J58" i="105"/>
  <c r="J57" i="105"/>
  <c r="J56" i="105"/>
  <c r="J55" i="105"/>
  <c r="J54" i="105"/>
  <c r="J53" i="105"/>
  <c r="J52" i="105"/>
  <c r="J51" i="105"/>
  <c r="J50" i="105"/>
  <c r="J49" i="105"/>
  <c r="J48" i="105"/>
  <c r="J47" i="105"/>
  <c r="J46" i="105"/>
  <c r="J45" i="105"/>
  <c r="J44" i="105"/>
  <c r="J43" i="105"/>
  <c r="J42" i="105"/>
  <c r="J41" i="105"/>
  <c r="I64" i="105"/>
  <c r="I63" i="105"/>
  <c r="I62" i="105"/>
  <c r="I61" i="105"/>
  <c r="I60" i="105"/>
  <c r="I59" i="105"/>
  <c r="I58" i="105"/>
  <c r="I57" i="105"/>
  <c r="I56" i="105"/>
  <c r="I55" i="105"/>
  <c r="I54" i="105"/>
  <c r="I53" i="105"/>
  <c r="I52" i="105"/>
  <c r="I51" i="105"/>
  <c r="I50" i="105"/>
  <c r="I49" i="105"/>
  <c r="I48" i="105"/>
  <c r="I47" i="105"/>
  <c r="I46" i="105"/>
  <c r="I45" i="105"/>
  <c r="I44" i="105"/>
  <c r="I43" i="105"/>
  <c r="I42" i="105"/>
  <c r="I41" i="105"/>
  <c r="H64" i="105"/>
  <c r="H63" i="105"/>
  <c r="H62" i="105"/>
  <c r="H61" i="105"/>
  <c r="H60" i="105"/>
  <c r="H59" i="105"/>
  <c r="H58" i="105"/>
  <c r="H57" i="105"/>
  <c r="H56" i="105"/>
  <c r="H55" i="105"/>
  <c r="H54" i="105"/>
  <c r="H53" i="105"/>
  <c r="H52" i="105"/>
  <c r="H51" i="105"/>
  <c r="H50" i="105"/>
  <c r="H49" i="105"/>
  <c r="H48" i="105"/>
  <c r="H47" i="105"/>
  <c r="H46" i="105"/>
  <c r="H45" i="105"/>
  <c r="H44" i="105"/>
  <c r="H43" i="105"/>
  <c r="H42" i="105"/>
  <c r="H41" i="105"/>
  <c r="G64" i="105"/>
  <c r="G63" i="105"/>
  <c r="G62" i="105"/>
  <c r="G61" i="105"/>
  <c r="G60" i="105"/>
  <c r="G59" i="105"/>
  <c r="G58" i="105"/>
  <c r="G57" i="105"/>
  <c r="G56" i="105"/>
  <c r="G55" i="105"/>
  <c r="G54" i="105"/>
  <c r="G53" i="105"/>
  <c r="G52" i="105"/>
  <c r="G51" i="105"/>
  <c r="G50" i="105"/>
  <c r="G49" i="105"/>
  <c r="G48" i="105"/>
  <c r="G47" i="105"/>
  <c r="G46" i="105"/>
  <c r="G45" i="105"/>
  <c r="G44" i="105"/>
  <c r="G43" i="105"/>
  <c r="G42" i="105"/>
  <c r="G41" i="105"/>
  <c r="F64" i="105"/>
  <c r="F63" i="105"/>
  <c r="F62" i="105"/>
  <c r="F61" i="105"/>
  <c r="F60" i="105"/>
  <c r="F59" i="105"/>
  <c r="F58" i="105"/>
  <c r="F57" i="105"/>
  <c r="F56" i="105"/>
  <c r="F55" i="105"/>
  <c r="F54" i="105"/>
  <c r="F53" i="105"/>
  <c r="F52" i="105"/>
  <c r="F51" i="105"/>
  <c r="F50" i="105"/>
  <c r="F49" i="105"/>
  <c r="F48" i="105"/>
  <c r="F47" i="105"/>
  <c r="F46" i="105"/>
  <c r="F45" i="105"/>
  <c r="F44" i="105"/>
  <c r="F43" i="105"/>
  <c r="F42" i="105"/>
  <c r="F41" i="105"/>
  <c r="E64" i="105"/>
  <c r="E63" i="105"/>
  <c r="E62" i="105"/>
  <c r="E61" i="105"/>
  <c r="E60" i="105"/>
  <c r="E59" i="105"/>
  <c r="E58" i="105"/>
  <c r="E57" i="105"/>
  <c r="E56" i="105"/>
  <c r="E55" i="105"/>
  <c r="E54" i="105"/>
  <c r="E53" i="105"/>
  <c r="E52" i="105"/>
  <c r="E51" i="105"/>
  <c r="E50" i="105"/>
  <c r="E49" i="105"/>
  <c r="E48" i="105"/>
  <c r="E47" i="105"/>
  <c r="E46" i="105"/>
  <c r="E45" i="105"/>
  <c r="E44" i="105"/>
  <c r="E43" i="105"/>
  <c r="E42" i="105"/>
  <c r="E41" i="105"/>
  <c r="D64" i="105"/>
  <c r="D63" i="105"/>
  <c r="D62" i="105"/>
  <c r="D61" i="105"/>
  <c r="D60" i="105"/>
  <c r="D59" i="105"/>
  <c r="D58" i="105"/>
  <c r="D57" i="105"/>
  <c r="D56" i="105"/>
  <c r="D55" i="105"/>
  <c r="D54" i="105"/>
  <c r="D53" i="105"/>
  <c r="D52" i="105"/>
  <c r="D51" i="105"/>
  <c r="D50" i="105"/>
  <c r="D49" i="105"/>
  <c r="D48" i="105"/>
  <c r="D47" i="105"/>
  <c r="D46" i="105"/>
  <c r="D45" i="105"/>
  <c r="D44" i="105"/>
  <c r="D43" i="105"/>
  <c r="D42" i="105"/>
  <c r="D41" i="105"/>
  <c r="C64" i="105"/>
  <c r="C63" i="105"/>
  <c r="C62" i="105"/>
  <c r="C61" i="105"/>
  <c r="C60" i="105"/>
  <c r="C59" i="105"/>
  <c r="C58" i="105"/>
  <c r="C57" i="105"/>
  <c r="C56" i="105"/>
  <c r="C55" i="105"/>
  <c r="C54" i="105"/>
  <c r="C53" i="105"/>
  <c r="C52" i="105"/>
  <c r="C51" i="105"/>
  <c r="C50" i="105"/>
  <c r="C49" i="105"/>
  <c r="C48" i="105"/>
  <c r="C47" i="105"/>
  <c r="C46" i="105"/>
  <c r="C45" i="105"/>
  <c r="C44" i="105"/>
  <c r="C43" i="105"/>
  <c r="C42" i="105"/>
  <c r="C41" i="105"/>
  <c r="M38" i="105"/>
  <c r="M37" i="105"/>
  <c r="M36" i="105"/>
  <c r="M35" i="105"/>
  <c r="M34" i="105"/>
  <c r="M33" i="105"/>
  <c r="M32" i="105"/>
  <c r="M31" i="105"/>
  <c r="M30" i="105"/>
  <c r="M40" i="105" s="1"/>
  <c r="L38" i="105"/>
  <c r="L37" i="105"/>
  <c r="L36" i="105"/>
  <c r="L35" i="105"/>
  <c r="L34" i="105"/>
  <c r="L33" i="105"/>
  <c r="L32" i="105"/>
  <c r="L31" i="105"/>
  <c r="L30" i="105"/>
  <c r="L40" i="105" s="1"/>
  <c r="K38" i="105"/>
  <c r="K37" i="105"/>
  <c r="K36" i="105"/>
  <c r="K35" i="105"/>
  <c r="K34" i="105"/>
  <c r="K33" i="105"/>
  <c r="K32" i="105"/>
  <c r="K31" i="105"/>
  <c r="K30" i="105"/>
  <c r="K40" i="105" s="1"/>
  <c r="J38" i="105"/>
  <c r="J37" i="105"/>
  <c r="J36" i="105"/>
  <c r="J35" i="105"/>
  <c r="J34" i="105"/>
  <c r="J33" i="105"/>
  <c r="J32" i="105"/>
  <c r="J31" i="105"/>
  <c r="J30" i="105"/>
  <c r="J40" i="105" s="1"/>
  <c r="I38" i="105"/>
  <c r="I37" i="105"/>
  <c r="I36" i="105"/>
  <c r="I35" i="105"/>
  <c r="I34" i="105"/>
  <c r="I33" i="105"/>
  <c r="I32" i="105"/>
  <c r="I31" i="105"/>
  <c r="I30" i="105"/>
  <c r="I40" i="105" s="1"/>
  <c r="H38" i="105"/>
  <c r="H37" i="105"/>
  <c r="H36" i="105"/>
  <c r="H35" i="105"/>
  <c r="H34" i="105"/>
  <c r="H33" i="105"/>
  <c r="H32" i="105"/>
  <c r="H31" i="105"/>
  <c r="H30" i="105"/>
  <c r="H40" i="105" s="1"/>
  <c r="G38" i="105"/>
  <c r="G37" i="105"/>
  <c r="G36" i="105"/>
  <c r="G35" i="105"/>
  <c r="G34" i="105"/>
  <c r="G33" i="105"/>
  <c r="G32" i="105"/>
  <c r="G31" i="105"/>
  <c r="G30" i="105"/>
  <c r="G40" i="105" s="1"/>
  <c r="F38" i="105"/>
  <c r="F37" i="105"/>
  <c r="F36" i="105"/>
  <c r="F35" i="105"/>
  <c r="F34" i="105"/>
  <c r="F33" i="105"/>
  <c r="F32" i="105"/>
  <c r="F31" i="105"/>
  <c r="F30" i="105"/>
  <c r="F40" i="105" s="1"/>
  <c r="E38" i="105"/>
  <c r="E37" i="105"/>
  <c r="E36" i="105"/>
  <c r="E35" i="105"/>
  <c r="E34" i="105"/>
  <c r="E33" i="105"/>
  <c r="E32" i="105"/>
  <c r="E31" i="105"/>
  <c r="E30" i="105"/>
  <c r="U37" i="105" s="1"/>
  <c r="D38" i="105"/>
  <c r="D37" i="105"/>
  <c r="D36" i="105"/>
  <c r="D35" i="105"/>
  <c r="D34" i="105"/>
  <c r="D33" i="105"/>
  <c r="D32" i="105"/>
  <c r="D31" i="105"/>
  <c r="D30" i="105"/>
  <c r="D40" i="105" s="1"/>
  <c r="C38" i="105"/>
  <c r="C37" i="105"/>
  <c r="C36" i="105"/>
  <c r="C35" i="105"/>
  <c r="C34" i="105"/>
  <c r="C33" i="105"/>
  <c r="C32" i="105"/>
  <c r="C31" i="105"/>
  <c r="C30" i="105"/>
  <c r="C40" i="105" s="1"/>
  <c r="B64" i="105"/>
  <c r="B63" i="105"/>
  <c r="B62" i="105"/>
  <c r="B61" i="105"/>
  <c r="B60" i="105"/>
  <c r="B59" i="105"/>
  <c r="B58" i="105"/>
  <c r="B57" i="105"/>
  <c r="B56" i="105"/>
  <c r="B55" i="105"/>
  <c r="B54" i="105"/>
  <c r="B53" i="105"/>
  <c r="B52" i="105"/>
  <c r="B51" i="105"/>
  <c r="B50" i="105"/>
  <c r="B49" i="105"/>
  <c r="B48" i="105"/>
  <c r="B47" i="105"/>
  <c r="B46" i="105"/>
  <c r="B45" i="105"/>
  <c r="B44" i="105"/>
  <c r="B43" i="105"/>
  <c r="B42" i="105"/>
  <c r="B41" i="105"/>
  <c r="B37" i="105"/>
  <c r="B36" i="105"/>
  <c r="B35" i="105"/>
  <c r="B34" i="105"/>
  <c r="B33" i="105"/>
  <c r="B32" i="105"/>
  <c r="B31" i="105"/>
  <c r="CH77" i="105" l="1"/>
  <c r="CH96" i="105"/>
  <c r="AR96" i="105"/>
  <c r="BN96" i="105"/>
  <c r="BN77" i="105"/>
  <c r="G10" i="105"/>
  <c r="AR77" i="105"/>
  <c r="Z5" i="105"/>
  <c r="T5" i="105"/>
  <c r="G4" i="105"/>
  <c r="G12" i="105"/>
  <c r="E40" i="105"/>
  <c r="G6" i="105"/>
  <c r="U39" i="105"/>
  <c r="G5" i="105"/>
  <c r="G11" i="105"/>
  <c r="S5" i="105"/>
  <c r="U5" i="105"/>
  <c r="Z37" i="105"/>
  <c r="T37" i="105"/>
  <c r="AA71" i="105"/>
  <c r="U71" i="105"/>
  <c r="Y37" i="105"/>
  <c r="Z71" i="105"/>
  <c r="T71" i="105"/>
  <c r="G7" i="105"/>
  <c r="Y5" i="105"/>
  <c r="AB5" i="105"/>
  <c r="S37" i="105"/>
  <c r="X37" i="105"/>
  <c r="T73" i="105"/>
  <c r="Y71" i="105"/>
  <c r="X72" i="105"/>
  <c r="G2" i="105"/>
  <c r="G8" i="105"/>
  <c r="X5" i="105"/>
  <c r="AA5" i="105"/>
  <c r="AC37" i="105"/>
  <c r="Z44" i="105" s="1"/>
  <c r="W37" i="105"/>
  <c r="S71" i="105"/>
  <c r="X71" i="105"/>
  <c r="W73" i="105"/>
  <c r="G3" i="105"/>
  <c r="G9" i="105"/>
  <c r="W5" i="105"/>
  <c r="AC5" i="105"/>
  <c r="Z12" i="105" s="1"/>
  <c r="AB37" i="105"/>
  <c r="V37" i="105"/>
  <c r="AC71" i="105"/>
  <c r="Z78" i="105" s="1"/>
  <c r="W71" i="105"/>
  <c r="V5" i="105"/>
  <c r="T7" i="105"/>
  <c r="AA37" i="105"/>
  <c r="AB71" i="105"/>
  <c r="V71" i="105"/>
  <c r="T72" i="105"/>
  <c r="S73" i="105"/>
  <c r="U73" i="105"/>
  <c r="Z72" i="105"/>
  <c r="AB73" i="105"/>
  <c r="AB72" i="105"/>
  <c r="X73" i="105"/>
  <c r="Y72" i="105"/>
  <c r="AC73" i="105"/>
  <c r="V73" i="105"/>
  <c r="S72" i="105"/>
  <c r="W72" i="105"/>
  <c r="AA73" i="105"/>
  <c r="AC72" i="105"/>
  <c r="AD72" i="105" s="1"/>
  <c r="AA81" i="105" s="1"/>
  <c r="V72" i="105"/>
  <c r="Y73" i="105"/>
  <c r="AA79" i="105"/>
  <c r="AA72" i="105"/>
  <c r="U72" i="105"/>
  <c r="Z73" i="105"/>
  <c r="AA45" i="105"/>
  <c r="T39" i="105"/>
  <c r="Z38" i="105"/>
  <c r="T38" i="105"/>
  <c r="Y39" i="105"/>
  <c r="U38" i="105"/>
  <c r="AA13" i="105"/>
  <c r="Y38" i="105"/>
  <c r="S39" i="105"/>
  <c r="X39" i="105"/>
  <c r="Z39" i="105"/>
  <c r="S38" i="105"/>
  <c r="X38" i="105"/>
  <c r="AC39" i="105"/>
  <c r="W39" i="105"/>
  <c r="AA38" i="105"/>
  <c r="AC38" i="105"/>
  <c r="W38" i="105"/>
  <c r="AB39" i="105"/>
  <c r="V39" i="105"/>
  <c r="AB38" i="105"/>
  <c r="V38" i="105"/>
  <c r="AA39" i="105"/>
  <c r="Z6" i="105"/>
  <c r="T6" i="105"/>
  <c r="Y7" i="105"/>
  <c r="Y6" i="105"/>
  <c r="S7" i="105"/>
  <c r="X7" i="105"/>
  <c r="S6" i="105"/>
  <c r="X6" i="105"/>
  <c r="AC7" i="105"/>
  <c r="W7" i="105"/>
  <c r="AC6" i="105"/>
  <c r="W6" i="105"/>
  <c r="AB7" i="105"/>
  <c r="V7" i="105"/>
  <c r="AB6" i="105"/>
  <c r="V6" i="105"/>
  <c r="AA7" i="105"/>
  <c r="U7" i="105"/>
  <c r="AA6" i="105"/>
  <c r="U6" i="105"/>
  <c r="Z7" i="105"/>
  <c r="AT105" i="105" l="1"/>
  <c r="AT109" i="105"/>
  <c r="BP90" i="105"/>
  <c r="BP86" i="105"/>
  <c r="BP109" i="105"/>
  <c r="BP105" i="105"/>
  <c r="AR6" i="105"/>
  <c r="AR95" i="105" s="1"/>
  <c r="AT17" i="105"/>
  <c r="AT90" i="105"/>
  <c r="BM6" i="105"/>
  <c r="BO8" i="105" s="1"/>
  <c r="AT86" i="105"/>
  <c r="CG6" i="105"/>
  <c r="CH12" i="105" s="1"/>
  <c r="AS15" i="105"/>
  <c r="AS14" i="105"/>
  <c r="AS42" i="105"/>
  <c r="AT23" i="105"/>
  <c r="AS11" i="105"/>
  <c r="AT29" i="105"/>
  <c r="AT10" i="105"/>
  <c r="AS18" i="105"/>
  <c r="AT15" i="105"/>
  <c r="AT42" i="105"/>
  <c r="AS44" i="105"/>
  <c r="AE73" i="105"/>
  <c r="AF39" i="105"/>
  <c r="AF72" i="105"/>
  <c r="AF76" i="105"/>
  <c r="AA90" i="105" s="1"/>
  <c r="AD73" i="105"/>
  <c r="AA88" i="105" s="1"/>
  <c r="AG72" i="105"/>
  <c r="AI72" i="105" s="1"/>
  <c r="AA86" i="105" s="1"/>
  <c r="AE72" i="105"/>
  <c r="AF75" i="105"/>
  <c r="AA83" i="105" s="1"/>
  <c r="AG73" i="105"/>
  <c r="AI73" i="105" s="1"/>
  <c r="AA93" i="105" s="1"/>
  <c r="AF41" i="105"/>
  <c r="AA49" i="105" s="1"/>
  <c r="AF73" i="105"/>
  <c r="AF42" i="105"/>
  <c r="AA56" i="105" s="1"/>
  <c r="AD39" i="105"/>
  <c r="AA54" i="105" s="1"/>
  <c r="AD38" i="105"/>
  <c r="AF38" i="105"/>
  <c r="AG38" i="105"/>
  <c r="AG39" i="105"/>
  <c r="AE38" i="105"/>
  <c r="AE39" i="105"/>
  <c r="AF9" i="105"/>
  <c r="AA17" i="105" s="1"/>
  <c r="AD6" i="105"/>
  <c r="AG6" i="105"/>
  <c r="AF6" i="105"/>
  <c r="AE6" i="105"/>
  <c r="AD7" i="105"/>
  <c r="AA22" i="105" s="1"/>
  <c r="AF10" i="105"/>
  <c r="AA24" i="105" s="1"/>
  <c r="AG7" i="105"/>
  <c r="AE7" i="105"/>
  <c r="AF7" i="105"/>
  <c r="AT8" i="105" l="1"/>
  <c r="AT43" i="105"/>
  <c r="AS39" i="105"/>
  <c r="AW42" i="105" s="1"/>
  <c r="AT27" i="105"/>
  <c r="AS40" i="105"/>
  <c r="AT11" i="105"/>
  <c r="AV11" i="105" s="1"/>
  <c r="AS43" i="105"/>
  <c r="AS27" i="105"/>
  <c r="AT40" i="105"/>
  <c r="AS22" i="105"/>
  <c r="AS32" i="105"/>
  <c r="AU32" i="105" s="1"/>
  <c r="AS28" i="105"/>
  <c r="AW28" i="105" s="1"/>
  <c r="AT31" i="105"/>
  <c r="AS9" i="105"/>
  <c r="AU9" i="105" s="1"/>
  <c r="AS19" i="105"/>
  <c r="AW19" i="105" s="1"/>
  <c r="AT21" i="105"/>
  <c r="AS24" i="105"/>
  <c r="AT25" i="105"/>
  <c r="BE41" i="105" s="1"/>
  <c r="AT18" i="105"/>
  <c r="AS31" i="105"/>
  <c r="BB44" i="105" s="1"/>
  <c r="AT16" i="105"/>
  <c r="AT24" i="105"/>
  <c r="AT19" i="105"/>
  <c r="AT22" i="105"/>
  <c r="BH40" i="105" s="1"/>
  <c r="AS20" i="105"/>
  <c r="AS26" i="105"/>
  <c r="BB42" i="105" s="1"/>
  <c r="AS21" i="105"/>
  <c r="AU21" i="105" s="1"/>
  <c r="AT41" i="105"/>
  <c r="AS25" i="105"/>
  <c r="AS10" i="105"/>
  <c r="AW10" i="105" s="1"/>
  <c r="AS29" i="105"/>
  <c r="AT44" i="105"/>
  <c r="AV44" i="105" s="1"/>
  <c r="AS41" i="105"/>
  <c r="AQ78" i="105" s="1"/>
  <c r="AR78" i="105" s="1"/>
  <c r="AS23" i="105"/>
  <c r="AS38" i="105"/>
  <c r="AT12" i="105"/>
  <c r="BN44" i="105"/>
  <c r="AT28" i="105"/>
  <c r="BE43" i="105" s="1"/>
  <c r="AS16" i="105"/>
  <c r="AU16" i="105" s="1"/>
  <c r="AS17" i="105"/>
  <c r="AS8" i="105"/>
  <c r="AU8" i="105" s="1"/>
  <c r="AT26" i="105"/>
  <c r="AS13" i="105"/>
  <c r="AT9" i="105"/>
  <c r="AS12" i="105"/>
  <c r="AU12" i="105" s="1"/>
  <c r="AT32" i="105"/>
  <c r="AV32" i="105" s="1"/>
  <c r="AT20" i="105"/>
  <c r="AV20" i="105" s="1"/>
  <c r="AS30" i="105"/>
  <c r="AT13" i="105"/>
  <c r="AV13" i="105" s="1"/>
  <c r="AT30" i="105"/>
  <c r="AV30" i="105" s="1"/>
  <c r="AT38" i="105"/>
  <c r="AQ97" i="105" s="1"/>
  <c r="AR97" i="105" s="1"/>
  <c r="AT14" i="105"/>
  <c r="CH28" i="105"/>
  <c r="CH31" i="105"/>
  <c r="CS44" i="105" s="1"/>
  <c r="CI16" i="105"/>
  <c r="CH15" i="105"/>
  <c r="CI17" i="105"/>
  <c r="BN21" i="105"/>
  <c r="BO14" i="105"/>
  <c r="BO38" i="105"/>
  <c r="BN28" i="105"/>
  <c r="BN41" i="105"/>
  <c r="BO21" i="105"/>
  <c r="BN25" i="105"/>
  <c r="BT41" i="105" s="1"/>
  <c r="CI27" i="105"/>
  <c r="CH76" i="105"/>
  <c r="CH95" i="105"/>
  <c r="BO42" i="105"/>
  <c r="BN31" i="105"/>
  <c r="BW44" i="105" s="1"/>
  <c r="BN15" i="105"/>
  <c r="BN32" i="105"/>
  <c r="BP32" i="105" s="1"/>
  <c r="BO24" i="105"/>
  <c r="BO29" i="105"/>
  <c r="BN8" i="105"/>
  <c r="BN26" i="105"/>
  <c r="BO16" i="105"/>
  <c r="BO9" i="105"/>
  <c r="BN95" i="105"/>
  <c r="BN76" i="105"/>
  <c r="BN20" i="105"/>
  <c r="BP20" i="105" s="1"/>
  <c r="BN27" i="105"/>
  <c r="BN18" i="105"/>
  <c r="CH11" i="105"/>
  <c r="CH26" i="105"/>
  <c r="CI39" i="105"/>
  <c r="CI41" i="105"/>
  <c r="CH38" i="105"/>
  <c r="CI42" i="105"/>
  <c r="CH39" i="105"/>
  <c r="CH44" i="105"/>
  <c r="CI38" i="105"/>
  <c r="CI44" i="105"/>
  <c r="CH41" i="105"/>
  <c r="CI40" i="105"/>
  <c r="CH40" i="105"/>
  <c r="CI43" i="105"/>
  <c r="CH43" i="105"/>
  <c r="CJ28" i="105" s="1"/>
  <c r="CH42" i="105"/>
  <c r="CI11" i="105"/>
  <c r="CI8" i="105"/>
  <c r="CH20" i="105"/>
  <c r="CH10" i="105"/>
  <c r="CH21" i="105"/>
  <c r="CI22" i="105"/>
  <c r="CI18" i="105"/>
  <c r="BO17" i="105"/>
  <c r="BO28" i="105"/>
  <c r="BN17" i="105"/>
  <c r="BO20" i="105"/>
  <c r="BO23" i="105"/>
  <c r="BO13" i="105"/>
  <c r="BO10" i="105"/>
  <c r="BN42" i="105"/>
  <c r="BP42" i="105" s="1"/>
  <c r="BO12" i="105"/>
  <c r="BO31" i="105"/>
  <c r="BN40" i="105"/>
  <c r="BP40" i="105" s="1"/>
  <c r="BO22" i="105"/>
  <c r="BN16" i="105"/>
  <c r="BN10" i="105"/>
  <c r="BP10" i="105" s="1"/>
  <c r="BN13" i="105"/>
  <c r="BO43" i="105"/>
  <c r="BN9" i="105"/>
  <c r="BP9" i="105" s="1"/>
  <c r="BN22" i="105"/>
  <c r="BO25" i="105"/>
  <c r="AT39" i="105"/>
  <c r="AX39" i="105" s="1"/>
  <c r="BN11" i="105"/>
  <c r="BN38" i="105"/>
  <c r="AR76" i="105"/>
  <c r="BO32" i="105"/>
  <c r="BQ32" i="105" s="1"/>
  <c r="BN29" i="105"/>
  <c r="BO40" i="105"/>
  <c r="BN14" i="105"/>
  <c r="BO15" i="105"/>
  <c r="BN39" i="105"/>
  <c r="BP39" i="105" s="1"/>
  <c r="BO18" i="105"/>
  <c r="BN24" i="105"/>
  <c r="BO11" i="105"/>
  <c r="BN43" i="105"/>
  <c r="BO44" i="105"/>
  <c r="BO39" i="105"/>
  <c r="BN30" i="105"/>
  <c r="BO27" i="105"/>
  <c r="BO41" i="105"/>
  <c r="BO30" i="105"/>
  <c r="BB43" i="105"/>
  <c r="AY43" i="105"/>
  <c r="BH42" i="105"/>
  <c r="BE42" i="105"/>
  <c r="AY42" i="105"/>
  <c r="BH41" i="105"/>
  <c r="BB40" i="105"/>
  <c r="AY40" i="105"/>
  <c r="BB41" i="105"/>
  <c r="AY41" i="105"/>
  <c r="BH44" i="105"/>
  <c r="BE44" i="105"/>
  <c r="BE40" i="105"/>
  <c r="AY44" i="105"/>
  <c r="AY39" i="105"/>
  <c r="BN23" i="105"/>
  <c r="BN12" i="105"/>
  <c r="BN19" i="105"/>
  <c r="BP19" i="105" s="1"/>
  <c r="BO19" i="105"/>
  <c r="BO26" i="105"/>
  <c r="CH9" i="105"/>
  <c r="CH14" i="105"/>
  <c r="CI10" i="105"/>
  <c r="CH25" i="105"/>
  <c r="CI21" i="105"/>
  <c r="CI32" i="105"/>
  <c r="CK32" i="105" s="1"/>
  <c r="CI24" i="105"/>
  <c r="CI31" i="105"/>
  <c r="CI30" i="105"/>
  <c r="CH16" i="105"/>
  <c r="CH19" i="105"/>
  <c r="CI15" i="105"/>
  <c r="CK15" i="105" s="1"/>
  <c r="CH30" i="105"/>
  <c r="CI26" i="105"/>
  <c r="CH29" i="105"/>
  <c r="CI25" i="105"/>
  <c r="CH8" i="105"/>
  <c r="CI29" i="105"/>
  <c r="CK29" i="105" s="1"/>
  <c r="CI12" i="105"/>
  <c r="CH22" i="105"/>
  <c r="CH13" i="105"/>
  <c r="CI9" i="105"/>
  <c r="CH24" i="105"/>
  <c r="CI20" i="105"/>
  <c r="CK20" i="105" s="1"/>
  <c r="CH23" i="105"/>
  <c r="CI19" i="105"/>
  <c r="CH27" i="105"/>
  <c r="CI23" i="105"/>
  <c r="CH32" i="105"/>
  <c r="CJ32" i="105" s="1"/>
  <c r="CI28" i="105"/>
  <c r="CK28" i="105" s="1"/>
  <c r="CH18" i="105"/>
  <c r="CI14" i="105"/>
  <c r="CH17" i="105"/>
  <c r="CI13" i="105"/>
  <c r="AU20" i="105"/>
  <c r="AU23" i="105"/>
  <c r="AU24" i="105"/>
  <c r="AU17" i="105"/>
  <c r="AU13" i="105"/>
  <c r="AU43" i="105"/>
  <c r="AU38" i="105"/>
  <c r="AU31" i="105"/>
  <c r="AU30" i="105"/>
  <c r="AU15" i="105"/>
  <c r="AU18" i="105"/>
  <c r="AU28" i="105"/>
  <c r="AU29" i="105"/>
  <c r="AU26" i="105"/>
  <c r="AU40" i="105"/>
  <c r="AU22" i="105"/>
  <c r="AU11" i="105"/>
  <c r="AU25" i="105"/>
  <c r="AU27" i="105"/>
  <c r="AU14" i="105"/>
  <c r="AV31" i="105"/>
  <c r="AV43" i="105"/>
  <c r="AW24" i="105"/>
  <c r="AV29" i="105"/>
  <c r="AW29" i="105"/>
  <c r="AW38" i="105"/>
  <c r="AQ81" i="105" s="1"/>
  <c r="AU44" i="105"/>
  <c r="AW41" i="105"/>
  <c r="AU42" i="105"/>
  <c r="AV8" i="105"/>
  <c r="AV26" i="105"/>
  <c r="AV38" i="105"/>
  <c r="AV21" i="105"/>
  <c r="AH73" i="105"/>
  <c r="AA92" i="105" s="1"/>
  <c r="BP28" i="105"/>
  <c r="AH72" i="105"/>
  <c r="AA85" i="105" s="1"/>
  <c r="AA47" i="105"/>
  <c r="AH39" i="105"/>
  <c r="AA58" i="105" s="1"/>
  <c r="AI39" i="105"/>
  <c r="AA59" i="105" s="1"/>
  <c r="AH38" i="105"/>
  <c r="AA51" i="105" s="1"/>
  <c r="AI38" i="105"/>
  <c r="AA52" i="105" s="1"/>
  <c r="AA15" i="105"/>
  <c r="AI7" i="105"/>
  <c r="AA27" i="105" s="1"/>
  <c r="AH7" i="105"/>
  <c r="AA26" i="105" s="1"/>
  <c r="AH6" i="105"/>
  <c r="AA19" i="105" s="1"/>
  <c r="AI6" i="105"/>
  <c r="AA20" i="105" s="1"/>
  <c r="AW15" i="105" l="1"/>
  <c r="AW11" i="105"/>
  <c r="AW43" i="105"/>
  <c r="BH43" i="105"/>
  <c r="BP44" i="105"/>
  <c r="AW31" i="105"/>
  <c r="AW20" i="105"/>
  <c r="AW39" i="105"/>
  <c r="AW44" i="105"/>
  <c r="AU41" i="105"/>
  <c r="BP12" i="105"/>
  <c r="BP24" i="105"/>
  <c r="BP29" i="105"/>
  <c r="BQ25" i="105"/>
  <c r="BP16" i="105"/>
  <c r="BP18" i="105"/>
  <c r="BP21" i="105"/>
  <c r="BB39" i="105"/>
  <c r="BC39" i="105" s="1"/>
  <c r="AX27" i="105"/>
  <c r="AU19" i="105"/>
  <c r="AW40" i="105"/>
  <c r="BP26" i="105"/>
  <c r="AU10" i="105"/>
  <c r="AW16" i="105"/>
  <c r="AW17" i="105"/>
  <c r="BP17" i="105"/>
  <c r="BP23" i="105"/>
  <c r="AW14" i="105"/>
  <c r="AU39" i="105"/>
  <c r="AX13" i="105"/>
  <c r="AW26" i="105"/>
  <c r="AY38" i="105"/>
  <c r="BP11" i="105"/>
  <c r="BP13" i="105"/>
  <c r="CK13" i="105"/>
  <c r="CK23" i="105"/>
  <c r="CK9" i="105"/>
  <c r="BP31" i="105"/>
  <c r="BQ24" i="105"/>
  <c r="BW41" i="105"/>
  <c r="BP41" i="105"/>
  <c r="BM97" i="105"/>
  <c r="BN97" i="105" s="1"/>
  <c r="AV27" i="105"/>
  <c r="AX15" i="105"/>
  <c r="AV10" i="105"/>
  <c r="AX38" i="105"/>
  <c r="AV25" i="105"/>
  <c r="AV12" i="105"/>
  <c r="AW8" i="105"/>
  <c r="AW12" i="105"/>
  <c r="AW23" i="105"/>
  <c r="AV28" i="105"/>
  <c r="AW22" i="105"/>
  <c r="AV18" i="105"/>
  <c r="BB38" i="105"/>
  <c r="BD38" i="105" s="1"/>
  <c r="AQ90" i="105" s="1"/>
  <c r="AR90" i="105" s="1"/>
  <c r="BE39" i="105"/>
  <c r="AV42" i="105"/>
  <c r="AV41" i="105"/>
  <c r="AQ98" i="105" s="1"/>
  <c r="AR98" i="105" s="1"/>
  <c r="AV16" i="105"/>
  <c r="AX17" i="105"/>
  <c r="AW9" i="105"/>
  <c r="AX43" i="105"/>
  <c r="AX42" i="105"/>
  <c r="AV24" i="105"/>
  <c r="AW13" i="105"/>
  <c r="AV23" i="105"/>
  <c r="AV9" i="105"/>
  <c r="BH39" i="105"/>
  <c r="AV15" i="105"/>
  <c r="AW25" i="105"/>
  <c r="AW30" i="105"/>
  <c r="AW21" i="105"/>
  <c r="AX40" i="105"/>
  <c r="AX18" i="105"/>
  <c r="AW18" i="105"/>
  <c r="AW27" i="105"/>
  <c r="AV17" i="105"/>
  <c r="AV19" i="105"/>
  <c r="AX12" i="105"/>
  <c r="AV22" i="105"/>
  <c r="AV40" i="105"/>
  <c r="AQ79" i="105"/>
  <c r="AR79" i="105" s="1"/>
  <c r="AV88" i="105" s="1"/>
  <c r="AX26" i="105"/>
  <c r="AV14" i="105"/>
  <c r="AX24" i="105"/>
  <c r="AX21" i="105"/>
  <c r="AX23" i="105"/>
  <c r="AX28" i="105"/>
  <c r="AX10" i="105"/>
  <c r="AX16" i="105"/>
  <c r="AX31" i="105"/>
  <c r="AX25" i="105"/>
  <c r="AX19" i="105"/>
  <c r="AX30" i="105"/>
  <c r="AX9" i="105"/>
  <c r="AX11" i="105"/>
  <c r="AX8" i="105"/>
  <c r="BE38" i="105"/>
  <c r="BF38" i="105" s="1"/>
  <c r="AX20" i="105"/>
  <c r="BH38" i="105"/>
  <c r="BJ38" i="105" s="1"/>
  <c r="AX22" i="105"/>
  <c r="AX14" i="105"/>
  <c r="AX29" i="105"/>
  <c r="CJ21" i="105"/>
  <c r="CG97" i="105"/>
  <c r="CH97" i="105" s="1"/>
  <c r="CP44" i="105"/>
  <c r="CQ44" i="105" s="1"/>
  <c r="CK10" i="105"/>
  <c r="CK14" i="105"/>
  <c r="CK19" i="105"/>
  <c r="CJ15" i="105"/>
  <c r="CK17" i="105"/>
  <c r="CR44" i="105"/>
  <c r="CU44" i="105"/>
  <c r="CK12" i="105"/>
  <c r="CK24" i="105"/>
  <c r="CJ24" i="105"/>
  <c r="CJ19" i="105"/>
  <c r="CK21" i="105"/>
  <c r="CK16" i="105"/>
  <c r="CK11" i="105"/>
  <c r="AQ89" i="105"/>
  <c r="AR89" i="105" s="1"/>
  <c r="CJ17" i="105"/>
  <c r="CJ29" i="105"/>
  <c r="CK30" i="105"/>
  <c r="CJ18" i="105"/>
  <c r="CJ23" i="105"/>
  <c r="CJ30" i="105"/>
  <c r="CJ9" i="105"/>
  <c r="BU41" i="105"/>
  <c r="BV41" i="105"/>
  <c r="BY41" i="105"/>
  <c r="BX41" i="105"/>
  <c r="CY39" i="105"/>
  <c r="DA39" i="105" s="1"/>
  <c r="CT44" i="105"/>
  <c r="CS38" i="105"/>
  <c r="CU38" i="105" s="1"/>
  <c r="CJ8" i="105"/>
  <c r="CP38" i="105"/>
  <c r="CR38" i="105" s="1"/>
  <c r="CJ10" i="105"/>
  <c r="AD79" i="105"/>
  <c r="CV41" i="105"/>
  <c r="CX41" i="105" s="1"/>
  <c r="CY41" i="105"/>
  <c r="DA41" i="105" s="1"/>
  <c r="CJ16" i="105"/>
  <c r="CP39" i="105"/>
  <c r="CR39" i="105" s="1"/>
  <c r="CS39" i="105"/>
  <c r="CU39" i="105" s="1"/>
  <c r="CS41" i="105"/>
  <c r="CU41" i="105" s="1"/>
  <c r="CP41" i="105"/>
  <c r="CR41" i="105" s="1"/>
  <c r="CJ20" i="105"/>
  <c r="BP15" i="105"/>
  <c r="CV40" i="105"/>
  <c r="CX40" i="105" s="1"/>
  <c r="CY40" i="105"/>
  <c r="DA40" i="105" s="1"/>
  <c r="CK22" i="105"/>
  <c r="CG78" i="105"/>
  <c r="CH78" i="105" s="1"/>
  <c r="CS43" i="105"/>
  <c r="CU43" i="105" s="1"/>
  <c r="CJ27" i="105"/>
  <c r="CP43" i="105"/>
  <c r="CR43" i="105" s="1"/>
  <c r="CJ13" i="105"/>
  <c r="CV38" i="105"/>
  <c r="CX38" i="105" s="1"/>
  <c r="CK8" i="105"/>
  <c r="CY38" i="105"/>
  <c r="DA38" i="105" s="1"/>
  <c r="CP42" i="105"/>
  <c r="CR42" i="105" s="1"/>
  <c r="CS42" i="105"/>
  <c r="CU42" i="105" s="1"/>
  <c r="BX44" i="105"/>
  <c r="BY44" i="105"/>
  <c r="CY43" i="105"/>
  <c r="DA43" i="105" s="1"/>
  <c r="CK27" i="105"/>
  <c r="CV43" i="105"/>
  <c r="CX43" i="105" s="1"/>
  <c r="CJ12" i="105"/>
  <c r="AD45" i="105"/>
  <c r="CJ22" i="105"/>
  <c r="CP40" i="105"/>
  <c r="CR40" i="105" s="1"/>
  <c r="CS40" i="105"/>
  <c r="CU40" i="105" s="1"/>
  <c r="CY42" i="105"/>
  <c r="DA42" i="105" s="1"/>
  <c r="CV42" i="105"/>
  <c r="CX42" i="105" s="1"/>
  <c r="CV44" i="105"/>
  <c r="CX44" i="105" s="1"/>
  <c r="CY44" i="105"/>
  <c r="DA44" i="105" s="1"/>
  <c r="CJ14" i="105"/>
  <c r="CK18" i="105"/>
  <c r="BP25" i="105"/>
  <c r="CJ11" i="105"/>
  <c r="BT44" i="105"/>
  <c r="CV39" i="105"/>
  <c r="CX39" i="105" s="1"/>
  <c r="AD13" i="105"/>
  <c r="BQ18" i="105"/>
  <c r="BQ21" i="105"/>
  <c r="BQ44" i="105"/>
  <c r="BQ20" i="105"/>
  <c r="BQ30" i="105"/>
  <c r="BS41" i="105"/>
  <c r="BZ38" i="105"/>
  <c r="CA38" i="105" s="1"/>
  <c r="BR31" i="105"/>
  <c r="BQ11" i="105"/>
  <c r="CC38" i="105"/>
  <c r="BR11" i="105"/>
  <c r="BS40" i="105"/>
  <c r="BZ43" i="105"/>
  <c r="CA43" i="105" s="1"/>
  <c r="CC43" i="105"/>
  <c r="CD43" i="105" s="1"/>
  <c r="CC41" i="105"/>
  <c r="CD41" i="105" s="1"/>
  <c r="BZ41" i="105"/>
  <c r="CA41" i="105" s="1"/>
  <c r="BT39" i="105"/>
  <c r="BW39" i="105"/>
  <c r="BZ39" i="105"/>
  <c r="CA39" i="105" s="1"/>
  <c r="CC39" i="105"/>
  <c r="CD39" i="105" s="1"/>
  <c r="BP8" i="105"/>
  <c r="BW40" i="105"/>
  <c r="BT40" i="105"/>
  <c r="CC40" i="105"/>
  <c r="CD40" i="105" s="1"/>
  <c r="BZ40" i="105"/>
  <c r="CA40" i="105" s="1"/>
  <c r="BW42" i="105"/>
  <c r="BT42" i="105"/>
  <c r="BS38" i="105"/>
  <c r="BM100" i="105" s="1"/>
  <c r="BW38" i="105"/>
  <c r="BT38" i="105"/>
  <c r="BS43" i="105"/>
  <c r="BS39" i="105"/>
  <c r="BQ26" i="105"/>
  <c r="CC42" i="105"/>
  <c r="CD42" i="105" s="1"/>
  <c r="BZ42" i="105"/>
  <c r="CA42" i="105" s="1"/>
  <c r="BP38" i="105"/>
  <c r="BM78" i="105"/>
  <c r="BN78" i="105" s="1"/>
  <c r="BS31" i="105"/>
  <c r="CC44" i="105"/>
  <c r="CD44" i="105" s="1"/>
  <c r="BZ44" i="105"/>
  <c r="CA44" i="105" s="1"/>
  <c r="BT43" i="105"/>
  <c r="BW43" i="105"/>
  <c r="BP27" i="105"/>
  <c r="BQ12" i="105"/>
  <c r="BS44" i="105"/>
  <c r="BR42" i="105"/>
  <c r="AX41" i="105"/>
  <c r="AQ100" i="105" s="1"/>
  <c r="BR40" i="105"/>
  <c r="BR18" i="105"/>
  <c r="BR20" i="105"/>
  <c r="BS42" i="105"/>
  <c r="BR41" i="105"/>
  <c r="BR16" i="105"/>
  <c r="BR14" i="105"/>
  <c r="BR25" i="105"/>
  <c r="BR28" i="105"/>
  <c r="BR43" i="105"/>
  <c r="AV39" i="105"/>
  <c r="AX44" i="105"/>
  <c r="CO19" i="105"/>
  <c r="BR30" i="105"/>
  <c r="BR13" i="105"/>
  <c r="BQ22" i="105"/>
  <c r="BQ13" i="105"/>
  <c r="BR9" i="105"/>
  <c r="BR10" i="105"/>
  <c r="BR29" i="105"/>
  <c r="BQ41" i="105"/>
  <c r="BQ40" i="105"/>
  <c r="BP22" i="105"/>
  <c r="BQ31" i="105"/>
  <c r="BS15" i="105"/>
  <c r="BR15" i="105"/>
  <c r="BR22" i="105"/>
  <c r="BR23" i="105"/>
  <c r="BR27" i="105"/>
  <c r="BR17" i="105"/>
  <c r="CN41" i="105"/>
  <c r="BR19" i="105"/>
  <c r="BR39" i="105"/>
  <c r="BP43" i="105"/>
  <c r="BR24" i="105"/>
  <c r="BQ10" i="105"/>
  <c r="CN14" i="105"/>
  <c r="BQ39" i="105"/>
  <c r="CN17" i="105"/>
  <c r="BP30" i="105"/>
  <c r="BQ14" i="105"/>
  <c r="BR21" i="105"/>
  <c r="BR8" i="105"/>
  <c r="BP14" i="105"/>
  <c r="BQ8" i="105"/>
  <c r="BQ9" i="105"/>
  <c r="BQ28" i="105"/>
  <c r="BQ15" i="105"/>
  <c r="BS10" i="105"/>
  <c r="BS22" i="105"/>
  <c r="BR12" i="105"/>
  <c r="BQ17" i="105"/>
  <c r="BQ29" i="105"/>
  <c r="BQ43" i="105"/>
  <c r="BQ27" i="105"/>
  <c r="BS11" i="105"/>
  <c r="BQ23" i="105"/>
  <c r="BR38" i="105"/>
  <c r="BR26" i="105"/>
  <c r="BR44" i="105"/>
  <c r="BQ38" i="105"/>
  <c r="BQ42" i="105"/>
  <c r="BQ16" i="105"/>
  <c r="BA44" i="105"/>
  <c r="AZ44" i="105"/>
  <c r="BA41" i="105"/>
  <c r="AZ41" i="105"/>
  <c r="BG41" i="105"/>
  <c r="BF41" i="105"/>
  <c r="BG42" i="105"/>
  <c r="BF42" i="105"/>
  <c r="BD44" i="105"/>
  <c r="BC44" i="105"/>
  <c r="BD41" i="105"/>
  <c r="BC41" i="105"/>
  <c r="BI41" i="105"/>
  <c r="BJ41" i="105"/>
  <c r="BI42" i="105"/>
  <c r="BJ42" i="105"/>
  <c r="BG40" i="105"/>
  <c r="BF40" i="105"/>
  <c r="BA40" i="105"/>
  <c r="AZ40" i="105"/>
  <c r="BA42" i="105"/>
  <c r="AZ42" i="105"/>
  <c r="BG39" i="105"/>
  <c r="BF39" i="105"/>
  <c r="BJ40" i="105"/>
  <c r="BI40" i="105"/>
  <c r="BC40" i="105"/>
  <c r="BD40" i="105"/>
  <c r="BD42" i="105"/>
  <c r="BC42" i="105"/>
  <c r="BJ39" i="105"/>
  <c r="BI39" i="105"/>
  <c r="BA39" i="105"/>
  <c r="AZ39" i="105"/>
  <c r="BG44" i="105"/>
  <c r="BF44" i="105"/>
  <c r="BG38" i="105"/>
  <c r="AQ104" i="105"/>
  <c r="AR104" i="105" s="1"/>
  <c r="BG43" i="105"/>
  <c r="BF43" i="105"/>
  <c r="BA43" i="105"/>
  <c r="AZ43" i="105"/>
  <c r="BD39" i="105"/>
  <c r="BJ44" i="105"/>
  <c r="BI44" i="105"/>
  <c r="BI38" i="105"/>
  <c r="AQ108" i="105"/>
  <c r="AR108" i="105" s="1"/>
  <c r="BI43" i="105"/>
  <c r="BJ43" i="105"/>
  <c r="BD43" i="105"/>
  <c r="BC43" i="105"/>
  <c r="CL43" i="105"/>
  <c r="CL9" i="105"/>
  <c r="CN30" i="105"/>
  <c r="CL40" i="105"/>
  <c r="BQ19" i="105"/>
  <c r="BS16" i="105"/>
  <c r="BS8" i="105"/>
  <c r="CM17" i="105"/>
  <c r="CM29" i="105"/>
  <c r="BS14" i="105"/>
  <c r="BS20" i="105"/>
  <c r="BS18" i="105"/>
  <c r="BS28" i="105"/>
  <c r="BS21" i="105"/>
  <c r="BS30" i="105"/>
  <c r="BS13" i="105"/>
  <c r="BS27" i="105"/>
  <c r="BS12" i="105"/>
  <c r="BS29" i="105"/>
  <c r="BS9" i="105"/>
  <c r="BS25" i="105"/>
  <c r="BS17" i="105"/>
  <c r="BS23" i="105"/>
  <c r="BS19" i="105"/>
  <c r="BS26" i="105"/>
  <c r="BS24" i="105"/>
  <c r="CL44" i="105"/>
  <c r="CL31" i="105"/>
  <c r="CM42" i="105"/>
  <c r="CO39" i="105"/>
  <c r="CK40" i="105"/>
  <c r="CM41" i="105"/>
  <c r="CO38" i="105"/>
  <c r="CL38" i="105"/>
  <c r="CO20" i="105"/>
  <c r="CO12" i="105"/>
  <c r="CN40" i="105"/>
  <c r="CN16" i="105"/>
  <c r="CM39" i="105"/>
  <c r="CO44" i="105"/>
  <c r="CK41" i="105"/>
  <c r="CJ39" i="105"/>
  <c r="CO41" i="105"/>
  <c r="CM38" i="105"/>
  <c r="CO17" i="105"/>
  <c r="CO13" i="105"/>
  <c r="CL41" i="105"/>
  <c r="CK31" i="105"/>
  <c r="CM44" i="105"/>
  <c r="CO18" i="105"/>
  <c r="CK38" i="105"/>
  <c r="CO40" i="105"/>
  <c r="CO23" i="105"/>
  <c r="CO43" i="105"/>
  <c r="CO26" i="105"/>
  <c r="CO16" i="105"/>
  <c r="CO31" i="105"/>
  <c r="CO21" i="105"/>
  <c r="CL20" i="105"/>
  <c r="CO15" i="105"/>
  <c r="CO30" i="105"/>
  <c r="CJ25" i="105"/>
  <c r="CO11" i="105"/>
  <c r="CK42" i="105"/>
  <c r="CM12" i="105"/>
  <c r="CM8" i="105"/>
  <c r="CM22" i="105"/>
  <c r="CM43" i="105"/>
  <c r="CN18" i="105"/>
  <c r="CM26" i="105"/>
  <c r="CK25" i="105"/>
  <c r="CL25" i="105"/>
  <c r="CL42" i="105"/>
  <c r="CO27" i="105"/>
  <c r="CK39" i="105"/>
  <c r="CL18" i="105"/>
  <c r="CM23" i="105"/>
  <c r="CM24" i="105"/>
  <c r="CL28" i="105"/>
  <c r="CM31" i="105"/>
  <c r="CO10" i="105"/>
  <c r="CO42" i="105"/>
  <c r="CM40" i="105"/>
  <c r="CO8" i="105"/>
  <c r="CO22" i="105"/>
  <c r="CO28" i="105"/>
  <c r="CL39" i="105"/>
  <c r="CK26" i="105"/>
  <c r="CO25" i="105"/>
  <c r="CO24" i="105"/>
  <c r="CN28" i="105"/>
  <c r="CK43" i="105"/>
  <c r="CL12" i="105"/>
  <c r="CN31" i="105"/>
  <c r="CL13" i="105"/>
  <c r="CO29" i="105"/>
  <c r="CN25" i="105"/>
  <c r="CM27" i="105"/>
  <c r="CL23" i="105"/>
  <c r="CL24" i="105"/>
  <c r="CN39" i="105"/>
  <c r="CL14" i="105"/>
  <c r="CN9" i="105"/>
  <c r="CN43" i="105"/>
  <c r="CL15" i="105"/>
  <c r="CL11" i="105"/>
  <c r="CN12" i="105"/>
  <c r="CN26" i="105"/>
  <c r="CM30" i="105"/>
  <c r="CM13" i="105"/>
  <c r="CM14" i="105"/>
  <c r="CM28" i="105"/>
  <c r="CL27" i="105"/>
  <c r="CJ31" i="105"/>
  <c r="CN23" i="105"/>
  <c r="CN24" i="105"/>
  <c r="CN13" i="105"/>
  <c r="CL8" i="105"/>
  <c r="CL19" i="105"/>
  <c r="CM16" i="105"/>
  <c r="CL29" i="105"/>
  <c r="CM15" i="105"/>
  <c r="CN42" i="105"/>
  <c r="CN15" i="105"/>
  <c r="CJ42" i="105"/>
  <c r="BA38" i="105"/>
  <c r="AZ38" i="105"/>
  <c r="AQ84" i="105" s="1"/>
  <c r="AQ85" i="105"/>
  <c r="AR85" i="105" s="1"/>
  <c r="CJ44" i="105"/>
  <c r="CJ38" i="105"/>
  <c r="BC38" i="105"/>
  <c r="CK44" i="105"/>
  <c r="CN11" i="105"/>
  <c r="CL26" i="105"/>
  <c r="CO14" i="105"/>
  <c r="CM20" i="105"/>
  <c r="CN29" i="105"/>
  <c r="CL10" i="105"/>
  <c r="CJ26" i="105"/>
  <c r="CN21" i="105"/>
  <c r="CM19" i="105"/>
  <c r="CM9" i="105"/>
  <c r="CL22" i="105"/>
  <c r="CN8" i="105"/>
  <c r="CM21" i="105"/>
  <c r="CM10" i="105"/>
  <c r="CM18" i="105"/>
  <c r="CN20" i="105"/>
  <c r="CJ43" i="105"/>
  <c r="CJ41" i="105"/>
  <c r="CL21" i="105"/>
  <c r="CN44" i="105"/>
  <c r="CN27" i="105"/>
  <c r="CN19" i="105"/>
  <c r="CN10" i="105"/>
  <c r="CM11" i="105"/>
  <c r="CL17" i="105"/>
  <c r="CN38" i="105"/>
  <c r="CO9" i="105"/>
  <c r="CN22" i="105"/>
  <c r="CM25" i="105"/>
  <c r="CL30" i="105"/>
  <c r="CL16" i="105"/>
  <c r="CJ40" i="105"/>
  <c r="AQ105" i="105" l="1"/>
  <c r="BM81" i="105"/>
  <c r="BR88" i="105" s="1"/>
  <c r="CG79" i="105"/>
  <c r="CH79" i="105" s="1"/>
  <c r="CB38" i="105"/>
  <c r="BM79" i="105"/>
  <c r="BN79" i="105" s="1"/>
  <c r="BM98" i="105"/>
  <c r="BN98" i="105" s="1"/>
  <c r="BR107" i="105" s="1"/>
  <c r="BM108" i="105"/>
  <c r="BN108" i="105" s="1"/>
  <c r="BM104" i="105"/>
  <c r="BN104" i="105" s="1"/>
  <c r="BM103" i="105"/>
  <c r="AQ107" i="105"/>
  <c r="AV107" i="105"/>
  <c r="AQ103" i="105"/>
  <c r="CG100" i="105"/>
  <c r="AQ109" i="105"/>
  <c r="AR109" i="105" s="1"/>
  <c r="AQ88" i="105"/>
  <c r="CG98" i="105"/>
  <c r="CH98" i="105" s="1"/>
  <c r="BU43" i="105"/>
  <c r="BV43" i="105"/>
  <c r="BY38" i="105"/>
  <c r="BM90" i="105" s="1"/>
  <c r="BN90" i="105" s="1"/>
  <c r="BX38" i="105"/>
  <c r="BM88" i="105" s="1"/>
  <c r="BM89" i="105"/>
  <c r="BN89" i="105" s="1"/>
  <c r="BV40" i="105"/>
  <c r="BU40" i="105"/>
  <c r="BV39" i="105"/>
  <c r="BU39" i="105"/>
  <c r="BV44" i="105"/>
  <c r="BU44" i="105"/>
  <c r="CW44" i="105"/>
  <c r="CG109" i="105"/>
  <c r="CH109" i="105" s="1"/>
  <c r="CZ38" i="105"/>
  <c r="CG108" i="105"/>
  <c r="CH108" i="105" s="1"/>
  <c r="CT43" i="105"/>
  <c r="CQ39" i="105"/>
  <c r="CZ39" i="105"/>
  <c r="BX40" i="105"/>
  <c r="BY40" i="105"/>
  <c r="CW42" i="105"/>
  <c r="CZ43" i="105"/>
  <c r="CQ38" i="105"/>
  <c r="CG85" i="105"/>
  <c r="CH85" i="105" s="1"/>
  <c r="BV42" i="105"/>
  <c r="BU42" i="105"/>
  <c r="CZ42" i="105"/>
  <c r="CW38" i="105"/>
  <c r="CG104" i="105"/>
  <c r="CH104" i="105" s="1"/>
  <c r="CZ41" i="105"/>
  <c r="BY42" i="105"/>
  <c r="BX42" i="105"/>
  <c r="CW39" i="105"/>
  <c r="CT40" i="105"/>
  <c r="CQ41" i="105"/>
  <c r="CW41" i="105"/>
  <c r="CT38" i="105"/>
  <c r="CG89" i="105"/>
  <c r="CH89" i="105" s="1"/>
  <c r="BM107" i="105"/>
  <c r="CD38" i="105"/>
  <c r="CQ40" i="105"/>
  <c r="CT42" i="105"/>
  <c r="CQ43" i="105"/>
  <c r="CZ40" i="105"/>
  <c r="CT41" i="105"/>
  <c r="CG81" i="105"/>
  <c r="CL88" i="105" s="1"/>
  <c r="BX43" i="105"/>
  <c r="BY43" i="105"/>
  <c r="BV38" i="105"/>
  <c r="BU38" i="105"/>
  <c r="BM84" i="105" s="1"/>
  <c r="BM85" i="105"/>
  <c r="BN85" i="105" s="1"/>
  <c r="BX39" i="105"/>
  <c r="BY39" i="105"/>
  <c r="CZ44" i="105"/>
  <c r="CW43" i="105"/>
  <c r="CQ42" i="105"/>
  <c r="CW40" i="105"/>
  <c r="CT39" i="105"/>
  <c r="CE38" i="105"/>
  <c r="CB43" i="105"/>
  <c r="CE44" i="105"/>
  <c r="CB41" i="105"/>
  <c r="CE41" i="105"/>
  <c r="CE39" i="105"/>
  <c r="CE43" i="105"/>
  <c r="CB42" i="105"/>
  <c r="CB40" i="105"/>
  <c r="CB39" i="105"/>
  <c r="CB44" i="105"/>
  <c r="CE42" i="105"/>
  <c r="CE40" i="105"/>
  <c r="AQ86" i="105"/>
  <c r="AR86" i="105" s="1"/>
  <c r="AR105" i="105"/>
  <c r="N79" i="85"/>
  <c r="M79" i="85"/>
  <c r="CG84" i="105" l="1"/>
  <c r="CG103" i="105"/>
  <c r="BM109" i="105"/>
  <c r="BN109" i="105" s="1"/>
  <c r="CL107" i="105"/>
  <c r="AV100" i="105"/>
  <c r="AW112" i="105" s="1"/>
  <c r="AV82" i="105"/>
  <c r="AW92" i="105" s="1"/>
  <c r="CG90" i="105"/>
  <c r="CH90" i="105" s="1"/>
  <c r="CG88" i="105"/>
  <c r="CG107" i="105"/>
  <c r="CG105" i="105"/>
  <c r="CH105" i="105" s="1"/>
  <c r="CG86" i="105"/>
  <c r="CH86" i="105" s="1"/>
  <c r="BM86" i="105"/>
  <c r="BN86" i="105" s="1"/>
  <c r="BR82" i="105" s="1"/>
  <c r="BM105" i="105"/>
  <c r="BN105" i="105" s="1"/>
  <c r="CL100" i="105" l="1"/>
  <c r="CM112" i="105" s="1"/>
  <c r="CL82" i="105"/>
  <c r="CM92" i="105" s="1"/>
  <c r="BR100" i="105"/>
  <c r="BS92" i="105"/>
  <c r="BS112" i="105" l="1"/>
  <c r="AQ4" i="94"/>
  <c r="AP4" i="94"/>
  <c r="AO4" i="94"/>
  <c r="AN4" i="94"/>
  <c r="AM4" i="94"/>
  <c r="AL4" i="94"/>
  <c r="AK4" i="94"/>
  <c r="AJ4" i="94"/>
  <c r="AI4" i="94"/>
  <c r="AH4" i="94"/>
  <c r="AG4" i="94"/>
  <c r="O10" i="35" l="1"/>
  <c r="N10" i="35"/>
  <c r="P10" i="35" s="1"/>
  <c r="O9" i="35"/>
  <c r="N9" i="35"/>
  <c r="O8" i="35"/>
  <c r="N8" i="35"/>
  <c r="P8" i="35" s="1"/>
  <c r="O7" i="35"/>
  <c r="N7" i="35"/>
  <c r="P7" i="35" s="1"/>
  <c r="O6" i="35"/>
  <c r="N6" i="35"/>
  <c r="O10" i="55"/>
  <c r="N10" i="55"/>
  <c r="O9" i="55"/>
  <c r="N9" i="55"/>
  <c r="O8" i="55"/>
  <c r="P8" i="55" s="1"/>
  <c r="N8" i="55"/>
  <c r="O7" i="55"/>
  <c r="N7" i="55"/>
  <c r="O6" i="55"/>
  <c r="N6" i="55"/>
  <c r="N7" i="5"/>
  <c r="O7" i="5"/>
  <c r="N8" i="5"/>
  <c r="O8" i="5"/>
  <c r="N9" i="5"/>
  <c r="P9" i="5" s="1"/>
  <c r="O9" i="5"/>
  <c r="N10" i="5"/>
  <c r="P10" i="5" s="1"/>
  <c r="O10" i="5"/>
  <c r="O6" i="5"/>
  <c r="N6" i="5"/>
  <c r="P6" i="5" s="1"/>
  <c r="M6" i="41"/>
  <c r="N21" i="43"/>
  <c r="N20" i="43"/>
  <c r="O19" i="43"/>
  <c r="N19" i="43"/>
  <c r="P20" i="43" s="1"/>
  <c r="M21" i="48"/>
  <c r="N20" i="48"/>
  <c r="M20" i="48"/>
  <c r="O20" i="48" s="1"/>
  <c r="M19" i="48"/>
  <c r="P6" i="56"/>
  <c r="O6" i="56"/>
  <c r="O24" i="56"/>
  <c r="P24" i="56" s="1"/>
  <c r="O30" i="34"/>
  <c r="O11" i="34"/>
  <c r="O12" i="34"/>
  <c r="O13" i="34"/>
  <c r="O14" i="34"/>
  <c r="O15" i="34"/>
  <c r="O16" i="34"/>
  <c r="O17" i="34"/>
  <c r="O18" i="34"/>
  <c r="O19" i="34"/>
  <c r="O20" i="34"/>
  <c r="O21" i="34"/>
  <c r="O22" i="34"/>
  <c r="O23" i="34"/>
  <c r="O24" i="34"/>
  <c r="O25" i="34"/>
  <c r="O26" i="34"/>
  <c r="O27" i="34"/>
  <c r="O28" i="34"/>
  <c r="O29" i="34"/>
  <c r="O9" i="34"/>
  <c r="O7" i="34"/>
  <c r="O8" i="34"/>
  <c r="O10" i="34"/>
  <c r="O6" i="34"/>
  <c r="Y31" i="2"/>
  <c r="X31" i="2"/>
  <c r="W31" i="2"/>
  <c r="V31" i="2"/>
  <c r="U31" i="2"/>
  <c r="T31" i="2"/>
  <c r="S31" i="2"/>
  <c r="R31" i="2"/>
  <c r="Q31" i="2"/>
  <c r="P31" i="2"/>
  <c r="O31" i="2"/>
  <c r="Y28" i="2"/>
  <c r="X28" i="2"/>
  <c r="W28" i="2"/>
  <c r="V28" i="2"/>
  <c r="U28" i="2"/>
  <c r="T28" i="2"/>
  <c r="S28" i="2"/>
  <c r="R28" i="2"/>
  <c r="Q28" i="2"/>
  <c r="P28" i="2"/>
  <c r="O28" i="2"/>
  <c r="Y25" i="2"/>
  <c r="X25" i="2"/>
  <c r="W25" i="2"/>
  <c r="V25" i="2"/>
  <c r="U25" i="2"/>
  <c r="T25" i="2"/>
  <c r="S25" i="2"/>
  <c r="R25" i="2"/>
  <c r="Q25" i="2"/>
  <c r="P25" i="2"/>
  <c r="O25" i="2"/>
  <c r="Y22" i="2"/>
  <c r="X22" i="2"/>
  <c r="W22" i="2"/>
  <c r="V22" i="2"/>
  <c r="U22" i="2"/>
  <c r="T22" i="2"/>
  <c r="S22" i="2"/>
  <c r="R22" i="2"/>
  <c r="Q22" i="2"/>
  <c r="P22" i="2"/>
  <c r="O22" i="2"/>
  <c r="Y19" i="2"/>
  <c r="X19" i="2"/>
  <c r="W19" i="2"/>
  <c r="V19" i="2"/>
  <c r="U19" i="2"/>
  <c r="T19" i="2"/>
  <c r="S19" i="2"/>
  <c r="R19" i="2"/>
  <c r="Q19" i="2"/>
  <c r="P19" i="2"/>
  <c r="O19" i="2"/>
  <c r="Y16" i="2"/>
  <c r="X16" i="2"/>
  <c r="W16" i="2"/>
  <c r="V16" i="2"/>
  <c r="U16" i="2"/>
  <c r="T16" i="2"/>
  <c r="S16" i="2"/>
  <c r="R16" i="2"/>
  <c r="Q16" i="2"/>
  <c r="P16" i="2"/>
  <c r="O16" i="2"/>
  <c r="Y13" i="2"/>
  <c r="X13" i="2"/>
  <c r="W13" i="2"/>
  <c r="V13" i="2"/>
  <c r="U13" i="2"/>
  <c r="T13" i="2"/>
  <c r="S13" i="2"/>
  <c r="R13" i="2"/>
  <c r="Q13" i="2"/>
  <c r="P13" i="2"/>
  <c r="O13" i="2"/>
  <c r="Y10" i="2"/>
  <c r="X10" i="2"/>
  <c r="W10" i="2"/>
  <c r="V10" i="2"/>
  <c r="U10" i="2"/>
  <c r="T10" i="2"/>
  <c r="S10" i="2"/>
  <c r="R10" i="2"/>
  <c r="Q10" i="2"/>
  <c r="P10" i="2"/>
  <c r="O10" i="2"/>
  <c r="P7" i="2"/>
  <c r="Q7" i="2"/>
  <c r="R7" i="2"/>
  <c r="S7" i="2"/>
  <c r="T7" i="2"/>
  <c r="U7" i="2"/>
  <c r="V7" i="2"/>
  <c r="W7" i="2"/>
  <c r="X7" i="2"/>
  <c r="Y7" i="2"/>
  <c r="O7" i="2"/>
  <c r="P5" i="2"/>
  <c r="Q5" i="2"/>
  <c r="R5" i="2"/>
  <c r="S5" i="2"/>
  <c r="T5" i="2"/>
  <c r="U5" i="2"/>
  <c r="V5" i="2"/>
  <c r="W5" i="2"/>
  <c r="X5" i="2"/>
  <c r="Y5" i="2"/>
  <c r="P8" i="2"/>
  <c r="Q8" i="2"/>
  <c r="R8" i="2"/>
  <c r="S8" i="2"/>
  <c r="T8" i="2"/>
  <c r="U8" i="2"/>
  <c r="V8" i="2"/>
  <c r="W8" i="2"/>
  <c r="X8" i="2"/>
  <c r="Y8" i="2"/>
  <c r="P11" i="2"/>
  <c r="Q11" i="2"/>
  <c r="R11" i="2"/>
  <c r="S11" i="2"/>
  <c r="T11" i="2"/>
  <c r="U11" i="2"/>
  <c r="V11" i="2"/>
  <c r="W11" i="2"/>
  <c r="X11" i="2"/>
  <c r="Y11" i="2"/>
  <c r="P14" i="2"/>
  <c r="Q14" i="2"/>
  <c r="R14" i="2"/>
  <c r="S14" i="2"/>
  <c r="T14" i="2"/>
  <c r="U14" i="2"/>
  <c r="V14" i="2"/>
  <c r="W14" i="2"/>
  <c r="X14" i="2"/>
  <c r="Y14" i="2"/>
  <c r="P17" i="2"/>
  <c r="Q17" i="2"/>
  <c r="R17" i="2"/>
  <c r="S17" i="2"/>
  <c r="T17" i="2"/>
  <c r="U17" i="2"/>
  <c r="V17" i="2"/>
  <c r="W17" i="2"/>
  <c r="X17" i="2"/>
  <c r="Y17" i="2"/>
  <c r="P20" i="2"/>
  <c r="Q20" i="2"/>
  <c r="R20" i="2"/>
  <c r="Z20" i="2" s="1"/>
  <c r="S20" i="2"/>
  <c r="T20" i="2"/>
  <c r="U20" i="2"/>
  <c r="V20" i="2"/>
  <c r="W20" i="2"/>
  <c r="X20" i="2"/>
  <c r="Y20" i="2"/>
  <c r="P23" i="2"/>
  <c r="Q23" i="2"/>
  <c r="R23" i="2"/>
  <c r="S23" i="2"/>
  <c r="T23" i="2"/>
  <c r="U23" i="2"/>
  <c r="V23" i="2"/>
  <c r="W23" i="2"/>
  <c r="X23" i="2"/>
  <c r="Y23" i="2"/>
  <c r="P26" i="2"/>
  <c r="Q26" i="2"/>
  <c r="R26" i="2"/>
  <c r="S26" i="2"/>
  <c r="T26" i="2"/>
  <c r="U26" i="2"/>
  <c r="V26" i="2"/>
  <c r="W26" i="2"/>
  <c r="X26" i="2"/>
  <c r="Y26" i="2"/>
  <c r="P29" i="2"/>
  <c r="Q29" i="2"/>
  <c r="R29" i="2"/>
  <c r="S29" i="2"/>
  <c r="T29" i="2"/>
  <c r="U29" i="2"/>
  <c r="V29" i="2"/>
  <c r="W29" i="2"/>
  <c r="X29" i="2"/>
  <c r="Y29" i="2"/>
  <c r="O29" i="2"/>
  <c r="O26" i="2"/>
  <c r="O23" i="2"/>
  <c r="O20" i="2"/>
  <c r="O17" i="2"/>
  <c r="O14" i="2"/>
  <c r="O11" i="2"/>
  <c r="O8" i="2"/>
  <c r="O5" i="2"/>
  <c r="P4" i="2"/>
  <c r="Q4" i="2"/>
  <c r="R4" i="2"/>
  <c r="S4" i="2"/>
  <c r="T4" i="2"/>
  <c r="U4" i="2"/>
  <c r="V4" i="2"/>
  <c r="W4" i="2"/>
  <c r="X4" i="2"/>
  <c r="Y4" i="2"/>
  <c r="O4" i="2"/>
  <c r="AV23" i="16"/>
  <c r="AU23" i="16"/>
  <c r="AT23" i="16"/>
  <c r="AS23" i="16"/>
  <c r="AR23" i="16"/>
  <c r="AQ23" i="16"/>
  <c r="AP23" i="16"/>
  <c r="AO23" i="16"/>
  <c r="AN23" i="16"/>
  <c r="AM23" i="16"/>
  <c r="AL23" i="16"/>
  <c r="AK23" i="16"/>
  <c r="AJ23" i="16"/>
  <c r="AI23" i="16"/>
  <c r="AH23" i="16"/>
  <c r="AG23" i="16"/>
  <c r="AF23" i="16"/>
  <c r="AE23" i="16"/>
  <c r="AD23" i="16"/>
  <c r="AC23" i="16"/>
  <c r="AB23" i="16"/>
  <c r="AA23" i="16"/>
  <c r="Z23" i="16"/>
  <c r="Y23" i="16"/>
  <c r="X23" i="16"/>
  <c r="W23" i="16"/>
  <c r="V23" i="16"/>
  <c r="U23" i="16"/>
  <c r="T23" i="16"/>
  <c r="S23" i="16"/>
  <c r="R23" i="16"/>
  <c r="Q23" i="16"/>
  <c r="P23" i="16"/>
  <c r="O23" i="16"/>
  <c r="N23"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Q22" i="16"/>
  <c r="P22" i="16"/>
  <c r="O22" i="16"/>
  <c r="N22" i="16"/>
  <c r="AV21" i="16"/>
  <c r="AU21" i="16"/>
  <c r="AT21" i="16"/>
  <c r="AS21" i="16"/>
  <c r="AR21" i="16"/>
  <c r="AQ21" i="16"/>
  <c r="AP21" i="16"/>
  <c r="AO21" i="16"/>
  <c r="AN21" i="16"/>
  <c r="AM21" i="16"/>
  <c r="AL21" i="16"/>
  <c r="AK21" i="16"/>
  <c r="AJ21" i="16"/>
  <c r="AI21" i="16"/>
  <c r="AH21" i="16"/>
  <c r="AG21" i="16"/>
  <c r="AF21" i="16"/>
  <c r="AE21" i="16"/>
  <c r="AD21" i="16"/>
  <c r="AC21" i="16"/>
  <c r="AB21" i="16"/>
  <c r="AA21" i="16"/>
  <c r="Z21" i="16"/>
  <c r="Y21" i="16"/>
  <c r="X21" i="16"/>
  <c r="W21" i="16"/>
  <c r="V21" i="16"/>
  <c r="U21" i="16"/>
  <c r="T21" i="16"/>
  <c r="S21" i="16"/>
  <c r="R21" i="16"/>
  <c r="Q21" i="16"/>
  <c r="P21" i="16"/>
  <c r="O21" i="16"/>
  <c r="N21" i="16"/>
  <c r="AV20" i="16"/>
  <c r="AU20" i="16"/>
  <c r="AT20" i="16"/>
  <c r="AS20" i="16"/>
  <c r="AR20" i="16"/>
  <c r="AQ20" i="16"/>
  <c r="AP20" i="16"/>
  <c r="AO20" i="16"/>
  <c r="AN20" i="16"/>
  <c r="AM20" i="16"/>
  <c r="AL20" i="16"/>
  <c r="AK20" i="16"/>
  <c r="AJ20" i="16"/>
  <c r="AI20" i="16"/>
  <c r="AH20" i="16"/>
  <c r="AG20" i="16"/>
  <c r="AF20" i="16"/>
  <c r="AE20" i="16"/>
  <c r="AD20" i="16"/>
  <c r="AC20" i="16"/>
  <c r="AB20" i="16"/>
  <c r="AA20" i="16"/>
  <c r="Z20" i="16"/>
  <c r="Y20" i="16"/>
  <c r="X20" i="16"/>
  <c r="W20" i="16"/>
  <c r="V20" i="16"/>
  <c r="U20" i="16"/>
  <c r="T20" i="16"/>
  <c r="S20" i="16"/>
  <c r="R20" i="16"/>
  <c r="Q20" i="16"/>
  <c r="P20" i="16"/>
  <c r="O20" i="16"/>
  <c r="N20" i="16"/>
  <c r="AV19" i="16"/>
  <c r="AU19" i="16"/>
  <c r="AT19" i="16"/>
  <c r="AS19" i="16"/>
  <c r="AR19" i="16"/>
  <c r="AQ19" i="16"/>
  <c r="AP19" i="16"/>
  <c r="AO19" i="16"/>
  <c r="AN19" i="16"/>
  <c r="AM19" i="16"/>
  <c r="AL19" i="16"/>
  <c r="AK19" i="16"/>
  <c r="AJ19" i="16"/>
  <c r="AI19" i="16"/>
  <c r="AH19" i="16"/>
  <c r="AG19" i="16"/>
  <c r="AF19" i="16"/>
  <c r="AE19" i="16"/>
  <c r="AD19" i="16"/>
  <c r="AC19" i="16"/>
  <c r="AB19" i="16"/>
  <c r="AA19" i="16"/>
  <c r="Z19" i="16"/>
  <c r="Y19" i="16"/>
  <c r="X19" i="16"/>
  <c r="W19" i="16"/>
  <c r="V19" i="16"/>
  <c r="U19" i="16"/>
  <c r="T19" i="16"/>
  <c r="S19" i="16"/>
  <c r="R19" i="16"/>
  <c r="Q19" i="16"/>
  <c r="P19" i="16"/>
  <c r="O19" i="16"/>
  <c r="N19" i="16"/>
  <c r="AV18" i="16"/>
  <c r="AU18" i="16"/>
  <c r="AT18" i="16"/>
  <c r="AS18" i="16"/>
  <c r="AR18" i="16"/>
  <c r="AQ18" i="16"/>
  <c r="AP18" i="16"/>
  <c r="AO18" i="16"/>
  <c r="AN18" i="16"/>
  <c r="AM18" i="16"/>
  <c r="AL18" i="16"/>
  <c r="AK18" i="16"/>
  <c r="AJ18" i="16"/>
  <c r="AI18" i="16"/>
  <c r="AH18" i="16"/>
  <c r="AG18" i="16"/>
  <c r="AF18" i="16"/>
  <c r="AE18" i="16"/>
  <c r="AD18" i="16"/>
  <c r="AC18" i="16"/>
  <c r="AB18" i="16"/>
  <c r="AA18" i="16"/>
  <c r="Z18" i="16"/>
  <c r="Y18" i="16"/>
  <c r="X18" i="16"/>
  <c r="W18" i="16"/>
  <c r="V18" i="16"/>
  <c r="U18" i="16"/>
  <c r="T18" i="16"/>
  <c r="S18" i="16"/>
  <c r="R18" i="16"/>
  <c r="Q18" i="16"/>
  <c r="P18" i="16"/>
  <c r="O18" i="16"/>
  <c r="N18" i="16"/>
  <c r="AV17" i="16"/>
  <c r="AU17" i="16"/>
  <c r="AT17" i="16"/>
  <c r="AS17" i="16"/>
  <c r="AR17" i="16"/>
  <c r="AQ17" i="16"/>
  <c r="AP17" i="16"/>
  <c r="AO17" i="16"/>
  <c r="AN17" i="16"/>
  <c r="AM17" i="16"/>
  <c r="AL17" i="16"/>
  <c r="AK17" i="16"/>
  <c r="AJ17" i="16"/>
  <c r="AI17" i="16"/>
  <c r="AH17" i="16"/>
  <c r="AG17" i="16"/>
  <c r="AF17" i="16"/>
  <c r="AE17" i="16"/>
  <c r="AD17" i="16"/>
  <c r="AC17" i="16"/>
  <c r="AB17" i="16"/>
  <c r="AA17" i="16"/>
  <c r="Z17" i="16"/>
  <c r="Y17" i="16"/>
  <c r="X17" i="16"/>
  <c r="W17" i="16"/>
  <c r="V17" i="16"/>
  <c r="U17" i="16"/>
  <c r="T17" i="16"/>
  <c r="S17" i="16"/>
  <c r="R17" i="16"/>
  <c r="Q17" i="16"/>
  <c r="P17" i="16"/>
  <c r="O17" i="16"/>
  <c r="N17" i="16"/>
  <c r="AV16" i="16"/>
  <c r="AU16" i="16"/>
  <c r="AT16" i="16"/>
  <c r="AS16" i="16"/>
  <c r="AR16" i="16"/>
  <c r="AQ16" i="16"/>
  <c r="AP16" i="16"/>
  <c r="AO16" i="16"/>
  <c r="AN16" i="16"/>
  <c r="AM16" i="16"/>
  <c r="AL16" i="16"/>
  <c r="AK16" i="16"/>
  <c r="AJ16" i="16"/>
  <c r="AI16" i="16"/>
  <c r="AH16" i="16"/>
  <c r="AG16" i="16"/>
  <c r="AF16" i="16"/>
  <c r="AE16" i="16"/>
  <c r="AD16" i="16"/>
  <c r="AC16" i="16"/>
  <c r="AB16" i="16"/>
  <c r="AA16" i="16"/>
  <c r="Z16" i="16"/>
  <c r="Y16" i="16"/>
  <c r="X16" i="16"/>
  <c r="W16" i="16"/>
  <c r="V16" i="16"/>
  <c r="U16" i="16"/>
  <c r="T16" i="16"/>
  <c r="S16" i="16"/>
  <c r="R16" i="16"/>
  <c r="Q16" i="16"/>
  <c r="P16" i="16"/>
  <c r="O16" i="16"/>
  <c r="N16" i="16"/>
  <c r="AV15" i="16"/>
  <c r="AU15" i="16"/>
  <c r="AT15" i="16"/>
  <c r="AS15" i="16"/>
  <c r="AR15" i="16"/>
  <c r="AQ15" i="16"/>
  <c r="AP15" i="16"/>
  <c r="AO15" i="16"/>
  <c r="AN15" i="16"/>
  <c r="AM15" i="16"/>
  <c r="AL15" i="16"/>
  <c r="AK15" i="16"/>
  <c r="AJ15" i="16"/>
  <c r="AI15" i="16"/>
  <c r="AH15" i="16"/>
  <c r="AG15" i="16"/>
  <c r="AF15" i="16"/>
  <c r="AE15" i="16"/>
  <c r="AD15" i="16"/>
  <c r="AC15" i="16"/>
  <c r="AB15" i="16"/>
  <c r="AA15" i="16"/>
  <c r="Z15" i="16"/>
  <c r="Y15" i="16"/>
  <c r="X15" i="16"/>
  <c r="W15" i="16"/>
  <c r="V15" i="16"/>
  <c r="U15" i="16"/>
  <c r="T15" i="16"/>
  <c r="S15" i="16"/>
  <c r="R15" i="16"/>
  <c r="Q15" i="16"/>
  <c r="P15" i="16"/>
  <c r="O15" i="16"/>
  <c r="N15" i="16"/>
  <c r="AV14" i="16"/>
  <c r="AU14" i="16"/>
  <c r="AT14" i="16"/>
  <c r="AS14" i="16"/>
  <c r="AR14" i="16"/>
  <c r="AQ14" i="16"/>
  <c r="AP14" i="16"/>
  <c r="AO14" i="16"/>
  <c r="AN14" i="16"/>
  <c r="AM14" i="16"/>
  <c r="AL14" i="16"/>
  <c r="AK14" i="16"/>
  <c r="AJ14" i="16"/>
  <c r="AI14" i="16"/>
  <c r="AH14" i="16"/>
  <c r="AG14" i="16"/>
  <c r="AF14" i="16"/>
  <c r="AE14" i="16"/>
  <c r="AD14" i="16"/>
  <c r="AC14" i="16"/>
  <c r="AB14" i="16"/>
  <c r="AA14" i="16"/>
  <c r="Z14" i="16"/>
  <c r="Y14" i="16"/>
  <c r="X14" i="16"/>
  <c r="W14" i="16"/>
  <c r="V14" i="16"/>
  <c r="U14" i="16"/>
  <c r="T14" i="16"/>
  <c r="S14" i="16"/>
  <c r="R14" i="16"/>
  <c r="Q14" i="16"/>
  <c r="P14" i="16"/>
  <c r="O14" i="16"/>
  <c r="N14" i="16"/>
  <c r="AV13" i="16"/>
  <c r="AU13" i="16"/>
  <c r="AT13" i="16"/>
  <c r="AS13" i="16"/>
  <c r="AR13" i="16"/>
  <c r="AQ13" i="16"/>
  <c r="AP13" i="16"/>
  <c r="AO13" i="16"/>
  <c r="AN13" i="16"/>
  <c r="AM13" i="16"/>
  <c r="AL13" i="16"/>
  <c r="AK13" i="16"/>
  <c r="AJ13" i="16"/>
  <c r="AI13" i="16"/>
  <c r="AH13" i="16"/>
  <c r="AG13" i="16"/>
  <c r="AF13" i="16"/>
  <c r="AE13" i="16"/>
  <c r="AD13" i="16"/>
  <c r="AC13" i="16"/>
  <c r="AB13" i="16"/>
  <c r="AA13" i="16"/>
  <c r="Z13" i="16"/>
  <c r="Y13" i="16"/>
  <c r="X13" i="16"/>
  <c r="W13" i="16"/>
  <c r="V13" i="16"/>
  <c r="U13" i="16"/>
  <c r="T13" i="16"/>
  <c r="S13" i="16"/>
  <c r="R13" i="16"/>
  <c r="Q13" i="16"/>
  <c r="P13" i="16"/>
  <c r="O13" i="16"/>
  <c r="N13" i="16"/>
  <c r="AV12" i="16"/>
  <c r="AU12" i="16"/>
  <c r="AT12" i="16"/>
  <c r="AS12" i="16"/>
  <c r="AR12" i="16"/>
  <c r="AQ12" i="16"/>
  <c r="AP12" i="16"/>
  <c r="AO12" i="16"/>
  <c r="AN12" i="16"/>
  <c r="AM12" i="16"/>
  <c r="AL12" i="16"/>
  <c r="AK12" i="16"/>
  <c r="AJ12" i="16"/>
  <c r="AI12" i="16"/>
  <c r="AH12" i="16"/>
  <c r="AG12" i="16"/>
  <c r="AF12" i="16"/>
  <c r="AE12" i="16"/>
  <c r="AD12" i="16"/>
  <c r="AC12" i="16"/>
  <c r="AB12" i="16"/>
  <c r="AA12" i="16"/>
  <c r="Z12" i="16"/>
  <c r="Y12" i="16"/>
  <c r="X12" i="16"/>
  <c r="W12" i="16"/>
  <c r="V12" i="16"/>
  <c r="U12" i="16"/>
  <c r="T12" i="16"/>
  <c r="S12" i="16"/>
  <c r="R12" i="16"/>
  <c r="Q12" i="16"/>
  <c r="P12" i="16"/>
  <c r="O12" i="16"/>
  <c r="N12" i="16"/>
  <c r="AV11" i="16"/>
  <c r="AU11" i="16"/>
  <c r="AT11" i="16"/>
  <c r="AS11" i="16"/>
  <c r="AR11" i="16"/>
  <c r="AQ11" i="16"/>
  <c r="AP11" i="16"/>
  <c r="AO11" i="16"/>
  <c r="AN11" i="16"/>
  <c r="AM11" i="16"/>
  <c r="AL11" i="16"/>
  <c r="AK11" i="16"/>
  <c r="AJ11" i="16"/>
  <c r="AI11" i="16"/>
  <c r="AH11" i="16"/>
  <c r="AG11" i="16"/>
  <c r="AF11" i="16"/>
  <c r="AE11" i="16"/>
  <c r="AD11" i="16"/>
  <c r="AC11" i="16"/>
  <c r="AB11" i="16"/>
  <c r="AA11" i="16"/>
  <c r="Z11" i="16"/>
  <c r="Y11" i="16"/>
  <c r="X11" i="16"/>
  <c r="W11" i="16"/>
  <c r="V11" i="16"/>
  <c r="U11" i="16"/>
  <c r="T11" i="16"/>
  <c r="S11" i="16"/>
  <c r="R11" i="16"/>
  <c r="Q11" i="16"/>
  <c r="P11" i="16"/>
  <c r="O11" i="16"/>
  <c r="N11" i="16"/>
  <c r="AV10" i="16"/>
  <c r="AU10" i="16"/>
  <c r="AT10" i="16"/>
  <c r="AS10" i="16"/>
  <c r="AR10" i="16"/>
  <c r="AQ10" i="16"/>
  <c r="AP10" i="16"/>
  <c r="AO10" i="16"/>
  <c r="AN10" i="16"/>
  <c r="AM10" i="16"/>
  <c r="AL10" i="16"/>
  <c r="AK10" i="16"/>
  <c r="AJ10" i="16"/>
  <c r="AI10" i="16"/>
  <c r="AH10" i="16"/>
  <c r="AG10" i="16"/>
  <c r="AF10" i="16"/>
  <c r="AE10" i="16"/>
  <c r="AD10" i="16"/>
  <c r="AC10" i="16"/>
  <c r="AB10" i="16"/>
  <c r="AA10" i="16"/>
  <c r="Z10" i="16"/>
  <c r="Y10" i="16"/>
  <c r="X10" i="16"/>
  <c r="W10" i="16"/>
  <c r="V10" i="16"/>
  <c r="U10" i="16"/>
  <c r="T10" i="16"/>
  <c r="S10" i="16"/>
  <c r="R10" i="16"/>
  <c r="Q10" i="16"/>
  <c r="P10" i="16"/>
  <c r="O10" i="16"/>
  <c r="N10" i="16"/>
  <c r="AV9" i="16"/>
  <c r="AU9" i="16"/>
  <c r="AT9" i="16"/>
  <c r="AS9" i="16"/>
  <c r="AR9" i="16"/>
  <c r="AQ9" i="16"/>
  <c r="AP9" i="16"/>
  <c r="AO9" i="16"/>
  <c r="AN9" i="16"/>
  <c r="AM9" i="16"/>
  <c r="AL9" i="16"/>
  <c r="AK9" i="16"/>
  <c r="AJ9" i="16"/>
  <c r="AI9" i="16"/>
  <c r="AH9" i="16"/>
  <c r="AG9" i="16"/>
  <c r="AF9" i="16"/>
  <c r="AE9" i="16"/>
  <c r="AD9" i="16"/>
  <c r="AC9" i="16"/>
  <c r="AB9" i="16"/>
  <c r="AA9" i="16"/>
  <c r="Z9" i="16"/>
  <c r="Y9" i="16"/>
  <c r="X9" i="16"/>
  <c r="W9" i="16"/>
  <c r="V9" i="16"/>
  <c r="U9" i="16"/>
  <c r="T9" i="16"/>
  <c r="S9" i="16"/>
  <c r="R9" i="16"/>
  <c r="Q9" i="16"/>
  <c r="P9" i="16"/>
  <c r="O9" i="16"/>
  <c r="N9" i="16"/>
  <c r="AV8" i="16"/>
  <c r="AU8" i="16"/>
  <c r="AT8" i="16"/>
  <c r="AS8" i="16"/>
  <c r="AR8" i="16"/>
  <c r="AQ8" i="16"/>
  <c r="AP8" i="16"/>
  <c r="AO8" i="16"/>
  <c r="AN8" i="16"/>
  <c r="AM8" i="16"/>
  <c r="AL8" i="16"/>
  <c r="AK8" i="16"/>
  <c r="AJ8" i="16"/>
  <c r="AI8" i="16"/>
  <c r="AH8" i="16"/>
  <c r="AG8" i="16"/>
  <c r="AF8" i="16"/>
  <c r="AE8" i="16"/>
  <c r="AD8" i="16"/>
  <c r="AC8" i="16"/>
  <c r="AB8" i="16"/>
  <c r="AA8" i="16"/>
  <c r="Z8" i="16"/>
  <c r="Y8" i="16"/>
  <c r="X8" i="16"/>
  <c r="W8" i="16"/>
  <c r="V8" i="16"/>
  <c r="U8" i="16"/>
  <c r="T8" i="16"/>
  <c r="S8" i="16"/>
  <c r="R8" i="16"/>
  <c r="Q8" i="16"/>
  <c r="P8" i="16"/>
  <c r="O8" i="16"/>
  <c r="N8" i="16"/>
  <c r="AV7" i="16"/>
  <c r="AU7" i="16"/>
  <c r="AT7" i="16"/>
  <c r="AS7" i="16"/>
  <c r="AR7" i="16"/>
  <c r="AQ7" i="16"/>
  <c r="AP7" i="16"/>
  <c r="AO7" i="16"/>
  <c r="AN7" i="16"/>
  <c r="AM7" i="16"/>
  <c r="AL7" i="16"/>
  <c r="AK7" i="16"/>
  <c r="AJ7" i="16"/>
  <c r="AI7" i="16"/>
  <c r="AH7" i="16"/>
  <c r="AG7" i="16"/>
  <c r="AF7" i="16"/>
  <c r="AE7" i="16"/>
  <c r="AD7" i="16"/>
  <c r="AC7" i="16"/>
  <c r="AB7" i="16"/>
  <c r="AA7" i="16"/>
  <c r="Z7" i="16"/>
  <c r="Y7" i="16"/>
  <c r="X7" i="16"/>
  <c r="W7" i="16"/>
  <c r="V7" i="16"/>
  <c r="U7" i="16"/>
  <c r="T7" i="16"/>
  <c r="S7" i="16"/>
  <c r="R7" i="16"/>
  <c r="Q7" i="16"/>
  <c r="P7" i="16"/>
  <c r="O7" i="16"/>
  <c r="N7" i="16"/>
  <c r="AV6" i="16"/>
  <c r="AU6" i="16"/>
  <c r="AT6" i="16"/>
  <c r="AS6" i="16"/>
  <c r="AR6" i="16"/>
  <c r="AQ6" i="16"/>
  <c r="AP6" i="16"/>
  <c r="AO6" i="16"/>
  <c r="AN6" i="16"/>
  <c r="AM6" i="16"/>
  <c r="AL6" i="16"/>
  <c r="AK6" i="16"/>
  <c r="AJ6" i="16"/>
  <c r="AI6" i="16"/>
  <c r="AH6" i="16"/>
  <c r="AG6" i="16"/>
  <c r="AF6" i="16"/>
  <c r="AE6" i="16"/>
  <c r="AD6" i="16"/>
  <c r="AC6" i="16"/>
  <c r="AB6" i="16"/>
  <c r="AA6" i="16"/>
  <c r="Z6" i="16"/>
  <c r="Y6" i="16"/>
  <c r="X6" i="16"/>
  <c r="W6" i="16"/>
  <c r="V6" i="16"/>
  <c r="U6" i="16"/>
  <c r="T6" i="16"/>
  <c r="S6" i="16"/>
  <c r="R6" i="16"/>
  <c r="Q6" i="16"/>
  <c r="P6" i="16"/>
  <c r="O6" i="16"/>
  <c r="N6" i="16"/>
  <c r="AV4" i="16"/>
  <c r="AU4" i="16"/>
  <c r="AT4" i="16"/>
  <c r="AS4" i="16"/>
  <c r="AR4" i="16"/>
  <c r="AQ4" i="16"/>
  <c r="AP4" i="16"/>
  <c r="AO4" i="16"/>
  <c r="AN4" i="16"/>
  <c r="AM4" i="16"/>
  <c r="AL4" i="16"/>
  <c r="AK4" i="16"/>
  <c r="AJ4" i="16"/>
  <c r="AI4" i="16"/>
  <c r="AH4" i="16"/>
  <c r="AG4" i="16"/>
  <c r="AF4" i="16"/>
  <c r="AE4" i="16"/>
  <c r="AD4" i="16"/>
  <c r="AC4" i="16"/>
  <c r="AB4" i="16"/>
  <c r="AA4" i="16"/>
  <c r="Z4" i="16"/>
  <c r="Y4" i="16"/>
  <c r="X4" i="16"/>
  <c r="W4" i="16"/>
  <c r="V4" i="16"/>
  <c r="U4" i="16"/>
  <c r="T4" i="16"/>
  <c r="S4" i="16"/>
  <c r="R4" i="16"/>
  <c r="Q4" i="16"/>
  <c r="P4" i="16"/>
  <c r="AL7" i="52"/>
  <c r="AM7" i="52"/>
  <c r="AN7" i="52"/>
  <c r="AO7" i="52"/>
  <c r="AP7" i="52"/>
  <c r="AQ7" i="52"/>
  <c r="AR7" i="52"/>
  <c r="AS7" i="52"/>
  <c r="AT7" i="52"/>
  <c r="AU7" i="52"/>
  <c r="AV7" i="52"/>
  <c r="AL8" i="52"/>
  <c r="AM8" i="52"/>
  <c r="AN8" i="52"/>
  <c r="AO8" i="52"/>
  <c r="AP8" i="52"/>
  <c r="AQ8" i="52"/>
  <c r="AR8" i="52"/>
  <c r="AS8" i="52"/>
  <c r="AT8" i="52"/>
  <c r="AU8" i="52"/>
  <c r="AV8" i="52"/>
  <c r="AL9" i="52"/>
  <c r="AM9" i="52"/>
  <c r="AN9" i="52"/>
  <c r="AO9" i="52"/>
  <c r="AP9" i="52"/>
  <c r="AQ9" i="52"/>
  <c r="AR9" i="52"/>
  <c r="AS9" i="52"/>
  <c r="AT9" i="52"/>
  <c r="AU9" i="52"/>
  <c r="AV9" i="52"/>
  <c r="AL10" i="52"/>
  <c r="AM10" i="52"/>
  <c r="AN10" i="52"/>
  <c r="AO10" i="52"/>
  <c r="AP10" i="52"/>
  <c r="AQ10" i="52"/>
  <c r="AR10" i="52"/>
  <c r="AS10" i="52"/>
  <c r="AT10" i="52"/>
  <c r="AU10" i="52"/>
  <c r="AV10" i="52"/>
  <c r="AL11" i="52"/>
  <c r="AM11" i="52"/>
  <c r="AN11" i="52"/>
  <c r="AO11" i="52"/>
  <c r="AP11" i="52"/>
  <c r="AQ11" i="52"/>
  <c r="AR11" i="52"/>
  <c r="AS11" i="52"/>
  <c r="AT11" i="52"/>
  <c r="AU11" i="52"/>
  <c r="AV11" i="52"/>
  <c r="AL12" i="52"/>
  <c r="AM12" i="52"/>
  <c r="AN12" i="52"/>
  <c r="AO12" i="52"/>
  <c r="AP12" i="52"/>
  <c r="AQ12" i="52"/>
  <c r="AR12" i="52"/>
  <c r="AS12" i="52"/>
  <c r="AT12" i="52"/>
  <c r="AU12" i="52"/>
  <c r="AV12" i="52"/>
  <c r="AL13" i="52"/>
  <c r="AM13" i="52"/>
  <c r="AN13" i="52"/>
  <c r="AO13" i="52"/>
  <c r="AP13" i="52"/>
  <c r="AQ13" i="52"/>
  <c r="AR13" i="52"/>
  <c r="AS13" i="52"/>
  <c r="AT13" i="52"/>
  <c r="AU13" i="52"/>
  <c r="AV13" i="52"/>
  <c r="AL14" i="52"/>
  <c r="AM14" i="52"/>
  <c r="AN14" i="52"/>
  <c r="AO14" i="52"/>
  <c r="AP14" i="52"/>
  <c r="AQ14" i="52"/>
  <c r="AR14" i="52"/>
  <c r="AS14" i="52"/>
  <c r="AT14" i="52"/>
  <c r="AU14" i="52"/>
  <c r="AV14" i="52"/>
  <c r="AL15" i="52"/>
  <c r="AM15" i="52"/>
  <c r="AN15" i="52"/>
  <c r="AO15" i="52"/>
  <c r="AP15" i="52"/>
  <c r="AQ15" i="52"/>
  <c r="AR15" i="52"/>
  <c r="AS15" i="52"/>
  <c r="AT15" i="52"/>
  <c r="AU15" i="52"/>
  <c r="AV15" i="52"/>
  <c r="AL16" i="52"/>
  <c r="AM16" i="52"/>
  <c r="AN16" i="52"/>
  <c r="AO16" i="52"/>
  <c r="AP16" i="52"/>
  <c r="AQ16" i="52"/>
  <c r="AR16" i="52"/>
  <c r="AS16" i="52"/>
  <c r="AT16" i="52"/>
  <c r="AU16" i="52"/>
  <c r="AV16" i="52"/>
  <c r="AL17" i="52"/>
  <c r="AM17" i="52"/>
  <c r="AN17" i="52"/>
  <c r="AO17" i="52"/>
  <c r="AP17" i="52"/>
  <c r="AQ17" i="52"/>
  <c r="AR17" i="52"/>
  <c r="AS17" i="52"/>
  <c r="AT17" i="52"/>
  <c r="AU17" i="52"/>
  <c r="AV17" i="52"/>
  <c r="AL18" i="52"/>
  <c r="AM18" i="52"/>
  <c r="AN18" i="52"/>
  <c r="AO18" i="52"/>
  <c r="AP18" i="52"/>
  <c r="AQ18" i="52"/>
  <c r="AR18" i="52"/>
  <c r="AS18" i="52"/>
  <c r="AT18" i="52"/>
  <c r="AU18" i="52"/>
  <c r="AV18" i="52"/>
  <c r="AL19" i="52"/>
  <c r="AM19" i="52"/>
  <c r="AN19" i="52"/>
  <c r="AO19" i="52"/>
  <c r="AP19" i="52"/>
  <c r="AQ19" i="52"/>
  <c r="AR19" i="52"/>
  <c r="AS19" i="52"/>
  <c r="AT19" i="52"/>
  <c r="AU19" i="52"/>
  <c r="AV19" i="52"/>
  <c r="AL20" i="52"/>
  <c r="AM20" i="52"/>
  <c r="AN20" i="52"/>
  <c r="AO20" i="52"/>
  <c r="AP20" i="52"/>
  <c r="AQ20" i="52"/>
  <c r="AR20" i="52"/>
  <c r="AS20" i="52"/>
  <c r="AT20" i="52"/>
  <c r="AU20" i="52"/>
  <c r="AV20" i="52"/>
  <c r="AL21" i="52"/>
  <c r="AM21" i="52"/>
  <c r="AN21" i="52"/>
  <c r="AO21" i="52"/>
  <c r="AP21" i="52"/>
  <c r="AQ21" i="52"/>
  <c r="AR21" i="52"/>
  <c r="AS21" i="52"/>
  <c r="AT21" i="52"/>
  <c r="AU21" i="52"/>
  <c r="AV21" i="52"/>
  <c r="AL22" i="52"/>
  <c r="AM22" i="52"/>
  <c r="AN22" i="52"/>
  <c r="AO22" i="52"/>
  <c r="AP22" i="52"/>
  <c r="AQ22" i="52"/>
  <c r="AR22" i="52"/>
  <c r="AS22" i="52"/>
  <c r="AT22" i="52"/>
  <c r="AU22" i="52"/>
  <c r="AV22" i="52"/>
  <c r="AL23" i="52"/>
  <c r="AM23" i="52"/>
  <c r="AN23" i="52"/>
  <c r="AO23" i="52"/>
  <c r="AP23" i="52"/>
  <c r="AQ23" i="52"/>
  <c r="AR23" i="52"/>
  <c r="AS23" i="52"/>
  <c r="AT23" i="52"/>
  <c r="AU23" i="52"/>
  <c r="AV23" i="52"/>
  <c r="AM6" i="52"/>
  <c r="AN6" i="52"/>
  <c r="AO6" i="52"/>
  <c r="AP6" i="52"/>
  <c r="AQ6" i="52"/>
  <c r="AR6" i="52"/>
  <c r="AS6" i="52"/>
  <c r="AT6" i="52"/>
  <c r="AU6" i="52"/>
  <c r="AV6" i="52"/>
  <c r="AL6" i="52"/>
  <c r="AV4" i="52"/>
  <c r="AU4" i="52"/>
  <c r="AT4" i="52"/>
  <c r="AS4" i="52"/>
  <c r="AR4" i="52"/>
  <c r="AQ4" i="52"/>
  <c r="AP4" i="52"/>
  <c r="AO4" i="52"/>
  <c r="AN4" i="52"/>
  <c r="AM4" i="52"/>
  <c r="AL4" i="52"/>
  <c r="AK23" i="52"/>
  <c r="AJ23" i="52"/>
  <c r="AI23" i="52"/>
  <c r="AH23" i="52"/>
  <c r="AG23" i="52"/>
  <c r="AF23" i="52"/>
  <c r="AE23" i="52"/>
  <c r="AD23" i="52"/>
  <c r="AC23" i="52"/>
  <c r="AB23" i="52"/>
  <c r="AA23" i="52"/>
  <c r="Z23" i="52"/>
  <c r="Y23" i="52"/>
  <c r="X23" i="52"/>
  <c r="W23" i="52"/>
  <c r="V23" i="52"/>
  <c r="U23" i="52"/>
  <c r="T23" i="52"/>
  <c r="S23" i="52"/>
  <c r="R23" i="52"/>
  <c r="Q23" i="52"/>
  <c r="P23" i="52"/>
  <c r="O23" i="52"/>
  <c r="N23" i="52"/>
  <c r="AK22" i="52"/>
  <c r="AJ22" i="52"/>
  <c r="AI22" i="52"/>
  <c r="AH22" i="52"/>
  <c r="AG22" i="52"/>
  <c r="AF22" i="52"/>
  <c r="AE22" i="52"/>
  <c r="AD22" i="52"/>
  <c r="AC22" i="52"/>
  <c r="AB22" i="52"/>
  <c r="AA22" i="52"/>
  <c r="Z22" i="52"/>
  <c r="Y22" i="52"/>
  <c r="X22" i="52"/>
  <c r="W22" i="52"/>
  <c r="V22" i="52"/>
  <c r="U22" i="52"/>
  <c r="T22" i="52"/>
  <c r="S22" i="52"/>
  <c r="R22" i="52"/>
  <c r="Q22" i="52"/>
  <c r="P22" i="52"/>
  <c r="O22" i="52"/>
  <c r="N22" i="52"/>
  <c r="AK21" i="52"/>
  <c r="AJ21" i="52"/>
  <c r="AI21" i="52"/>
  <c r="AH21" i="52"/>
  <c r="AG21" i="52"/>
  <c r="AF21" i="52"/>
  <c r="AE21" i="52"/>
  <c r="AD21" i="52"/>
  <c r="AC21" i="52"/>
  <c r="AB21" i="52"/>
  <c r="AA21" i="52"/>
  <c r="Z21" i="52"/>
  <c r="Y21" i="52"/>
  <c r="X21" i="52"/>
  <c r="W21" i="52"/>
  <c r="V21" i="52"/>
  <c r="U21" i="52"/>
  <c r="T21" i="52"/>
  <c r="S21" i="52"/>
  <c r="R21" i="52"/>
  <c r="Q21" i="52"/>
  <c r="P21" i="52"/>
  <c r="O21" i="52"/>
  <c r="N21" i="52"/>
  <c r="AK20" i="52"/>
  <c r="AJ20" i="52"/>
  <c r="AI20" i="52"/>
  <c r="AH20" i="52"/>
  <c r="AG20" i="52"/>
  <c r="AF20" i="52"/>
  <c r="AE20" i="52"/>
  <c r="AD20" i="52"/>
  <c r="AC20" i="52"/>
  <c r="AB20" i="52"/>
  <c r="AA20" i="52"/>
  <c r="Z20" i="52"/>
  <c r="Y20" i="52"/>
  <c r="X20" i="52"/>
  <c r="W20" i="52"/>
  <c r="V20" i="52"/>
  <c r="U20" i="52"/>
  <c r="T20" i="52"/>
  <c r="S20" i="52"/>
  <c r="R20" i="52"/>
  <c r="Q20" i="52"/>
  <c r="P20" i="52"/>
  <c r="O20" i="52"/>
  <c r="N20" i="52"/>
  <c r="AK19" i="52"/>
  <c r="AJ19" i="52"/>
  <c r="AI19" i="52"/>
  <c r="AH19" i="52"/>
  <c r="AG19" i="52"/>
  <c r="AF19" i="52"/>
  <c r="AE19" i="52"/>
  <c r="AD19" i="52"/>
  <c r="AC19" i="52"/>
  <c r="AB19" i="52"/>
  <c r="AA19" i="52"/>
  <c r="Z19" i="52"/>
  <c r="Y19" i="52"/>
  <c r="X19" i="52"/>
  <c r="W19" i="52"/>
  <c r="V19" i="52"/>
  <c r="U19" i="52"/>
  <c r="T19" i="52"/>
  <c r="S19" i="52"/>
  <c r="R19" i="52"/>
  <c r="Q19" i="52"/>
  <c r="P19" i="52"/>
  <c r="O19" i="52"/>
  <c r="N19" i="52"/>
  <c r="AK18" i="52"/>
  <c r="AJ18" i="52"/>
  <c r="AI18" i="52"/>
  <c r="AH18" i="52"/>
  <c r="AG18" i="52"/>
  <c r="AF18" i="52"/>
  <c r="AE18" i="52"/>
  <c r="AD18" i="52"/>
  <c r="AC18" i="52"/>
  <c r="AB18" i="52"/>
  <c r="AA18" i="52"/>
  <c r="Z18" i="52"/>
  <c r="Y18" i="52"/>
  <c r="X18" i="52"/>
  <c r="W18" i="52"/>
  <c r="V18" i="52"/>
  <c r="U18" i="52"/>
  <c r="T18" i="52"/>
  <c r="S18" i="52"/>
  <c r="R18" i="52"/>
  <c r="Q18" i="52"/>
  <c r="P18" i="52"/>
  <c r="O18" i="52"/>
  <c r="N18" i="52"/>
  <c r="AK17" i="52"/>
  <c r="AJ17" i="52"/>
  <c r="AI17" i="52"/>
  <c r="AH17" i="52"/>
  <c r="AG17" i="52"/>
  <c r="AF17" i="52"/>
  <c r="AE17" i="52"/>
  <c r="AD17" i="52"/>
  <c r="AC17" i="52"/>
  <c r="AB17" i="52"/>
  <c r="AA17" i="52"/>
  <c r="Z17" i="52"/>
  <c r="Y17" i="52"/>
  <c r="X17" i="52"/>
  <c r="W17" i="52"/>
  <c r="V17" i="52"/>
  <c r="U17" i="52"/>
  <c r="T17" i="52"/>
  <c r="S17" i="52"/>
  <c r="R17" i="52"/>
  <c r="Q17" i="52"/>
  <c r="P17" i="52"/>
  <c r="O17" i="52"/>
  <c r="N17" i="52"/>
  <c r="AK16" i="52"/>
  <c r="AJ16" i="52"/>
  <c r="AI16" i="52"/>
  <c r="AH16" i="52"/>
  <c r="AG16" i="52"/>
  <c r="AF16" i="52"/>
  <c r="AE16" i="52"/>
  <c r="AD16" i="52"/>
  <c r="AC16" i="52"/>
  <c r="AB16" i="52"/>
  <c r="AA16" i="52"/>
  <c r="Z16" i="52"/>
  <c r="Y16" i="52"/>
  <c r="X16" i="52"/>
  <c r="W16" i="52"/>
  <c r="V16" i="52"/>
  <c r="U16" i="52"/>
  <c r="T16" i="52"/>
  <c r="S16" i="52"/>
  <c r="R16" i="52"/>
  <c r="Q16" i="52"/>
  <c r="P16" i="52"/>
  <c r="O16" i="52"/>
  <c r="N16" i="52"/>
  <c r="AK15" i="52"/>
  <c r="AJ15" i="52"/>
  <c r="AI15" i="52"/>
  <c r="AH15" i="52"/>
  <c r="AG15" i="52"/>
  <c r="AF15" i="52"/>
  <c r="AE15" i="52"/>
  <c r="AD15" i="52"/>
  <c r="AC15" i="52"/>
  <c r="AB15" i="52"/>
  <c r="AA15" i="52"/>
  <c r="Z15" i="52"/>
  <c r="Y15" i="52"/>
  <c r="X15" i="52"/>
  <c r="W15" i="52"/>
  <c r="V15" i="52"/>
  <c r="U15" i="52"/>
  <c r="T15" i="52"/>
  <c r="S15" i="52"/>
  <c r="R15" i="52"/>
  <c r="Q15" i="52"/>
  <c r="P15" i="52"/>
  <c r="O15" i="52"/>
  <c r="N15" i="52"/>
  <c r="AK14" i="52"/>
  <c r="AJ14" i="52"/>
  <c r="AI14" i="52"/>
  <c r="AH14" i="52"/>
  <c r="AG14" i="52"/>
  <c r="AF14" i="52"/>
  <c r="AE14" i="52"/>
  <c r="AD14" i="52"/>
  <c r="AC14" i="52"/>
  <c r="AB14" i="52"/>
  <c r="AA14" i="52"/>
  <c r="Z14" i="52"/>
  <c r="Y14" i="52"/>
  <c r="X14" i="52"/>
  <c r="W14" i="52"/>
  <c r="V14" i="52"/>
  <c r="U14" i="52"/>
  <c r="T14" i="52"/>
  <c r="S14" i="52"/>
  <c r="R14" i="52"/>
  <c r="Q14" i="52"/>
  <c r="P14" i="52"/>
  <c r="O14" i="52"/>
  <c r="N14" i="52"/>
  <c r="AK13" i="52"/>
  <c r="AJ13" i="52"/>
  <c r="AI13" i="52"/>
  <c r="AH13" i="52"/>
  <c r="AG13" i="52"/>
  <c r="AF13" i="52"/>
  <c r="AE13" i="52"/>
  <c r="AD13" i="52"/>
  <c r="AC13" i="52"/>
  <c r="AB13" i="52"/>
  <c r="AA13" i="52"/>
  <c r="Z13" i="52"/>
  <c r="Y13" i="52"/>
  <c r="X13" i="52"/>
  <c r="W13" i="52"/>
  <c r="V13" i="52"/>
  <c r="U13" i="52"/>
  <c r="T13" i="52"/>
  <c r="S13" i="52"/>
  <c r="R13" i="52"/>
  <c r="Q13" i="52"/>
  <c r="P13" i="52"/>
  <c r="O13" i="52"/>
  <c r="N13" i="52"/>
  <c r="AK12" i="52"/>
  <c r="AJ12" i="52"/>
  <c r="AI12" i="52"/>
  <c r="AH12" i="52"/>
  <c r="AG12" i="52"/>
  <c r="AF12" i="52"/>
  <c r="AE12" i="52"/>
  <c r="AD12" i="52"/>
  <c r="AC12" i="52"/>
  <c r="AB12" i="52"/>
  <c r="AA12" i="52"/>
  <c r="Z12" i="52"/>
  <c r="Y12" i="52"/>
  <c r="X12" i="52"/>
  <c r="W12" i="52"/>
  <c r="V12" i="52"/>
  <c r="U12" i="52"/>
  <c r="T12" i="52"/>
  <c r="S12" i="52"/>
  <c r="R12" i="52"/>
  <c r="Q12" i="52"/>
  <c r="P12" i="52"/>
  <c r="O12" i="52"/>
  <c r="N12" i="52"/>
  <c r="AK11" i="52"/>
  <c r="AJ11" i="52"/>
  <c r="AI11" i="52"/>
  <c r="AH11" i="52"/>
  <c r="AG11" i="52"/>
  <c r="AF11" i="52"/>
  <c r="AE11" i="52"/>
  <c r="AD11" i="52"/>
  <c r="AC11" i="52"/>
  <c r="AB11" i="52"/>
  <c r="AA11" i="52"/>
  <c r="Z11" i="52"/>
  <c r="Y11" i="52"/>
  <c r="X11" i="52"/>
  <c r="W11" i="52"/>
  <c r="V11" i="52"/>
  <c r="U11" i="52"/>
  <c r="T11" i="52"/>
  <c r="S11" i="52"/>
  <c r="R11" i="52"/>
  <c r="Q11" i="52"/>
  <c r="P11" i="52"/>
  <c r="O11" i="52"/>
  <c r="N11" i="52"/>
  <c r="AK10" i="52"/>
  <c r="AJ10" i="52"/>
  <c r="AI10" i="52"/>
  <c r="AH10" i="52"/>
  <c r="AG10" i="52"/>
  <c r="AF10" i="52"/>
  <c r="AE10" i="52"/>
  <c r="AD10" i="52"/>
  <c r="AC10" i="52"/>
  <c r="AB10" i="52"/>
  <c r="AA10" i="52"/>
  <c r="Z10" i="52"/>
  <c r="Y10" i="52"/>
  <c r="X10" i="52"/>
  <c r="W10" i="52"/>
  <c r="V10" i="52"/>
  <c r="U10" i="52"/>
  <c r="T10" i="52"/>
  <c r="S10" i="52"/>
  <c r="R10" i="52"/>
  <c r="Q10" i="52"/>
  <c r="P10" i="52"/>
  <c r="O10" i="52"/>
  <c r="N10" i="52"/>
  <c r="AK9" i="52"/>
  <c r="AJ9" i="52"/>
  <c r="AI9" i="52"/>
  <c r="AH9" i="52"/>
  <c r="AG9" i="52"/>
  <c r="AF9" i="52"/>
  <c r="AE9" i="52"/>
  <c r="AD9" i="52"/>
  <c r="AC9" i="52"/>
  <c r="AB9" i="52"/>
  <c r="AA9" i="52"/>
  <c r="Z9" i="52"/>
  <c r="Y9" i="52"/>
  <c r="X9" i="52"/>
  <c r="W9" i="52"/>
  <c r="V9" i="52"/>
  <c r="U9" i="52"/>
  <c r="T9" i="52"/>
  <c r="S9" i="52"/>
  <c r="R9" i="52"/>
  <c r="Q9" i="52"/>
  <c r="P9" i="52"/>
  <c r="O9" i="52"/>
  <c r="N9" i="52"/>
  <c r="AK8" i="52"/>
  <c r="AJ8" i="52"/>
  <c r="AI8" i="52"/>
  <c r="AH8" i="52"/>
  <c r="AG8" i="52"/>
  <c r="AF8" i="52"/>
  <c r="AE8" i="52"/>
  <c r="AD8" i="52"/>
  <c r="AC8" i="52"/>
  <c r="AB8" i="52"/>
  <c r="AA8" i="52"/>
  <c r="Z8" i="52"/>
  <c r="Y8" i="52"/>
  <c r="X8" i="52"/>
  <c r="W8" i="52"/>
  <c r="V8" i="52"/>
  <c r="U8" i="52"/>
  <c r="T8" i="52"/>
  <c r="S8" i="52"/>
  <c r="R8" i="52"/>
  <c r="Q8" i="52"/>
  <c r="P8" i="52"/>
  <c r="O8" i="52"/>
  <c r="N8" i="52"/>
  <c r="AK7" i="52"/>
  <c r="AJ7" i="52"/>
  <c r="AI7" i="52"/>
  <c r="AH7" i="52"/>
  <c r="AG7" i="52"/>
  <c r="AF7" i="52"/>
  <c r="AE7" i="52"/>
  <c r="AD7" i="52"/>
  <c r="AC7" i="52"/>
  <c r="AB7" i="52"/>
  <c r="AA7" i="52"/>
  <c r="Z7" i="52"/>
  <c r="Y7" i="52"/>
  <c r="X7" i="52"/>
  <c r="W7" i="52"/>
  <c r="V7" i="52"/>
  <c r="U7" i="52"/>
  <c r="T7" i="52"/>
  <c r="S7" i="52"/>
  <c r="R7" i="52"/>
  <c r="Q7" i="52"/>
  <c r="P7" i="52"/>
  <c r="O7" i="52"/>
  <c r="N7" i="52"/>
  <c r="AK6" i="52"/>
  <c r="AJ6" i="52"/>
  <c r="AI6" i="52"/>
  <c r="AH6" i="52"/>
  <c r="AG6" i="52"/>
  <c r="AF6" i="52"/>
  <c r="AE6" i="52"/>
  <c r="AD6" i="52"/>
  <c r="AC6" i="52"/>
  <c r="AB6" i="52"/>
  <c r="AA6" i="52"/>
  <c r="Z6" i="52"/>
  <c r="Y6" i="52"/>
  <c r="X6" i="52"/>
  <c r="W6" i="52"/>
  <c r="V6" i="52"/>
  <c r="U6" i="52"/>
  <c r="T6" i="52"/>
  <c r="S6" i="52"/>
  <c r="R6" i="52"/>
  <c r="Q6" i="52"/>
  <c r="P6" i="52"/>
  <c r="O6" i="52"/>
  <c r="N6" i="52"/>
  <c r="AK4" i="52"/>
  <c r="AJ4" i="52"/>
  <c r="AI4" i="52"/>
  <c r="AH4" i="52"/>
  <c r="AG4" i="52"/>
  <c r="AF4" i="52"/>
  <c r="AE4" i="52"/>
  <c r="AD4" i="52"/>
  <c r="AC4" i="52"/>
  <c r="AB4" i="52"/>
  <c r="AA4" i="52"/>
  <c r="Z4" i="52"/>
  <c r="Y4" i="52"/>
  <c r="X4" i="52"/>
  <c r="W4" i="52"/>
  <c r="V4" i="52"/>
  <c r="U4" i="52"/>
  <c r="T4" i="52"/>
  <c r="S4" i="52"/>
  <c r="R4" i="52"/>
  <c r="Q4" i="52"/>
  <c r="P4" i="52"/>
  <c r="AK23" i="4"/>
  <c r="AJ23" i="4"/>
  <c r="AI23" i="4"/>
  <c r="AH23" i="4"/>
  <c r="AG23" i="4"/>
  <c r="AF23" i="4"/>
  <c r="AE23" i="4"/>
  <c r="AD23" i="4"/>
  <c r="AC23" i="4"/>
  <c r="AB23" i="4"/>
  <c r="AA23" i="4"/>
  <c r="Z23" i="4"/>
  <c r="Y23" i="4"/>
  <c r="X23" i="4"/>
  <c r="W23" i="4"/>
  <c r="V23" i="4"/>
  <c r="U23" i="4"/>
  <c r="T23" i="4"/>
  <c r="S23" i="4"/>
  <c r="R23" i="4"/>
  <c r="Q23" i="4"/>
  <c r="P23" i="4"/>
  <c r="O23" i="4"/>
  <c r="N23" i="4"/>
  <c r="AK22" i="4"/>
  <c r="AJ22" i="4"/>
  <c r="AI22" i="4"/>
  <c r="AH22" i="4"/>
  <c r="AG22" i="4"/>
  <c r="AF22" i="4"/>
  <c r="AE22" i="4"/>
  <c r="AD22" i="4"/>
  <c r="AC22" i="4"/>
  <c r="AB22" i="4"/>
  <c r="AA22" i="4"/>
  <c r="Z22" i="4"/>
  <c r="Y22" i="4"/>
  <c r="X22" i="4"/>
  <c r="W22" i="4"/>
  <c r="V22" i="4"/>
  <c r="U22" i="4"/>
  <c r="T22" i="4"/>
  <c r="S22" i="4"/>
  <c r="R22" i="4"/>
  <c r="Q22" i="4"/>
  <c r="P22" i="4"/>
  <c r="O22" i="4"/>
  <c r="N22" i="4"/>
  <c r="AK21" i="4"/>
  <c r="AJ21" i="4"/>
  <c r="AI21" i="4"/>
  <c r="AH21" i="4"/>
  <c r="AG21" i="4"/>
  <c r="AF21" i="4"/>
  <c r="AE21" i="4"/>
  <c r="AD21" i="4"/>
  <c r="AC21" i="4"/>
  <c r="AB21" i="4"/>
  <c r="AA21" i="4"/>
  <c r="Z21" i="4"/>
  <c r="Y21" i="4"/>
  <c r="X21" i="4"/>
  <c r="W21" i="4"/>
  <c r="V21" i="4"/>
  <c r="U21" i="4"/>
  <c r="T21" i="4"/>
  <c r="S21" i="4"/>
  <c r="R21" i="4"/>
  <c r="Q21" i="4"/>
  <c r="P21" i="4"/>
  <c r="O21" i="4"/>
  <c r="N21" i="4"/>
  <c r="AK20" i="4"/>
  <c r="AJ20" i="4"/>
  <c r="AI20" i="4"/>
  <c r="AH20" i="4"/>
  <c r="AG20" i="4"/>
  <c r="AF20" i="4"/>
  <c r="AE20" i="4"/>
  <c r="AD20" i="4"/>
  <c r="AC20" i="4"/>
  <c r="AB20" i="4"/>
  <c r="AA20" i="4"/>
  <c r="Z20" i="4"/>
  <c r="Y20" i="4"/>
  <c r="X20" i="4"/>
  <c r="W20" i="4"/>
  <c r="V20" i="4"/>
  <c r="U20" i="4"/>
  <c r="T20" i="4"/>
  <c r="S20" i="4"/>
  <c r="R20" i="4"/>
  <c r="Q20" i="4"/>
  <c r="P20" i="4"/>
  <c r="O20" i="4"/>
  <c r="N20" i="4"/>
  <c r="AK19" i="4"/>
  <c r="AJ19" i="4"/>
  <c r="AI19" i="4"/>
  <c r="AH19" i="4"/>
  <c r="AG19" i="4"/>
  <c r="AF19" i="4"/>
  <c r="AE19" i="4"/>
  <c r="AD19" i="4"/>
  <c r="AC19" i="4"/>
  <c r="AB19" i="4"/>
  <c r="AA19" i="4"/>
  <c r="Z19" i="4"/>
  <c r="Y19" i="4"/>
  <c r="X19" i="4"/>
  <c r="W19" i="4"/>
  <c r="V19" i="4"/>
  <c r="U19" i="4"/>
  <c r="T19" i="4"/>
  <c r="S19" i="4"/>
  <c r="R19" i="4"/>
  <c r="Q19" i="4"/>
  <c r="P19" i="4"/>
  <c r="O19" i="4"/>
  <c r="N19" i="4"/>
  <c r="AK18" i="4"/>
  <c r="AJ18" i="4"/>
  <c r="AI18" i="4"/>
  <c r="AH18" i="4"/>
  <c r="AG18" i="4"/>
  <c r="AF18" i="4"/>
  <c r="AE18" i="4"/>
  <c r="AD18" i="4"/>
  <c r="AC18" i="4"/>
  <c r="AB18" i="4"/>
  <c r="AA18" i="4"/>
  <c r="Z18" i="4"/>
  <c r="Y18" i="4"/>
  <c r="X18" i="4"/>
  <c r="W18" i="4"/>
  <c r="V18" i="4"/>
  <c r="U18" i="4"/>
  <c r="T18" i="4"/>
  <c r="S18" i="4"/>
  <c r="R18" i="4"/>
  <c r="Q18" i="4"/>
  <c r="P18" i="4"/>
  <c r="O18" i="4"/>
  <c r="N18" i="4"/>
  <c r="AK17" i="4"/>
  <c r="AJ17" i="4"/>
  <c r="AI17" i="4"/>
  <c r="AH17" i="4"/>
  <c r="AG17" i="4"/>
  <c r="AF17" i="4"/>
  <c r="AE17" i="4"/>
  <c r="AD17" i="4"/>
  <c r="AC17" i="4"/>
  <c r="AB17" i="4"/>
  <c r="AA17" i="4"/>
  <c r="Z17" i="4"/>
  <c r="Y17" i="4"/>
  <c r="X17" i="4"/>
  <c r="W17" i="4"/>
  <c r="V17" i="4"/>
  <c r="U17" i="4"/>
  <c r="T17" i="4"/>
  <c r="S17" i="4"/>
  <c r="R17" i="4"/>
  <c r="Q17" i="4"/>
  <c r="P17" i="4"/>
  <c r="O17" i="4"/>
  <c r="N17" i="4"/>
  <c r="AK16" i="4"/>
  <c r="AJ16" i="4"/>
  <c r="AI16" i="4"/>
  <c r="AH16" i="4"/>
  <c r="AG16" i="4"/>
  <c r="AF16" i="4"/>
  <c r="AE16" i="4"/>
  <c r="AD16" i="4"/>
  <c r="AC16" i="4"/>
  <c r="AB16" i="4"/>
  <c r="AA16" i="4"/>
  <c r="Z16" i="4"/>
  <c r="Y16" i="4"/>
  <c r="X16" i="4"/>
  <c r="W16" i="4"/>
  <c r="V16" i="4"/>
  <c r="U16" i="4"/>
  <c r="T16" i="4"/>
  <c r="S16" i="4"/>
  <c r="R16" i="4"/>
  <c r="Q16" i="4"/>
  <c r="P16" i="4"/>
  <c r="O16" i="4"/>
  <c r="N16" i="4"/>
  <c r="AK15" i="4"/>
  <c r="AJ15" i="4"/>
  <c r="AI15" i="4"/>
  <c r="AH15" i="4"/>
  <c r="AG15" i="4"/>
  <c r="AF15" i="4"/>
  <c r="AE15" i="4"/>
  <c r="AD15" i="4"/>
  <c r="AC15" i="4"/>
  <c r="AB15" i="4"/>
  <c r="AA15" i="4"/>
  <c r="Z15" i="4"/>
  <c r="Y15" i="4"/>
  <c r="X15" i="4"/>
  <c r="W15" i="4"/>
  <c r="V15" i="4"/>
  <c r="U15" i="4"/>
  <c r="T15" i="4"/>
  <c r="S15" i="4"/>
  <c r="R15" i="4"/>
  <c r="Q15" i="4"/>
  <c r="P15" i="4"/>
  <c r="O15" i="4"/>
  <c r="N15" i="4"/>
  <c r="AK14" i="4"/>
  <c r="AJ14" i="4"/>
  <c r="AI14" i="4"/>
  <c r="AH14" i="4"/>
  <c r="AG14" i="4"/>
  <c r="AF14" i="4"/>
  <c r="AE14" i="4"/>
  <c r="AD14" i="4"/>
  <c r="AC14" i="4"/>
  <c r="AB14" i="4"/>
  <c r="AA14" i="4"/>
  <c r="Z14" i="4"/>
  <c r="Y14" i="4"/>
  <c r="X14" i="4"/>
  <c r="W14" i="4"/>
  <c r="V14" i="4"/>
  <c r="U14" i="4"/>
  <c r="T14" i="4"/>
  <c r="S14" i="4"/>
  <c r="R14" i="4"/>
  <c r="Q14" i="4"/>
  <c r="P14" i="4"/>
  <c r="O14" i="4"/>
  <c r="N14" i="4"/>
  <c r="AK13" i="4"/>
  <c r="AJ13" i="4"/>
  <c r="AI13" i="4"/>
  <c r="AH13" i="4"/>
  <c r="AG13" i="4"/>
  <c r="AF13" i="4"/>
  <c r="AE13" i="4"/>
  <c r="AD13" i="4"/>
  <c r="AC13" i="4"/>
  <c r="AB13" i="4"/>
  <c r="AA13" i="4"/>
  <c r="Z13" i="4"/>
  <c r="Y13" i="4"/>
  <c r="X13" i="4"/>
  <c r="W13" i="4"/>
  <c r="V13" i="4"/>
  <c r="U13" i="4"/>
  <c r="T13" i="4"/>
  <c r="S13" i="4"/>
  <c r="R13" i="4"/>
  <c r="Q13" i="4"/>
  <c r="P13" i="4"/>
  <c r="O13" i="4"/>
  <c r="N13" i="4"/>
  <c r="AK12" i="4"/>
  <c r="AJ12" i="4"/>
  <c r="AI12" i="4"/>
  <c r="AH12" i="4"/>
  <c r="AG12" i="4"/>
  <c r="AF12" i="4"/>
  <c r="AE12" i="4"/>
  <c r="AD12" i="4"/>
  <c r="AC12" i="4"/>
  <c r="AB12" i="4"/>
  <c r="AA12" i="4"/>
  <c r="Z12" i="4"/>
  <c r="Y12" i="4"/>
  <c r="X12" i="4"/>
  <c r="W12" i="4"/>
  <c r="V12" i="4"/>
  <c r="U12" i="4"/>
  <c r="T12" i="4"/>
  <c r="S12" i="4"/>
  <c r="R12" i="4"/>
  <c r="Q12" i="4"/>
  <c r="P12" i="4"/>
  <c r="O12" i="4"/>
  <c r="N12" i="4"/>
  <c r="AK11" i="4"/>
  <c r="AJ11" i="4"/>
  <c r="AI11" i="4"/>
  <c r="AH11" i="4"/>
  <c r="AG11" i="4"/>
  <c r="AF11" i="4"/>
  <c r="AE11" i="4"/>
  <c r="AD11" i="4"/>
  <c r="AC11" i="4"/>
  <c r="AB11" i="4"/>
  <c r="AA11" i="4"/>
  <c r="Z11" i="4"/>
  <c r="Y11" i="4"/>
  <c r="X11" i="4"/>
  <c r="W11" i="4"/>
  <c r="V11" i="4"/>
  <c r="U11" i="4"/>
  <c r="T11" i="4"/>
  <c r="S11" i="4"/>
  <c r="R11" i="4"/>
  <c r="Q11" i="4"/>
  <c r="P11" i="4"/>
  <c r="O11" i="4"/>
  <c r="N11" i="4"/>
  <c r="AK10" i="4"/>
  <c r="AJ10" i="4"/>
  <c r="AI10" i="4"/>
  <c r="AH10" i="4"/>
  <c r="AG10" i="4"/>
  <c r="AF10" i="4"/>
  <c r="AE10" i="4"/>
  <c r="AD10" i="4"/>
  <c r="AC10" i="4"/>
  <c r="AB10" i="4"/>
  <c r="AA10" i="4"/>
  <c r="Z10" i="4"/>
  <c r="Y10" i="4"/>
  <c r="X10" i="4"/>
  <c r="W10" i="4"/>
  <c r="V10" i="4"/>
  <c r="U10" i="4"/>
  <c r="T10" i="4"/>
  <c r="S10" i="4"/>
  <c r="R10" i="4"/>
  <c r="Q10" i="4"/>
  <c r="P10" i="4"/>
  <c r="O10" i="4"/>
  <c r="N10" i="4"/>
  <c r="AK9" i="4"/>
  <c r="AJ9" i="4"/>
  <c r="AI9" i="4"/>
  <c r="AH9" i="4"/>
  <c r="AG9" i="4"/>
  <c r="AF9" i="4"/>
  <c r="AE9" i="4"/>
  <c r="AD9" i="4"/>
  <c r="AC9" i="4"/>
  <c r="AB9" i="4"/>
  <c r="AA9" i="4"/>
  <c r="Z9" i="4"/>
  <c r="Y9" i="4"/>
  <c r="X9" i="4"/>
  <c r="W9" i="4"/>
  <c r="V9" i="4"/>
  <c r="U9" i="4"/>
  <c r="T9" i="4"/>
  <c r="S9" i="4"/>
  <c r="R9" i="4"/>
  <c r="Q9" i="4"/>
  <c r="P9" i="4"/>
  <c r="O9" i="4"/>
  <c r="N9" i="4"/>
  <c r="AK8" i="4"/>
  <c r="AJ8" i="4"/>
  <c r="AI8" i="4"/>
  <c r="AH8" i="4"/>
  <c r="AG8" i="4"/>
  <c r="AF8" i="4"/>
  <c r="AE8" i="4"/>
  <c r="AD8" i="4"/>
  <c r="AC8" i="4"/>
  <c r="AB8" i="4"/>
  <c r="AA8" i="4"/>
  <c r="Z8" i="4"/>
  <c r="Y8" i="4"/>
  <c r="X8" i="4"/>
  <c r="W8" i="4"/>
  <c r="V8" i="4"/>
  <c r="U8" i="4"/>
  <c r="T8" i="4"/>
  <c r="S8" i="4"/>
  <c r="R8" i="4"/>
  <c r="Q8" i="4"/>
  <c r="P8" i="4"/>
  <c r="O8" i="4"/>
  <c r="N8" i="4"/>
  <c r="AK7" i="4"/>
  <c r="AJ7" i="4"/>
  <c r="AI7" i="4"/>
  <c r="AH7" i="4"/>
  <c r="AG7" i="4"/>
  <c r="AF7" i="4"/>
  <c r="AE7" i="4"/>
  <c r="AD7" i="4"/>
  <c r="AC7" i="4"/>
  <c r="AB7" i="4"/>
  <c r="AA7" i="4"/>
  <c r="Z7" i="4"/>
  <c r="Y7" i="4"/>
  <c r="X7" i="4"/>
  <c r="W7" i="4"/>
  <c r="V7" i="4"/>
  <c r="U7" i="4"/>
  <c r="T7" i="4"/>
  <c r="S7" i="4"/>
  <c r="R7" i="4"/>
  <c r="Q7" i="4"/>
  <c r="P7" i="4"/>
  <c r="O7" i="4"/>
  <c r="N7" i="4"/>
  <c r="AK6" i="4"/>
  <c r="AJ6" i="4"/>
  <c r="AI6" i="4"/>
  <c r="AH6" i="4"/>
  <c r="AG6" i="4"/>
  <c r="AF6" i="4"/>
  <c r="AE6" i="4"/>
  <c r="AD6" i="4"/>
  <c r="AC6" i="4"/>
  <c r="AB6" i="4"/>
  <c r="AA6" i="4"/>
  <c r="Z6" i="4"/>
  <c r="Y6" i="4"/>
  <c r="X6" i="4"/>
  <c r="W6" i="4"/>
  <c r="V6" i="4"/>
  <c r="U6" i="4"/>
  <c r="T6" i="4"/>
  <c r="S6" i="4"/>
  <c r="R6" i="4"/>
  <c r="Q6" i="4"/>
  <c r="P6" i="4"/>
  <c r="O6" i="4"/>
  <c r="N6" i="4"/>
  <c r="AK4" i="4"/>
  <c r="AJ4" i="4"/>
  <c r="AI4" i="4"/>
  <c r="AH4" i="4"/>
  <c r="AG4" i="4"/>
  <c r="AF4" i="4"/>
  <c r="AE4" i="4"/>
  <c r="AD4" i="4"/>
  <c r="AC4" i="4"/>
  <c r="AB4" i="4"/>
  <c r="AA4" i="4"/>
  <c r="Z4" i="4"/>
  <c r="Y4" i="4"/>
  <c r="X4" i="4"/>
  <c r="W4" i="4"/>
  <c r="V4" i="4"/>
  <c r="U4" i="4"/>
  <c r="T4" i="4"/>
  <c r="S4" i="4"/>
  <c r="R4" i="4"/>
  <c r="Q4" i="4"/>
  <c r="P4" i="4"/>
  <c r="AK23" i="29"/>
  <c r="AJ23" i="29"/>
  <c r="AI23" i="29"/>
  <c r="AH23" i="29"/>
  <c r="AG23" i="29"/>
  <c r="AF23" i="29"/>
  <c r="AE23" i="29"/>
  <c r="AD23" i="29"/>
  <c r="AC23" i="29"/>
  <c r="AB23" i="29"/>
  <c r="AA23" i="29"/>
  <c r="Z23" i="29"/>
  <c r="Y23" i="29"/>
  <c r="X23" i="29"/>
  <c r="W23" i="29"/>
  <c r="V23" i="29"/>
  <c r="U23" i="29"/>
  <c r="T23" i="29"/>
  <c r="S23" i="29"/>
  <c r="R23" i="29"/>
  <c r="Q23" i="29"/>
  <c r="P23" i="29"/>
  <c r="O23" i="29"/>
  <c r="N23" i="29"/>
  <c r="AK22" i="29"/>
  <c r="AJ22" i="29"/>
  <c r="AI22" i="29"/>
  <c r="AH22" i="29"/>
  <c r="AG22" i="29"/>
  <c r="AF22" i="29"/>
  <c r="AE22" i="29"/>
  <c r="AD22" i="29"/>
  <c r="AC22" i="29"/>
  <c r="AB22" i="29"/>
  <c r="AA22" i="29"/>
  <c r="Z22" i="29"/>
  <c r="Y22" i="29"/>
  <c r="X22" i="29"/>
  <c r="W22" i="29"/>
  <c r="V22" i="29"/>
  <c r="U22" i="29"/>
  <c r="T22" i="29"/>
  <c r="S22" i="29"/>
  <c r="R22" i="29"/>
  <c r="Q22" i="29"/>
  <c r="P22" i="29"/>
  <c r="O22" i="29"/>
  <c r="N22" i="29"/>
  <c r="AK21" i="29"/>
  <c r="AJ21" i="29"/>
  <c r="AI21" i="29"/>
  <c r="AH21" i="29"/>
  <c r="AG21" i="29"/>
  <c r="AF21" i="29"/>
  <c r="AE21" i="29"/>
  <c r="AD21" i="29"/>
  <c r="AC21" i="29"/>
  <c r="AB21" i="29"/>
  <c r="AA21" i="29"/>
  <c r="Z21" i="29"/>
  <c r="Y21" i="29"/>
  <c r="X21" i="29"/>
  <c r="W21" i="29"/>
  <c r="V21" i="29"/>
  <c r="U21" i="29"/>
  <c r="T21" i="29"/>
  <c r="S21" i="29"/>
  <c r="R21" i="29"/>
  <c r="Q21" i="29"/>
  <c r="P21" i="29"/>
  <c r="O21" i="29"/>
  <c r="N21" i="29"/>
  <c r="AK20" i="29"/>
  <c r="AJ20" i="29"/>
  <c r="AI20" i="29"/>
  <c r="AH20" i="29"/>
  <c r="AG20" i="29"/>
  <c r="AF20" i="29"/>
  <c r="AE20" i="29"/>
  <c r="AD20" i="29"/>
  <c r="AC20" i="29"/>
  <c r="AB20" i="29"/>
  <c r="AA20" i="29"/>
  <c r="Z20" i="29"/>
  <c r="Y20" i="29"/>
  <c r="X20" i="29"/>
  <c r="W20" i="29"/>
  <c r="V20" i="29"/>
  <c r="U20" i="29"/>
  <c r="T20" i="29"/>
  <c r="S20" i="29"/>
  <c r="R20" i="29"/>
  <c r="Q20" i="29"/>
  <c r="P20" i="29"/>
  <c r="O20" i="29"/>
  <c r="N20" i="29"/>
  <c r="AK19" i="29"/>
  <c r="AJ19" i="29"/>
  <c r="AI19" i="29"/>
  <c r="AH19" i="29"/>
  <c r="AG19" i="29"/>
  <c r="AF19" i="29"/>
  <c r="AE19" i="29"/>
  <c r="AD19" i="29"/>
  <c r="AC19" i="29"/>
  <c r="AB19" i="29"/>
  <c r="AA19" i="29"/>
  <c r="Z19" i="29"/>
  <c r="Y19" i="29"/>
  <c r="X19" i="29"/>
  <c r="W19" i="29"/>
  <c r="V19" i="29"/>
  <c r="U19" i="29"/>
  <c r="T19" i="29"/>
  <c r="S19" i="29"/>
  <c r="R19" i="29"/>
  <c r="Q19" i="29"/>
  <c r="P19" i="29"/>
  <c r="O19" i="29"/>
  <c r="N19" i="29"/>
  <c r="AK18" i="29"/>
  <c r="AJ18" i="29"/>
  <c r="AI18" i="29"/>
  <c r="AH18" i="29"/>
  <c r="AG18" i="29"/>
  <c r="AF18" i="29"/>
  <c r="AE18" i="29"/>
  <c r="AD18" i="29"/>
  <c r="AC18" i="29"/>
  <c r="AB18" i="29"/>
  <c r="AA18" i="29"/>
  <c r="Z18" i="29"/>
  <c r="Y18" i="29"/>
  <c r="X18" i="29"/>
  <c r="W18" i="29"/>
  <c r="V18" i="29"/>
  <c r="U18" i="29"/>
  <c r="T18" i="29"/>
  <c r="S18" i="29"/>
  <c r="R18" i="29"/>
  <c r="Q18" i="29"/>
  <c r="P18" i="29"/>
  <c r="O18" i="29"/>
  <c r="N18" i="29"/>
  <c r="AK17" i="29"/>
  <c r="AJ17" i="29"/>
  <c r="AI17" i="29"/>
  <c r="AH17" i="29"/>
  <c r="AG17" i="29"/>
  <c r="AF17" i="29"/>
  <c r="AE17" i="29"/>
  <c r="AD17" i="29"/>
  <c r="AC17" i="29"/>
  <c r="AB17" i="29"/>
  <c r="AA17" i="29"/>
  <c r="Z17" i="29"/>
  <c r="Y17" i="29"/>
  <c r="X17" i="29"/>
  <c r="W17" i="29"/>
  <c r="V17" i="29"/>
  <c r="U17" i="29"/>
  <c r="T17" i="29"/>
  <c r="S17" i="29"/>
  <c r="R17" i="29"/>
  <c r="Q17" i="29"/>
  <c r="P17" i="29"/>
  <c r="O17" i="29"/>
  <c r="N17" i="29"/>
  <c r="AK16" i="29"/>
  <c r="AJ16" i="29"/>
  <c r="AI16" i="29"/>
  <c r="AH16" i="29"/>
  <c r="AG16" i="29"/>
  <c r="AF16" i="29"/>
  <c r="AE16" i="29"/>
  <c r="AD16" i="29"/>
  <c r="AC16" i="29"/>
  <c r="AB16" i="29"/>
  <c r="AA16" i="29"/>
  <c r="Z16" i="29"/>
  <c r="Y16" i="29"/>
  <c r="X16" i="29"/>
  <c r="W16" i="29"/>
  <c r="V16" i="29"/>
  <c r="U16" i="29"/>
  <c r="T16" i="29"/>
  <c r="S16" i="29"/>
  <c r="R16" i="29"/>
  <c r="Q16" i="29"/>
  <c r="P16" i="29"/>
  <c r="O16" i="29"/>
  <c r="N16" i="29"/>
  <c r="AK15" i="29"/>
  <c r="AJ15" i="29"/>
  <c r="AI15" i="29"/>
  <c r="AH15" i="29"/>
  <c r="AG15" i="29"/>
  <c r="AF15" i="29"/>
  <c r="AE15" i="29"/>
  <c r="AD15" i="29"/>
  <c r="AC15" i="29"/>
  <c r="AB15" i="29"/>
  <c r="AA15" i="29"/>
  <c r="Z15" i="29"/>
  <c r="Y15" i="29"/>
  <c r="X15" i="29"/>
  <c r="W15" i="29"/>
  <c r="V15" i="29"/>
  <c r="U15" i="29"/>
  <c r="T15" i="29"/>
  <c r="S15" i="29"/>
  <c r="R15" i="29"/>
  <c r="Q15" i="29"/>
  <c r="P15" i="29"/>
  <c r="O15" i="29"/>
  <c r="N15" i="29"/>
  <c r="AK14" i="29"/>
  <c r="AJ14" i="29"/>
  <c r="AI14" i="29"/>
  <c r="AH14" i="29"/>
  <c r="AG14" i="29"/>
  <c r="AF14" i="29"/>
  <c r="AE14" i="29"/>
  <c r="AD14" i="29"/>
  <c r="AC14" i="29"/>
  <c r="AB14" i="29"/>
  <c r="AA14" i="29"/>
  <c r="Z14" i="29"/>
  <c r="Y14" i="29"/>
  <c r="X14" i="29"/>
  <c r="W14" i="29"/>
  <c r="V14" i="29"/>
  <c r="U14" i="29"/>
  <c r="T14" i="29"/>
  <c r="S14" i="29"/>
  <c r="R14" i="29"/>
  <c r="Q14" i="29"/>
  <c r="P14" i="29"/>
  <c r="O14" i="29"/>
  <c r="N14" i="29"/>
  <c r="AK13" i="29"/>
  <c r="AJ13" i="29"/>
  <c r="AI13" i="29"/>
  <c r="AH13" i="29"/>
  <c r="AG13" i="29"/>
  <c r="AF13" i="29"/>
  <c r="AE13" i="29"/>
  <c r="AD13" i="29"/>
  <c r="AC13" i="29"/>
  <c r="AB13" i="29"/>
  <c r="AA13" i="29"/>
  <c r="Z13" i="29"/>
  <c r="Y13" i="29"/>
  <c r="X13" i="29"/>
  <c r="W13" i="29"/>
  <c r="V13" i="29"/>
  <c r="U13" i="29"/>
  <c r="T13" i="29"/>
  <c r="S13" i="29"/>
  <c r="R13" i="29"/>
  <c r="Q13" i="29"/>
  <c r="P13" i="29"/>
  <c r="O13" i="29"/>
  <c r="N13" i="29"/>
  <c r="AK12" i="29"/>
  <c r="AJ12" i="29"/>
  <c r="AI12" i="29"/>
  <c r="AH12" i="29"/>
  <c r="AG12" i="29"/>
  <c r="AF12" i="29"/>
  <c r="AE12" i="29"/>
  <c r="AD12" i="29"/>
  <c r="AC12" i="29"/>
  <c r="AB12" i="29"/>
  <c r="AA12" i="29"/>
  <c r="Z12" i="29"/>
  <c r="Y12" i="29"/>
  <c r="X12" i="29"/>
  <c r="W12" i="29"/>
  <c r="V12" i="29"/>
  <c r="U12" i="29"/>
  <c r="T12" i="29"/>
  <c r="S12" i="29"/>
  <c r="R12" i="29"/>
  <c r="Q12" i="29"/>
  <c r="P12" i="29"/>
  <c r="O12" i="29"/>
  <c r="N12" i="29"/>
  <c r="AK11" i="29"/>
  <c r="AJ11" i="29"/>
  <c r="AI11" i="29"/>
  <c r="AH11" i="29"/>
  <c r="AG11" i="29"/>
  <c r="AF11" i="29"/>
  <c r="AE11" i="29"/>
  <c r="AD11" i="29"/>
  <c r="AC11" i="29"/>
  <c r="AB11" i="29"/>
  <c r="AA11" i="29"/>
  <c r="Z11" i="29"/>
  <c r="Y11" i="29"/>
  <c r="X11" i="29"/>
  <c r="W11" i="29"/>
  <c r="V11" i="29"/>
  <c r="U11" i="29"/>
  <c r="T11" i="29"/>
  <c r="S11" i="29"/>
  <c r="R11" i="29"/>
  <c r="Q11" i="29"/>
  <c r="P11" i="29"/>
  <c r="O11" i="29"/>
  <c r="N11" i="29"/>
  <c r="AK10" i="29"/>
  <c r="AJ10" i="29"/>
  <c r="AI10" i="29"/>
  <c r="AH10" i="29"/>
  <c r="AG10" i="29"/>
  <c r="AF10" i="29"/>
  <c r="AE10" i="29"/>
  <c r="AD10" i="29"/>
  <c r="AC10" i="29"/>
  <c r="AB10" i="29"/>
  <c r="AA10" i="29"/>
  <c r="Z10" i="29"/>
  <c r="Y10" i="29"/>
  <c r="X10" i="29"/>
  <c r="W10" i="29"/>
  <c r="V10" i="29"/>
  <c r="U10" i="29"/>
  <c r="T10" i="29"/>
  <c r="S10" i="29"/>
  <c r="R10" i="29"/>
  <c r="Q10" i="29"/>
  <c r="P10" i="29"/>
  <c r="O10" i="29"/>
  <c r="N10" i="29"/>
  <c r="AK9" i="29"/>
  <c r="AJ9" i="29"/>
  <c r="AI9" i="29"/>
  <c r="AH9" i="29"/>
  <c r="AG9" i="29"/>
  <c r="AF9" i="29"/>
  <c r="AE9" i="29"/>
  <c r="AD9" i="29"/>
  <c r="AC9" i="29"/>
  <c r="AB9" i="29"/>
  <c r="AA9" i="29"/>
  <c r="Z9" i="29"/>
  <c r="Y9" i="29"/>
  <c r="X9" i="29"/>
  <c r="W9" i="29"/>
  <c r="V9" i="29"/>
  <c r="U9" i="29"/>
  <c r="T9" i="29"/>
  <c r="S9" i="29"/>
  <c r="R9" i="29"/>
  <c r="Q9" i="29"/>
  <c r="P9" i="29"/>
  <c r="O9" i="29"/>
  <c r="N9" i="29"/>
  <c r="AK8" i="29"/>
  <c r="AJ8" i="29"/>
  <c r="AI8" i="29"/>
  <c r="AH8" i="29"/>
  <c r="AG8" i="29"/>
  <c r="AF8" i="29"/>
  <c r="AE8" i="29"/>
  <c r="AD8" i="29"/>
  <c r="AC8" i="29"/>
  <c r="AB8" i="29"/>
  <c r="AA8" i="29"/>
  <c r="Z8" i="29"/>
  <c r="Y8" i="29"/>
  <c r="X8" i="29"/>
  <c r="W8" i="29"/>
  <c r="V8" i="29"/>
  <c r="U8" i="29"/>
  <c r="T8" i="29"/>
  <c r="S8" i="29"/>
  <c r="R8" i="29"/>
  <c r="Q8" i="29"/>
  <c r="P8" i="29"/>
  <c r="O8" i="29"/>
  <c r="N8" i="29"/>
  <c r="AK7" i="29"/>
  <c r="AJ7" i="29"/>
  <c r="AI7" i="29"/>
  <c r="AH7" i="29"/>
  <c r="AG7" i="29"/>
  <c r="AF7" i="29"/>
  <c r="AE7" i="29"/>
  <c r="AD7" i="29"/>
  <c r="AC7" i="29"/>
  <c r="AB7" i="29"/>
  <c r="AA7" i="29"/>
  <c r="Z7" i="29"/>
  <c r="Y7" i="29"/>
  <c r="X7" i="29"/>
  <c r="W7" i="29"/>
  <c r="V7" i="29"/>
  <c r="U7" i="29"/>
  <c r="T7" i="29"/>
  <c r="S7" i="29"/>
  <c r="R7" i="29"/>
  <c r="Q7" i="29"/>
  <c r="P7" i="29"/>
  <c r="O7" i="29"/>
  <c r="N7" i="29"/>
  <c r="AK6" i="29"/>
  <c r="AJ6" i="29"/>
  <c r="AI6" i="29"/>
  <c r="AH6" i="29"/>
  <c r="AG6" i="29"/>
  <c r="AF6" i="29"/>
  <c r="AE6" i="29"/>
  <c r="AD6" i="29"/>
  <c r="AC6" i="29"/>
  <c r="AB6" i="29"/>
  <c r="AA6" i="29"/>
  <c r="Z6" i="29"/>
  <c r="Y6" i="29"/>
  <c r="X6" i="29"/>
  <c r="W6" i="29"/>
  <c r="V6" i="29"/>
  <c r="U6" i="29"/>
  <c r="T6" i="29"/>
  <c r="S6" i="29"/>
  <c r="R6" i="29"/>
  <c r="Q6" i="29"/>
  <c r="P6" i="29"/>
  <c r="O6" i="29"/>
  <c r="N6" i="29"/>
  <c r="AK4" i="29"/>
  <c r="AJ4" i="29"/>
  <c r="AI4" i="29"/>
  <c r="AH4" i="29"/>
  <c r="AG4" i="29"/>
  <c r="AF4" i="29"/>
  <c r="AE4" i="29"/>
  <c r="AD4" i="29"/>
  <c r="AC4" i="29"/>
  <c r="AB4" i="29"/>
  <c r="AA4" i="29"/>
  <c r="Z4" i="29"/>
  <c r="Y4" i="29"/>
  <c r="X4" i="29"/>
  <c r="W4" i="29"/>
  <c r="V4" i="29"/>
  <c r="U4" i="29"/>
  <c r="T4" i="29"/>
  <c r="S4" i="29"/>
  <c r="R4" i="29"/>
  <c r="Q4" i="29"/>
  <c r="P4" i="29"/>
  <c r="AK23" i="25"/>
  <c r="AJ23" i="25"/>
  <c r="AI23" i="25"/>
  <c r="AH23" i="25"/>
  <c r="AG23" i="25"/>
  <c r="AF23" i="25"/>
  <c r="AE23" i="25"/>
  <c r="AD23" i="25"/>
  <c r="AC23" i="25"/>
  <c r="AB23" i="25"/>
  <c r="AA23" i="25"/>
  <c r="Z23" i="25"/>
  <c r="Y23" i="25"/>
  <c r="X23" i="25"/>
  <c r="W23" i="25"/>
  <c r="V23" i="25"/>
  <c r="U23" i="25"/>
  <c r="T23" i="25"/>
  <c r="S23" i="25"/>
  <c r="R23" i="25"/>
  <c r="Q23" i="25"/>
  <c r="P23" i="25"/>
  <c r="O23" i="25"/>
  <c r="N23" i="25"/>
  <c r="AK22" i="25"/>
  <c r="AJ22" i="25"/>
  <c r="AI22" i="25"/>
  <c r="AH22" i="25"/>
  <c r="AG22" i="25"/>
  <c r="AF22" i="25"/>
  <c r="AE22" i="25"/>
  <c r="AD22" i="25"/>
  <c r="AC22" i="25"/>
  <c r="AB22" i="25"/>
  <c r="AA22" i="25"/>
  <c r="Z22" i="25"/>
  <c r="Y22" i="25"/>
  <c r="X22" i="25"/>
  <c r="W22" i="25"/>
  <c r="V22" i="25"/>
  <c r="U22" i="25"/>
  <c r="T22" i="25"/>
  <c r="S22" i="25"/>
  <c r="R22" i="25"/>
  <c r="Q22" i="25"/>
  <c r="P22" i="25"/>
  <c r="O22" i="25"/>
  <c r="N22" i="25"/>
  <c r="AK21" i="25"/>
  <c r="AJ21" i="25"/>
  <c r="AI21" i="25"/>
  <c r="AH21" i="25"/>
  <c r="AG21" i="25"/>
  <c r="AF21" i="25"/>
  <c r="AE21" i="25"/>
  <c r="AD21" i="25"/>
  <c r="AC21" i="25"/>
  <c r="AB21" i="25"/>
  <c r="AA21" i="25"/>
  <c r="Z21" i="25"/>
  <c r="Y21" i="25"/>
  <c r="X21" i="25"/>
  <c r="W21" i="25"/>
  <c r="V21" i="25"/>
  <c r="U21" i="25"/>
  <c r="T21" i="25"/>
  <c r="S21" i="25"/>
  <c r="R21" i="25"/>
  <c r="Q21" i="25"/>
  <c r="P21" i="25"/>
  <c r="O21" i="25"/>
  <c r="N21" i="25"/>
  <c r="AK20" i="25"/>
  <c r="AJ20" i="25"/>
  <c r="AI20" i="25"/>
  <c r="AH20" i="25"/>
  <c r="AG20" i="25"/>
  <c r="AF20" i="25"/>
  <c r="AE20" i="25"/>
  <c r="AD20" i="25"/>
  <c r="AC20" i="25"/>
  <c r="AB20" i="25"/>
  <c r="AA20" i="25"/>
  <c r="Z20" i="25"/>
  <c r="Y20" i="25"/>
  <c r="X20" i="25"/>
  <c r="W20" i="25"/>
  <c r="V20" i="25"/>
  <c r="U20" i="25"/>
  <c r="T20" i="25"/>
  <c r="S20" i="25"/>
  <c r="R20" i="25"/>
  <c r="Q20" i="25"/>
  <c r="P20" i="25"/>
  <c r="O20" i="25"/>
  <c r="N20" i="25"/>
  <c r="AK19" i="25"/>
  <c r="AJ19" i="25"/>
  <c r="AI19" i="25"/>
  <c r="AH19" i="25"/>
  <c r="AG19" i="25"/>
  <c r="AF19" i="25"/>
  <c r="AE19" i="25"/>
  <c r="AD19" i="25"/>
  <c r="AC19" i="25"/>
  <c r="AB19" i="25"/>
  <c r="AA19" i="25"/>
  <c r="Z19" i="25"/>
  <c r="Y19" i="25"/>
  <c r="X19" i="25"/>
  <c r="W19" i="25"/>
  <c r="V19" i="25"/>
  <c r="U19" i="25"/>
  <c r="T19" i="25"/>
  <c r="S19" i="25"/>
  <c r="R19" i="25"/>
  <c r="Q19" i="25"/>
  <c r="P19" i="25"/>
  <c r="O19" i="25"/>
  <c r="N19" i="25"/>
  <c r="AK18" i="25"/>
  <c r="AJ18" i="25"/>
  <c r="AI18" i="25"/>
  <c r="AH18" i="25"/>
  <c r="AG18" i="25"/>
  <c r="AF18" i="25"/>
  <c r="AE18" i="25"/>
  <c r="AD18" i="25"/>
  <c r="AC18" i="25"/>
  <c r="AB18" i="25"/>
  <c r="AA18" i="25"/>
  <c r="Z18" i="25"/>
  <c r="Y18" i="25"/>
  <c r="X18" i="25"/>
  <c r="W18" i="25"/>
  <c r="V18" i="25"/>
  <c r="U18" i="25"/>
  <c r="T18" i="25"/>
  <c r="S18" i="25"/>
  <c r="R18" i="25"/>
  <c r="Q18" i="25"/>
  <c r="P18" i="25"/>
  <c r="O18" i="25"/>
  <c r="N18" i="25"/>
  <c r="AK17" i="25"/>
  <c r="AJ17" i="25"/>
  <c r="AI17" i="25"/>
  <c r="AH17" i="25"/>
  <c r="AG17" i="25"/>
  <c r="AF17" i="25"/>
  <c r="AE17" i="25"/>
  <c r="AD17" i="25"/>
  <c r="AC17" i="25"/>
  <c r="AB17" i="25"/>
  <c r="AA17" i="25"/>
  <c r="Z17" i="25"/>
  <c r="Y17" i="25"/>
  <c r="X17" i="25"/>
  <c r="W17" i="25"/>
  <c r="V17" i="25"/>
  <c r="U17" i="25"/>
  <c r="T17" i="25"/>
  <c r="S17" i="25"/>
  <c r="R17" i="25"/>
  <c r="Q17" i="25"/>
  <c r="P17" i="25"/>
  <c r="O17" i="25"/>
  <c r="N17" i="25"/>
  <c r="AK16" i="25"/>
  <c r="AJ16" i="25"/>
  <c r="AI16" i="25"/>
  <c r="AH16" i="25"/>
  <c r="AG16" i="25"/>
  <c r="AF16" i="25"/>
  <c r="AE16" i="25"/>
  <c r="AD16" i="25"/>
  <c r="AC16" i="25"/>
  <c r="AB16" i="25"/>
  <c r="AA16" i="25"/>
  <c r="Z16" i="25"/>
  <c r="Y16" i="25"/>
  <c r="X16" i="25"/>
  <c r="W16" i="25"/>
  <c r="V16" i="25"/>
  <c r="U16" i="25"/>
  <c r="T16" i="25"/>
  <c r="S16" i="25"/>
  <c r="R16" i="25"/>
  <c r="Q16" i="25"/>
  <c r="P16" i="25"/>
  <c r="O16" i="25"/>
  <c r="N16" i="25"/>
  <c r="AK15" i="25"/>
  <c r="AJ15" i="25"/>
  <c r="AI15" i="25"/>
  <c r="AH15" i="25"/>
  <c r="AG15" i="25"/>
  <c r="AF15" i="25"/>
  <c r="AE15" i="25"/>
  <c r="AD15" i="25"/>
  <c r="AC15" i="25"/>
  <c r="AB15" i="25"/>
  <c r="AA15" i="25"/>
  <c r="Z15" i="25"/>
  <c r="Y15" i="25"/>
  <c r="X15" i="25"/>
  <c r="W15" i="25"/>
  <c r="V15" i="25"/>
  <c r="U15" i="25"/>
  <c r="T15" i="25"/>
  <c r="S15" i="25"/>
  <c r="R15" i="25"/>
  <c r="Q15" i="25"/>
  <c r="P15" i="25"/>
  <c r="O15" i="25"/>
  <c r="N15" i="25"/>
  <c r="AK14" i="25"/>
  <c r="AJ14" i="25"/>
  <c r="AI14" i="25"/>
  <c r="AH14" i="25"/>
  <c r="AG14" i="25"/>
  <c r="AF14" i="25"/>
  <c r="AE14" i="25"/>
  <c r="AD14" i="25"/>
  <c r="AC14" i="25"/>
  <c r="AB14" i="25"/>
  <c r="AA14" i="25"/>
  <c r="Z14" i="25"/>
  <c r="Y14" i="25"/>
  <c r="X14" i="25"/>
  <c r="W14" i="25"/>
  <c r="V14" i="25"/>
  <c r="U14" i="25"/>
  <c r="T14" i="25"/>
  <c r="S14" i="25"/>
  <c r="R14" i="25"/>
  <c r="Q14" i="25"/>
  <c r="P14" i="25"/>
  <c r="O14" i="25"/>
  <c r="N14" i="25"/>
  <c r="AK13" i="25"/>
  <c r="AJ13" i="25"/>
  <c r="AI13" i="25"/>
  <c r="AH13" i="25"/>
  <c r="AG13" i="25"/>
  <c r="AF13" i="25"/>
  <c r="AE13" i="25"/>
  <c r="AD13" i="25"/>
  <c r="AC13" i="25"/>
  <c r="AB13" i="25"/>
  <c r="AA13" i="25"/>
  <c r="Z13" i="25"/>
  <c r="Y13" i="25"/>
  <c r="X13" i="25"/>
  <c r="W13" i="25"/>
  <c r="V13" i="25"/>
  <c r="U13" i="25"/>
  <c r="T13" i="25"/>
  <c r="S13" i="25"/>
  <c r="R13" i="25"/>
  <c r="Q13" i="25"/>
  <c r="P13" i="25"/>
  <c r="O13" i="25"/>
  <c r="N13" i="25"/>
  <c r="AK12" i="25"/>
  <c r="AJ12" i="25"/>
  <c r="AI12" i="25"/>
  <c r="AH12" i="25"/>
  <c r="AG12" i="25"/>
  <c r="AF12" i="25"/>
  <c r="AE12" i="25"/>
  <c r="AD12" i="25"/>
  <c r="AC12" i="25"/>
  <c r="AB12" i="25"/>
  <c r="AA12" i="25"/>
  <c r="Z12" i="25"/>
  <c r="Y12" i="25"/>
  <c r="X12" i="25"/>
  <c r="W12" i="25"/>
  <c r="V12" i="25"/>
  <c r="U12" i="25"/>
  <c r="T12" i="25"/>
  <c r="S12" i="25"/>
  <c r="R12" i="25"/>
  <c r="Q12" i="25"/>
  <c r="P12" i="25"/>
  <c r="O12" i="25"/>
  <c r="N12" i="25"/>
  <c r="AK11" i="25"/>
  <c r="AJ11" i="25"/>
  <c r="AI11" i="25"/>
  <c r="AH11" i="25"/>
  <c r="AG11" i="25"/>
  <c r="AF11" i="25"/>
  <c r="AE11" i="25"/>
  <c r="AD11" i="25"/>
  <c r="AC11" i="25"/>
  <c r="AB11" i="25"/>
  <c r="AA11" i="25"/>
  <c r="Z11" i="25"/>
  <c r="Y11" i="25"/>
  <c r="X11" i="25"/>
  <c r="W11" i="25"/>
  <c r="V11" i="25"/>
  <c r="U11" i="25"/>
  <c r="T11" i="25"/>
  <c r="S11" i="25"/>
  <c r="R11" i="25"/>
  <c r="Q11" i="25"/>
  <c r="P11" i="25"/>
  <c r="O11" i="25"/>
  <c r="N11" i="25"/>
  <c r="AK10" i="25"/>
  <c r="AJ10" i="25"/>
  <c r="AI10" i="25"/>
  <c r="AH10" i="25"/>
  <c r="AG10" i="25"/>
  <c r="AF10" i="25"/>
  <c r="AE10" i="25"/>
  <c r="AD10" i="25"/>
  <c r="AC10" i="25"/>
  <c r="AB10" i="25"/>
  <c r="AA10" i="25"/>
  <c r="Z10" i="25"/>
  <c r="Y10" i="25"/>
  <c r="X10" i="25"/>
  <c r="W10" i="25"/>
  <c r="V10" i="25"/>
  <c r="U10" i="25"/>
  <c r="T10" i="25"/>
  <c r="S10" i="25"/>
  <c r="R10" i="25"/>
  <c r="Q10" i="25"/>
  <c r="P10" i="25"/>
  <c r="O10" i="25"/>
  <c r="N10" i="25"/>
  <c r="AK9" i="25"/>
  <c r="AJ9" i="25"/>
  <c r="AI9" i="25"/>
  <c r="AH9" i="25"/>
  <c r="AG9" i="25"/>
  <c r="AF9" i="25"/>
  <c r="AE9" i="25"/>
  <c r="AD9" i="25"/>
  <c r="AC9" i="25"/>
  <c r="AB9" i="25"/>
  <c r="AA9" i="25"/>
  <c r="Z9" i="25"/>
  <c r="Y9" i="25"/>
  <c r="X9" i="25"/>
  <c r="W9" i="25"/>
  <c r="V9" i="25"/>
  <c r="U9" i="25"/>
  <c r="T9" i="25"/>
  <c r="S9" i="25"/>
  <c r="R9" i="25"/>
  <c r="Q9" i="25"/>
  <c r="P9" i="25"/>
  <c r="O9" i="25"/>
  <c r="N9" i="25"/>
  <c r="AK8" i="25"/>
  <c r="AJ8" i="25"/>
  <c r="AI8" i="25"/>
  <c r="AH8" i="25"/>
  <c r="AG8" i="25"/>
  <c r="AF8" i="25"/>
  <c r="AE8" i="25"/>
  <c r="AD8" i="25"/>
  <c r="AC8" i="25"/>
  <c r="AB8" i="25"/>
  <c r="AA8" i="25"/>
  <c r="Z8" i="25"/>
  <c r="Y8" i="25"/>
  <c r="X8" i="25"/>
  <c r="W8" i="25"/>
  <c r="V8" i="25"/>
  <c r="U8" i="25"/>
  <c r="T8" i="25"/>
  <c r="S8" i="25"/>
  <c r="R8" i="25"/>
  <c r="Q8" i="25"/>
  <c r="P8" i="25"/>
  <c r="O8" i="25"/>
  <c r="N8" i="25"/>
  <c r="AK7" i="25"/>
  <c r="AJ7" i="25"/>
  <c r="AI7" i="25"/>
  <c r="AH7" i="25"/>
  <c r="AG7" i="25"/>
  <c r="AF7" i="25"/>
  <c r="AE7" i="25"/>
  <c r="AD7" i="25"/>
  <c r="AC7" i="25"/>
  <c r="AB7" i="25"/>
  <c r="AA7" i="25"/>
  <c r="Z7" i="25"/>
  <c r="Y7" i="25"/>
  <c r="X7" i="25"/>
  <c r="W7" i="25"/>
  <c r="V7" i="25"/>
  <c r="U7" i="25"/>
  <c r="T7" i="25"/>
  <c r="S7" i="25"/>
  <c r="R7" i="25"/>
  <c r="Q7" i="25"/>
  <c r="P7" i="25"/>
  <c r="O7" i="25"/>
  <c r="N7" i="25"/>
  <c r="AK6" i="25"/>
  <c r="AJ6" i="25"/>
  <c r="AI6" i="25"/>
  <c r="AH6" i="25"/>
  <c r="AG6" i="25"/>
  <c r="AF6" i="25"/>
  <c r="AE6" i="25"/>
  <c r="AD6" i="25"/>
  <c r="AC6" i="25"/>
  <c r="AB6" i="25"/>
  <c r="AA6" i="25"/>
  <c r="Z6" i="25"/>
  <c r="Y6" i="25"/>
  <c r="X6" i="25"/>
  <c r="W6" i="25"/>
  <c r="V6" i="25"/>
  <c r="U6" i="25"/>
  <c r="T6" i="25"/>
  <c r="S6" i="25"/>
  <c r="R6" i="25"/>
  <c r="Q6" i="25"/>
  <c r="P6" i="25"/>
  <c r="O6" i="25"/>
  <c r="N6" i="25"/>
  <c r="AK4" i="25"/>
  <c r="AJ4" i="25"/>
  <c r="AI4" i="25"/>
  <c r="AH4" i="25"/>
  <c r="AG4" i="25"/>
  <c r="AF4" i="25"/>
  <c r="AE4" i="25"/>
  <c r="AD4" i="25"/>
  <c r="AC4" i="25"/>
  <c r="AB4" i="25"/>
  <c r="AA4" i="25"/>
  <c r="Z4" i="25"/>
  <c r="Y4" i="25"/>
  <c r="X4" i="25"/>
  <c r="W4" i="25"/>
  <c r="V4" i="25"/>
  <c r="U4" i="25"/>
  <c r="T4" i="25"/>
  <c r="S4" i="25"/>
  <c r="R4" i="25"/>
  <c r="Q4" i="25"/>
  <c r="P4" i="25"/>
  <c r="AK4" i="21"/>
  <c r="AK6" i="21"/>
  <c r="AK7" i="21"/>
  <c r="AK8" i="21"/>
  <c r="AK9" i="21"/>
  <c r="AK10" i="21"/>
  <c r="AK11" i="21"/>
  <c r="AK12" i="21"/>
  <c r="AK13" i="21"/>
  <c r="AK14" i="21"/>
  <c r="AK15" i="21"/>
  <c r="AK16" i="21"/>
  <c r="AK17" i="21"/>
  <c r="AK18" i="21"/>
  <c r="AK19" i="21"/>
  <c r="AK20" i="21"/>
  <c r="AK21" i="21"/>
  <c r="AK22" i="21"/>
  <c r="AK23" i="21"/>
  <c r="AB4" i="21"/>
  <c r="AC4" i="21"/>
  <c r="AD4" i="21"/>
  <c r="AE4" i="21"/>
  <c r="AF4" i="21"/>
  <c r="AG4" i="21"/>
  <c r="AH4" i="21"/>
  <c r="AI4" i="21"/>
  <c r="AJ4" i="21"/>
  <c r="AB6" i="21"/>
  <c r="AC6" i="21"/>
  <c r="AD6" i="21"/>
  <c r="AE6" i="21"/>
  <c r="AF6" i="21"/>
  <c r="AG6" i="21"/>
  <c r="AH6" i="21"/>
  <c r="AI6" i="21"/>
  <c r="AJ6" i="21"/>
  <c r="AB7" i="21"/>
  <c r="AC7" i="21"/>
  <c r="AD7" i="21"/>
  <c r="AE7" i="21"/>
  <c r="AF7" i="21"/>
  <c r="AG7" i="21"/>
  <c r="AH7" i="21"/>
  <c r="AI7" i="21"/>
  <c r="AJ7" i="21"/>
  <c r="AB8" i="21"/>
  <c r="AC8" i="21"/>
  <c r="AD8" i="21"/>
  <c r="AE8" i="21"/>
  <c r="AF8" i="21"/>
  <c r="AG8" i="21"/>
  <c r="AH8" i="21"/>
  <c r="AI8" i="21"/>
  <c r="AJ8" i="21"/>
  <c r="AB9" i="21"/>
  <c r="AC9" i="21"/>
  <c r="AD9" i="21"/>
  <c r="AE9" i="21"/>
  <c r="AF9" i="21"/>
  <c r="AG9" i="21"/>
  <c r="AH9" i="21"/>
  <c r="AI9" i="21"/>
  <c r="AJ9" i="21"/>
  <c r="AB10" i="21"/>
  <c r="AC10" i="21"/>
  <c r="AD10" i="21"/>
  <c r="AE10" i="21"/>
  <c r="AF10" i="21"/>
  <c r="AG10" i="21"/>
  <c r="AH10" i="21"/>
  <c r="AI10" i="21"/>
  <c r="AJ10" i="21"/>
  <c r="AB11" i="21"/>
  <c r="AC11" i="21"/>
  <c r="AD11" i="21"/>
  <c r="AE11" i="21"/>
  <c r="AF11" i="21"/>
  <c r="AG11" i="21"/>
  <c r="AH11" i="21"/>
  <c r="AI11" i="21"/>
  <c r="AJ11" i="21"/>
  <c r="AB12" i="21"/>
  <c r="AC12" i="21"/>
  <c r="AD12" i="21"/>
  <c r="AE12" i="21"/>
  <c r="AF12" i="21"/>
  <c r="AG12" i="21"/>
  <c r="AH12" i="21"/>
  <c r="AI12" i="21"/>
  <c r="AJ12" i="21"/>
  <c r="AB13" i="21"/>
  <c r="AC13" i="21"/>
  <c r="AD13" i="21"/>
  <c r="AE13" i="21"/>
  <c r="AF13" i="21"/>
  <c r="AG13" i="21"/>
  <c r="AH13" i="21"/>
  <c r="AI13" i="21"/>
  <c r="AJ13" i="21"/>
  <c r="AB14" i="21"/>
  <c r="AC14" i="21"/>
  <c r="AD14" i="21"/>
  <c r="AE14" i="21"/>
  <c r="AF14" i="21"/>
  <c r="AG14" i="21"/>
  <c r="AH14" i="21"/>
  <c r="AI14" i="21"/>
  <c r="AJ14" i="21"/>
  <c r="AB15" i="21"/>
  <c r="AC15" i="21"/>
  <c r="AD15" i="21"/>
  <c r="AE15" i="21"/>
  <c r="AF15" i="21"/>
  <c r="AG15" i="21"/>
  <c r="AH15" i="21"/>
  <c r="AI15" i="21"/>
  <c r="AJ15" i="21"/>
  <c r="AB16" i="21"/>
  <c r="AC16" i="21"/>
  <c r="AD16" i="21"/>
  <c r="AE16" i="21"/>
  <c r="AF16" i="21"/>
  <c r="AG16" i="21"/>
  <c r="AH16" i="21"/>
  <c r="AI16" i="21"/>
  <c r="AJ16" i="21"/>
  <c r="AB17" i="21"/>
  <c r="AC17" i="21"/>
  <c r="AD17" i="21"/>
  <c r="AE17" i="21"/>
  <c r="AF17" i="21"/>
  <c r="AG17" i="21"/>
  <c r="AH17" i="21"/>
  <c r="AI17" i="21"/>
  <c r="AJ17" i="21"/>
  <c r="AB18" i="21"/>
  <c r="AC18" i="21"/>
  <c r="AD18" i="21"/>
  <c r="AE18" i="21"/>
  <c r="AF18" i="21"/>
  <c r="AG18" i="21"/>
  <c r="AH18" i="21"/>
  <c r="AI18" i="21"/>
  <c r="AJ18" i="21"/>
  <c r="AB19" i="21"/>
  <c r="AC19" i="21"/>
  <c r="AD19" i="21"/>
  <c r="AE19" i="21"/>
  <c r="AF19" i="21"/>
  <c r="AG19" i="21"/>
  <c r="AH19" i="21"/>
  <c r="AI19" i="21"/>
  <c r="AJ19" i="21"/>
  <c r="AB20" i="21"/>
  <c r="AC20" i="21"/>
  <c r="AD20" i="21"/>
  <c r="AE20" i="21"/>
  <c r="AF20" i="21"/>
  <c r="AG20" i="21"/>
  <c r="AH20" i="21"/>
  <c r="AI20" i="21"/>
  <c r="AJ20" i="21"/>
  <c r="AB21" i="21"/>
  <c r="AC21" i="21"/>
  <c r="AD21" i="21"/>
  <c r="AE21" i="21"/>
  <c r="AF21" i="21"/>
  <c r="AG21" i="21"/>
  <c r="AH21" i="21"/>
  <c r="AI21" i="21"/>
  <c r="AJ21" i="21"/>
  <c r="AB22" i="21"/>
  <c r="AC22" i="21"/>
  <c r="AD22" i="21"/>
  <c r="AE22" i="21"/>
  <c r="AF22" i="21"/>
  <c r="AG22" i="21"/>
  <c r="AH22" i="21"/>
  <c r="AI22" i="21"/>
  <c r="AJ22" i="21"/>
  <c r="AB23" i="21"/>
  <c r="AC23" i="21"/>
  <c r="AD23" i="21"/>
  <c r="AE23" i="21"/>
  <c r="AF23" i="21"/>
  <c r="AG23" i="21"/>
  <c r="AH23" i="21"/>
  <c r="AI23" i="21"/>
  <c r="AJ23" i="21"/>
  <c r="AA4" i="21"/>
  <c r="AA7" i="21"/>
  <c r="AA8" i="21"/>
  <c r="AA9" i="21"/>
  <c r="AA10" i="21"/>
  <c r="AA11" i="21"/>
  <c r="AA12" i="21"/>
  <c r="AA13" i="21"/>
  <c r="AA14" i="21"/>
  <c r="AA15" i="21"/>
  <c r="AA16" i="21"/>
  <c r="AA17" i="21"/>
  <c r="AA18" i="21"/>
  <c r="AA19" i="21"/>
  <c r="AA20" i="21"/>
  <c r="AA21" i="21"/>
  <c r="AA22" i="21"/>
  <c r="AA23" i="21"/>
  <c r="AA6" i="21"/>
  <c r="P7" i="21"/>
  <c r="Q7" i="21"/>
  <c r="R7" i="21"/>
  <c r="S7" i="21"/>
  <c r="T7" i="21"/>
  <c r="U7" i="21"/>
  <c r="V7" i="21"/>
  <c r="W7" i="21"/>
  <c r="X7" i="21"/>
  <c r="Y7" i="21"/>
  <c r="Z7" i="21"/>
  <c r="P8" i="21"/>
  <c r="Q8" i="21"/>
  <c r="R8" i="21"/>
  <c r="S8" i="21"/>
  <c r="T8" i="21"/>
  <c r="U8" i="21"/>
  <c r="V8" i="21"/>
  <c r="W8" i="21"/>
  <c r="X8" i="21"/>
  <c r="Y8" i="21"/>
  <c r="Z8" i="21"/>
  <c r="P9" i="21"/>
  <c r="Q9" i="21"/>
  <c r="R9" i="21"/>
  <c r="S9" i="21"/>
  <c r="T9" i="21"/>
  <c r="U9" i="21"/>
  <c r="V9" i="21"/>
  <c r="W9" i="21"/>
  <c r="X9" i="21"/>
  <c r="Y9" i="21"/>
  <c r="Z9" i="21"/>
  <c r="P10" i="21"/>
  <c r="Q10" i="21"/>
  <c r="R10" i="21"/>
  <c r="S10" i="21"/>
  <c r="T10" i="21"/>
  <c r="U10" i="21"/>
  <c r="V10" i="21"/>
  <c r="W10" i="21"/>
  <c r="X10" i="21"/>
  <c r="Y10" i="21"/>
  <c r="Z10" i="21"/>
  <c r="P11" i="21"/>
  <c r="Q11" i="21"/>
  <c r="R11" i="21"/>
  <c r="S11" i="21"/>
  <c r="T11" i="21"/>
  <c r="U11" i="21"/>
  <c r="V11" i="21"/>
  <c r="W11" i="21"/>
  <c r="X11" i="21"/>
  <c r="Y11" i="21"/>
  <c r="Z11" i="21"/>
  <c r="P12" i="21"/>
  <c r="Q12" i="21"/>
  <c r="R12" i="21"/>
  <c r="S12" i="21"/>
  <c r="T12" i="21"/>
  <c r="U12" i="21"/>
  <c r="V12" i="21"/>
  <c r="W12" i="21"/>
  <c r="X12" i="21"/>
  <c r="Y12" i="21"/>
  <c r="Z12" i="21"/>
  <c r="P13" i="21"/>
  <c r="Q13" i="21"/>
  <c r="R13" i="21"/>
  <c r="S13" i="21"/>
  <c r="T13" i="21"/>
  <c r="U13" i="21"/>
  <c r="V13" i="21"/>
  <c r="W13" i="21"/>
  <c r="X13" i="21"/>
  <c r="Y13" i="21"/>
  <c r="Z13" i="21"/>
  <c r="P14" i="21"/>
  <c r="Q14" i="21"/>
  <c r="R14" i="21"/>
  <c r="S14" i="21"/>
  <c r="T14" i="21"/>
  <c r="U14" i="21"/>
  <c r="V14" i="21"/>
  <c r="W14" i="21"/>
  <c r="X14" i="21"/>
  <c r="Y14" i="21"/>
  <c r="Z14" i="21"/>
  <c r="P15" i="21"/>
  <c r="Q15" i="21"/>
  <c r="R15" i="21"/>
  <c r="S15" i="21"/>
  <c r="T15" i="21"/>
  <c r="U15" i="21"/>
  <c r="V15" i="21"/>
  <c r="W15" i="21"/>
  <c r="X15" i="21"/>
  <c r="Y15" i="21"/>
  <c r="Z15" i="21"/>
  <c r="P16" i="21"/>
  <c r="Q16" i="21"/>
  <c r="R16" i="21"/>
  <c r="S16" i="21"/>
  <c r="T16" i="21"/>
  <c r="U16" i="21"/>
  <c r="V16" i="21"/>
  <c r="W16" i="21"/>
  <c r="X16" i="21"/>
  <c r="Y16" i="21"/>
  <c r="Z16" i="21"/>
  <c r="P17" i="21"/>
  <c r="Q17" i="21"/>
  <c r="R17" i="21"/>
  <c r="S17" i="21"/>
  <c r="T17" i="21"/>
  <c r="U17" i="21"/>
  <c r="V17" i="21"/>
  <c r="W17" i="21"/>
  <c r="X17" i="21"/>
  <c r="Y17" i="21"/>
  <c r="Z17" i="21"/>
  <c r="P18" i="21"/>
  <c r="Q18" i="21"/>
  <c r="R18" i="21"/>
  <c r="S18" i="21"/>
  <c r="T18" i="21"/>
  <c r="U18" i="21"/>
  <c r="V18" i="21"/>
  <c r="W18" i="21"/>
  <c r="X18" i="21"/>
  <c r="Y18" i="21"/>
  <c r="Z18" i="21"/>
  <c r="P19" i="21"/>
  <c r="Q19" i="21"/>
  <c r="R19" i="21"/>
  <c r="S19" i="21"/>
  <c r="T19" i="21"/>
  <c r="U19" i="21"/>
  <c r="V19" i="21"/>
  <c r="W19" i="21"/>
  <c r="X19" i="21"/>
  <c r="Y19" i="21"/>
  <c r="Z19" i="21"/>
  <c r="P20" i="21"/>
  <c r="Q20" i="21"/>
  <c r="R20" i="21"/>
  <c r="S20" i="21"/>
  <c r="T20" i="21"/>
  <c r="U20" i="21"/>
  <c r="V20" i="21"/>
  <c r="W20" i="21"/>
  <c r="X20" i="21"/>
  <c r="Y20" i="21"/>
  <c r="Z20" i="21"/>
  <c r="P21" i="21"/>
  <c r="Q21" i="21"/>
  <c r="R21" i="21"/>
  <c r="S21" i="21"/>
  <c r="T21" i="21"/>
  <c r="U21" i="21"/>
  <c r="V21" i="21"/>
  <c r="W21" i="21"/>
  <c r="X21" i="21"/>
  <c r="Y21" i="21"/>
  <c r="Z21" i="21"/>
  <c r="P22" i="21"/>
  <c r="Q22" i="21"/>
  <c r="R22" i="21"/>
  <c r="S22" i="21"/>
  <c r="T22" i="21"/>
  <c r="U22" i="21"/>
  <c r="V22" i="21"/>
  <c r="W22" i="21"/>
  <c r="X22" i="21"/>
  <c r="Y22" i="21"/>
  <c r="Z22" i="21"/>
  <c r="P23" i="21"/>
  <c r="Q23" i="21"/>
  <c r="R23" i="21"/>
  <c r="S23" i="21"/>
  <c r="T23" i="21"/>
  <c r="U23" i="21"/>
  <c r="V23" i="21"/>
  <c r="W23" i="21"/>
  <c r="X23" i="21"/>
  <c r="Y23" i="21"/>
  <c r="Z23" i="21"/>
  <c r="Q6" i="21"/>
  <c r="R6" i="21"/>
  <c r="S6" i="21"/>
  <c r="T6" i="21"/>
  <c r="U6" i="21"/>
  <c r="V6" i="21"/>
  <c r="W6" i="21"/>
  <c r="X6" i="21"/>
  <c r="Y6" i="21"/>
  <c r="Z6" i="21"/>
  <c r="X4" i="21"/>
  <c r="Y4" i="21"/>
  <c r="Z4" i="21"/>
  <c r="Q4" i="21"/>
  <c r="R4" i="21"/>
  <c r="S4" i="21"/>
  <c r="T4" i="21"/>
  <c r="U4" i="21"/>
  <c r="V4" i="21"/>
  <c r="W4" i="21"/>
  <c r="P4" i="21"/>
  <c r="P6" i="21"/>
  <c r="O6" i="21"/>
  <c r="O7" i="21"/>
  <c r="O8" i="21"/>
  <c r="O9" i="21"/>
  <c r="O10" i="21"/>
  <c r="O23" i="21"/>
  <c r="O12" i="21"/>
  <c r="O13" i="21"/>
  <c r="O14" i="21"/>
  <c r="O15" i="21"/>
  <c r="O16" i="21"/>
  <c r="O17" i="21"/>
  <c r="O18" i="21"/>
  <c r="O19" i="21"/>
  <c r="O20" i="21"/>
  <c r="O21" i="21"/>
  <c r="O22" i="21"/>
  <c r="O11" i="21"/>
  <c r="N7" i="21"/>
  <c r="N8" i="21"/>
  <c r="N9" i="21"/>
  <c r="N10" i="21"/>
  <c r="N11" i="21"/>
  <c r="N12" i="21"/>
  <c r="N13" i="21"/>
  <c r="N14" i="21"/>
  <c r="N15" i="21"/>
  <c r="N16" i="21"/>
  <c r="N17" i="21"/>
  <c r="N18" i="21"/>
  <c r="N19" i="21"/>
  <c r="N20" i="21"/>
  <c r="N21" i="21"/>
  <c r="N22" i="21"/>
  <c r="N23" i="21"/>
  <c r="N6" i="21"/>
  <c r="P8" i="5" l="1"/>
  <c r="P7" i="5"/>
  <c r="P7" i="55"/>
  <c r="P10" i="55"/>
  <c r="P9" i="55"/>
  <c r="P6" i="55"/>
  <c r="P6" i="35"/>
  <c r="P9" i="35"/>
  <c r="O5" i="14"/>
  <c r="O5" i="50"/>
  <c r="N5" i="14"/>
  <c r="N5" i="50"/>
  <c r="D29" i="28"/>
  <c r="C29" i="28"/>
  <c r="L28" i="28"/>
  <c r="L29" i="28" s="1"/>
  <c r="K28" i="28"/>
  <c r="K29" i="28" s="1"/>
  <c r="J28" i="28"/>
  <c r="J29" i="28" s="1"/>
  <c r="I28" i="28"/>
  <c r="I29" i="28" s="1"/>
  <c r="H28" i="28"/>
  <c r="H29" i="28" s="1"/>
  <c r="G28" i="28"/>
  <c r="G29" i="28" s="1"/>
  <c r="F28" i="28"/>
  <c r="F29" i="28" s="1"/>
  <c r="E28" i="28"/>
  <c r="E29" i="28" s="1"/>
  <c r="D28" i="28"/>
  <c r="C28" i="28"/>
  <c r="B28" i="28"/>
  <c r="B29" i="28" s="1"/>
  <c r="J25" i="28"/>
  <c r="B25" i="28"/>
  <c r="L24" i="28"/>
  <c r="L25" i="28" s="1"/>
  <c r="K24" i="28"/>
  <c r="K25" i="28" s="1"/>
  <c r="J24" i="28"/>
  <c r="I24" i="28"/>
  <c r="I25" i="28" s="1"/>
  <c r="H24" i="28"/>
  <c r="H25" i="28" s="1"/>
  <c r="G24" i="28"/>
  <c r="G25" i="28" s="1"/>
  <c r="F24" i="28"/>
  <c r="F25" i="28" s="1"/>
  <c r="E24" i="28"/>
  <c r="E25" i="28" s="1"/>
  <c r="D24" i="28"/>
  <c r="D25" i="28" s="1"/>
  <c r="C24" i="28"/>
  <c r="C25" i="28" s="1"/>
  <c r="B24" i="28"/>
  <c r="K22" i="28"/>
  <c r="B22" i="28"/>
  <c r="L21" i="28"/>
  <c r="L22" i="28" s="1"/>
  <c r="K21" i="28"/>
  <c r="J21" i="28"/>
  <c r="J22" i="28" s="1"/>
  <c r="I21" i="28"/>
  <c r="I22" i="28" s="1"/>
  <c r="H21" i="28"/>
  <c r="H22" i="28" s="1"/>
  <c r="G21" i="28"/>
  <c r="G22" i="28" s="1"/>
  <c r="F21" i="28"/>
  <c r="F22" i="28" s="1"/>
  <c r="E21" i="28"/>
  <c r="E22" i="28" s="1"/>
  <c r="D21" i="28"/>
  <c r="D22" i="28" s="1"/>
  <c r="C21" i="28"/>
  <c r="C22" i="28" s="1"/>
  <c r="B21" i="28"/>
  <c r="O9" i="31"/>
  <c r="P9" i="31"/>
  <c r="O10" i="31"/>
  <c r="P10" i="31"/>
  <c r="O11" i="31"/>
  <c r="P11" i="31"/>
  <c r="O12" i="31"/>
  <c r="P12" i="31"/>
  <c r="O13" i="31"/>
  <c r="P13" i="31"/>
  <c r="O14" i="31"/>
  <c r="P14" i="31"/>
  <c r="O15" i="31"/>
  <c r="P15" i="31"/>
  <c r="O16" i="31"/>
  <c r="P16" i="31"/>
  <c r="O17" i="31"/>
  <c r="P17" i="31"/>
  <c r="O18" i="31"/>
  <c r="P18" i="31"/>
  <c r="O19" i="31"/>
  <c r="P19" i="31"/>
  <c r="O20" i="31"/>
  <c r="P20" i="31"/>
  <c r="O21" i="31"/>
  <c r="P21" i="31"/>
  <c r="O22" i="31"/>
  <c r="P22" i="31"/>
  <c r="O23" i="31"/>
  <c r="P23" i="31"/>
  <c r="O24" i="31"/>
  <c r="P24" i="31"/>
  <c r="O25" i="31"/>
  <c r="P25" i="31"/>
  <c r="O26" i="31"/>
  <c r="P26" i="31"/>
  <c r="O27" i="31"/>
  <c r="P27" i="31"/>
  <c r="O28" i="31"/>
  <c r="P28" i="31"/>
  <c r="O29" i="31"/>
  <c r="P29" i="31"/>
  <c r="O30" i="31"/>
  <c r="P30" i="31"/>
  <c r="O31" i="31"/>
  <c r="P31" i="31"/>
  <c r="O32" i="31"/>
  <c r="P32" i="31"/>
  <c r="O33" i="31"/>
  <c r="P33" i="31"/>
  <c r="O34" i="31"/>
  <c r="P34" i="31"/>
  <c r="O35" i="31"/>
  <c r="P35" i="31"/>
  <c r="O36" i="31"/>
  <c r="P36" i="31"/>
  <c r="O37" i="31"/>
  <c r="P37" i="31"/>
  <c r="O38" i="31"/>
  <c r="P38" i="31"/>
  <c r="O39" i="31"/>
  <c r="P39" i="31"/>
  <c r="O40" i="31"/>
  <c r="P40" i="31"/>
  <c r="O41" i="31"/>
  <c r="P41" i="31"/>
  <c r="O42" i="31"/>
  <c r="P42" i="31"/>
  <c r="O43" i="31"/>
  <c r="P43" i="31"/>
  <c r="O44" i="31"/>
  <c r="P44" i="31"/>
  <c r="O45" i="31"/>
  <c r="P45" i="31"/>
  <c r="O46" i="31"/>
  <c r="P46" i="31"/>
  <c r="O47" i="31"/>
  <c r="P47" i="31"/>
  <c r="O48" i="31"/>
  <c r="P48" i="31"/>
  <c r="O49" i="31"/>
  <c r="P49" i="31"/>
  <c r="O50" i="31"/>
  <c r="P50" i="31"/>
  <c r="O51" i="31"/>
  <c r="P51" i="31"/>
  <c r="O52" i="31"/>
  <c r="P52" i="31"/>
  <c r="O53" i="31"/>
  <c r="P53" i="31"/>
  <c r="O54" i="31"/>
  <c r="P54" i="31"/>
  <c r="O55" i="31"/>
  <c r="P55" i="31"/>
  <c r="O56" i="31"/>
  <c r="P56" i="31"/>
  <c r="O57" i="31"/>
  <c r="P57" i="31"/>
  <c r="O58" i="31"/>
  <c r="P58" i="31"/>
  <c r="O59" i="31"/>
  <c r="P59" i="31"/>
  <c r="O60" i="31"/>
  <c r="P60" i="31"/>
  <c r="O61" i="31"/>
  <c r="P61" i="31"/>
  <c r="O62" i="31"/>
  <c r="P62" i="31"/>
  <c r="O63" i="31"/>
  <c r="P63" i="31"/>
  <c r="O64" i="31"/>
  <c r="P64" i="31"/>
  <c r="O65" i="31"/>
  <c r="P65" i="31"/>
  <c r="O66" i="31"/>
  <c r="P66" i="31"/>
  <c r="O67" i="31"/>
  <c r="P67" i="31"/>
  <c r="O68" i="31"/>
  <c r="P68" i="31"/>
  <c r="O69" i="31"/>
  <c r="P69" i="31"/>
  <c r="O70" i="31"/>
  <c r="P70" i="31"/>
  <c r="O71" i="31"/>
  <c r="P71" i="31"/>
  <c r="O72" i="31"/>
  <c r="P72" i="31"/>
  <c r="O73" i="31"/>
  <c r="P73" i="31"/>
  <c r="O74" i="31"/>
  <c r="P74" i="31"/>
  <c r="O75" i="31"/>
  <c r="P75" i="31"/>
  <c r="O76" i="31"/>
  <c r="P76" i="31"/>
  <c r="O77" i="31"/>
  <c r="P77" i="31"/>
  <c r="O78" i="31"/>
  <c r="P78" i="31"/>
  <c r="O79" i="31"/>
  <c r="P79" i="31"/>
  <c r="O80" i="31"/>
  <c r="P80" i="31"/>
  <c r="O81" i="31"/>
  <c r="P81" i="31"/>
  <c r="O82" i="31"/>
  <c r="P82" i="31"/>
  <c r="O83" i="31"/>
  <c r="P83" i="31"/>
  <c r="O84" i="31"/>
  <c r="P84" i="31"/>
  <c r="O85" i="31"/>
  <c r="P85" i="31"/>
  <c r="O86" i="31"/>
  <c r="P86" i="31"/>
  <c r="O87" i="31"/>
  <c r="P87" i="31"/>
  <c r="O88" i="31"/>
  <c r="P88" i="31"/>
  <c r="O89" i="31"/>
  <c r="P89" i="31"/>
  <c r="O90" i="31"/>
  <c r="P90" i="31"/>
  <c r="O91" i="31"/>
  <c r="P91" i="31"/>
  <c r="O92" i="31"/>
  <c r="P92" i="31"/>
  <c r="O93" i="31"/>
  <c r="P93" i="31"/>
  <c r="O94" i="31"/>
  <c r="P94" i="31"/>
  <c r="O95" i="31"/>
  <c r="P95" i="31"/>
  <c r="O96" i="31"/>
  <c r="P96" i="31"/>
  <c r="O97" i="31"/>
  <c r="P97" i="31"/>
  <c r="O98" i="31"/>
  <c r="P98" i="31"/>
  <c r="O99" i="31"/>
  <c r="P99" i="31"/>
  <c r="O100" i="31"/>
  <c r="P100" i="31"/>
  <c r="O101" i="31"/>
  <c r="P101" i="31"/>
  <c r="P8" i="31"/>
  <c r="O8" i="31"/>
  <c r="O41" i="27"/>
  <c r="P41" i="27"/>
  <c r="O42" i="27"/>
  <c r="P42" i="27"/>
  <c r="O43" i="27"/>
  <c r="P43" i="27"/>
  <c r="O44" i="27"/>
  <c r="P44" i="27"/>
  <c r="O45" i="27"/>
  <c r="P45" i="27"/>
  <c r="O46" i="27"/>
  <c r="P46" i="27"/>
  <c r="O47" i="27"/>
  <c r="P47" i="27"/>
  <c r="O9" i="27"/>
  <c r="P9" i="27"/>
  <c r="O10" i="27"/>
  <c r="P10" i="27"/>
  <c r="O11" i="27"/>
  <c r="P11" i="27"/>
  <c r="O12" i="27"/>
  <c r="P12" i="27"/>
  <c r="O13" i="27"/>
  <c r="P13" i="27"/>
  <c r="O14" i="27"/>
  <c r="P14" i="27"/>
  <c r="O15" i="27"/>
  <c r="P15" i="27"/>
  <c r="O16" i="27"/>
  <c r="P16" i="27"/>
  <c r="O17" i="27"/>
  <c r="P17" i="27"/>
  <c r="O18" i="27"/>
  <c r="P18" i="27"/>
  <c r="O19" i="27"/>
  <c r="P19" i="27"/>
  <c r="O20" i="27"/>
  <c r="P20" i="27"/>
  <c r="O21" i="27"/>
  <c r="P21" i="27"/>
  <c r="O22" i="27"/>
  <c r="P22" i="27"/>
  <c r="O23" i="27"/>
  <c r="P23" i="27"/>
  <c r="O24" i="27"/>
  <c r="P24" i="27"/>
  <c r="O25" i="27"/>
  <c r="P25" i="27"/>
  <c r="O26" i="27"/>
  <c r="P26" i="27"/>
  <c r="O27" i="27"/>
  <c r="P27" i="27"/>
  <c r="O28" i="27"/>
  <c r="P28" i="27"/>
  <c r="O29" i="27"/>
  <c r="P29" i="27"/>
  <c r="O30" i="27"/>
  <c r="P30" i="27"/>
  <c r="O31" i="27"/>
  <c r="P31" i="27"/>
  <c r="O32" i="27"/>
  <c r="P32" i="27"/>
  <c r="O33" i="27"/>
  <c r="P33" i="27"/>
  <c r="O34" i="27"/>
  <c r="P34" i="27"/>
  <c r="O35" i="27"/>
  <c r="P35" i="27"/>
  <c r="O36" i="27"/>
  <c r="P36" i="27"/>
  <c r="O37" i="27"/>
  <c r="P37" i="27"/>
  <c r="O38" i="27"/>
  <c r="P38" i="27"/>
  <c r="O39" i="27"/>
  <c r="P39" i="27"/>
  <c r="O40" i="27"/>
  <c r="P40" i="27"/>
  <c r="P8" i="27"/>
  <c r="O8" i="27"/>
  <c r="O5" i="31"/>
  <c r="P5" i="31"/>
  <c r="P5" i="27"/>
  <c r="O5" i="27"/>
  <c r="N5" i="20"/>
  <c r="N5" i="24"/>
  <c r="E29" i="24"/>
  <c r="L28" i="24"/>
  <c r="L29" i="24" s="1"/>
  <c r="K28" i="24"/>
  <c r="K29" i="24" s="1"/>
  <c r="J28" i="24"/>
  <c r="J29" i="24" s="1"/>
  <c r="I28" i="24"/>
  <c r="I29" i="24" s="1"/>
  <c r="H28" i="24"/>
  <c r="H29" i="24" s="1"/>
  <c r="G28" i="24"/>
  <c r="G29" i="24" s="1"/>
  <c r="F28" i="24"/>
  <c r="F29" i="24" s="1"/>
  <c r="E28" i="24"/>
  <c r="D28" i="24"/>
  <c r="D29" i="24" s="1"/>
  <c r="C28" i="24"/>
  <c r="C29" i="24" s="1"/>
  <c r="B28" i="24"/>
  <c r="B29" i="24" s="1"/>
  <c r="H25" i="24"/>
  <c r="L24" i="24"/>
  <c r="L25" i="24" s="1"/>
  <c r="K24" i="24"/>
  <c r="K25" i="24" s="1"/>
  <c r="J24" i="24"/>
  <c r="J25" i="24" s="1"/>
  <c r="I24" i="24"/>
  <c r="I25" i="24" s="1"/>
  <c r="H24" i="24"/>
  <c r="G24" i="24"/>
  <c r="G25" i="24" s="1"/>
  <c r="F24" i="24"/>
  <c r="F25" i="24" s="1"/>
  <c r="E24" i="24"/>
  <c r="E25" i="24" s="1"/>
  <c r="D24" i="24"/>
  <c r="D25" i="24" s="1"/>
  <c r="C24" i="24"/>
  <c r="C25" i="24" s="1"/>
  <c r="B24" i="24"/>
  <c r="B25" i="24" s="1"/>
  <c r="B22" i="24"/>
  <c r="L21" i="24"/>
  <c r="L22" i="24" s="1"/>
  <c r="K21" i="24"/>
  <c r="K22" i="24" s="1"/>
  <c r="J21" i="24"/>
  <c r="J22" i="24" s="1"/>
  <c r="I21" i="24"/>
  <c r="I22" i="24" s="1"/>
  <c r="H21" i="24"/>
  <c r="H22" i="24" s="1"/>
  <c r="G21" i="24"/>
  <c r="G22" i="24" s="1"/>
  <c r="F21" i="24"/>
  <c r="F22" i="24" s="1"/>
  <c r="E21" i="24"/>
  <c r="E22" i="24" s="1"/>
  <c r="D21" i="24"/>
  <c r="D22" i="24" s="1"/>
  <c r="C21" i="24"/>
  <c r="C22" i="24" s="1"/>
  <c r="B21" i="24"/>
  <c r="C28" i="20"/>
  <c r="C29" i="20" s="1"/>
  <c r="D28" i="20"/>
  <c r="D29" i="20" s="1"/>
  <c r="E28" i="20"/>
  <c r="E29" i="20" s="1"/>
  <c r="F28" i="20"/>
  <c r="F29" i="20" s="1"/>
  <c r="G28" i="20"/>
  <c r="G29" i="20" s="1"/>
  <c r="H28" i="20"/>
  <c r="H29" i="20" s="1"/>
  <c r="I28" i="20"/>
  <c r="I29" i="20" s="1"/>
  <c r="J28" i="20"/>
  <c r="J29" i="20" s="1"/>
  <c r="K28" i="20"/>
  <c r="K29" i="20" s="1"/>
  <c r="L28" i="20"/>
  <c r="L29" i="20" s="1"/>
  <c r="B28" i="20"/>
  <c r="B29" i="20" s="1"/>
  <c r="H25" i="20"/>
  <c r="C21" i="20"/>
  <c r="C22" i="20" s="1"/>
  <c r="D21" i="20"/>
  <c r="D22" i="20" s="1"/>
  <c r="E21" i="20"/>
  <c r="E22" i="20" s="1"/>
  <c r="F21" i="20"/>
  <c r="F22" i="20" s="1"/>
  <c r="G21" i="20"/>
  <c r="G22" i="20" s="1"/>
  <c r="H21" i="20"/>
  <c r="H22" i="20" s="1"/>
  <c r="I21" i="20"/>
  <c r="I22" i="20" s="1"/>
  <c r="J21" i="20"/>
  <c r="J22" i="20" s="1"/>
  <c r="K21" i="20"/>
  <c r="K22" i="20" s="1"/>
  <c r="L21" i="20"/>
  <c r="L22" i="20" s="1"/>
  <c r="C24" i="20"/>
  <c r="C25" i="20" s="1"/>
  <c r="D24" i="20"/>
  <c r="D25" i="20" s="1"/>
  <c r="E24" i="20"/>
  <c r="E25" i="20" s="1"/>
  <c r="F24" i="20"/>
  <c r="F25" i="20" s="1"/>
  <c r="G24" i="20"/>
  <c r="G25" i="20" s="1"/>
  <c r="H24" i="20"/>
  <c r="I24" i="20"/>
  <c r="I25" i="20" s="1"/>
  <c r="J24" i="20"/>
  <c r="J25" i="20" s="1"/>
  <c r="K24" i="20"/>
  <c r="K25" i="20" s="1"/>
  <c r="L24" i="20"/>
  <c r="L25" i="20" s="1"/>
  <c r="B24" i="20"/>
  <c r="B25" i="20" s="1"/>
  <c r="B21" i="20"/>
  <c r="B22" i="20" s="1"/>
  <c r="P11" i="23"/>
  <c r="O11" i="23"/>
  <c r="P9" i="23"/>
  <c r="O9" i="23"/>
  <c r="P8" i="23"/>
  <c r="O8" i="23"/>
  <c r="P38" i="23"/>
  <c r="O38" i="23"/>
  <c r="P36" i="23"/>
  <c r="O36" i="23"/>
  <c r="P35" i="23"/>
  <c r="O35" i="23"/>
  <c r="P38" i="19"/>
  <c r="O38" i="19"/>
  <c r="P35" i="19"/>
  <c r="O35" i="19"/>
  <c r="P36" i="19"/>
  <c r="O36" i="19"/>
  <c r="N71" i="84" l="1"/>
  <c r="N70" i="84"/>
  <c r="N69" i="84"/>
  <c r="N68" i="84"/>
  <c r="N67" i="84"/>
  <c r="N60" i="84"/>
  <c r="N59" i="84"/>
  <c r="N58" i="84"/>
  <c r="N57" i="84"/>
  <c r="N56" i="84"/>
  <c r="N49" i="84"/>
  <c r="N48" i="84"/>
  <c r="N47" i="84"/>
  <c r="N46" i="84"/>
  <c r="N45" i="84"/>
  <c r="P7" i="84"/>
  <c r="P8" i="84"/>
  <c r="P9" i="84"/>
  <c r="P10" i="84"/>
  <c r="P6" i="84"/>
  <c r="F57" i="85"/>
  <c r="C57" i="85"/>
  <c r="U101" i="79" l="1"/>
  <c r="V101" i="79"/>
  <c r="W101" i="79"/>
  <c r="X101" i="79"/>
  <c r="Y101" i="79"/>
  <c r="Z101" i="79"/>
  <c r="AA101" i="79"/>
  <c r="AB101" i="79"/>
  <c r="AC101" i="79"/>
  <c r="AD101" i="79"/>
  <c r="AA108" i="79" s="1"/>
  <c r="T101" i="79"/>
  <c r="U61" i="79"/>
  <c r="V61" i="79"/>
  <c r="W61" i="79"/>
  <c r="X61" i="79"/>
  <c r="Y61" i="79"/>
  <c r="Z61" i="79"/>
  <c r="AA61" i="79"/>
  <c r="AB61" i="79"/>
  <c r="AC61" i="79"/>
  <c r="AD61" i="79"/>
  <c r="AA68" i="79" s="1"/>
  <c r="T61" i="79"/>
  <c r="U21" i="79"/>
  <c r="V21" i="79"/>
  <c r="W21" i="79"/>
  <c r="X21" i="79"/>
  <c r="Y21" i="79"/>
  <c r="Z21" i="79"/>
  <c r="AA21" i="79"/>
  <c r="AB21" i="79"/>
  <c r="AC21" i="79"/>
  <c r="AD21" i="79"/>
  <c r="AA28" i="79" s="1"/>
  <c r="T21" i="79"/>
  <c r="CF24" i="75"/>
  <c r="CE24" i="75"/>
  <c r="CD24" i="75"/>
  <c r="CC24" i="75"/>
  <c r="CB24" i="75"/>
  <c r="CA24" i="75"/>
  <c r="BZ24" i="75"/>
  <c r="BY24" i="75"/>
  <c r="BX24" i="75"/>
  <c r="BW24" i="75"/>
  <c r="BV24" i="75"/>
  <c r="CF17" i="75"/>
  <c r="CE17" i="75"/>
  <c r="CD17" i="75"/>
  <c r="CC17" i="75"/>
  <c r="CB17" i="75"/>
  <c r="CA17" i="75"/>
  <c r="BZ17" i="75"/>
  <c r="BY17" i="75"/>
  <c r="BX17" i="75"/>
  <c r="BW17" i="75"/>
  <c r="BV17" i="75"/>
  <c r="CF10" i="75"/>
  <c r="CE10" i="75"/>
  <c r="CD10" i="75"/>
  <c r="CC10" i="75"/>
  <c r="CB10" i="75"/>
  <c r="CA10" i="75"/>
  <c r="BZ10" i="75"/>
  <c r="BY10" i="75"/>
  <c r="BX10" i="75"/>
  <c r="BW10" i="75"/>
  <c r="BV10" i="75"/>
  <c r="CF3" i="75"/>
  <c r="CE3" i="75"/>
  <c r="CD3" i="75"/>
  <c r="CC3" i="75"/>
  <c r="CB3" i="75"/>
  <c r="CA3" i="75"/>
  <c r="BZ3" i="75"/>
  <c r="BY3" i="75"/>
  <c r="BX3" i="75"/>
  <c r="BW3" i="75"/>
  <c r="BV3" i="75"/>
  <c r="R60" i="75"/>
  <c r="R61" i="75"/>
  <c r="R62" i="75"/>
  <c r="R59" i="75"/>
  <c r="R52" i="75"/>
  <c r="R53" i="75"/>
  <c r="R54" i="75"/>
  <c r="R51" i="75"/>
  <c r="X93" i="74" l="1"/>
  <c r="Y97" i="74" s="1"/>
  <c r="X92" i="74"/>
  <c r="Q93" i="74"/>
  <c r="R97" i="74" s="1"/>
  <c r="Q96" i="74"/>
  <c r="Q95" i="74"/>
  <c r="Q92" i="74"/>
  <c r="V96" i="74"/>
  <c r="V95" i="74"/>
  <c r="C4" i="94"/>
  <c r="AR4" i="94" s="1"/>
  <c r="D4" i="94"/>
  <c r="AS4" i="94" s="1"/>
  <c r="E4" i="94"/>
  <c r="AT4" i="94" s="1"/>
  <c r="F4" i="94"/>
  <c r="AU4" i="94" s="1"/>
  <c r="G4" i="94"/>
  <c r="AV4" i="94" s="1"/>
  <c r="H4" i="94"/>
  <c r="AW4" i="94" s="1"/>
  <c r="I4" i="94"/>
  <c r="AX4" i="94" s="1"/>
  <c r="J4" i="94"/>
  <c r="AY4" i="94" s="1"/>
  <c r="K4" i="94"/>
  <c r="AZ4" i="94" s="1"/>
  <c r="L4" i="94"/>
  <c r="BA4" i="94" s="1"/>
  <c r="M4" i="94"/>
  <c r="BB4" i="94" s="1"/>
  <c r="A5" i="94"/>
  <c r="B5" i="94"/>
  <c r="C5" i="94"/>
  <c r="C89" i="80" s="1"/>
  <c r="D5" i="94"/>
  <c r="D89" i="80" s="1"/>
  <c r="E5" i="94"/>
  <c r="E89" i="80" s="1"/>
  <c r="F5" i="94"/>
  <c r="F89" i="80" s="1"/>
  <c r="G5" i="94"/>
  <c r="G89" i="80" s="1"/>
  <c r="H5" i="94"/>
  <c r="H89" i="80" s="1"/>
  <c r="I5" i="94"/>
  <c r="I89" i="80" s="1"/>
  <c r="J5" i="94"/>
  <c r="J89" i="80" s="1"/>
  <c r="K5" i="94"/>
  <c r="K89" i="80" s="1"/>
  <c r="L5" i="94"/>
  <c r="L89" i="80" s="1"/>
  <c r="M5" i="94"/>
  <c r="M89" i="80" s="1"/>
  <c r="B6" i="94"/>
  <c r="C6" i="94"/>
  <c r="C71" i="80" s="1"/>
  <c r="D6" i="94"/>
  <c r="D71" i="80" s="1"/>
  <c r="E6" i="94"/>
  <c r="E71" i="80" s="1"/>
  <c r="F6" i="94"/>
  <c r="F71" i="80" s="1"/>
  <c r="G6" i="94"/>
  <c r="G71" i="80" s="1"/>
  <c r="H6" i="94"/>
  <c r="H71" i="80" s="1"/>
  <c r="I6" i="94"/>
  <c r="I71" i="80" s="1"/>
  <c r="J6" i="94"/>
  <c r="J71" i="80" s="1"/>
  <c r="K6" i="94"/>
  <c r="K71" i="80" s="1"/>
  <c r="L6" i="94"/>
  <c r="L71" i="80" s="1"/>
  <c r="M6" i="94"/>
  <c r="M71" i="80" s="1"/>
  <c r="B7" i="94"/>
  <c r="C7" i="94"/>
  <c r="C80" i="80" s="1"/>
  <c r="D7" i="94"/>
  <c r="D80" i="80" s="1"/>
  <c r="E7" i="94"/>
  <c r="E80" i="80" s="1"/>
  <c r="F7" i="94"/>
  <c r="F80" i="80" s="1"/>
  <c r="G7" i="94"/>
  <c r="G80" i="80" s="1"/>
  <c r="H7" i="94"/>
  <c r="H80" i="80" s="1"/>
  <c r="I7" i="94"/>
  <c r="I80" i="80" s="1"/>
  <c r="J7" i="94"/>
  <c r="J80" i="80" s="1"/>
  <c r="K7" i="94"/>
  <c r="K80" i="80" s="1"/>
  <c r="L7" i="94"/>
  <c r="L80" i="80" s="1"/>
  <c r="M7" i="94"/>
  <c r="M80" i="80" s="1"/>
  <c r="A8" i="94"/>
  <c r="B8" i="94"/>
  <c r="C8" i="94"/>
  <c r="AG8" i="94" s="1"/>
  <c r="D8" i="94"/>
  <c r="AH8" i="94" s="1"/>
  <c r="E8" i="94"/>
  <c r="F8" i="94"/>
  <c r="G8" i="94"/>
  <c r="AK8" i="94" s="1"/>
  <c r="H8" i="94"/>
  <c r="AL8" i="94" s="1"/>
  <c r="I8" i="94"/>
  <c r="AM8" i="94" s="1"/>
  <c r="J8" i="94"/>
  <c r="AN8" i="94" s="1"/>
  <c r="K8" i="94"/>
  <c r="L8" i="94"/>
  <c r="M8" i="94"/>
  <c r="AQ8" i="94" s="1"/>
  <c r="B9" i="94"/>
  <c r="C9" i="94"/>
  <c r="AG9" i="94" s="1"/>
  <c r="D9" i="94"/>
  <c r="AH9" i="94" s="1"/>
  <c r="E9" i="94"/>
  <c r="F9" i="94"/>
  <c r="G9" i="94"/>
  <c r="H9" i="94"/>
  <c r="AL9" i="94" s="1"/>
  <c r="I9" i="94"/>
  <c r="AM9" i="94" s="1"/>
  <c r="J9" i="94"/>
  <c r="AN9" i="94" s="1"/>
  <c r="K9" i="94"/>
  <c r="AO9" i="94" s="1"/>
  <c r="L9" i="94"/>
  <c r="M9" i="94"/>
  <c r="B10" i="94"/>
  <c r="C10" i="94"/>
  <c r="AG10" i="94" s="1"/>
  <c r="D10" i="94"/>
  <c r="AH10" i="94" s="1"/>
  <c r="E10" i="94"/>
  <c r="F10" i="94"/>
  <c r="G10" i="94"/>
  <c r="AK10" i="94" s="1"/>
  <c r="H10" i="94"/>
  <c r="AL10" i="94" s="1"/>
  <c r="I10" i="94"/>
  <c r="AM10" i="94" s="1"/>
  <c r="J10" i="94"/>
  <c r="AN10" i="94" s="1"/>
  <c r="K10" i="94"/>
  <c r="L10" i="94"/>
  <c r="M10" i="94"/>
  <c r="AQ10" i="94" s="1"/>
  <c r="A11" i="94"/>
  <c r="B11" i="94"/>
  <c r="C11" i="94"/>
  <c r="AG11" i="94" s="1"/>
  <c r="D11" i="94"/>
  <c r="AH11" i="94" s="1"/>
  <c r="E11" i="94"/>
  <c r="F11" i="94"/>
  <c r="AJ11" i="94" s="1"/>
  <c r="G11" i="94"/>
  <c r="AK11" i="94" s="1"/>
  <c r="H11" i="94"/>
  <c r="AL11" i="94" s="1"/>
  <c r="I11" i="94"/>
  <c r="AM11" i="94" s="1"/>
  <c r="J11" i="94"/>
  <c r="AN11" i="94" s="1"/>
  <c r="K11" i="94"/>
  <c r="L11" i="94"/>
  <c r="AP11" i="94" s="1"/>
  <c r="M11" i="94"/>
  <c r="AQ11" i="94" s="1"/>
  <c r="B12" i="94"/>
  <c r="C12" i="94"/>
  <c r="AG12" i="94" s="1"/>
  <c r="D12" i="94"/>
  <c r="E12" i="94"/>
  <c r="F12" i="94"/>
  <c r="AJ12" i="94" s="1"/>
  <c r="G12" i="94"/>
  <c r="AK12" i="94" s="1"/>
  <c r="H12" i="94"/>
  <c r="AL12" i="94" s="1"/>
  <c r="I12" i="94"/>
  <c r="AM12" i="94" s="1"/>
  <c r="J12" i="94"/>
  <c r="K12" i="94"/>
  <c r="L12" i="94"/>
  <c r="AP12" i="94" s="1"/>
  <c r="M12" i="94"/>
  <c r="AQ12" i="94" s="1"/>
  <c r="B13" i="94"/>
  <c r="C13" i="94"/>
  <c r="D13" i="94"/>
  <c r="AH13" i="94" s="1"/>
  <c r="E13" i="94"/>
  <c r="F13" i="94"/>
  <c r="AJ13" i="94" s="1"/>
  <c r="G13" i="94"/>
  <c r="AK13" i="94" s="1"/>
  <c r="H13" i="94"/>
  <c r="AL13" i="94" s="1"/>
  <c r="I13" i="94"/>
  <c r="J13" i="94"/>
  <c r="K13" i="94"/>
  <c r="AO13" i="94" s="1"/>
  <c r="L13" i="94"/>
  <c r="AP13" i="94" s="1"/>
  <c r="M13" i="94"/>
  <c r="AQ13" i="94" s="1"/>
  <c r="A14" i="94"/>
  <c r="B14" i="94"/>
  <c r="C14" i="94"/>
  <c r="D14" i="94"/>
  <c r="E14" i="94"/>
  <c r="F14" i="94"/>
  <c r="G14" i="94"/>
  <c r="H14" i="94"/>
  <c r="I14" i="94"/>
  <c r="J14" i="94"/>
  <c r="K14" i="94"/>
  <c r="L14" i="94"/>
  <c r="M14" i="94"/>
  <c r="B15" i="94"/>
  <c r="C15" i="94"/>
  <c r="D15" i="94"/>
  <c r="E15" i="94"/>
  <c r="F15" i="94"/>
  <c r="G15" i="94"/>
  <c r="H15" i="94"/>
  <c r="I15" i="94"/>
  <c r="J15" i="94"/>
  <c r="K15" i="94"/>
  <c r="L15" i="94"/>
  <c r="M15" i="94"/>
  <c r="B16" i="94"/>
  <c r="C16" i="94"/>
  <c r="D16" i="94"/>
  <c r="E16" i="94"/>
  <c r="F16" i="94"/>
  <c r="G16" i="94"/>
  <c r="H16" i="94"/>
  <c r="I16" i="94"/>
  <c r="J16" i="94"/>
  <c r="K16" i="94"/>
  <c r="L16" i="94"/>
  <c r="M16" i="94"/>
  <c r="A17" i="94"/>
  <c r="B17" i="94"/>
  <c r="C17" i="94"/>
  <c r="D17" i="94"/>
  <c r="E17" i="94"/>
  <c r="F17" i="94"/>
  <c r="G17" i="94"/>
  <c r="H17" i="94"/>
  <c r="I17" i="94"/>
  <c r="J17" i="94"/>
  <c r="K17" i="94"/>
  <c r="L17" i="94"/>
  <c r="M17" i="94"/>
  <c r="B18" i="94"/>
  <c r="C18" i="94"/>
  <c r="D18" i="94"/>
  <c r="E18" i="94"/>
  <c r="F18" i="94"/>
  <c r="G18" i="94"/>
  <c r="H18" i="94"/>
  <c r="I18" i="94"/>
  <c r="J18" i="94"/>
  <c r="K18" i="94"/>
  <c r="L18" i="94"/>
  <c r="M18" i="94"/>
  <c r="B19" i="94"/>
  <c r="C19" i="94"/>
  <c r="D19" i="94"/>
  <c r="E19" i="94"/>
  <c r="F19" i="94"/>
  <c r="G19" i="94"/>
  <c r="H19" i="94"/>
  <c r="I19" i="94"/>
  <c r="J19" i="94"/>
  <c r="K19" i="94"/>
  <c r="L19" i="94"/>
  <c r="M19" i="94"/>
  <c r="A20" i="94"/>
  <c r="B20" i="94"/>
  <c r="C20" i="94"/>
  <c r="D20" i="94"/>
  <c r="E20" i="94"/>
  <c r="F20" i="94"/>
  <c r="G20" i="94"/>
  <c r="H20" i="94"/>
  <c r="I20" i="94"/>
  <c r="J20" i="94"/>
  <c r="K20" i="94"/>
  <c r="L20" i="94"/>
  <c r="M20" i="94"/>
  <c r="B21" i="94"/>
  <c r="C21" i="94"/>
  <c r="D21" i="94"/>
  <c r="E21" i="94"/>
  <c r="F21" i="94"/>
  <c r="G21" i="94"/>
  <c r="H21" i="94"/>
  <c r="I21" i="94"/>
  <c r="J21" i="94"/>
  <c r="K21" i="94"/>
  <c r="L21" i="94"/>
  <c r="M21" i="94"/>
  <c r="B22" i="94"/>
  <c r="C22" i="94"/>
  <c r="D22" i="94"/>
  <c r="E22" i="94"/>
  <c r="F22" i="94"/>
  <c r="G22" i="94"/>
  <c r="H22" i="94"/>
  <c r="I22" i="94"/>
  <c r="J22" i="94"/>
  <c r="K22" i="94"/>
  <c r="L22" i="94"/>
  <c r="M22" i="94"/>
  <c r="A23" i="94"/>
  <c r="B23" i="94"/>
  <c r="C23" i="94"/>
  <c r="D23" i="94"/>
  <c r="E23" i="94"/>
  <c r="F23" i="94"/>
  <c r="G23" i="94"/>
  <c r="H23" i="94"/>
  <c r="I23" i="94"/>
  <c r="J23" i="94"/>
  <c r="K23" i="94"/>
  <c r="L23" i="94"/>
  <c r="M23" i="94"/>
  <c r="B24" i="94"/>
  <c r="C24" i="94"/>
  <c r="D24" i="94"/>
  <c r="E24" i="94"/>
  <c r="F24" i="94"/>
  <c r="G24" i="94"/>
  <c r="H24" i="94"/>
  <c r="I24" i="94"/>
  <c r="J24" i="94"/>
  <c r="K24" i="94"/>
  <c r="L24" i="94"/>
  <c r="M24" i="94"/>
  <c r="B25" i="94"/>
  <c r="C25" i="94"/>
  <c r="D25" i="94"/>
  <c r="E25" i="94"/>
  <c r="F25" i="94"/>
  <c r="G25" i="94"/>
  <c r="H25" i="94"/>
  <c r="I25" i="94"/>
  <c r="J25" i="94"/>
  <c r="K25" i="94"/>
  <c r="L25" i="94"/>
  <c r="M25" i="94"/>
  <c r="A26" i="94"/>
  <c r="B26" i="94"/>
  <c r="C26" i="94"/>
  <c r="D26" i="94"/>
  <c r="E26" i="94"/>
  <c r="F26" i="94"/>
  <c r="G26" i="94"/>
  <c r="H26" i="94"/>
  <c r="I26" i="94"/>
  <c r="J26" i="94"/>
  <c r="K26" i="94"/>
  <c r="L26" i="94"/>
  <c r="M26" i="94"/>
  <c r="B27" i="94"/>
  <c r="C27" i="94"/>
  <c r="D27" i="94"/>
  <c r="E27" i="94"/>
  <c r="F27" i="94"/>
  <c r="G27" i="94"/>
  <c r="H27" i="94"/>
  <c r="I27" i="94"/>
  <c r="J27" i="94"/>
  <c r="K27" i="94"/>
  <c r="L27" i="94"/>
  <c r="M27" i="94"/>
  <c r="B28" i="94"/>
  <c r="C28" i="94"/>
  <c r="D28" i="94"/>
  <c r="E28" i="94"/>
  <c r="F28" i="94"/>
  <c r="G28" i="94"/>
  <c r="H28" i="94"/>
  <c r="I28" i="94"/>
  <c r="J28" i="94"/>
  <c r="K28" i="94"/>
  <c r="L28" i="94"/>
  <c r="M28" i="94"/>
  <c r="A29" i="94"/>
  <c r="B29" i="94"/>
  <c r="C29" i="94"/>
  <c r="D29" i="94"/>
  <c r="E29" i="94"/>
  <c r="F29" i="94"/>
  <c r="G29" i="94"/>
  <c r="H29" i="94"/>
  <c r="I29" i="94"/>
  <c r="J29" i="94"/>
  <c r="K29" i="94"/>
  <c r="L29" i="94"/>
  <c r="M29" i="94"/>
  <c r="B30" i="94"/>
  <c r="C30" i="94"/>
  <c r="D30" i="94"/>
  <c r="E30" i="94"/>
  <c r="F30" i="94"/>
  <c r="G30" i="94"/>
  <c r="H30" i="94"/>
  <c r="I30" i="94"/>
  <c r="J30" i="94"/>
  <c r="K30" i="94"/>
  <c r="L30" i="94"/>
  <c r="M30" i="94"/>
  <c r="B31" i="94"/>
  <c r="C31" i="94"/>
  <c r="D31" i="94"/>
  <c r="E31" i="94"/>
  <c r="F31" i="94"/>
  <c r="G31" i="94"/>
  <c r="H31" i="94"/>
  <c r="I31" i="94"/>
  <c r="J31" i="94"/>
  <c r="K31" i="94"/>
  <c r="L31" i="94"/>
  <c r="M31" i="94"/>
  <c r="A32" i="94"/>
  <c r="B32" i="94"/>
  <c r="C32" i="94"/>
  <c r="D32" i="94"/>
  <c r="E32" i="94"/>
  <c r="F32" i="94"/>
  <c r="G32" i="94"/>
  <c r="H32" i="94"/>
  <c r="I32" i="94"/>
  <c r="J32" i="94"/>
  <c r="K32" i="94"/>
  <c r="L32" i="94"/>
  <c r="M32" i="94"/>
  <c r="B33" i="94"/>
  <c r="C33" i="94"/>
  <c r="D33" i="94"/>
  <c r="E33" i="94"/>
  <c r="F33" i="94"/>
  <c r="G33" i="94"/>
  <c r="H33" i="94"/>
  <c r="I33" i="94"/>
  <c r="J33" i="94"/>
  <c r="K33" i="94"/>
  <c r="L33" i="94"/>
  <c r="M33" i="94"/>
  <c r="B34" i="94"/>
  <c r="C34" i="94"/>
  <c r="D34" i="94"/>
  <c r="E34" i="94"/>
  <c r="F34" i="94"/>
  <c r="G34" i="94"/>
  <c r="H34" i="94"/>
  <c r="I34" i="94"/>
  <c r="J34" i="94"/>
  <c r="K34" i="94"/>
  <c r="L34" i="94"/>
  <c r="M34" i="94"/>
  <c r="A35" i="94"/>
  <c r="B35" i="94"/>
  <c r="C35" i="94"/>
  <c r="D35" i="94"/>
  <c r="E35" i="94"/>
  <c r="F35" i="94"/>
  <c r="G35" i="94"/>
  <c r="H35" i="94"/>
  <c r="I35" i="94"/>
  <c r="J35" i="94"/>
  <c r="K35" i="94"/>
  <c r="L35" i="94"/>
  <c r="M35" i="94"/>
  <c r="B36" i="94"/>
  <c r="C36" i="94"/>
  <c r="D36" i="94"/>
  <c r="E36" i="94"/>
  <c r="F36" i="94"/>
  <c r="G36" i="94"/>
  <c r="H36" i="94"/>
  <c r="I36" i="94"/>
  <c r="J36" i="94"/>
  <c r="K36" i="94"/>
  <c r="L36" i="94"/>
  <c r="M36" i="94"/>
  <c r="B37" i="94"/>
  <c r="C37" i="94"/>
  <c r="D37" i="94"/>
  <c r="E37" i="94"/>
  <c r="F37" i="94"/>
  <c r="G37" i="94"/>
  <c r="H37" i="94"/>
  <c r="I37" i="94"/>
  <c r="J37" i="94"/>
  <c r="K37" i="94"/>
  <c r="L37" i="94"/>
  <c r="M37" i="94"/>
  <c r="A38" i="94"/>
  <c r="B38" i="94"/>
  <c r="C38" i="94"/>
  <c r="AG38" i="94" s="1"/>
  <c r="D38" i="94"/>
  <c r="AH38" i="94" s="1"/>
  <c r="E38" i="94"/>
  <c r="AI38" i="94" s="1"/>
  <c r="F38" i="94"/>
  <c r="AJ38" i="94" s="1"/>
  <c r="G38" i="94"/>
  <c r="AK38" i="94" s="1"/>
  <c r="H38" i="94"/>
  <c r="I38" i="94"/>
  <c r="AM38" i="94" s="1"/>
  <c r="J38" i="94"/>
  <c r="K38" i="94"/>
  <c r="L38" i="94"/>
  <c r="AP38" i="94" s="1"/>
  <c r="M38" i="94"/>
  <c r="B39" i="94"/>
  <c r="C39" i="94"/>
  <c r="AG39" i="94" s="1"/>
  <c r="D39" i="94"/>
  <c r="AH39" i="94" s="1"/>
  <c r="E39" i="94"/>
  <c r="AI39" i="94" s="1"/>
  <c r="F39" i="94"/>
  <c r="AJ39" i="94" s="1"/>
  <c r="G39" i="94"/>
  <c r="H39" i="94"/>
  <c r="I39" i="94"/>
  <c r="AM39" i="94" s="1"/>
  <c r="J39" i="94"/>
  <c r="AN39" i="94" s="1"/>
  <c r="K39" i="94"/>
  <c r="AO39" i="94" s="1"/>
  <c r="L39" i="94"/>
  <c r="AP39" i="94" s="1"/>
  <c r="M39" i="94"/>
  <c r="B40" i="94"/>
  <c r="C40" i="94"/>
  <c r="AG40" i="94" s="1"/>
  <c r="D40" i="94"/>
  <c r="AH40" i="94" s="1"/>
  <c r="E40" i="94"/>
  <c r="AI40" i="94" s="1"/>
  <c r="F40" i="94"/>
  <c r="G40" i="94"/>
  <c r="H40" i="94"/>
  <c r="I40" i="94"/>
  <c r="AM40" i="94" s="1"/>
  <c r="J40" i="94"/>
  <c r="AN40" i="94" s="1"/>
  <c r="K40" i="94"/>
  <c r="AO40" i="94" s="1"/>
  <c r="L40" i="94"/>
  <c r="M40" i="94"/>
  <c r="A41" i="94"/>
  <c r="B41" i="94"/>
  <c r="C41" i="94"/>
  <c r="AG41" i="94" s="1"/>
  <c r="D41" i="94"/>
  <c r="AH41" i="94" s="1"/>
  <c r="E41" i="94"/>
  <c r="AI41" i="94" s="1"/>
  <c r="F41" i="94"/>
  <c r="G41" i="94"/>
  <c r="H41" i="94"/>
  <c r="AL41" i="94" s="1"/>
  <c r="I41" i="94"/>
  <c r="AM41" i="94" s="1"/>
  <c r="J41" i="94"/>
  <c r="AN41" i="94" s="1"/>
  <c r="K41" i="94"/>
  <c r="L41" i="94"/>
  <c r="AP41" i="94" s="1"/>
  <c r="M41" i="94"/>
  <c r="B42" i="94"/>
  <c r="C42" i="94"/>
  <c r="AG42" i="94" s="1"/>
  <c r="D42" i="94"/>
  <c r="E42" i="94"/>
  <c r="AI42" i="94" s="1"/>
  <c r="F42" i="94"/>
  <c r="G42" i="94"/>
  <c r="H42" i="94"/>
  <c r="I42" i="94"/>
  <c r="AM42" i="94" s="1"/>
  <c r="J42" i="94"/>
  <c r="K42" i="94"/>
  <c r="AO42" i="94" s="1"/>
  <c r="L42" i="94"/>
  <c r="AP42" i="94" s="1"/>
  <c r="M42" i="94"/>
  <c r="AQ42" i="94" s="1"/>
  <c r="B43" i="94"/>
  <c r="C43" i="94"/>
  <c r="D43" i="94"/>
  <c r="AH43" i="94" s="1"/>
  <c r="E43" i="94"/>
  <c r="AI43" i="94" s="1"/>
  <c r="F43" i="94"/>
  <c r="G43" i="94"/>
  <c r="H43" i="94"/>
  <c r="AL43" i="94" s="1"/>
  <c r="I43" i="94"/>
  <c r="J43" i="94"/>
  <c r="AN43" i="94" s="1"/>
  <c r="K43" i="94"/>
  <c r="AO43" i="94" s="1"/>
  <c r="L43" i="94"/>
  <c r="AP43" i="94" s="1"/>
  <c r="M43" i="94"/>
  <c r="A44" i="94"/>
  <c r="W8" i="94"/>
  <c r="H82" i="80" s="1"/>
  <c r="T38" i="94"/>
  <c r="E88" i="80" s="1"/>
  <c r="AB42" i="94"/>
  <c r="M3" i="94"/>
  <c r="A3" i="94"/>
  <c r="A1" i="94"/>
  <c r="AA43" i="94"/>
  <c r="Z43" i="94"/>
  <c r="Z42" i="94"/>
  <c r="X42" i="94"/>
  <c r="T42" i="94"/>
  <c r="AA41" i="94"/>
  <c r="R41" i="94"/>
  <c r="Z40" i="94"/>
  <c r="K79" i="80" s="1"/>
  <c r="AA39" i="94"/>
  <c r="L70" i="80" s="1"/>
  <c r="U39" i="94"/>
  <c r="F70" i="80" s="1"/>
  <c r="T39" i="94"/>
  <c r="E70" i="80" s="1"/>
  <c r="AA38" i="94"/>
  <c r="L88" i="80" s="1"/>
  <c r="V38" i="94"/>
  <c r="G88" i="80" s="1"/>
  <c r="U38" i="94"/>
  <c r="F88" i="80" s="1"/>
  <c r="AB13" i="94"/>
  <c r="M74" i="80" s="1"/>
  <c r="Z13" i="94"/>
  <c r="K74" i="80" s="1"/>
  <c r="S13" i="94"/>
  <c r="D74" i="80" s="1"/>
  <c r="X12" i="94"/>
  <c r="I65" i="80" s="1"/>
  <c r="W12" i="94"/>
  <c r="H65" i="80" s="1"/>
  <c r="R12" i="94"/>
  <c r="C65" i="80" s="1"/>
  <c r="AA11" i="94"/>
  <c r="L83" i="80" s="1"/>
  <c r="Y11" i="94"/>
  <c r="J83" i="80" s="1"/>
  <c r="X11" i="94"/>
  <c r="I83" i="80" s="1"/>
  <c r="S11" i="94"/>
  <c r="D83" i="80" s="1"/>
  <c r="R11" i="94"/>
  <c r="C83" i="80" s="1"/>
  <c r="Y10" i="94"/>
  <c r="J73" i="80" s="1"/>
  <c r="X10" i="94"/>
  <c r="I73" i="80" s="1"/>
  <c r="S10" i="94"/>
  <c r="D73" i="80" s="1"/>
  <c r="Z9" i="94"/>
  <c r="K64" i="80" s="1"/>
  <c r="Y9" i="94"/>
  <c r="J64" i="80" s="1"/>
  <c r="S9" i="94"/>
  <c r="D64" i="80" s="1"/>
  <c r="Y8" i="94"/>
  <c r="J82" i="80" s="1"/>
  <c r="X8" i="94"/>
  <c r="I82" i="80" s="1"/>
  <c r="S8" i="94"/>
  <c r="D82" i="80" s="1"/>
  <c r="D43" i="80"/>
  <c r="C4" i="93"/>
  <c r="D4" i="93"/>
  <c r="E4" i="93"/>
  <c r="F4" i="93"/>
  <c r="G4" i="93"/>
  <c r="H4" i="93"/>
  <c r="I4" i="93"/>
  <c r="J4" i="93"/>
  <c r="K4" i="93"/>
  <c r="L4" i="93"/>
  <c r="M4" i="93"/>
  <c r="A5" i="93"/>
  <c r="B5" i="93"/>
  <c r="C5" i="93"/>
  <c r="C61" i="80" s="1"/>
  <c r="D5" i="93"/>
  <c r="D61" i="80" s="1"/>
  <c r="E5" i="93"/>
  <c r="E61" i="80" s="1"/>
  <c r="F5" i="93"/>
  <c r="F61" i="80" s="1"/>
  <c r="G5" i="93"/>
  <c r="G61" i="80" s="1"/>
  <c r="H5" i="93"/>
  <c r="H61" i="80" s="1"/>
  <c r="I5" i="93"/>
  <c r="I61" i="80" s="1"/>
  <c r="J5" i="93"/>
  <c r="J61" i="80" s="1"/>
  <c r="K5" i="93"/>
  <c r="K61" i="80" s="1"/>
  <c r="L5" i="93"/>
  <c r="L61" i="80" s="1"/>
  <c r="M5" i="93"/>
  <c r="M61" i="80" s="1"/>
  <c r="B6" i="93"/>
  <c r="C6" i="93"/>
  <c r="C43" i="80" s="1"/>
  <c r="D6" i="93"/>
  <c r="E6" i="93"/>
  <c r="E43" i="80" s="1"/>
  <c r="F6" i="93"/>
  <c r="F43" i="80" s="1"/>
  <c r="G6" i="93"/>
  <c r="G43" i="80" s="1"/>
  <c r="H6" i="93"/>
  <c r="H43" i="80" s="1"/>
  <c r="I6" i="93"/>
  <c r="I43" i="80" s="1"/>
  <c r="J6" i="93"/>
  <c r="J43" i="80" s="1"/>
  <c r="K6" i="93"/>
  <c r="K43" i="80" s="1"/>
  <c r="L6" i="93"/>
  <c r="L43" i="80" s="1"/>
  <c r="M6" i="93"/>
  <c r="M43" i="80" s="1"/>
  <c r="B7" i="93"/>
  <c r="C7" i="93"/>
  <c r="C52" i="80" s="1"/>
  <c r="D7" i="93"/>
  <c r="D52" i="80" s="1"/>
  <c r="E7" i="93"/>
  <c r="E52" i="80" s="1"/>
  <c r="F7" i="93"/>
  <c r="F52" i="80" s="1"/>
  <c r="G7" i="93"/>
  <c r="G52" i="80" s="1"/>
  <c r="H7" i="93"/>
  <c r="H52" i="80" s="1"/>
  <c r="I7" i="93"/>
  <c r="I52" i="80" s="1"/>
  <c r="J7" i="93"/>
  <c r="J52" i="80" s="1"/>
  <c r="K7" i="93"/>
  <c r="K52" i="80" s="1"/>
  <c r="L7" i="93"/>
  <c r="L52" i="80" s="1"/>
  <c r="M7" i="93"/>
  <c r="M52" i="80" s="1"/>
  <c r="A8" i="93"/>
  <c r="B8" i="93"/>
  <c r="C8" i="93"/>
  <c r="AG8" i="93" s="1"/>
  <c r="D8" i="93"/>
  <c r="AH8" i="93" s="1"/>
  <c r="E8" i="93"/>
  <c r="AI8" i="93" s="1"/>
  <c r="F8" i="93"/>
  <c r="G8" i="93"/>
  <c r="AK8" i="93" s="1"/>
  <c r="H8" i="93"/>
  <c r="AL8" i="93" s="1"/>
  <c r="I8" i="93"/>
  <c r="AM8" i="93" s="1"/>
  <c r="J8" i="93"/>
  <c r="AN8" i="93" s="1"/>
  <c r="K8" i="93"/>
  <c r="AO8" i="93" s="1"/>
  <c r="L8" i="93"/>
  <c r="M8" i="93"/>
  <c r="AQ8" i="93" s="1"/>
  <c r="B9" i="93"/>
  <c r="C9" i="93"/>
  <c r="AG9" i="93" s="1"/>
  <c r="D9" i="93"/>
  <c r="AH9" i="93" s="1"/>
  <c r="E9" i="93"/>
  <c r="AI9" i="93" s="1"/>
  <c r="F9" i="93"/>
  <c r="G9" i="93"/>
  <c r="H9" i="93"/>
  <c r="AL9" i="93" s="1"/>
  <c r="I9" i="93"/>
  <c r="AM9" i="93" s="1"/>
  <c r="J9" i="93"/>
  <c r="AN9" i="93" s="1"/>
  <c r="K9" i="93"/>
  <c r="AO9" i="93" s="1"/>
  <c r="L9" i="93"/>
  <c r="M9" i="93"/>
  <c r="B10" i="93"/>
  <c r="C10" i="93"/>
  <c r="AG10" i="93" s="1"/>
  <c r="D10" i="93"/>
  <c r="AH10" i="93" s="1"/>
  <c r="E10" i="93"/>
  <c r="AI10" i="93" s="1"/>
  <c r="F10" i="93"/>
  <c r="G10" i="93"/>
  <c r="AK10" i="93" s="1"/>
  <c r="H10" i="93"/>
  <c r="AL10" i="93" s="1"/>
  <c r="I10" i="93"/>
  <c r="AM10" i="93" s="1"/>
  <c r="J10" i="93"/>
  <c r="AN10" i="93" s="1"/>
  <c r="K10" i="93"/>
  <c r="AO10" i="93" s="1"/>
  <c r="L10" i="93"/>
  <c r="M10" i="93"/>
  <c r="AQ10" i="93" s="1"/>
  <c r="A11" i="93"/>
  <c r="B11" i="93"/>
  <c r="C11" i="93"/>
  <c r="AG11" i="93" s="1"/>
  <c r="D11" i="93"/>
  <c r="AH11" i="93" s="1"/>
  <c r="E11" i="93"/>
  <c r="F11" i="93"/>
  <c r="AJ11" i="93" s="1"/>
  <c r="G11" i="93"/>
  <c r="AK11" i="93" s="1"/>
  <c r="H11" i="93"/>
  <c r="AL11" i="93" s="1"/>
  <c r="I11" i="93"/>
  <c r="AM11" i="93" s="1"/>
  <c r="J11" i="93"/>
  <c r="AN11" i="93" s="1"/>
  <c r="K11" i="93"/>
  <c r="L11" i="93"/>
  <c r="AP11" i="93" s="1"/>
  <c r="M11" i="93"/>
  <c r="AQ11" i="93" s="1"/>
  <c r="B12" i="93"/>
  <c r="C12" i="93"/>
  <c r="AG12" i="93" s="1"/>
  <c r="D12" i="93"/>
  <c r="AH12" i="93" s="1"/>
  <c r="E12" i="93"/>
  <c r="F12" i="93"/>
  <c r="AJ12" i="93" s="1"/>
  <c r="G12" i="93"/>
  <c r="AK12" i="93" s="1"/>
  <c r="H12" i="93"/>
  <c r="AL12" i="93" s="1"/>
  <c r="I12" i="93"/>
  <c r="AM12" i="93" s="1"/>
  <c r="J12" i="93"/>
  <c r="K12" i="93"/>
  <c r="L12" i="93"/>
  <c r="AP12" i="93" s="1"/>
  <c r="M12" i="93"/>
  <c r="AQ12" i="93" s="1"/>
  <c r="B13" i="93"/>
  <c r="C13" i="93"/>
  <c r="D13" i="93"/>
  <c r="AH13" i="93" s="1"/>
  <c r="E13" i="93"/>
  <c r="AI13" i="93" s="1"/>
  <c r="F13" i="93"/>
  <c r="AJ13" i="93" s="1"/>
  <c r="G13" i="93"/>
  <c r="AK13" i="93" s="1"/>
  <c r="H13" i="93"/>
  <c r="AL13" i="93" s="1"/>
  <c r="I13" i="93"/>
  <c r="J13" i="93"/>
  <c r="AN13" i="93" s="1"/>
  <c r="K13" i="93"/>
  <c r="L13" i="93"/>
  <c r="AP13" i="93" s="1"/>
  <c r="M13" i="93"/>
  <c r="AQ13" i="93" s="1"/>
  <c r="A14" i="93"/>
  <c r="B14" i="93"/>
  <c r="C14" i="93"/>
  <c r="D14" i="93"/>
  <c r="E14" i="93"/>
  <c r="F14" i="93"/>
  <c r="G14" i="93"/>
  <c r="H14" i="93"/>
  <c r="I14" i="93"/>
  <c r="J14" i="93"/>
  <c r="K14" i="93"/>
  <c r="L14" i="93"/>
  <c r="M14" i="93"/>
  <c r="B15" i="93"/>
  <c r="C15" i="93"/>
  <c r="D15" i="93"/>
  <c r="E15" i="93"/>
  <c r="F15" i="93"/>
  <c r="G15" i="93"/>
  <c r="H15" i="93"/>
  <c r="I15" i="93"/>
  <c r="J15" i="93"/>
  <c r="K15" i="93"/>
  <c r="L15" i="93"/>
  <c r="M15" i="93"/>
  <c r="B16" i="93"/>
  <c r="C16" i="93"/>
  <c r="D16" i="93"/>
  <c r="E16" i="93"/>
  <c r="F16" i="93"/>
  <c r="G16" i="93"/>
  <c r="H16" i="93"/>
  <c r="I16" i="93"/>
  <c r="J16" i="93"/>
  <c r="K16" i="93"/>
  <c r="L16" i="93"/>
  <c r="M16" i="93"/>
  <c r="A17" i="93"/>
  <c r="B17" i="93"/>
  <c r="C17" i="93"/>
  <c r="D17" i="93"/>
  <c r="E17" i="93"/>
  <c r="F17" i="93"/>
  <c r="G17" i="93"/>
  <c r="H17" i="93"/>
  <c r="I17" i="93"/>
  <c r="J17" i="93"/>
  <c r="K17" i="93"/>
  <c r="L17" i="93"/>
  <c r="M17" i="93"/>
  <c r="B18" i="93"/>
  <c r="C18" i="93"/>
  <c r="D18" i="93"/>
  <c r="E18" i="93"/>
  <c r="F18" i="93"/>
  <c r="G18" i="93"/>
  <c r="H18" i="93"/>
  <c r="I18" i="93"/>
  <c r="J18" i="93"/>
  <c r="K18" i="93"/>
  <c r="L18" i="93"/>
  <c r="M18" i="93"/>
  <c r="B19" i="93"/>
  <c r="C19" i="93"/>
  <c r="D19" i="93"/>
  <c r="E19" i="93"/>
  <c r="F19" i="93"/>
  <c r="G19" i="93"/>
  <c r="H19" i="93"/>
  <c r="I19" i="93"/>
  <c r="J19" i="93"/>
  <c r="K19" i="93"/>
  <c r="L19" i="93"/>
  <c r="M19" i="93"/>
  <c r="A20" i="93"/>
  <c r="B20" i="93"/>
  <c r="C20" i="93"/>
  <c r="D20" i="93"/>
  <c r="E20" i="93"/>
  <c r="F20" i="93"/>
  <c r="G20" i="93"/>
  <c r="H20" i="93"/>
  <c r="I20" i="93"/>
  <c r="J20" i="93"/>
  <c r="K20" i="93"/>
  <c r="L20" i="93"/>
  <c r="M20" i="93"/>
  <c r="B21" i="93"/>
  <c r="C21" i="93"/>
  <c r="D21" i="93"/>
  <c r="E21" i="93"/>
  <c r="F21" i="93"/>
  <c r="G21" i="93"/>
  <c r="H21" i="93"/>
  <c r="I21" i="93"/>
  <c r="J21" i="93"/>
  <c r="K21" i="93"/>
  <c r="L21" i="93"/>
  <c r="M21" i="93"/>
  <c r="B22" i="93"/>
  <c r="C22" i="93"/>
  <c r="D22" i="93"/>
  <c r="E22" i="93"/>
  <c r="F22" i="93"/>
  <c r="G22" i="93"/>
  <c r="H22" i="93"/>
  <c r="I22" i="93"/>
  <c r="J22" i="93"/>
  <c r="K22" i="93"/>
  <c r="L22" i="93"/>
  <c r="M22" i="93"/>
  <c r="A23" i="93"/>
  <c r="B23" i="93"/>
  <c r="C23" i="93"/>
  <c r="D23" i="93"/>
  <c r="E23" i="93"/>
  <c r="F23" i="93"/>
  <c r="G23" i="93"/>
  <c r="H23" i="93"/>
  <c r="I23" i="93"/>
  <c r="J23" i="93"/>
  <c r="K23" i="93"/>
  <c r="L23" i="93"/>
  <c r="M23" i="93"/>
  <c r="B24" i="93"/>
  <c r="C24" i="93"/>
  <c r="D24" i="93"/>
  <c r="E24" i="93"/>
  <c r="F24" i="93"/>
  <c r="G24" i="93"/>
  <c r="H24" i="93"/>
  <c r="I24" i="93"/>
  <c r="J24" i="93"/>
  <c r="K24" i="93"/>
  <c r="L24" i="93"/>
  <c r="M24" i="93"/>
  <c r="B25" i="93"/>
  <c r="C25" i="93"/>
  <c r="D25" i="93"/>
  <c r="E25" i="93"/>
  <c r="F25" i="93"/>
  <c r="G25" i="93"/>
  <c r="H25" i="93"/>
  <c r="I25" i="93"/>
  <c r="J25" i="93"/>
  <c r="K25" i="93"/>
  <c r="L25" i="93"/>
  <c r="M25" i="93"/>
  <c r="A26" i="93"/>
  <c r="B26" i="93"/>
  <c r="C26" i="93"/>
  <c r="D26" i="93"/>
  <c r="E26" i="93"/>
  <c r="F26" i="93"/>
  <c r="G26" i="93"/>
  <c r="H26" i="93"/>
  <c r="I26" i="93"/>
  <c r="J26" i="93"/>
  <c r="K26" i="93"/>
  <c r="L26" i="93"/>
  <c r="M26" i="93"/>
  <c r="B27" i="93"/>
  <c r="C27" i="93"/>
  <c r="D27" i="93"/>
  <c r="E27" i="93"/>
  <c r="F27" i="93"/>
  <c r="G27" i="93"/>
  <c r="H27" i="93"/>
  <c r="I27" i="93"/>
  <c r="J27" i="93"/>
  <c r="K27" i="93"/>
  <c r="L27" i="93"/>
  <c r="M27" i="93"/>
  <c r="B28" i="93"/>
  <c r="C28" i="93"/>
  <c r="D28" i="93"/>
  <c r="E28" i="93"/>
  <c r="F28" i="93"/>
  <c r="G28" i="93"/>
  <c r="H28" i="93"/>
  <c r="I28" i="93"/>
  <c r="J28" i="93"/>
  <c r="K28" i="93"/>
  <c r="L28" i="93"/>
  <c r="M28" i="93"/>
  <c r="A29" i="93"/>
  <c r="B29" i="93"/>
  <c r="C29" i="93"/>
  <c r="D29" i="93"/>
  <c r="E29" i="93"/>
  <c r="F29" i="93"/>
  <c r="G29" i="93"/>
  <c r="H29" i="93"/>
  <c r="I29" i="93"/>
  <c r="J29" i="93"/>
  <c r="K29" i="93"/>
  <c r="L29" i="93"/>
  <c r="M29" i="93"/>
  <c r="B30" i="93"/>
  <c r="C30" i="93"/>
  <c r="D30" i="93"/>
  <c r="E30" i="93"/>
  <c r="F30" i="93"/>
  <c r="G30" i="93"/>
  <c r="H30" i="93"/>
  <c r="I30" i="93"/>
  <c r="J30" i="93"/>
  <c r="K30" i="93"/>
  <c r="L30" i="93"/>
  <c r="M30" i="93"/>
  <c r="B31" i="93"/>
  <c r="C31" i="93"/>
  <c r="D31" i="93"/>
  <c r="E31" i="93"/>
  <c r="F31" i="93"/>
  <c r="G31" i="93"/>
  <c r="H31" i="93"/>
  <c r="I31" i="93"/>
  <c r="J31" i="93"/>
  <c r="K31" i="93"/>
  <c r="L31" i="93"/>
  <c r="M31" i="93"/>
  <c r="A32" i="93"/>
  <c r="B32" i="93"/>
  <c r="C32" i="93"/>
  <c r="D32" i="93"/>
  <c r="E32" i="93"/>
  <c r="F32" i="93"/>
  <c r="G32" i="93"/>
  <c r="H32" i="93"/>
  <c r="I32" i="93"/>
  <c r="J32" i="93"/>
  <c r="K32" i="93"/>
  <c r="L32" i="93"/>
  <c r="M32" i="93"/>
  <c r="B33" i="93"/>
  <c r="C33" i="93"/>
  <c r="D33" i="93"/>
  <c r="E33" i="93"/>
  <c r="F33" i="93"/>
  <c r="G33" i="93"/>
  <c r="H33" i="93"/>
  <c r="I33" i="93"/>
  <c r="J33" i="93"/>
  <c r="K33" i="93"/>
  <c r="L33" i="93"/>
  <c r="M33" i="93"/>
  <c r="B34" i="93"/>
  <c r="C34" i="93"/>
  <c r="D34" i="93"/>
  <c r="E34" i="93"/>
  <c r="F34" i="93"/>
  <c r="G34" i="93"/>
  <c r="H34" i="93"/>
  <c r="I34" i="93"/>
  <c r="J34" i="93"/>
  <c r="K34" i="93"/>
  <c r="L34" i="93"/>
  <c r="M34" i="93"/>
  <c r="A35" i="93"/>
  <c r="B35" i="93"/>
  <c r="C35" i="93"/>
  <c r="D35" i="93"/>
  <c r="E35" i="93"/>
  <c r="F35" i="93"/>
  <c r="G35" i="93"/>
  <c r="H35" i="93"/>
  <c r="I35" i="93"/>
  <c r="J35" i="93"/>
  <c r="K35" i="93"/>
  <c r="L35" i="93"/>
  <c r="M35" i="93"/>
  <c r="B36" i="93"/>
  <c r="C36" i="93"/>
  <c r="D36" i="93"/>
  <c r="E36" i="93"/>
  <c r="F36" i="93"/>
  <c r="G36" i="93"/>
  <c r="H36" i="93"/>
  <c r="I36" i="93"/>
  <c r="J36" i="93"/>
  <c r="K36" i="93"/>
  <c r="L36" i="93"/>
  <c r="M36" i="93"/>
  <c r="B37" i="93"/>
  <c r="C37" i="93"/>
  <c r="D37" i="93"/>
  <c r="E37" i="93"/>
  <c r="F37" i="93"/>
  <c r="G37" i="93"/>
  <c r="H37" i="93"/>
  <c r="I37" i="93"/>
  <c r="J37" i="93"/>
  <c r="K37" i="93"/>
  <c r="L37" i="93"/>
  <c r="M37" i="93"/>
  <c r="A38" i="93"/>
  <c r="B38" i="93"/>
  <c r="C38" i="93"/>
  <c r="AG38" i="93" s="1"/>
  <c r="D38" i="93"/>
  <c r="AH38" i="93" s="1"/>
  <c r="E38" i="93"/>
  <c r="F38" i="93"/>
  <c r="G38" i="93"/>
  <c r="AK38" i="93" s="1"/>
  <c r="H38" i="93"/>
  <c r="I38" i="93"/>
  <c r="AM38" i="93" s="1"/>
  <c r="J38" i="93"/>
  <c r="AN38" i="93" s="1"/>
  <c r="K38" i="93"/>
  <c r="AO38" i="93" s="1"/>
  <c r="L38" i="93"/>
  <c r="M38" i="93"/>
  <c r="AQ38" i="93" s="1"/>
  <c r="B39" i="93"/>
  <c r="C39" i="93"/>
  <c r="AG39" i="93" s="1"/>
  <c r="D39" i="93"/>
  <c r="E39" i="93"/>
  <c r="AI39" i="93" s="1"/>
  <c r="F39" i="93"/>
  <c r="AJ39" i="93" s="1"/>
  <c r="G39" i="93"/>
  <c r="H39" i="93"/>
  <c r="I39" i="93"/>
  <c r="AM39" i="93" s="1"/>
  <c r="J39" i="93"/>
  <c r="AN39" i="93" s="1"/>
  <c r="K39" i="93"/>
  <c r="AO39" i="93" s="1"/>
  <c r="L39" i="93"/>
  <c r="AP39" i="93" s="1"/>
  <c r="M39" i="93"/>
  <c r="B40" i="93"/>
  <c r="C40" i="93"/>
  <c r="D40" i="93"/>
  <c r="AH40" i="93" s="1"/>
  <c r="E40" i="93"/>
  <c r="AI40" i="93" s="1"/>
  <c r="F40" i="93"/>
  <c r="G40" i="93"/>
  <c r="AK40" i="93" s="1"/>
  <c r="H40" i="93"/>
  <c r="I40" i="93"/>
  <c r="J40" i="93"/>
  <c r="AN40" i="93" s="1"/>
  <c r="K40" i="93"/>
  <c r="AO40" i="93" s="1"/>
  <c r="L40" i="93"/>
  <c r="M40" i="93"/>
  <c r="AQ40" i="93" s="1"/>
  <c r="A41" i="93"/>
  <c r="B41" i="93"/>
  <c r="C41" i="93"/>
  <c r="AG41" i="93" s="1"/>
  <c r="D41" i="93"/>
  <c r="AH41" i="93" s="1"/>
  <c r="E41" i="93"/>
  <c r="F41" i="93"/>
  <c r="AJ41" i="93" s="1"/>
  <c r="G41" i="93"/>
  <c r="H41" i="93"/>
  <c r="I41" i="93"/>
  <c r="AM41" i="93" s="1"/>
  <c r="J41" i="93"/>
  <c r="AN41" i="93" s="1"/>
  <c r="K41" i="93"/>
  <c r="L41" i="93"/>
  <c r="AP41" i="93" s="1"/>
  <c r="M41" i="93"/>
  <c r="B42" i="93"/>
  <c r="C42" i="93"/>
  <c r="AG42" i="93" s="1"/>
  <c r="D42" i="93"/>
  <c r="AH42" i="93" s="1"/>
  <c r="E42" i="93"/>
  <c r="AI42" i="93" s="1"/>
  <c r="F42" i="93"/>
  <c r="AJ42" i="93" s="1"/>
  <c r="G42" i="93"/>
  <c r="H42" i="93"/>
  <c r="AL42" i="93" s="1"/>
  <c r="I42" i="93"/>
  <c r="AM42" i="93" s="1"/>
  <c r="J42" i="93"/>
  <c r="K42" i="93"/>
  <c r="AO42" i="93" s="1"/>
  <c r="L42" i="93"/>
  <c r="AP42" i="93" s="1"/>
  <c r="M42" i="93"/>
  <c r="B43" i="93"/>
  <c r="C43" i="93"/>
  <c r="D43" i="93"/>
  <c r="AH43" i="93" s="1"/>
  <c r="E43" i="93"/>
  <c r="AI43" i="93" s="1"/>
  <c r="F43" i="93"/>
  <c r="AJ43" i="93" s="1"/>
  <c r="G43" i="93"/>
  <c r="H43" i="93"/>
  <c r="AL43" i="93" s="1"/>
  <c r="I43" i="93"/>
  <c r="J43" i="93"/>
  <c r="AN43" i="93" s="1"/>
  <c r="K43" i="93"/>
  <c r="AO43" i="93" s="1"/>
  <c r="L43" i="93"/>
  <c r="AP43" i="93" s="1"/>
  <c r="M43" i="93"/>
  <c r="A44" i="93"/>
  <c r="B44" i="93"/>
  <c r="W8" i="93"/>
  <c r="H54" i="80" s="1"/>
  <c r="S42" i="93"/>
  <c r="M3" i="93"/>
  <c r="A3" i="93"/>
  <c r="A1" i="93"/>
  <c r="S38" i="93"/>
  <c r="D60" i="80" s="1"/>
  <c r="Y38" i="93"/>
  <c r="J60" i="80" s="1"/>
  <c r="Z38" i="93"/>
  <c r="K60" i="80" s="1"/>
  <c r="R41" i="93"/>
  <c r="X41" i="93"/>
  <c r="T43" i="93"/>
  <c r="S43" i="93"/>
  <c r="Y43" i="93"/>
  <c r="X42" i="93"/>
  <c r="T42" i="93"/>
  <c r="Y41" i="93"/>
  <c r="S41" i="93"/>
  <c r="Z40" i="93"/>
  <c r="K51" i="80" s="1"/>
  <c r="T40" i="93"/>
  <c r="E51" i="80" s="1"/>
  <c r="S40" i="93"/>
  <c r="D51" i="80" s="1"/>
  <c r="Z39" i="93"/>
  <c r="K42" i="80" s="1"/>
  <c r="Y39" i="93"/>
  <c r="J42" i="80" s="1"/>
  <c r="T39" i="93"/>
  <c r="E42" i="80" s="1"/>
  <c r="V38" i="93"/>
  <c r="G60" i="80" s="1"/>
  <c r="AB13" i="93"/>
  <c r="M46" i="80" s="1"/>
  <c r="W13" i="93"/>
  <c r="H46" i="80" s="1"/>
  <c r="V13" i="93"/>
  <c r="G46" i="80" s="1"/>
  <c r="AB12" i="93"/>
  <c r="M37" i="80" s="1"/>
  <c r="X12" i="93"/>
  <c r="I37" i="80" s="1"/>
  <c r="W12" i="93"/>
  <c r="H37" i="80" s="1"/>
  <c r="V12" i="93"/>
  <c r="G37" i="80" s="1"/>
  <c r="AB11" i="93"/>
  <c r="M55" i="80" s="1"/>
  <c r="X11" i="93"/>
  <c r="I55" i="80" s="1"/>
  <c r="W11" i="93"/>
  <c r="H55" i="80" s="1"/>
  <c r="V11" i="93"/>
  <c r="G55" i="80" s="1"/>
  <c r="S11" i="93"/>
  <c r="D55" i="80" s="1"/>
  <c r="Y10" i="93"/>
  <c r="J45" i="80" s="1"/>
  <c r="X10" i="93"/>
  <c r="I45" i="80" s="1"/>
  <c r="W10" i="93"/>
  <c r="H45" i="80" s="1"/>
  <c r="T10" i="93"/>
  <c r="E45" i="80" s="1"/>
  <c r="S10" i="93"/>
  <c r="D45" i="80" s="1"/>
  <c r="R10" i="93"/>
  <c r="C45" i="80" s="1"/>
  <c r="Y9" i="93"/>
  <c r="J36" i="80" s="1"/>
  <c r="X9" i="93"/>
  <c r="I36" i="80" s="1"/>
  <c r="W9" i="93"/>
  <c r="H36" i="80" s="1"/>
  <c r="T9" i="93"/>
  <c r="E36" i="80" s="1"/>
  <c r="S9" i="93"/>
  <c r="D36" i="80" s="1"/>
  <c r="R9" i="93"/>
  <c r="C36" i="80" s="1"/>
  <c r="Y8" i="93"/>
  <c r="J54" i="80" s="1"/>
  <c r="X8" i="93"/>
  <c r="I54" i="80" s="1"/>
  <c r="T8" i="93"/>
  <c r="E54" i="80" s="1"/>
  <c r="S8" i="93"/>
  <c r="D54" i="80" s="1"/>
  <c r="R8" i="93"/>
  <c r="C54" i="80" s="1"/>
  <c r="BZ22" i="75"/>
  <c r="CB8" i="75"/>
  <c r="A32" i="92"/>
  <c r="A5" i="92"/>
  <c r="B5" i="92"/>
  <c r="C5" i="92"/>
  <c r="D5" i="92"/>
  <c r="E5" i="92"/>
  <c r="F5" i="92"/>
  <c r="G5" i="92"/>
  <c r="H5" i="92"/>
  <c r="I5" i="92"/>
  <c r="J5" i="92"/>
  <c r="K5" i="92"/>
  <c r="L5" i="92"/>
  <c r="M5" i="92"/>
  <c r="B6" i="92"/>
  <c r="C6" i="92"/>
  <c r="BV22" i="75" s="1"/>
  <c r="D6" i="92"/>
  <c r="BW22" i="75" s="1"/>
  <c r="E6" i="92"/>
  <c r="BX22" i="75" s="1"/>
  <c r="F6" i="92"/>
  <c r="BY22" i="75" s="1"/>
  <c r="G6" i="92"/>
  <c r="H6" i="92"/>
  <c r="CA22" i="75" s="1"/>
  <c r="I6" i="92"/>
  <c r="CB22" i="75" s="1"/>
  <c r="J6" i="92"/>
  <c r="CC22" i="75" s="1"/>
  <c r="K6" i="92"/>
  <c r="CD22" i="75" s="1"/>
  <c r="L6" i="92"/>
  <c r="CE22" i="75" s="1"/>
  <c r="M6" i="92"/>
  <c r="CF22" i="75" s="1"/>
  <c r="B7" i="92"/>
  <c r="C7" i="92"/>
  <c r="BV29" i="75" s="1"/>
  <c r="D7" i="92"/>
  <c r="BW29" i="75" s="1"/>
  <c r="E7" i="92"/>
  <c r="BX29" i="75" s="1"/>
  <c r="F7" i="92"/>
  <c r="BY29" i="75" s="1"/>
  <c r="G7" i="92"/>
  <c r="BZ29" i="75" s="1"/>
  <c r="H7" i="92"/>
  <c r="CA29" i="75" s="1"/>
  <c r="I7" i="92"/>
  <c r="CB29" i="75" s="1"/>
  <c r="J7" i="92"/>
  <c r="CC29" i="75" s="1"/>
  <c r="K7" i="92"/>
  <c r="CD29" i="75" s="1"/>
  <c r="L7" i="92"/>
  <c r="CE29" i="75" s="1"/>
  <c r="M7" i="92"/>
  <c r="CF29" i="75" s="1"/>
  <c r="A8" i="92"/>
  <c r="B8" i="92"/>
  <c r="C8" i="92"/>
  <c r="R8" i="92" s="1"/>
  <c r="D8" i="92"/>
  <c r="S8" i="92" s="1"/>
  <c r="E8" i="92"/>
  <c r="T8" i="92" s="1"/>
  <c r="F8" i="92"/>
  <c r="U8" i="92" s="1"/>
  <c r="G8" i="92"/>
  <c r="V8" i="92" s="1"/>
  <c r="H8" i="92"/>
  <c r="W8" i="92" s="1"/>
  <c r="I8" i="92"/>
  <c r="X8" i="92" s="1"/>
  <c r="J8" i="92"/>
  <c r="Y8" i="92" s="1"/>
  <c r="K8" i="92"/>
  <c r="Z8" i="92" s="1"/>
  <c r="L8" i="92"/>
  <c r="AA8" i="92" s="1"/>
  <c r="M8" i="92"/>
  <c r="AB8" i="92" s="1"/>
  <c r="B9" i="92"/>
  <c r="C9" i="92"/>
  <c r="R9" i="92" s="1"/>
  <c r="D9" i="92"/>
  <c r="S9" i="92" s="1"/>
  <c r="E9" i="92"/>
  <c r="T9" i="92" s="1"/>
  <c r="F9" i="92"/>
  <c r="U9" i="92" s="1"/>
  <c r="G9" i="92"/>
  <c r="V9" i="92" s="1"/>
  <c r="H9" i="92"/>
  <c r="W9" i="92" s="1"/>
  <c r="I9" i="92"/>
  <c r="X9" i="92" s="1"/>
  <c r="J9" i="92"/>
  <c r="Y9" i="92" s="1"/>
  <c r="K9" i="92"/>
  <c r="Z9" i="92" s="1"/>
  <c r="L9" i="92"/>
  <c r="AA9" i="92" s="1"/>
  <c r="M9" i="92"/>
  <c r="AB9" i="92" s="1"/>
  <c r="B10" i="92"/>
  <c r="C10" i="92"/>
  <c r="R10" i="92" s="1"/>
  <c r="D10" i="92"/>
  <c r="S10" i="92" s="1"/>
  <c r="E10" i="92"/>
  <c r="T10" i="92" s="1"/>
  <c r="F10" i="92"/>
  <c r="U10" i="92" s="1"/>
  <c r="G10" i="92"/>
  <c r="V10" i="92" s="1"/>
  <c r="H10" i="92"/>
  <c r="W10" i="92" s="1"/>
  <c r="I10" i="92"/>
  <c r="X10" i="92" s="1"/>
  <c r="J10" i="92"/>
  <c r="Y10" i="92" s="1"/>
  <c r="K10" i="92"/>
  <c r="Z10" i="92" s="1"/>
  <c r="L10" i="92"/>
  <c r="AA10" i="92" s="1"/>
  <c r="M10" i="92"/>
  <c r="AB10" i="92" s="1"/>
  <c r="A11" i="92"/>
  <c r="B11" i="92"/>
  <c r="C11" i="92"/>
  <c r="R11" i="92" s="1"/>
  <c r="D11" i="92"/>
  <c r="S11" i="92" s="1"/>
  <c r="E11" i="92"/>
  <c r="T11" i="92" s="1"/>
  <c r="F11" i="92"/>
  <c r="U11" i="92" s="1"/>
  <c r="G11" i="92"/>
  <c r="V11" i="92" s="1"/>
  <c r="H11" i="92"/>
  <c r="W11" i="92" s="1"/>
  <c r="I11" i="92"/>
  <c r="X11" i="92" s="1"/>
  <c r="J11" i="92"/>
  <c r="Y11" i="92" s="1"/>
  <c r="K11" i="92"/>
  <c r="Z11" i="92" s="1"/>
  <c r="L11" i="92"/>
  <c r="AA11" i="92" s="1"/>
  <c r="M11" i="92"/>
  <c r="AB11" i="92" s="1"/>
  <c r="B12" i="92"/>
  <c r="C12" i="92"/>
  <c r="R12" i="92" s="1"/>
  <c r="D12" i="92"/>
  <c r="S12" i="92" s="1"/>
  <c r="E12" i="92"/>
  <c r="T12" i="92" s="1"/>
  <c r="F12" i="92"/>
  <c r="U12" i="92" s="1"/>
  <c r="G12" i="92"/>
  <c r="V12" i="92" s="1"/>
  <c r="H12" i="92"/>
  <c r="W12" i="92" s="1"/>
  <c r="I12" i="92"/>
  <c r="X12" i="92" s="1"/>
  <c r="J12" i="92"/>
  <c r="Y12" i="92" s="1"/>
  <c r="K12" i="92"/>
  <c r="Z12" i="92" s="1"/>
  <c r="L12" i="92"/>
  <c r="AA12" i="92" s="1"/>
  <c r="M12" i="92"/>
  <c r="AB12" i="92" s="1"/>
  <c r="B13" i="92"/>
  <c r="C13" i="92"/>
  <c r="R13" i="92" s="1"/>
  <c r="D13" i="92"/>
  <c r="S13" i="92" s="1"/>
  <c r="E13" i="92"/>
  <c r="T13" i="92" s="1"/>
  <c r="F13" i="92"/>
  <c r="U13" i="92" s="1"/>
  <c r="G13" i="92"/>
  <c r="V13" i="92" s="1"/>
  <c r="H13" i="92"/>
  <c r="W13" i="92" s="1"/>
  <c r="I13" i="92"/>
  <c r="X13" i="92" s="1"/>
  <c r="J13" i="92"/>
  <c r="Y13" i="92" s="1"/>
  <c r="K13" i="92"/>
  <c r="Z13" i="92" s="1"/>
  <c r="L13" i="92"/>
  <c r="AA13" i="92" s="1"/>
  <c r="M13" i="92"/>
  <c r="AB13" i="92" s="1"/>
  <c r="A14" i="92"/>
  <c r="B14" i="92"/>
  <c r="C14" i="92"/>
  <c r="R14" i="92" s="1"/>
  <c r="D52" i="75" s="1"/>
  <c r="D14" i="92"/>
  <c r="S14" i="92" s="1"/>
  <c r="E14" i="92"/>
  <c r="T14" i="92" s="1"/>
  <c r="F14" i="92"/>
  <c r="U14" i="92" s="1"/>
  <c r="G14" i="92"/>
  <c r="V14" i="92" s="1"/>
  <c r="H14" i="92"/>
  <c r="W14" i="92" s="1"/>
  <c r="I14" i="92"/>
  <c r="X14" i="92" s="1"/>
  <c r="J52" i="75" s="1"/>
  <c r="J14" i="92"/>
  <c r="Y14" i="92" s="1"/>
  <c r="K14" i="92"/>
  <c r="Z14" i="92" s="1"/>
  <c r="L14" i="92"/>
  <c r="AA14" i="92" s="1"/>
  <c r="M14" i="92"/>
  <c r="AB14" i="92" s="1"/>
  <c r="B15" i="92"/>
  <c r="C15" i="92"/>
  <c r="R15" i="92" s="1"/>
  <c r="BV19" i="75" s="1"/>
  <c r="D15" i="92"/>
  <c r="S15" i="92" s="1"/>
  <c r="E15" i="92"/>
  <c r="T15" i="92" s="1"/>
  <c r="F15" i="92"/>
  <c r="U15" i="92" s="1"/>
  <c r="G15" i="92"/>
  <c r="V15" i="92" s="1"/>
  <c r="H15" i="92"/>
  <c r="W15" i="92" s="1"/>
  <c r="I15" i="92"/>
  <c r="X15" i="92" s="1"/>
  <c r="CB19" i="75" s="1"/>
  <c r="J15" i="92"/>
  <c r="Y15" i="92" s="1"/>
  <c r="K15" i="92"/>
  <c r="Z15" i="92" s="1"/>
  <c r="L15" i="92"/>
  <c r="AA15" i="92" s="1"/>
  <c r="M15" i="92"/>
  <c r="AB15" i="92" s="1"/>
  <c r="B16" i="92"/>
  <c r="C16" i="92"/>
  <c r="R16" i="92" s="1"/>
  <c r="BV26" i="75" s="1"/>
  <c r="D16" i="92"/>
  <c r="S16" i="92" s="1"/>
  <c r="E16" i="92"/>
  <c r="T16" i="92" s="1"/>
  <c r="F16" i="92"/>
  <c r="U16" i="92" s="1"/>
  <c r="G16" i="92"/>
  <c r="V16" i="92" s="1"/>
  <c r="H16" i="92"/>
  <c r="W16" i="92" s="1"/>
  <c r="I16" i="92"/>
  <c r="X16" i="92" s="1"/>
  <c r="CB26" i="75" s="1"/>
  <c r="J16" i="92"/>
  <c r="Y16" i="92" s="1"/>
  <c r="K16" i="92"/>
  <c r="Z16" i="92" s="1"/>
  <c r="L16" i="92"/>
  <c r="AA16" i="92" s="1"/>
  <c r="M16" i="92"/>
  <c r="AB16" i="92" s="1"/>
  <c r="A17" i="92"/>
  <c r="B17" i="92"/>
  <c r="C17" i="92"/>
  <c r="R17" i="92" s="1"/>
  <c r="D17" i="92"/>
  <c r="S17" i="92" s="1"/>
  <c r="E17" i="92"/>
  <c r="T17" i="92" s="1"/>
  <c r="F17" i="92"/>
  <c r="U17" i="92" s="1"/>
  <c r="G17" i="92"/>
  <c r="V17" i="92" s="1"/>
  <c r="H17" i="92"/>
  <c r="W17" i="92" s="1"/>
  <c r="I17" i="92"/>
  <c r="X17" i="92" s="1"/>
  <c r="J17" i="92"/>
  <c r="Y17" i="92" s="1"/>
  <c r="K17" i="92"/>
  <c r="Z17" i="92" s="1"/>
  <c r="L17" i="92"/>
  <c r="AA17" i="92" s="1"/>
  <c r="M17" i="92"/>
  <c r="AB17" i="92" s="1"/>
  <c r="B18" i="92"/>
  <c r="C18" i="92"/>
  <c r="R18" i="92" s="1"/>
  <c r="D18" i="92"/>
  <c r="S18" i="92" s="1"/>
  <c r="E18" i="92"/>
  <c r="T18" i="92" s="1"/>
  <c r="F18" i="92"/>
  <c r="U18" i="92" s="1"/>
  <c r="G18" i="92"/>
  <c r="V18" i="92" s="1"/>
  <c r="H18" i="92"/>
  <c r="W18" i="92" s="1"/>
  <c r="I18" i="92"/>
  <c r="X18" i="92" s="1"/>
  <c r="J18" i="92"/>
  <c r="Y18" i="92" s="1"/>
  <c r="K18" i="92"/>
  <c r="Z18" i="92" s="1"/>
  <c r="L18" i="92"/>
  <c r="AA18" i="92" s="1"/>
  <c r="M18" i="92"/>
  <c r="AB18" i="92" s="1"/>
  <c r="B19" i="92"/>
  <c r="C19" i="92"/>
  <c r="R19" i="92" s="1"/>
  <c r="D19" i="92"/>
  <c r="S19" i="92" s="1"/>
  <c r="E19" i="92"/>
  <c r="T19" i="92" s="1"/>
  <c r="F19" i="92"/>
  <c r="U19" i="92" s="1"/>
  <c r="G19" i="92"/>
  <c r="V19" i="92" s="1"/>
  <c r="H19" i="92"/>
  <c r="W19" i="92" s="1"/>
  <c r="I19" i="92"/>
  <c r="X19" i="92" s="1"/>
  <c r="J19" i="92"/>
  <c r="Y19" i="92" s="1"/>
  <c r="K19" i="92"/>
  <c r="Z19" i="92" s="1"/>
  <c r="L19" i="92"/>
  <c r="AA19" i="92" s="1"/>
  <c r="M19" i="92"/>
  <c r="AB19" i="92" s="1"/>
  <c r="A20" i="92"/>
  <c r="B20" i="92"/>
  <c r="C20" i="92"/>
  <c r="R20" i="92" s="1"/>
  <c r="D20" i="92"/>
  <c r="S20" i="92" s="1"/>
  <c r="E20" i="92"/>
  <c r="T20" i="92" s="1"/>
  <c r="F20" i="92"/>
  <c r="U20" i="92" s="1"/>
  <c r="G20" i="92"/>
  <c r="V20" i="92" s="1"/>
  <c r="H20" i="92"/>
  <c r="W20" i="92" s="1"/>
  <c r="I20" i="92"/>
  <c r="X20" i="92" s="1"/>
  <c r="J20" i="92"/>
  <c r="Y20" i="92" s="1"/>
  <c r="K20" i="92"/>
  <c r="Z20" i="92" s="1"/>
  <c r="L20" i="92"/>
  <c r="AA20" i="92" s="1"/>
  <c r="M20" i="92"/>
  <c r="AB20" i="92" s="1"/>
  <c r="B21" i="92"/>
  <c r="C21" i="92"/>
  <c r="R21" i="92" s="1"/>
  <c r="D21" i="92"/>
  <c r="S21" i="92" s="1"/>
  <c r="E21" i="92"/>
  <c r="T21" i="92" s="1"/>
  <c r="F21" i="92"/>
  <c r="U21" i="92" s="1"/>
  <c r="G21" i="92"/>
  <c r="V21" i="92" s="1"/>
  <c r="H21" i="92"/>
  <c r="W21" i="92" s="1"/>
  <c r="I21" i="92"/>
  <c r="X21" i="92" s="1"/>
  <c r="J21" i="92"/>
  <c r="Y21" i="92" s="1"/>
  <c r="K21" i="92"/>
  <c r="Z21" i="92" s="1"/>
  <c r="L21" i="92"/>
  <c r="AA21" i="92" s="1"/>
  <c r="M21" i="92"/>
  <c r="AB21" i="92" s="1"/>
  <c r="B22" i="92"/>
  <c r="C22" i="92"/>
  <c r="R22" i="92" s="1"/>
  <c r="D22" i="92"/>
  <c r="S22" i="92" s="1"/>
  <c r="E22" i="92"/>
  <c r="T22" i="92" s="1"/>
  <c r="F22" i="92"/>
  <c r="U22" i="92" s="1"/>
  <c r="G22" i="92"/>
  <c r="V22" i="92" s="1"/>
  <c r="H22" i="92"/>
  <c r="W22" i="92" s="1"/>
  <c r="I22" i="92"/>
  <c r="X22" i="92" s="1"/>
  <c r="J22" i="92"/>
  <c r="Y22" i="92" s="1"/>
  <c r="K22" i="92"/>
  <c r="Z22" i="92" s="1"/>
  <c r="L22" i="92"/>
  <c r="AA22" i="92" s="1"/>
  <c r="M22" i="92"/>
  <c r="AB22" i="92" s="1"/>
  <c r="A23" i="92"/>
  <c r="B23" i="92"/>
  <c r="C23" i="92"/>
  <c r="R23" i="92" s="1"/>
  <c r="D23" i="92"/>
  <c r="S23" i="92" s="1"/>
  <c r="E23" i="92"/>
  <c r="T23" i="92" s="1"/>
  <c r="F23" i="92"/>
  <c r="U23" i="92" s="1"/>
  <c r="G23" i="92"/>
  <c r="V23" i="92" s="1"/>
  <c r="H23" i="92"/>
  <c r="W23" i="92" s="1"/>
  <c r="I23" i="92"/>
  <c r="X23" i="92" s="1"/>
  <c r="J23" i="92"/>
  <c r="Y23" i="92" s="1"/>
  <c r="K23" i="92"/>
  <c r="Z23" i="92" s="1"/>
  <c r="L23" i="92"/>
  <c r="AA23" i="92" s="1"/>
  <c r="M23" i="92"/>
  <c r="AB23" i="92" s="1"/>
  <c r="B24" i="92"/>
  <c r="C24" i="92"/>
  <c r="R24" i="92" s="1"/>
  <c r="D24" i="92"/>
  <c r="S24" i="92" s="1"/>
  <c r="E24" i="92"/>
  <c r="T24" i="92" s="1"/>
  <c r="F24" i="92"/>
  <c r="U24" i="92" s="1"/>
  <c r="G24" i="92"/>
  <c r="V24" i="92" s="1"/>
  <c r="H24" i="92"/>
  <c r="W24" i="92" s="1"/>
  <c r="I24" i="92"/>
  <c r="X24" i="92" s="1"/>
  <c r="J24" i="92"/>
  <c r="Y24" i="92" s="1"/>
  <c r="K24" i="92"/>
  <c r="Z24" i="92" s="1"/>
  <c r="L24" i="92"/>
  <c r="AA24" i="92" s="1"/>
  <c r="M24" i="92"/>
  <c r="AB24" i="92" s="1"/>
  <c r="B25" i="92"/>
  <c r="C25" i="92"/>
  <c r="R25" i="92" s="1"/>
  <c r="D25" i="92"/>
  <c r="S25" i="92" s="1"/>
  <c r="E25" i="92"/>
  <c r="T25" i="92" s="1"/>
  <c r="F25" i="92"/>
  <c r="U25" i="92" s="1"/>
  <c r="G25" i="92"/>
  <c r="V25" i="92" s="1"/>
  <c r="H25" i="92"/>
  <c r="W25" i="92" s="1"/>
  <c r="I25" i="92"/>
  <c r="X25" i="92" s="1"/>
  <c r="J25" i="92"/>
  <c r="Y25" i="92" s="1"/>
  <c r="K25" i="92"/>
  <c r="Z25" i="92" s="1"/>
  <c r="L25" i="92"/>
  <c r="AA25" i="92" s="1"/>
  <c r="M25" i="92"/>
  <c r="AB25" i="92" s="1"/>
  <c r="A26" i="92"/>
  <c r="B26" i="92"/>
  <c r="C26" i="92"/>
  <c r="R26" i="92" s="1"/>
  <c r="D26" i="92"/>
  <c r="S26" i="92" s="1"/>
  <c r="E26" i="92"/>
  <c r="T26" i="92" s="1"/>
  <c r="F26" i="92"/>
  <c r="U26" i="92" s="1"/>
  <c r="G26" i="92"/>
  <c r="V26" i="92" s="1"/>
  <c r="H26" i="92"/>
  <c r="W26" i="92" s="1"/>
  <c r="I26" i="92"/>
  <c r="X26" i="92" s="1"/>
  <c r="J26" i="92"/>
  <c r="Y26" i="92" s="1"/>
  <c r="K26" i="92"/>
  <c r="Z26" i="92" s="1"/>
  <c r="L26" i="92"/>
  <c r="AA26" i="92" s="1"/>
  <c r="M26" i="92"/>
  <c r="AB26" i="92" s="1"/>
  <c r="B27" i="92"/>
  <c r="C27" i="92"/>
  <c r="R27" i="92" s="1"/>
  <c r="D27" i="92"/>
  <c r="S27" i="92" s="1"/>
  <c r="E27" i="92"/>
  <c r="T27" i="92" s="1"/>
  <c r="F27" i="92"/>
  <c r="U27" i="92" s="1"/>
  <c r="G27" i="92"/>
  <c r="V27" i="92" s="1"/>
  <c r="H27" i="92"/>
  <c r="W27" i="92" s="1"/>
  <c r="I27" i="92"/>
  <c r="X27" i="92" s="1"/>
  <c r="J27" i="92"/>
  <c r="Y27" i="92" s="1"/>
  <c r="K27" i="92"/>
  <c r="Z27" i="92" s="1"/>
  <c r="L27" i="92"/>
  <c r="AA27" i="92" s="1"/>
  <c r="M27" i="92"/>
  <c r="AB27" i="92" s="1"/>
  <c r="B28" i="92"/>
  <c r="C28" i="92"/>
  <c r="R28" i="92" s="1"/>
  <c r="D28" i="92"/>
  <c r="S28" i="92" s="1"/>
  <c r="E28" i="92"/>
  <c r="T28" i="92" s="1"/>
  <c r="F28" i="92"/>
  <c r="U28" i="92" s="1"/>
  <c r="G28" i="92"/>
  <c r="V28" i="92" s="1"/>
  <c r="H28" i="92"/>
  <c r="W28" i="92" s="1"/>
  <c r="I28" i="92"/>
  <c r="X28" i="92" s="1"/>
  <c r="J28" i="92"/>
  <c r="Y28" i="92" s="1"/>
  <c r="K28" i="92"/>
  <c r="Z28" i="92" s="1"/>
  <c r="L28" i="92"/>
  <c r="AA28" i="92" s="1"/>
  <c r="M28" i="92"/>
  <c r="AB28" i="92" s="1"/>
  <c r="A29" i="92"/>
  <c r="B29" i="92"/>
  <c r="C29" i="92"/>
  <c r="R29" i="92" s="1"/>
  <c r="D29" i="92"/>
  <c r="S29" i="92" s="1"/>
  <c r="E29" i="92"/>
  <c r="T29" i="92" s="1"/>
  <c r="F29" i="92"/>
  <c r="U29" i="92" s="1"/>
  <c r="G29" i="92"/>
  <c r="V29" i="92" s="1"/>
  <c r="H29" i="92"/>
  <c r="W29" i="92" s="1"/>
  <c r="I29" i="92"/>
  <c r="X29" i="92" s="1"/>
  <c r="J29" i="92"/>
  <c r="Y29" i="92" s="1"/>
  <c r="K29" i="92"/>
  <c r="Z29" i="92" s="1"/>
  <c r="L29" i="92"/>
  <c r="AA29" i="92" s="1"/>
  <c r="M29" i="92"/>
  <c r="AB29" i="92" s="1"/>
  <c r="B30" i="92"/>
  <c r="C30" i="92"/>
  <c r="R30" i="92" s="1"/>
  <c r="D30" i="92"/>
  <c r="S30" i="92" s="1"/>
  <c r="E30" i="92"/>
  <c r="T30" i="92" s="1"/>
  <c r="F30" i="92"/>
  <c r="U30" i="92" s="1"/>
  <c r="G30" i="92"/>
  <c r="V30" i="92" s="1"/>
  <c r="H30" i="92"/>
  <c r="W30" i="92" s="1"/>
  <c r="I30" i="92"/>
  <c r="X30" i="92" s="1"/>
  <c r="J30" i="92"/>
  <c r="Y30" i="92" s="1"/>
  <c r="K30" i="92"/>
  <c r="Z30" i="92" s="1"/>
  <c r="L30" i="92"/>
  <c r="AA30" i="92" s="1"/>
  <c r="M30" i="92"/>
  <c r="AB30" i="92" s="1"/>
  <c r="B31" i="92"/>
  <c r="C31" i="92"/>
  <c r="R31" i="92" s="1"/>
  <c r="D31" i="92"/>
  <c r="S31" i="92" s="1"/>
  <c r="E31" i="92"/>
  <c r="T31" i="92" s="1"/>
  <c r="F31" i="92"/>
  <c r="U31" i="92" s="1"/>
  <c r="G31" i="92"/>
  <c r="V31" i="92" s="1"/>
  <c r="H31" i="92"/>
  <c r="W31" i="92" s="1"/>
  <c r="I31" i="92"/>
  <c r="X31" i="92" s="1"/>
  <c r="J31" i="92"/>
  <c r="Y31" i="92" s="1"/>
  <c r="K31" i="92"/>
  <c r="Z31" i="92" s="1"/>
  <c r="L31" i="92"/>
  <c r="AA31" i="92" s="1"/>
  <c r="M31" i="92"/>
  <c r="AB31" i="92" s="1"/>
  <c r="B32" i="92"/>
  <c r="C32" i="92"/>
  <c r="R32" i="92" s="1"/>
  <c r="D32" i="92"/>
  <c r="S32" i="92" s="1"/>
  <c r="E32" i="92"/>
  <c r="T32" i="92" s="1"/>
  <c r="F32" i="92"/>
  <c r="U32" i="92" s="1"/>
  <c r="G32" i="92"/>
  <c r="V32" i="92" s="1"/>
  <c r="H32" i="92"/>
  <c r="W32" i="92" s="1"/>
  <c r="I32" i="92"/>
  <c r="X32" i="92" s="1"/>
  <c r="J32" i="92"/>
  <c r="Y32" i="92" s="1"/>
  <c r="K32" i="92"/>
  <c r="Z32" i="92" s="1"/>
  <c r="L32" i="92"/>
  <c r="AA32" i="92" s="1"/>
  <c r="M32" i="92"/>
  <c r="AB32" i="92" s="1"/>
  <c r="B33" i="92"/>
  <c r="C33" i="92"/>
  <c r="R33" i="92" s="1"/>
  <c r="D33" i="92"/>
  <c r="S33" i="92" s="1"/>
  <c r="E33" i="92"/>
  <c r="T33" i="92" s="1"/>
  <c r="F33" i="92"/>
  <c r="U33" i="92" s="1"/>
  <c r="G33" i="92"/>
  <c r="V33" i="92" s="1"/>
  <c r="H33" i="92"/>
  <c r="W33" i="92" s="1"/>
  <c r="I33" i="92"/>
  <c r="X33" i="92" s="1"/>
  <c r="J33" i="92"/>
  <c r="Y33" i="92" s="1"/>
  <c r="K33" i="92"/>
  <c r="Z33" i="92" s="1"/>
  <c r="L33" i="92"/>
  <c r="AA33" i="92" s="1"/>
  <c r="M33" i="92"/>
  <c r="AB33" i="92" s="1"/>
  <c r="B34" i="92"/>
  <c r="C34" i="92"/>
  <c r="R34" i="92" s="1"/>
  <c r="D34" i="92"/>
  <c r="S34" i="92" s="1"/>
  <c r="E34" i="92"/>
  <c r="T34" i="92" s="1"/>
  <c r="F34" i="92"/>
  <c r="U34" i="92" s="1"/>
  <c r="G34" i="92"/>
  <c r="V34" i="92" s="1"/>
  <c r="H34" i="92"/>
  <c r="W34" i="92" s="1"/>
  <c r="I34" i="92"/>
  <c r="X34" i="92" s="1"/>
  <c r="J34" i="92"/>
  <c r="Y34" i="92" s="1"/>
  <c r="K34" i="92"/>
  <c r="Z34" i="92" s="1"/>
  <c r="L34" i="92"/>
  <c r="AA34" i="92" s="1"/>
  <c r="M34" i="92"/>
  <c r="AB34" i="92" s="1"/>
  <c r="A35" i="92"/>
  <c r="B35" i="92"/>
  <c r="C35" i="92"/>
  <c r="R35" i="92" s="1"/>
  <c r="D35" i="92"/>
  <c r="S35" i="92" s="1"/>
  <c r="E35" i="92"/>
  <c r="T35" i="92" s="1"/>
  <c r="F35" i="92"/>
  <c r="U35" i="92" s="1"/>
  <c r="G35" i="92"/>
  <c r="V35" i="92" s="1"/>
  <c r="H35" i="92"/>
  <c r="W35" i="92" s="1"/>
  <c r="I35" i="92"/>
  <c r="X35" i="92" s="1"/>
  <c r="J35" i="92"/>
  <c r="Y35" i="92" s="1"/>
  <c r="K35" i="92"/>
  <c r="Z35" i="92" s="1"/>
  <c r="L35" i="92"/>
  <c r="AA35" i="92" s="1"/>
  <c r="M35" i="92"/>
  <c r="AB35" i="92" s="1"/>
  <c r="B36" i="92"/>
  <c r="C36" i="92"/>
  <c r="R36" i="92" s="1"/>
  <c r="D36" i="92"/>
  <c r="S36" i="92" s="1"/>
  <c r="E36" i="92"/>
  <c r="T36" i="92" s="1"/>
  <c r="F36" i="92"/>
  <c r="U36" i="92" s="1"/>
  <c r="G36" i="92"/>
  <c r="V36" i="92" s="1"/>
  <c r="H36" i="92"/>
  <c r="W36" i="92" s="1"/>
  <c r="I36" i="92"/>
  <c r="X36" i="92" s="1"/>
  <c r="J36" i="92"/>
  <c r="Y36" i="92" s="1"/>
  <c r="K36" i="92"/>
  <c r="Z36" i="92" s="1"/>
  <c r="L36" i="92"/>
  <c r="AA36" i="92" s="1"/>
  <c r="M36" i="92"/>
  <c r="AB36" i="92" s="1"/>
  <c r="B37" i="92"/>
  <c r="C37" i="92"/>
  <c r="R37" i="92" s="1"/>
  <c r="D37" i="92"/>
  <c r="S37" i="92" s="1"/>
  <c r="E37" i="92"/>
  <c r="T37" i="92" s="1"/>
  <c r="F37" i="92"/>
  <c r="U37" i="92" s="1"/>
  <c r="G37" i="92"/>
  <c r="V37" i="92" s="1"/>
  <c r="H37" i="92"/>
  <c r="W37" i="92" s="1"/>
  <c r="I37" i="92"/>
  <c r="X37" i="92" s="1"/>
  <c r="J37" i="92"/>
  <c r="Y37" i="92" s="1"/>
  <c r="K37" i="92"/>
  <c r="Z37" i="92" s="1"/>
  <c r="L37" i="92"/>
  <c r="AA37" i="92" s="1"/>
  <c r="M37" i="92"/>
  <c r="AB37" i="92" s="1"/>
  <c r="A38" i="92"/>
  <c r="B38" i="92"/>
  <c r="C38" i="92"/>
  <c r="R38" i="92" s="1"/>
  <c r="D38" i="92"/>
  <c r="S38" i="92" s="1"/>
  <c r="E38" i="92"/>
  <c r="T38" i="92" s="1"/>
  <c r="F38" i="92"/>
  <c r="U38" i="92" s="1"/>
  <c r="G38" i="92"/>
  <c r="V38" i="92" s="1"/>
  <c r="H38" i="92"/>
  <c r="W38" i="92" s="1"/>
  <c r="I38" i="92"/>
  <c r="X38" i="92" s="1"/>
  <c r="J38" i="92"/>
  <c r="Y38" i="92" s="1"/>
  <c r="K38" i="92"/>
  <c r="Z38" i="92" s="1"/>
  <c r="L38" i="92"/>
  <c r="AA38" i="92" s="1"/>
  <c r="M38" i="92"/>
  <c r="AB38" i="92" s="1"/>
  <c r="B39" i="92"/>
  <c r="C39" i="92"/>
  <c r="R39" i="92" s="1"/>
  <c r="D39" i="92"/>
  <c r="S39" i="92" s="1"/>
  <c r="E39" i="92"/>
  <c r="T39" i="92" s="1"/>
  <c r="F39" i="92"/>
  <c r="U39" i="92" s="1"/>
  <c r="G39" i="92"/>
  <c r="V39" i="92" s="1"/>
  <c r="H39" i="92"/>
  <c r="W39" i="92" s="1"/>
  <c r="I39" i="92"/>
  <c r="X39" i="92" s="1"/>
  <c r="J39" i="92"/>
  <c r="Y39" i="92" s="1"/>
  <c r="K39" i="92"/>
  <c r="Z39" i="92" s="1"/>
  <c r="L39" i="92"/>
  <c r="AA39" i="92" s="1"/>
  <c r="M39" i="92"/>
  <c r="AB39" i="92" s="1"/>
  <c r="B40" i="92"/>
  <c r="C40" i="92"/>
  <c r="R40" i="92" s="1"/>
  <c r="D40" i="92"/>
  <c r="S40" i="92" s="1"/>
  <c r="E40" i="92"/>
  <c r="T40" i="92" s="1"/>
  <c r="F40" i="92"/>
  <c r="U40" i="92" s="1"/>
  <c r="G40" i="92"/>
  <c r="V40" i="92" s="1"/>
  <c r="H40" i="92"/>
  <c r="W40" i="92" s="1"/>
  <c r="I40" i="92"/>
  <c r="X40" i="92" s="1"/>
  <c r="J40" i="92"/>
  <c r="Y40" i="92" s="1"/>
  <c r="K40" i="92"/>
  <c r="Z40" i="92" s="1"/>
  <c r="L40" i="92"/>
  <c r="AA40" i="92" s="1"/>
  <c r="M40" i="92"/>
  <c r="AB40" i="92" s="1"/>
  <c r="A41" i="92"/>
  <c r="C4" i="92"/>
  <c r="AD4" i="92" s="1"/>
  <c r="D4" i="92"/>
  <c r="AE4" i="92" s="1"/>
  <c r="E4" i="92"/>
  <c r="AF4" i="92" s="1"/>
  <c r="F4" i="92"/>
  <c r="AG4" i="92" s="1"/>
  <c r="G4" i="92"/>
  <c r="AH4" i="92" s="1"/>
  <c r="H4" i="92"/>
  <c r="AI4" i="92" s="1"/>
  <c r="I4" i="92"/>
  <c r="AJ4" i="92" s="1"/>
  <c r="J4" i="92"/>
  <c r="AK4" i="92" s="1"/>
  <c r="K4" i="92"/>
  <c r="AL4" i="92" s="1"/>
  <c r="L4" i="92"/>
  <c r="AM4" i="92" s="1"/>
  <c r="M4" i="92"/>
  <c r="AN4" i="92" s="1"/>
  <c r="A1" i="92"/>
  <c r="A1" i="91"/>
  <c r="A42" i="91"/>
  <c r="A41" i="91"/>
  <c r="B6" i="91"/>
  <c r="B7" i="91"/>
  <c r="A8" i="91"/>
  <c r="B8" i="91"/>
  <c r="B9" i="91"/>
  <c r="B10" i="91"/>
  <c r="A11" i="91"/>
  <c r="B11" i="91"/>
  <c r="B12" i="91"/>
  <c r="B13" i="91"/>
  <c r="A14" i="91"/>
  <c r="B14" i="91"/>
  <c r="B15" i="91"/>
  <c r="B16" i="91"/>
  <c r="A17" i="91"/>
  <c r="B17" i="91"/>
  <c r="B18" i="91"/>
  <c r="B19" i="91"/>
  <c r="A20" i="91"/>
  <c r="B20" i="91"/>
  <c r="B21" i="91"/>
  <c r="B22" i="91"/>
  <c r="A23" i="91"/>
  <c r="B23" i="91"/>
  <c r="B24" i="91"/>
  <c r="B25" i="91"/>
  <c r="A26" i="91"/>
  <c r="B26" i="91"/>
  <c r="B27" i="91"/>
  <c r="B28" i="91"/>
  <c r="A29" i="91"/>
  <c r="B29" i="91"/>
  <c r="B30" i="91"/>
  <c r="B31" i="91"/>
  <c r="A32" i="91"/>
  <c r="B32" i="91"/>
  <c r="B33" i="91"/>
  <c r="B34" i="91"/>
  <c r="A35" i="91"/>
  <c r="B35" i="91"/>
  <c r="B36" i="91"/>
  <c r="B37" i="91"/>
  <c r="A38" i="91"/>
  <c r="B38" i="91"/>
  <c r="B39" i="91"/>
  <c r="B40" i="91"/>
  <c r="B5" i="91"/>
  <c r="A5" i="91"/>
  <c r="C5" i="91"/>
  <c r="D5" i="91"/>
  <c r="E5" i="91"/>
  <c r="F5" i="91"/>
  <c r="G5" i="91"/>
  <c r="H5" i="91"/>
  <c r="I5" i="91"/>
  <c r="J5" i="91"/>
  <c r="K5" i="91"/>
  <c r="L5" i="91"/>
  <c r="M5" i="91"/>
  <c r="C6" i="91"/>
  <c r="BV8" i="75" s="1"/>
  <c r="D6" i="91"/>
  <c r="BW8" i="75" s="1"/>
  <c r="E6" i="91"/>
  <c r="BX8" i="75" s="1"/>
  <c r="F6" i="91"/>
  <c r="BY8" i="75" s="1"/>
  <c r="G6" i="91"/>
  <c r="BZ8" i="75" s="1"/>
  <c r="H6" i="91"/>
  <c r="CA8" i="75" s="1"/>
  <c r="I6" i="91"/>
  <c r="J6" i="91"/>
  <c r="CC8" i="75" s="1"/>
  <c r="K6" i="91"/>
  <c r="CD8" i="75" s="1"/>
  <c r="L6" i="91"/>
  <c r="CE8" i="75" s="1"/>
  <c r="M6" i="91"/>
  <c r="CF8" i="75" s="1"/>
  <c r="C7" i="91"/>
  <c r="BV15" i="75" s="1"/>
  <c r="D7" i="91"/>
  <c r="BW15" i="75" s="1"/>
  <c r="E7" i="91"/>
  <c r="BX15" i="75" s="1"/>
  <c r="F7" i="91"/>
  <c r="BY15" i="75" s="1"/>
  <c r="G7" i="91"/>
  <c r="BZ15" i="75" s="1"/>
  <c r="H7" i="91"/>
  <c r="CA15" i="75" s="1"/>
  <c r="I7" i="91"/>
  <c r="CB15" i="75" s="1"/>
  <c r="J7" i="91"/>
  <c r="CC15" i="75" s="1"/>
  <c r="K7" i="91"/>
  <c r="CD15" i="75" s="1"/>
  <c r="L7" i="91"/>
  <c r="CE15" i="75" s="1"/>
  <c r="M7" i="91"/>
  <c r="CF15" i="75" s="1"/>
  <c r="C8" i="91"/>
  <c r="R8" i="91" s="1"/>
  <c r="D8" i="91"/>
  <c r="S8" i="91" s="1"/>
  <c r="E8" i="91"/>
  <c r="T8" i="91" s="1"/>
  <c r="F8" i="91"/>
  <c r="U8" i="91" s="1"/>
  <c r="G8" i="91"/>
  <c r="V8" i="91" s="1"/>
  <c r="H8" i="91"/>
  <c r="W8" i="91" s="1"/>
  <c r="I8" i="91"/>
  <c r="X8" i="91" s="1"/>
  <c r="J8" i="91"/>
  <c r="Y8" i="91" s="1"/>
  <c r="K8" i="91"/>
  <c r="Z8" i="91" s="1"/>
  <c r="L8" i="91"/>
  <c r="AA8" i="91" s="1"/>
  <c r="M8" i="91"/>
  <c r="AB8" i="91" s="1"/>
  <c r="C9" i="91"/>
  <c r="R9" i="91" s="1"/>
  <c r="D9" i="91"/>
  <c r="S9" i="91" s="1"/>
  <c r="E9" i="91"/>
  <c r="T9" i="91" s="1"/>
  <c r="F9" i="91"/>
  <c r="U9" i="91" s="1"/>
  <c r="G9" i="91"/>
  <c r="V9" i="91" s="1"/>
  <c r="H9" i="91"/>
  <c r="W9" i="91" s="1"/>
  <c r="I9" i="91"/>
  <c r="X9" i="91" s="1"/>
  <c r="J9" i="91"/>
  <c r="Y9" i="91" s="1"/>
  <c r="K9" i="91"/>
  <c r="Z9" i="91" s="1"/>
  <c r="L9" i="91"/>
  <c r="AA9" i="91" s="1"/>
  <c r="M9" i="91"/>
  <c r="AB9" i="91" s="1"/>
  <c r="C10" i="91"/>
  <c r="R10" i="91" s="1"/>
  <c r="D10" i="91"/>
  <c r="S10" i="91" s="1"/>
  <c r="E10" i="91"/>
  <c r="T10" i="91" s="1"/>
  <c r="F10" i="91"/>
  <c r="U10" i="91" s="1"/>
  <c r="G10" i="91"/>
  <c r="V10" i="91" s="1"/>
  <c r="H10" i="91"/>
  <c r="W10" i="91" s="1"/>
  <c r="I10" i="91"/>
  <c r="X10" i="91" s="1"/>
  <c r="J10" i="91"/>
  <c r="Y10" i="91" s="1"/>
  <c r="K10" i="91"/>
  <c r="Z10" i="91" s="1"/>
  <c r="L10" i="91"/>
  <c r="AA10" i="91" s="1"/>
  <c r="M10" i="91"/>
  <c r="AB10" i="91" s="1"/>
  <c r="C11" i="91"/>
  <c r="R11" i="91" s="1"/>
  <c r="D11" i="91"/>
  <c r="S11" i="91" s="1"/>
  <c r="E11" i="91"/>
  <c r="T11" i="91" s="1"/>
  <c r="F11" i="91"/>
  <c r="U11" i="91" s="1"/>
  <c r="G11" i="91"/>
  <c r="V11" i="91" s="1"/>
  <c r="H11" i="91"/>
  <c r="W11" i="91" s="1"/>
  <c r="I11" i="91"/>
  <c r="X11" i="91" s="1"/>
  <c r="J11" i="91"/>
  <c r="Y11" i="91" s="1"/>
  <c r="K11" i="91"/>
  <c r="Z11" i="91" s="1"/>
  <c r="L11" i="91"/>
  <c r="AA11" i="91" s="1"/>
  <c r="M11" i="91"/>
  <c r="AB11" i="91" s="1"/>
  <c r="C12" i="91"/>
  <c r="R12" i="91" s="1"/>
  <c r="D12" i="91"/>
  <c r="S12" i="91" s="1"/>
  <c r="E12" i="91"/>
  <c r="T12" i="91" s="1"/>
  <c r="F12" i="91"/>
  <c r="U12" i="91" s="1"/>
  <c r="G12" i="91"/>
  <c r="V12" i="91" s="1"/>
  <c r="H12" i="91"/>
  <c r="W12" i="91" s="1"/>
  <c r="I12" i="91"/>
  <c r="X12" i="91" s="1"/>
  <c r="J12" i="91"/>
  <c r="Y12" i="91" s="1"/>
  <c r="K12" i="91"/>
  <c r="Z12" i="91" s="1"/>
  <c r="L12" i="91"/>
  <c r="AA12" i="91" s="1"/>
  <c r="M12" i="91"/>
  <c r="AB12" i="91" s="1"/>
  <c r="C13" i="91"/>
  <c r="R13" i="91" s="1"/>
  <c r="D13" i="91"/>
  <c r="S13" i="91" s="1"/>
  <c r="E13" i="91"/>
  <c r="T13" i="91" s="1"/>
  <c r="F13" i="91"/>
  <c r="U13" i="91" s="1"/>
  <c r="G13" i="91"/>
  <c r="V13" i="91" s="1"/>
  <c r="H13" i="91"/>
  <c r="W13" i="91" s="1"/>
  <c r="I13" i="91"/>
  <c r="X13" i="91" s="1"/>
  <c r="J13" i="91"/>
  <c r="Y13" i="91" s="1"/>
  <c r="K13" i="91"/>
  <c r="Z13" i="91" s="1"/>
  <c r="L13" i="91"/>
  <c r="AA13" i="91" s="1"/>
  <c r="M13" i="91"/>
  <c r="AB13" i="91" s="1"/>
  <c r="C14" i="91"/>
  <c r="R14" i="91" s="1"/>
  <c r="D14" i="91"/>
  <c r="S14" i="91" s="1"/>
  <c r="E14" i="91"/>
  <c r="T14" i="91" s="1"/>
  <c r="F14" i="91"/>
  <c r="U14" i="91" s="1"/>
  <c r="G14" i="91"/>
  <c r="V14" i="91" s="1"/>
  <c r="H14" i="91"/>
  <c r="W14" i="91" s="1"/>
  <c r="I14" i="91"/>
  <c r="X14" i="91" s="1"/>
  <c r="J14" i="91"/>
  <c r="Y14" i="91" s="1"/>
  <c r="K14" i="91"/>
  <c r="Z14" i="91" s="1"/>
  <c r="L14" i="91"/>
  <c r="AA14" i="91" s="1"/>
  <c r="M14" i="91"/>
  <c r="AB14" i="91" s="1"/>
  <c r="C15" i="91"/>
  <c r="R15" i="91" s="1"/>
  <c r="D15" i="91"/>
  <c r="S15" i="91" s="1"/>
  <c r="E15" i="91"/>
  <c r="T15" i="91" s="1"/>
  <c r="F15" i="91"/>
  <c r="U15" i="91" s="1"/>
  <c r="G15" i="91"/>
  <c r="V15" i="91" s="1"/>
  <c r="H15" i="91"/>
  <c r="W15" i="91" s="1"/>
  <c r="I15" i="91"/>
  <c r="X15" i="91" s="1"/>
  <c r="J15" i="91"/>
  <c r="Y15" i="91" s="1"/>
  <c r="K15" i="91"/>
  <c r="Z15" i="91" s="1"/>
  <c r="L15" i="91"/>
  <c r="AA15" i="91" s="1"/>
  <c r="M15" i="91"/>
  <c r="AB15" i="91" s="1"/>
  <c r="C16" i="91"/>
  <c r="R16" i="91" s="1"/>
  <c r="D16" i="91"/>
  <c r="S16" i="91" s="1"/>
  <c r="E16" i="91"/>
  <c r="T16" i="91" s="1"/>
  <c r="F16" i="91"/>
  <c r="U16" i="91" s="1"/>
  <c r="G16" i="91"/>
  <c r="V16" i="91" s="1"/>
  <c r="H16" i="91"/>
  <c r="W16" i="91" s="1"/>
  <c r="I16" i="91"/>
  <c r="X16" i="91" s="1"/>
  <c r="J16" i="91"/>
  <c r="Y16" i="91" s="1"/>
  <c r="K16" i="91"/>
  <c r="Z16" i="91" s="1"/>
  <c r="L16" i="91"/>
  <c r="AA16" i="91" s="1"/>
  <c r="M16" i="91"/>
  <c r="AB16" i="91" s="1"/>
  <c r="C17" i="91"/>
  <c r="R17" i="91" s="1"/>
  <c r="D17" i="91"/>
  <c r="S17" i="91" s="1"/>
  <c r="E17" i="91"/>
  <c r="T17" i="91" s="1"/>
  <c r="F17" i="91"/>
  <c r="U17" i="91" s="1"/>
  <c r="G17" i="91"/>
  <c r="V17" i="91" s="1"/>
  <c r="H17" i="91"/>
  <c r="W17" i="91" s="1"/>
  <c r="I17" i="91"/>
  <c r="X17" i="91" s="1"/>
  <c r="J17" i="91"/>
  <c r="Y17" i="91" s="1"/>
  <c r="K17" i="91"/>
  <c r="Z17" i="91" s="1"/>
  <c r="L17" i="91"/>
  <c r="AA17" i="91" s="1"/>
  <c r="M17" i="91"/>
  <c r="AB17" i="91" s="1"/>
  <c r="C18" i="91"/>
  <c r="R18" i="91" s="1"/>
  <c r="D18" i="91"/>
  <c r="S18" i="91" s="1"/>
  <c r="E18" i="91"/>
  <c r="T18" i="91" s="1"/>
  <c r="F18" i="91"/>
  <c r="U18" i="91" s="1"/>
  <c r="G18" i="91"/>
  <c r="V18" i="91" s="1"/>
  <c r="H18" i="91"/>
  <c r="W18" i="91" s="1"/>
  <c r="I18" i="91"/>
  <c r="X18" i="91" s="1"/>
  <c r="J18" i="91"/>
  <c r="Y18" i="91" s="1"/>
  <c r="K18" i="91"/>
  <c r="Z18" i="91" s="1"/>
  <c r="L18" i="91"/>
  <c r="AA18" i="91" s="1"/>
  <c r="M18" i="91"/>
  <c r="AB18" i="91" s="1"/>
  <c r="C19" i="91"/>
  <c r="R19" i="91" s="1"/>
  <c r="D19" i="91"/>
  <c r="S19" i="91" s="1"/>
  <c r="E19" i="91"/>
  <c r="T19" i="91" s="1"/>
  <c r="F19" i="91"/>
  <c r="U19" i="91" s="1"/>
  <c r="G19" i="91"/>
  <c r="V19" i="91" s="1"/>
  <c r="H19" i="91"/>
  <c r="W19" i="91" s="1"/>
  <c r="I19" i="91"/>
  <c r="X19" i="91" s="1"/>
  <c r="J19" i="91"/>
  <c r="Y19" i="91" s="1"/>
  <c r="K19" i="91"/>
  <c r="Z19" i="91" s="1"/>
  <c r="L19" i="91"/>
  <c r="AA19" i="91" s="1"/>
  <c r="M19" i="91"/>
  <c r="AB19" i="91" s="1"/>
  <c r="C20" i="91"/>
  <c r="R20" i="91" s="1"/>
  <c r="D20" i="91"/>
  <c r="S20" i="91" s="1"/>
  <c r="E20" i="91"/>
  <c r="T20" i="91" s="1"/>
  <c r="F20" i="91"/>
  <c r="U20" i="91" s="1"/>
  <c r="G20" i="91"/>
  <c r="V20" i="91" s="1"/>
  <c r="H20" i="91"/>
  <c r="W20" i="91" s="1"/>
  <c r="I20" i="91"/>
  <c r="X20" i="91" s="1"/>
  <c r="J20" i="91"/>
  <c r="Y20" i="91" s="1"/>
  <c r="K20" i="91"/>
  <c r="Z20" i="91" s="1"/>
  <c r="L20" i="91"/>
  <c r="AA20" i="91" s="1"/>
  <c r="M20" i="91"/>
  <c r="AB20" i="91" s="1"/>
  <c r="C21" i="91"/>
  <c r="R21" i="91" s="1"/>
  <c r="D21" i="91"/>
  <c r="S21" i="91" s="1"/>
  <c r="E21" i="91"/>
  <c r="T21" i="91" s="1"/>
  <c r="F21" i="91"/>
  <c r="U21" i="91" s="1"/>
  <c r="G21" i="91"/>
  <c r="V21" i="91" s="1"/>
  <c r="H21" i="91"/>
  <c r="W21" i="91" s="1"/>
  <c r="I21" i="91"/>
  <c r="X21" i="91" s="1"/>
  <c r="J21" i="91"/>
  <c r="Y21" i="91" s="1"/>
  <c r="K21" i="91"/>
  <c r="Z21" i="91" s="1"/>
  <c r="L21" i="91"/>
  <c r="AA21" i="91" s="1"/>
  <c r="M21" i="91"/>
  <c r="AB21" i="91" s="1"/>
  <c r="C22" i="91"/>
  <c r="R22" i="91" s="1"/>
  <c r="D22" i="91"/>
  <c r="S22" i="91" s="1"/>
  <c r="E22" i="91"/>
  <c r="T22" i="91" s="1"/>
  <c r="F22" i="91"/>
  <c r="U22" i="91" s="1"/>
  <c r="G22" i="91"/>
  <c r="V22" i="91" s="1"/>
  <c r="H22" i="91"/>
  <c r="W22" i="91" s="1"/>
  <c r="I22" i="91"/>
  <c r="X22" i="91" s="1"/>
  <c r="J22" i="91"/>
  <c r="Y22" i="91" s="1"/>
  <c r="K22" i="91"/>
  <c r="Z22" i="91" s="1"/>
  <c r="L22" i="91"/>
  <c r="AA22" i="91" s="1"/>
  <c r="M22" i="91"/>
  <c r="AB22" i="91" s="1"/>
  <c r="C23" i="91"/>
  <c r="R23" i="91" s="1"/>
  <c r="D23" i="91"/>
  <c r="S23" i="91" s="1"/>
  <c r="E23" i="91"/>
  <c r="T23" i="91" s="1"/>
  <c r="F23" i="91"/>
  <c r="U23" i="91" s="1"/>
  <c r="G23" i="91"/>
  <c r="V23" i="91" s="1"/>
  <c r="H23" i="91"/>
  <c r="W23" i="91" s="1"/>
  <c r="I23" i="91"/>
  <c r="X23" i="91" s="1"/>
  <c r="J23" i="91"/>
  <c r="Y23" i="91" s="1"/>
  <c r="K23" i="91"/>
  <c r="Z23" i="91" s="1"/>
  <c r="L23" i="91"/>
  <c r="AA23" i="91" s="1"/>
  <c r="M23" i="91"/>
  <c r="AB23" i="91" s="1"/>
  <c r="C24" i="91"/>
  <c r="R24" i="91" s="1"/>
  <c r="D24" i="91"/>
  <c r="S24" i="91" s="1"/>
  <c r="E24" i="91"/>
  <c r="T24" i="91" s="1"/>
  <c r="F24" i="91"/>
  <c r="U24" i="91" s="1"/>
  <c r="G24" i="91"/>
  <c r="V24" i="91" s="1"/>
  <c r="H24" i="91"/>
  <c r="W24" i="91" s="1"/>
  <c r="I24" i="91"/>
  <c r="X24" i="91" s="1"/>
  <c r="J24" i="91"/>
  <c r="Y24" i="91" s="1"/>
  <c r="K24" i="91"/>
  <c r="Z24" i="91" s="1"/>
  <c r="L24" i="91"/>
  <c r="AA24" i="91" s="1"/>
  <c r="M24" i="91"/>
  <c r="AB24" i="91" s="1"/>
  <c r="C25" i="91"/>
  <c r="R25" i="91" s="1"/>
  <c r="D25" i="91"/>
  <c r="S25" i="91" s="1"/>
  <c r="E25" i="91"/>
  <c r="T25" i="91" s="1"/>
  <c r="F25" i="91"/>
  <c r="U25" i="91" s="1"/>
  <c r="G25" i="91"/>
  <c r="V25" i="91" s="1"/>
  <c r="H25" i="91"/>
  <c r="W25" i="91" s="1"/>
  <c r="I25" i="91"/>
  <c r="X25" i="91" s="1"/>
  <c r="J25" i="91"/>
  <c r="Y25" i="91" s="1"/>
  <c r="K25" i="91"/>
  <c r="Z25" i="91" s="1"/>
  <c r="L25" i="91"/>
  <c r="AA25" i="91" s="1"/>
  <c r="M25" i="91"/>
  <c r="AB25" i="91" s="1"/>
  <c r="C26" i="91"/>
  <c r="R26" i="91" s="1"/>
  <c r="D26" i="91"/>
  <c r="S26" i="91" s="1"/>
  <c r="E26" i="91"/>
  <c r="T26" i="91" s="1"/>
  <c r="F26" i="91"/>
  <c r="U26" i="91" s="1"/>
  <c r="G26" i="91"/>
  <c r="V26" i="91" s="1"/>
  <c r="H26" i="91"/>
  <c r="W26" i="91" s="1"/>
  <c r="I26" i="91"/>
  <c r="X26" i="91" s="1"/>
  <c r="J26" i="91"/>
  <c r="Y26" i="91" s="1"/>
  <c r="K26" i="91"/>
  <c r="Z26" i="91" s="1"/>
  <c r="L26" i="91"/>
  <c r="AA26" i="91" s="1"/>
  <c r="M26" i="91"/>
  <c r="AB26" i="91" s="1"/>
  <c r="C27" i="91"/>
  <c r="R27" i="91" s="1"/>
  <c r="D27" i="91"/>
  <c r="S27" i="91" s="1"/>
  <c r="E27" i="91"/>
  <c r="T27" i="91" s="1"/>
  <c r="F27" i="91"/>
  <c r="U27" i="91" s="1"/>
  <c r="G27" i="91"/>
  <c r="V27" i="91" s="1"/>
  <c r="H27" i="91"/>
  <c r="W27" i="91" s="1"/>
  <c r="I27" i="91"/>
  <c r="X27" i="91" s="1"/>
  <c r="J27" i="91"/>
  <c r="Y27" i="91" s="1"/>
  <c r="K27" i="91"/>
  <c r="Z27" i="91" s="1"/>
  <c r="L27" i="91"/>
  <c r="AA27" i="91" s="1"/>
  <c r="M27" i="91"/>
  <c r="AB27" i="91" s="1"/>
  <c r="C28" i="91"/>
  <c r="R28" i="91" s="1"/>
  <c r="D28" i="91"/>
  <c r="S28" i="91" s="1"/>
  <c r="E28" i="91"/>
  <c r="T28" i="91" s="1"/>
  <c r="F28" i="91"/>
  <c r="U28" i="91" s="1"/>
  <c r="G28" i="91"/>
  <c r="V28" i="91" s="1"/>
  <c r="H28" i="91"/>
  <c r="W28" i="91" s="1"/>
  <c r="I28" i="91"/>
  <c r="X28" i="91" s="1"/>
  <c r="J28" i="91"/>
  <c r="Y28" i="91" s="1"/>
  <c r="K28" i="91"/>
  <c r="Z28" i="91" s="1"/>
  <c r="L28" i="91"/>
  <c r="AA28" i="91" s="1"/>
  <c r="M28" i="91"/>
  <c r="AB28" i="91" s="1"/>
  <c r="C29" i="91"/>
  <c r="R29" i="91" s="1"/>
  <c r="D29" i="91"/>
  <c r="S29" i="91" s="1"/>
  <c r="E29" i="91"/>
  <c r="T29" i="91" s="1"/>
  <c r="F29" i="91"/>
  <c r="U29" i="91" s="1"/>
  <c r="G29" i="91"/>
  <c r="V29" i="91" s="1"/>
  <c r="H29" i="91"/>
  <c r="W29" i="91" s="1"/>
  <c r="I29" i="91"/>
  <c r="X29" i="91" s="1"/>
  <c r="J29" i="91"/>
  <c r="Y29" i="91" s="1"/>
  <c r="K29" i="91"/>
  <c r="Z29" i="91" s="1"/>
  <c r="L29" i="91"/>
  <c r="AA29" i="91" s="1"/>
  <c r="M29" i="91"/>
  <c r="AB29" i="91" s="1"/>
  <c r="C30" i="91"/>
  <c r="R30" i="91" s="1"/>
  <c r="D30" i="91"/>
  <c r="S30" i="91" s="1"/>
  <c r="E30" i="91"/>
  <c r="T30" i="91" s="1"/>
  <c r="F30" i="91"/>
  <c r="U30" i="91" s="1"/>
  <c r="G30" i="91"/>
  <c r="V30" i="91" s="1"/>
  <c r="H30" i="91"/>
  <c r="W30" i="91" s="1"/>
  <c r="I30" i="91"/>
  <c r="X30" i="91" s="1"/>
  <c r="J30" i="91"/>
  <c r="Y30" i="91" s="1"/>
  <c r="K30" i="91"/>
  <c r="Z30" i="91" s="1"/>
  <c r="L30" i="91"/>
  <c r="AA30" i="91" s="1"/>
  <c r="M30" i="91"/>
  <c r="AB30" i="91" s="1"/>
  <c r="C31" i="91"/>
  <c r="R31" i="91" s="1"/>
  <c r="D31" i="91"/>
  <c r="S31" i="91" s="1"/>
  <c r="E31" i="91"/>
  <c r="T31" i="91" s="1"/>
  <c r="F31" i="91"/>
  <c r="U31" i="91" s="1"/>
  <c r="G31" i="91"/>
  <c r="V31" i="91" s="1"/>
  <c r="H31" i="91"/>
  <c r="W31" i="91" s="1"/>
  <c r="I31" i="91"/>
  <c r="X31" i="91" s="1"/>
  <c r="J31" i="91"/>
  <c r="Y31" i="91" s="1"/>
  <c r="K31" i="91"/>
  <c r="Z31" i="91" s="1"/>
  <c r="L31" i="91"/>
  <c r="AA31" i="91" s="1"/>
  <c r="M31" i="91"/>
  <c r="AB31" i="91" s="1"/>
  <c r="C32" i="91"/>
  <c r="R32" i="91" s="1"/>
  <c r="D32" i="91"/>
  <c r="S32" i="91" s="1"/>
  <c r="E32" i="91"/>
  <c r="T32" i="91" s="1"/>
  <c r="F32" i="91"/>
  <c r="U32" i="91" s="1"/>
  <c r="G32" i="91"/>
  <c r="V32" i="91" s="1"/>
  <c r="H32" i="91"/>
  <c r="W32" i="91" s="1"/>
  <c r="I32" i="91"/>
  <c r="X32" i="91" s="1"/>
  <c r="J32" i="91"/>
  <c r="Y32" i="91" s="1"/>
  <c r="K32" i="91"/>
  <c r="Z32" i="91" s="1"/>
  <c r="L32" i="91"/>
  <c r="AA32" i="91" s="1"/>
  <c r="M32" i="91"/>
  <c r="AB32" i="91" s="1"/>
  <c r="C33" i="91"/>
  <c r="R33" i="91" s="1"/>
  <c r="D33" i="91"/>
  <c r="S33" i="91" s="1"/>
  <c r="E33" i="91"/>
  <c r="T33" i="91" s="1"/>
  <c r="F33" i="91"/>
  <c r="U33" i="91" s="1"/>
  <c r="G33" i="91"/>
  <c r="V33" i="91" s="1"/>
  <c r="H33" i="91"/>
  <c r="W33" i="91" s="1"/>
  <c r="I33" i="91"/>
  <c r="X33" i="91" s="1"/>
  <c r="J33" i="91"/>
  <c r="Y33" i="91" s="1"/>
  <c r="K33" i="91"/>
  <c r="Z33" i="91" s="1"/>
  <c r="L33" i="91"/>
  <c r="AA33" i="91" s="1"/>
  <c r="M33" i="91"/>
  <c r="AB33" i="91" s="1"/>
  <c r="C34" i="91"/>
  <c r="R34" i="91" s="1"/>
  <c r="D34" i="91"/>
  <c r="S34" i="91" s="1"/>
  <c r="E34" i="91"/>
  <c r="T34" i="91" s="1"/>
  <c r="F34" i="91"/>
  <c r="U34" i="91" s="1"/>
  <c r="G34" i="91"/>
  <c r="V34" i="91" s="1"/>
  <c r="H34" i="91"/>
  <c r="W34" i="91" s="1"/>
  <c r="I34" i="91"/>
  <c r="X34" i="91" s="1"/>
  <c r="J34" i="91"/>
  <c r="Y34" i="91" s="1"/>
  <c r="K34" i="91"/>
  <c r="Z34" i="91" s="1"/>
  <c r="L34" i="91"/>
  <c r="AA34" i="91" s="1"/>
  <c r="M34" i="91"/>
  <c r="AB34" i="91" s="1"/>
  <c r="C35" i="91"/>
  <c r="R35" i="91" s="1"/>
  <c r="D35" i="91"/>
  <c r="S35" i="91" s="1"/>
  <c r="E35" i="91"/>
  <c r="T35" i="91" s="1"/>
  <c r="F35" i="91"/>
  <c r="U35" i="91" s="1"/>
  <c r="G35" i="91"/>
  <c r="V35" i="91" s="1"/>
  <c r="H35" i="91"/>
  <c r="W35" i="91" s="1"/>
  <c r="I35" i="91"/>
  <c r="X35" i="91" s="1"/>
  <c r="J35" i="91"/>
  <c r="Y35" i="91" s="1"/>
  <c r="K35" i="91"/>
  <c r="Z35" i="91" s="1"/>
  <c r="L35" i="91"/>
  <c r="AA35" i="91" s="1"/>
  <c r="M35" i="91"/>
  <c r="AB35" i="91" s="1"/>
  <c r="C36" i="91"/>
  <c r="R36" i="91" s="1"/>
  <c r="D36" i="91"/>
  <c r="S36" i="91" s="1"/>
  <c r="E36" i="91"/>
  <c r="T36" i="91" s="1"/>
  <c r="F36" i="91"/>
  <c r="U36" i="91" s="1"/>
  <c r="G36" i="91"/>
  <c r="V36" i="91" s="1"/>
  <c r="H36" i="91"/>
  <c r="W36" i="91" s="1"/>
  <c r="I36" i="91"/>
  <c r="X36" i="91" s="1"/>
  <c r="J36" i="91"/>
  <c r="Y36" i="91" s="1"/>
  <c r="K36" i="91"/>
  <c r="Z36" i="91" s="1"/>
  <c r="L36" i="91"/>
  <c r="AA36" i="91" s="1"/>
  <c r="M36" i="91"/>
  <c r="AB36" i="91" s="1"/>
  <c r="C37" i="91"/>
  <c r="R37" i="91" s="1"/>
  <c r="D37" i="91"/>
  <c r="S37" i="91" s="1"/>
  <c r="E37" i="91"/>
  <c r="T37" i="91" s="1"/>
  <c r="F37" i="91"/>
  <c r="U37" i="91" s="1"/>
  <c r="G37" i="91"/>
  <c r="V37" i="91" s="1"/>
  <c r="H37" i="91"/>
  <c r="W37" i="91" s="1"/>
  <c r="I37" i="91"/>
  <c r="X37" i="91" s="1"/>
  <c r="J37" i="91"/>
  <c r="Y37" i="91" s="1"/>
  <c r="K37" i="91"/>
  <c r="Z37" i="91" s="1"/>
  <c r="L37" i="91"/>
  <c r="AA37" i="91" s="1"/>
  <c r="M37" i="91"/>
  <c r="AB37" i="91" s="1"/>
  <c r="C38" i="91"/>
  <c r="R38" i="91" s="1"/>
  <c r="D38" i="91"/>
  <c r="S38" i="91" s="1"/>
  <c r="E38" i="91"/>
  <c r="T38" i="91" s="1"/>
  <c r="F38" i="91"/>
  <c r="U38" i="91" s="1"/>
  <c r="G38" i="91"/>
  <c r="V38" i="91" s="1"/>
  <c r="H38" i="91"/>
  <c r="W38" i="91" s="1"/>
  <c r="I38" i="91"/>
  <c r="X38" i="91" s="1"/>
  <c r="J38" i="91"/>
  <c r="Y38" i="91" s="1"/>
  <c r="K38" i="91"/>
  <c r="Z38" i="91" s="1"/>
  <c r="L38" i="91"/>
  <c r="AA38" i="91" s="1"/>
  <c r="M38" i="91"/>
  <c r="AB38" i="91" s="1"/>
  <c r="C39" i="91"/>
  <c r="R39" i="91" s="1"/>
  <c r="D39" i="91"/>
  <c r="S39" i="91" s="1"/>
  <c r="E39" i="91"/>
  <c r="T39" i="91" s="1"/>
  <c r="F39" i="91"/>
  <c r="U39" i="91" s="1"/>
  <c r="G39" i="91"/>
  <c r="V39" i="91" s="1"/>
  <c r="H39" i="91"/>
  <c r="W39" i="91" s="1"/>
  <c r="I39" i="91"/>
  <c r="X39" i="91" s="1"/>
  <c r="J39" i="91"/>
  <c r="Y39" i="91" s="1"/>
  <c r="K39" i="91"/>
  <c r="Z39" i="91" s="1"/>
  <c r="L39" i="91"/>
  <c r="AA39" i="91" s="1"/>
  <c r="M39" i="91"/>
  <c r="AB39" i="91" s="1"/>
  <c r="C40" i="91"/>
  <c r="R40" i="91" s="1"/>
  <c r="D40" i="91"/>
  <c r="S40" i="91" s="1"/>
  <c r="E40" i="91"/>
  <c r="T40" i="91" s="1"/>
  <c r="F40" i="91"/>
  <c r="U40" i="91" s="1"/>
  <c r="G40" i="91"/>
  <c r="V40" i="91" s="1"/>
  <c r="H40" i="91"/>
  <c r="W40" i="91" s="1"/>
  <c r="I40" i="91"/>
  <c r="X40" i="91" s="1"/>
  <c r="J40" i="91"/>
  <c r="Y40" i="91" s="1"/>
  <c r="K40" i="91"/>
  <c r="Z40" i="91" s="1"/>
  <c r="L40" i="91"/>
  <c r="AA40" i="91" s="1"/>
  <c r="M40" i="91"/>
  <c r="AB40" i="91" s="1"/>
  <c r="D4" i="91"/>
  <c r="E4" i="91"/>
  <c r="F4" i="91"/>
  <c r="G4" i="91"/>
  <c r="H4" i="91"/>
  <c r="I4" i="91"/>
  <c r="J4" i="91"/>
  <c r="K4" i="91"/>
  <c r="L4" i="91"/>
  <c r="M4" i="91"/>
  <c r="C4" i="91"/>
  <c r="S43" i="94" l="1"/>
  <c r="R9" i="94"/>
  <c r="C64" i="80" s="1"/>
  <c r="R10" i="94"/>
  <c r="C73" i="80" s="1"/>
  <c r="AB12" i="94"/>
  <c r="M65" i="80" s="1"/>
  <c r="S38" i="94"/>
  <c r="D88" i="80" s="1"/>
  <c r="Z39" i="94"/>
  <c r="K70" i="80" s="1"/>
  <c r="S41" i="94"/>
  <c r="R92" i="74"/>
  <c r="R94" i="74"/>
  <c r="W43" i="93"/>
  <c r="CD28" i="75"/>
  <c r="BX28" i="75"/>
  <c r="CD21" i="75"/>
  <c r="AB8" i="93"/>
  <c r="M54" i="80" s="1"/>
  <c r="T13" i="93"/>
  <c r="E46" i="80" s="1"/>
  <c r="S12" i="93"/>
  <c r="D37" i="80" s="1"/>
  <c r="R8" i="94"/>
  <c r="C82" i="80" s="1"/>
  <c r="AB11" i="94"/>
  <c r="M83" i="80" s="1"/>
  <c r="X41" i="94"/>
  <c r="W41" i="94"/>
  <c r="CF27" i="75"/>
  <c r="BZ27" i="75"/>
  <c r="CF20" i="75"/>
  <c r="BZ20" i="75"/>
  <c r="N53" i="75"/>
  <c r="H53" i="75"/>
  <c r="Z9" i="93"/>
  <c r="K36" i="80" s="1"/>
  <c r="AA41" i="93"/>
  <c r="AA43" i="93"/>
  <c r="W9" i="94"/>
  <c r="H64" i="80" s="1"/>
  <c r="V10" i="94"/>
  <c r="G73" i="80" s="1"/>
  <c r="V11" i="94"/>
  <c r="G83" i="80" s="1"/>
  <c r="V13" i="94"/>
  <c r="G74" i="80" s="1"/>
  <c r="S40" i="94"/>
  <c r="D79" i="80" s="1"/>
  <c r="Y39" i="94"/>
  <c r="J70" i="80" s="1"/>
  <c r="AB10" i="93"/>
  <c r="M45" i="80" s="1"/>
  <c r="V8" i="94"/>
  <c r="G82" i="80" s="1"/>
  <c r="X9" i="94"/>
  <c r="I64" i="80" s="1"/>
  <c r="W10" i="94"/>
  <c r="H73" i="80" s="1"/>
  <c r="W11" i="94"/>
  <c r="H83" i="80" s="1"/>
  <c r="V12" i="94"/>
  <c r="G65" i="80" s="1"/>
  <c r="W13" i="94"/>
  <c r="H74" i="80" s="1"/>
  <c r="T40" i="94"/>
  <c r="E79" i="80" s="1"/>
  <c r="S39" i="94"/>
  <c r="D70" i="80" s="1"/>
  <c r="Y92" i="74"/>
  <c r="Y94" i="74"/>
  <c r="CE12" i="75"/>
  <c r="BY12" i="75"/>
  <c r="CD5" i="75"/>
  <c r="BX5" i="75"/>
  <c r="K28" i="75"/>
  <c r="E28" i="75"/>
  <c r="BX21" i="75"/>
  <c r="L54" i="75"/>
  <c r="F54" i="75"/>
  <c r="AN37" i="94"/>
  <c r="Y37" i="94"/>
  <c r="AO34" i="94"/>
  <c r="Z34" i="94"/>
  <c r="AP31" i="94"/>
  <c r="AA31" i="94"/>
  <c r="AJ30" i="94"/>
  <c r="U30" i="94"/>
  <c r="AK28" i="94"/>
  <c r="V28" i="94"/>
  <c r="AL25" i="94"/>
  <c r="W25" i="94"/>
  <c r="AG20" i="94"/>
  <c r="R20" i="94"/>
  <c r="AH17" i="94"/>
  <c r="S17" i="94"/>
  <c r="AO14" i="94"/>
  <c r="Z14" i="94"/>
  <c r="U11" i="94"/>
  <c r="F83" i="80" s="1"/>
  <c r="AA12" i="94"/>
  <c r="L65" i="80" s="1"/>
  <c r="X39" i="94"/>
  <c r="I70" i="80" s="1"/>
  <c r="X40" i="94"/>
  <c r="I79" i="80" s="1"/>
  <c r="Y41" i="94"/>
  <c r="AA42" i="94"/>
  <c r="T41" i="94"/>
  <c r="AB43" i="94"/>
  <c r="AQ43" i="94"/>
  <c r="V43" i="94"/>
  <c r="AK43" i="94"/>
  <c r="V42" i="94"/>
  <c r="AK42" i="94"/>
  <c r="AB41" i="94"/>
  <c r="AQ41" i="94"/>
  <c r="V41" i="94"/>
  <c r="AK41" i="94"/>
  <c r="W40" i="94"/>
  <c r="H79" i="80" s="1"/>
  <c r="AL40" i="94"/>
  <c r="W39" i="94"/>
  <c r="H70" i="80" s="1"/>
  <c r="AL39" i="94"/>
  <c r="W38" i="94"/>
  <c r="H88" i="80" s="1"/>
  <c r="AL38" i="94"/>
  <c r="AM37" i="94"/>
  <c r="X37" i="94"/>
  <c r="AG37" i="94"/>
  <c r="R37" i="94"/>
  <c r="AM36" i="94"/>
  <c r="X36" i="94"/>
  <c r="AG36" i="94"/>
  <c r="R36" i="94"/>
  <c r="AM35" i="94"/>
  <c r="X35" i="94"/>
  <c r="AG35" i="94"/>
  <c r="R35" i="94"/>
  <c r="AN34" i="94"/>
  <c r="Y34" i="94"/>
  <c r="AH34" i="94"/>
  <c r="S34" i="94"/>
  <c r="AN33" i="94"/>
  <c r="Y33" i="94"/>
  <c r="AH33" i="94"/>
  <c r="S33" i="94"/>
  <c r="AN32" i="94"/>
  <c r="Y32" i="94"/>
  <c r="AH32" i="94"/>
  <c r="S32" i="94"/>
  <c r="AO31" i="94"/>
  <c r="Z31" i="94"/>
  <c r="AI31" i="94"/>
  <c r="T31" i="94"/>
  <c r="AO30" i="94"/>
  <c r="Z30" i="94"/>
  <c r="AI30" i="94"/>
  <c r="T30" i="94"/>
  <c r="AO29" i="94"/>
  <c r="Z29" i="94"/>
  <c r="AI29" i="94"/>
  <c r="T29" i="94"/>
  <c r="AP28" i="94"/>
  <c r="AA28" i="94"/>
  <c r="AJ28" i="94"/>
  <c r="U28" i="94"/>
  <c r="AP27" i="94"/>
  <c r="AA27" i="94"/>
  <c r="AJ27" i="94"/>
  <c r="U27" i="94"/>
  <c r="AP26" i="94"/>
  <c r="AA26" i="94"/>
  <c r="AJ26" i="94"/>
  <c r="U26" i="94"/>
  <c r="AQ25" i="94"/>
  <c r="AB25" i="94"/>
  <c r="AK25" i="94"/>
  <c r="V25" i="94"/>
  <c r="AQ24" i="94"/>
  <c r="AB24" i="94"/>
  <c r="AK24" i="94"/>
  <c r="V24" i="94"/>
  <c r="AQ23" i="94"/>
  <c r="AB23" i="94"/>
  <c r="AK23" i="94"/>
  <c r="V23" i="94"/>
  <c r="AL22" i="94"/>
  <c r="W22" i="94"/>
  <c r="AL21" i="94"/>
  <c r="W21" i="94"/>
  <c r="AL20" i="94"/>
  <c r="W20" i="94"/>
  <c r="AM19" i="94"/>
  <c r="X19" i="94"/>
  <c r="AG19" i="94"/>
  <c r="R19" i="94"/>
  <c r="AM18" i="94"/>
  <c r="X18" i="94"/>
  <c r="AG18" i="94"/>
  <c r="R18" i="94"/>
  <c r="AM17" i="94"/>
  <c r="X17" i="94"/>
  <c r="AG17" i="94"/>
  <c r="R17" i="94"/>
  <c r="AN16" i="94"/>
  <c r="Y16" i="94"/>
  <c r="J75" i="80" s="1"/>
  <c r="AH16" i="94"/>
  <c r="S16" i="94"/>
  <c r="AN15" i="94"/>
  <c r="Y15" i="94"/>
  <c r="AH15" i="94"/>
  <c r="S15" i="94"/>
  <c r="AN14" i="94"/>
  <c r="Y14" i="94"/>
  <c r="AH14" i="94"/>
  <c r="S14" i="94"/>
  <c r="D84" i="80" s="1"/>
  <c r="T13" i="94"/>
  <c r="E74" i="80" s="1"/>
  <c r="AI13" i="94"/>
  <c r="Z12" i="94"/>
  <c r="K65" i="80" s="1"/>
  <c r="AO12" i="94"/>
  <c r="T12" i="94"/>
  <c r="E65" i="80" s="1"/>
  <c r="AI12" i="94"/>
  <c r="Z11" i="94"/>
  <c r="K83" i="80" s="1"/>
  <c r="AO11" i="94"/>
  <c r="T11" i="94"/>
  <c r="E83" i="80" s="1"/>
  <c r="AI11" i="94"/>
  <c r="AA10" i="94"/>
  <c r="L73" i="80" s="1"/>
  <c r="AP10" i="94"/>
  <c r="U10" i="94"/>
  <c r="F73" i="80" s="1"/>
  <c r="AJ10" i="94"/>
  <c r="AA9" i="94"/>
  <c r="L64" i="80" s="1"/>
  <c r="AP9" i="94"/>
  <c r="U9" i="94"/>
  <c r="F64" i="80" s="1"/>
  <c r="AJ9" i="94"/>
  <c r="AA8" i="94"/>
  <c r="L82" i="80" s="1"/>
  <c r="AP8" i="94"/>
  <c r="U8" i="94"/>
  <c r="F82" i="80" s="1"/>
  <c r="AJ8" i="94"/>
  <c r="W42" i="94"/>
  <c r="AL42" i="94"/>
  <c r="AN36" i="94"/>
  <c r="Y36" i="94"/>
  <c r="AO33" i="94"/>
  <c r="Z33" i="94"/>
  <c r="AJ31" i="94"/>
  <c r="U31" i="94"/>
  <c r="AQ27" i="94"/>
  <c r="AB27" i="94"/>
  <c r="AN19" i="94"/>
  <c r="Y19" i="94"/>
  <c r="AA13" i="94"/>
  <c r="L74" i="80" s="1"/>
  <c r="X38" i="94"/>
  <c r="I88" i="80" s="1"/>
  <c r="Y40" i="94"/>
  <c r="J79" i="80" s="1"/>
  <c r="T43" i="94"/>
  <c r="U43" i="94"/>
  <c r="AJ43" i="94"/>
  <c r="U42" i="94"/>
  <c r="AJ42" i="94"/>
  <c r="U41" i="94"/>
  <c r="AJ41" i="94"/>
  <c r="AB40" i="94"/>
  <c r="M79" i="80" s="1"/>
  <c r="AQ40" i="94"/>
  <c r="V40" i="94"/>
  <c r="G79" i="80" s="1"/>
  <c r="AK40" i="94"/>
  <c r="AB39" i="94"/>
  <c r="M70" i="80" s="1"/>
  <c r="AQ39" i="94"/>
  <c r="V39" i="94"/>
  <c r="G70" i="80" s="1"/>
  <c r="AK39" i="94"/>
  <c r="AB38" i="94"/>
  <c r="M88" i="80" s="1"/>
  <c r="AQ38" i="94"/>
  <c r="AL37" i="94"/>
  <c r="W37" i="94"/>
  <c r="AL36" i="94"/>
  <c r="W36" i="94"/>
  <c r="AL35" i="94"/>
  <c r="W35" i="94"/>
  <c r="AM34" i="94"/>
  <c r="X34" i="94"/>
  <c r="AG34" i="94"/>
  <c r="R34" i="94"/>
  <c r="C78" i="80" s="1"/>
  <c r="AM33" i="94"/>
  <c r="X33" i="94"/>
  <c r="AG33" i="94"/>
  <c r="R33" i="94"/>
  <c r="AM32" i="94"/>
  <c r="X32" i="94"/>
  <c r="I87" i="80" s="1"/>
  <c r="AG32" i="94"/>
  <c r="R32" i="94"/>
  <c r="AN31" i="94"/>
  <c r="Y31" i="94"/>
  <c r="AH31" i="94"/>
  <c r="S31" i="94"/>
  <c r="AN30" i="94"/>
  <c r="Y30" i="94"/>
  <c r="AH30" i="94"/>
  <c r="S30" i="94"/>
  <c r="AN29" i="94"/>
  <c r="Y29" i="94"/>
  <c r="AH29" i="94"/>
  <c r="S29" i="94"/>
  <c r="AO28" i="94"/>
  <c r="Z28" i="94"/>
  <c r="AI28" i="94"/>
  <c r="T28" i="94"/>
  <c r="E77" i="80" s="1"/>
  <c r="AO27" i="94"/>
  <c r="Z27" i="94"/>
  <c r="AI27" i="94"/>
  <c r="T27" i="94"/>
  <c r="AO26" i="94"/>
  <c r="Z26" i="94"/>
  <c r="K86" i="80" s="1"/>
  <c r="AI26" i="94"/>
  <c r="T26" i="94"/>
  <c r="AP25" i="94"/>
  <c r="AA25" i="94"/>
  <c r="AJ25" i="94"/>
  <c r="U25" i="94"/>
  <c r="AP24" i="94"/>
  <c r="AA24" i="94"/>
  <c r="AJ24" i="94"/>
  <c r="U24" i="94"/>
  <c r="AP23" i="94"/>
  <c r="AA23" i="94"/>
  <c r="AJ23" i="94"/>
  <c r="U23" i="94"/>
  <c r="AQ22" i="94"/>
  <c r="AB22" i="94"/>
  <c r="AK22" i="94"/>
  <c r="V22" i="94"/>
  <c r="G76" i="80" s="1"/>
  <c r="AQ21" i="94"/>
  <c r="AB21" i="94"/>
  <c r="AK21" i="94"/>
  <c r="V21" i="94"/>
  <c r="AQ20" i="94"/>
  <c r="AB20" i="94"/>
  <c r="M85" i="80" s="1"/>
  <c r="AK20" i="94"/>
  <c r="V20" i="94"/>
  <c r="AL19" i="94"/>
  <c r="W19" i="94"/>
  <c r="AL18" i="94"/>
  <c r="W18" i="94"/>
  <c r="AL17" i="94"/>
  <c r="W17" i="94"/>
  <c r="AM16" i="94"/>
  <c r="X16" i="94"/>
  <c r="AG16" i="94"/>
  <c r="R16" i="94"/>
  <c r="C75" i="80" s="1"/>
  <c r="AM15" i="94"/>
  <c r="X15" i="94"/>
  <c r="AG15" i="94"/>
  <c r="R15" i="94"/>
  <c r="AM14" i="94"/>
  <c r="X14" i="94"/>
  <c r="I84" i="80" s="1"/>
  <c r="AG14" i="94"/>
  <c r="R14" i="94"/>
  <c r="Y13" i="94"/>
  <c r="J74" i="80" s="1"/>
  <c r="AN13" i="94"/>
  <c r="Y12" i="94"/>
  <c r="J65" i="80" s="1"/>
  <c r="AN12" i="94"/>
  <c r="S12" i="94"/>
  <c r="D65" i="80" s="1"/>
  <c r="AH12" i="94"/>
  <c r="Z10" i="94"/>
  <c r="K73" i="80" s="1"/>
  <c r="AO10" i="94"/>
  <c r="T10" i="94"/>
  <c r="E73" i="80" s="1"/>
  <c r="AI10" i="94"/>
  <c r="T9" i="94"/>
  <c r="E64" i="80" s="1"/>
  <c r="AI9" i="94"/>
  <c r="Z8" i="94"/>
  <c r="K82" i="80" s="1"/>
  <c r="AO8" i="94"/>
  <c r="T8" i="94"/>
  <c r="E82" i="80" s="1"/>
  <c r="AI8" i="94"/>
  <c r="AH37" i="94"/>
  <c r="S37" i="94"/>
  <c r="AH35" i="94"/>
  <c r="S35" i="94"/>
  <c r="AI33" i="94"/>
  <c r="T33" i="94"/>
  <c r="AP30" i="94"/>
  <c r="AA30" i="94"/>
  <c r="AQ28" i="94"/>
  <c r="AB28" i="94"/>
  <c r="AK27" i="94"/>
  <c r="V27" i="94"/>
  <c r="AL24" i="94"/>
  <c r="W24" i="94"/>
  <c r="AG22" i="94"/>
  <c r="R22" i="94"/>
  <c r="AM21" i="94"/>
  <c r="X21" i="94"/>
  <c r="AM20" i="94"/>
  <c r="X20" i="94"/>
  <c r="AH18" i="94"/>
  <c r="S18" i="94"/>
  <c r="AN17" i="94"/>
  <c r="Y17" i="94"/>
  <c r="AO15" i="94"/>
  <c r="Z15" i="94"/>
  <c r="AI15" i="94"/>
  <c r="T15" i="94"/>
  <c r="AB9" i="94"/>
  <c r="M64" i="80" s="1"/>
  <c r="AQ9" i="94"/>
  <c r="V9" i="94"/>
  <c r="G64" i="80" s="1"/>
  <c r="AK9" i="94"/>
  <c r="AB8" i="94"/>
  <c r="M82" i="80" s="1"/>
  <c r="U12" i="94"/>
  <c r="F65" i="80" s="1"/>
  <c r="R42" i="94"/>
  <c r="W43" i="94"/>
  <c r="Y43" i="94"/>
  <c r="Z41" i="94"/>
  <c r="AO41" i="94"/>
  <c r="AA40" i="94"/>
  <c r="L79" i="80" s="1"/>
  <c r="AP40" i="94"/>
  <c r="U40" i="94"/>
  <c r="F79" i="80" s="1"/>
  <c r="AJ40" i="94"/>
  <c r="AQ37" i="94"/>
  <c r="AB37" i="94"/>
  <c r="AK37" i="94"/>
  <c r="V37" i="94"/>
  <c r="AQ36" i="94"/>
  <c r="AB36" i="94"/>
  <c r="AK36" i="94"/>
  <c r="V36" i="94"/>
  <c r="AQ35" i="94"/>
  <c r="AB35" i="94"/>
  <c r="AK35" i="94"/>
  <c r="V35" i="94"/>
  <c r="AL34" i="94"/>
  <c r="W34" i="94"/>
  <c r="AL33" i="94"/>
  <c r="W33" i="94"/>
  <c r="AL32" i="94"/>
  <c r="W32" i="94"/>
  <c r="AM31" i="94"/>
  <c r="X31" i="94"/>
  <c r="AG31" i="94"/>
  <c r="R31" i="94"/>
  <c r="AM30" i="94"/>
  <c r="X30" i="94"/>
  <c r="AG30" i="94"/>
  <c r="R30" i="94"/>
  <c r="AM29" i="94"/>
  <c r="X29" i="94"/>
  <c r="AG29" i="94"/>
  <c r="R29" i="94"/>
  <c r="AN28" i="94"/>
  <c r="Y28" i="94"/>
  <c r="AH28" i="94"/>
  <c r="S28" i="94"/>
  <c r="AN27" i="94"/>
  <c r="Y27" i="94"/>
  <c r="AH27" i="94"/>
  <c r="S27" i="94"/>
  <c r="AN26" i="94"/>
  <c r="Y26" i="94"/>
  <c r="AH26" i="94"/>
  <c r="S26" i="94"/>
  <c r="AO25" i="94"/>
  <c r="Z25" i="94"/>
  <c r="AI25" i="94"/>
  <c r="T25" i="94"/>
  <c r="AO24" i="94"/>
  <c r="Z24" i="94"/>
  <c r="AI24" i="94"/>
  <c r="T24" i="94"/>
  <c r="AO23" i="94"/>
  <c r="Z23" i="94"/>
  <c r="AI23" i="94"/>
  <c r="T23" i="94"/>
  <c r="AP22" i="94"/>
  <c r="AA22" i="94"/>
  <c r="AJ22" i="94"/>
  <c r="U22" i="94"/>
  <c r="AP21" i="94"/>
  <c r="AA21" i="94"/>
  <c r="AJ21" i="94"/>
  <c r="U21" i="94"/>
  <c r="AP20" i="94"/>
  <c r="AA20" i="94"/>
  <c r="AJ20" i="94"/>
  <c r="U20" i="94"/>
  <c r="AQ19" i="94"/>
  <c r="AB19" i="94"/>
  <c r="AK19" i="94"/>
  <c r="V19" i="94"/>
  <c r="AQ18" i="94"/>
  <c r="AB18" i="94"/>
  <c r="AK18" i="94"/>
  <c r="V18" i="94"/>
  <c r="AQ17" i="94"/>
  <c r="AB17" i="94"/>
  <c r="AK17" i="94"/>
  <c r="V17" i="94"/>
  <c r="AL16" i="94"/>
  <c r="W16" i="94"/>
  <c r="AL15" i="94"/>
  <c r="AL6" i="94" s="1"/>
  <c r="AW6" i="94" s="1"/>
  <c r="W15" i="94"/>
  <c r="AL14" i="94"/>
  <c r="W14" i="94"/>
  <c r="X13" i="94"/>
  <c r="I74" i="80" s="1"/>
  <c r="AM13" i="94"/>
  <c r="R13" i="94"/>
  <c r="C74" i="80" s="1"/>
  <c r="AG13" i="94"/>
  <c r="AN35" i="94"/>
  <c r="Y35" i="94"/>
  <c r="AI32" i="94"/>
  <c r="T32" i="94"/>
  <c r="AJ29" i="94"/>
  <c r="U29" i="94"/>
  <c r="AK26" i="94"/>
  <c r="V26" i="94"/>
  <c r="AL23" i="94"/>
  <c r="W23" i="94"/>
  <c r="AG21" i="94"/>
  <c r="R21" i="94"/>
  <c r="AN18" i="94"/>
  <c r="Y18" i="94"/>
  <c r="AO16" i="94"/>
  <c r="Z16" i="94"/>
  <c r="AB10" i="94"/>
  <c r="M73" i="80" s="1"/>
  <c r="U13" i="94"/>
  <c r="F74" i="80" s="1"/>
  <c r="R38" i="94"/>
  <c r="C88" i="80" s="1"/>
  <c r="R39" i="94"/>
  <c r="C70" i="80" s="1"/>
  <c r="R40" i="94"/>
  <c r="C79" i="80" s="1"/>
  <c r="Y42" i="94"/>
  <c r="AN42" i="94"/>
  <c r="S42" i="94"/>
  <c r="AH42" i="94"/>
  <c r="Z38" i="94"/>
  <c r="K88" i="80" s="1"/>
  <c r="AO38" i="94"/>
  <c r="AP37" i="94"/>
  <c r="AA37" i="94"/>
  <c r="AJ37" i="94"/>
  <c r="U37" i="94"/>
  <c r="AP36" i="94"/>
  <c r="AA36" i="94"/>
  <c r="AJ36" i="94"/>
  <c r="U36" i="94"/>
  <c r="AP35" i="94"/>
  <c r="AA35" i="94"/>
  <c r="AJ35" i="94"/>
  <c r="U35" i="94"/>
  <c r="AQ34" i="94"/>
  <c r="AB34" i="94"/>
  <c r="AK34" i="94"/>
  <c r="V34" i="94"/>
  <c r="AQ33" i="94"/>
  <c r="AB33" i="94"/>
  <c r="M69" i="80" s="1"/>
  <c r="AK33" i="94"/>
  <c r="V33" i="94"/>
  <c r="AQ32" i="94"/>
  <c r="AB32" i="94"/>
  <c r="AK32" i="94"/>
  <c r="V32" i="94"/>
  <c r="G87" i="80" s="1"/>
  <c r="AL31" i="94"/>
  <c r="W31" i="94"/>
  <c r="AL30" i="94"/>
  <c r="W30" i="94"/>
  <c r="AL29" i="94"/>
  <c r="W29" i="94"/>
  <c r="AM28" i="94"/>
  <c r="X28" i="94"/>
  <c r="AG28" i="94"/>
  <c r="R28" i="94"/>
  <c r="AM27" i="94"/>
  <c r="X27" i="94"/>
  <c r="I68" i="80" s="1"/>
  <c r="AG27" i="94"/>
  <c r="R27" i="94"/>
  <c r="AM26" i="94"/>
  <c r="X26" i="94"/>
  <c r="AG26" i="94"/>
  <c r="R26" i="94"/>
  <c r="C86" i="80" s="1"/>
  <c r="AN25" i="94"/>
  <c r="Y25" i="94"/>
  <c r="AH25" i="94"/>
  <c r="S25" i="94"/>
  <c r="AN24" i="94"/>
  <c r="Y24" i="94"/>
  <c r="AH24" i="94"/>
  <c r="S24" i="94"/>
  <c r="AN23" i="94"/>
  <c r="Y23" i="94"/>
  <c r="AH23" i="94"/>
  <c r="S23" i="94"/>
  <c r="AO22" i="94"/>
  <c r="Z22" i="94"/>
  <c r="AI22" i="94"/>
  <c r="T22" i="94"/>
  <c r="AO21" i="94"/>
  <c r="Z21" i="94"/>
  <c r="K67" i="80" s="1"/>
  <c r="AI21" i="94"/>
  <c r="T21" i="94"/>
  <c r="AO20" i="94"/>
  <c r="Z20" i="94"/>
  <c r="AI20" i="94"/>
  <c r="T20" i="94"/>
  <c r="E85" i="80" s="1"/>
  <c r="AP19" i="94"/>
  <c r="AA19" i="94"/>
  <c r="AJ19" i="94"/>
  <c r="U19" i="94"/>
  <c r="AP18" i="94"/>
  <c r="AA18" i="94"/>
  <c r="AJ18" i="94"/>
  <c r="U18" i="94"/>
  <c r="AP17" i="94"/>
  <c r="AA17" i="94"/>
  <c r="AJ17" i="94"/>
  <c r="U17" i="94"/>
  <c r="AQ16" i="94"/>
  <c r="AB16" i="94"/>
  <c r="AK16" i="94"/>
  <c r="V16" i="94"/>
  <c r="AQ15" i="94"/>
  <c r="AB15" i="94"/>
  <c r="M66" i="80" s="1"/>
  <c r="AK15" i="94"/>
  <c r="V15" i="94"/>
  <c r="AQ14" i="94"/>
  <c r="AB14" i="94"/>
  <c r="AK14" i="94"/>
  <c r="V14" i="94"/>
  <c r="G84" i="80" s="1"/>
  <c r="AH36" i="94"/>
  <c r="S36" i="94"/>
  <c r="AI34" i="94"/>
  <c r="T34" i="94"/>
  <c r="AO32" i="94"/>
  <c r="Z32" i="94"/>
  <c r="AP29" i="94"/>
  <c r="AA29" i="94"/>
  <c r="AQ26" i="94"/>
  <c r="AB26" i="94"/>
  <c r="AM22" i="94"/>
  <c r="X22" i="94"/>
  <c r="AH19" i="94"/>
  <c r="S19" i="94"/>
  <c r="AI16" i="94"/>
  <c r="T16" i="94"/>
  <c r="AI14" i="94"/>
  <c r="T14" i="94"/>
  <c r="X43" i="94"/>
  <c r="AM43" i="94"/>
  <c r="R43" i="94"/>
  <c r="AG43" i="94"/>
  <c r="Y38" i="94"/>
  <c r="J88" i="80" s="1"/>
  <c r="AN38" i="94"/>
  <c r="AO37" i="94"/>
  <c r="Z37" i="94"/>
  <c r="AI37" i="94"/>
  <c r="T37" i="94"/>
  <c r="AO36" i="94"/>
  <c r="Z36" i="94"/>
  <c r="AI36" i="94"/>
  <c r="T36" i="94"/>
  <c r="AO35" i="94"/>
  <c r="Z35" i="94"/>
  <c r="AI35" i="94"/>
  <c r="T35" i="94"/>
  <c r="AP34" i="94"/>
  <c r="AA34" i="94"/>
  <c r="AJ34" i="94"/>
  <c r="U34" i="94"/>
  <c r="F78" i="80" s="1"/>
  <c r="AP33" i="94"/>
  <c r="AA33" i="94"/>
  <c r="AJ33" i="94"/>
  <c r="U33" i="94"/>
  <c r="AP32" i="94"/>
  <c r="AA32" i="94"/>
  <c r="L87" i="80" s="1"/>
  <c r="AJ32" i="94"/>
  <c r="U32" i="94"/>
  <c r="AQ31" i="94"/>
  <c r="AB31" i="94"/>
  <c r="AK31" i="94"/>
  <c r="V31" i="94"/>
  <c r="AQ30" i="94"/>
  <c r="AB30" i="94"/>
  <c r="AK30" i="94"/>
  <c r="V30" i="94"/>
  <c r="AQ29" i="94"/>
  <c r="AB29" i="94"/>
  <c r="AK29" i="94"/>
  <c r="V29" i="94"/>
  <c r="AL28" i="94"/>
  <c r="W28" i="94"/>
  <c r="AL27" i="94"/>
  <c r="W27" i="94"/>
  <c r="H68" i="80" s="1"/>
  <c r="AL26" i="94"/>
  <c r="W26" i="94"/>
  <c r="AM25" i="94"/>
  <c r="X25" i="94"/>
  <c r="AG25" i="94"/>
  <c r="R25" i="94"/>
  <c r="AM24" i="94"/>
  <c r="X24" i="94"/>
  <c r="AG24" i="94"/>
  <c r="R24" i="94"/>
  <c r="AM23" i="94"/>
  <c r="X23" i="94"/>
  <c r="AG23" i="94"/>
  <c r="R23" i="94"/>
  <c r="AN22" i="94"/>
  <c r="Y22" i="94"/>
  <c r="AH22" i="94"/>
  <c r="S22" i="94"/>
  <c r="D76" i="80" s="1"/>
  <c r="AN21" i="94"/>
  <c r="Y21" i="94"/>
  <c r="AH21" i="94"/>
  <c r="S21" i="94"/>
  <c r="AN20" i="94"/>
  <c r="Y20" i="94"/>
  <c r="J85" i="80" s="1"/>
  <c r="AH20" i="94"/>
  <c r="S20" i="94"/>
  <c r="AO19" i="94"/>
  <c r="Z19" i="94"/>
  <c r="AI19" i="94"/>
  <c r="T19" i="94"/>
  <c r="AO18" i="94"/>
  <c r="Z18" i="94"/>
  <c r="AI18" i="94"/>
  <c r="T18" i="94"/>
  <c r="AO17" i="94"/>
  <c r="Z17" i="94"/>
  <c r="AI17" i="94"/>
  <c r="T17" i="94"/>
  <c r="AP16" i="94"/>
  <c r="AA16" i="94"/>
  <c r="AJ16" i="94"/>
  <c r="U16" i="94"/>
  <c r="F75" i="80" s="1"/>
  <c r="AP15" i="94"/>
  <c r="AA15" i="94"/>
  <c r="AJ15" i="94"/>
  <c r="U15" i="94"/>
  <c r="AP14" i="94"/>
  <c r="AA14" i="94"/>
  <c r="L84" i="80" s="1"/>
  <c r="AJ14" i="94"/>
  <c r="U14" i="94"/>
  <c r="CC21" i="75"/>
  <c r="E54" i="75"/>
  <c r="BX25" i="75"/>
  <c r="T7" i="92"/>
  <c r="AF7" i="92" s="1"/>
  <c r="CD18" i="75"/>
  <c r="Z6" i="92"/>
  <c r="AL6" i="92" s="1"/>
  <c r="L51" i="75"/>
  <c r="Z5" i="92"/>
  <c r="AL5" i="92" s="1"/>
  <c r="CB28" i="75"/>
  <c r="BV28" i="75"/>
  <c r="CB21" i="75"/>
  <c r="BV21" i="75"/>
  <c r="J54" i="75"/>
  <c r="D54" i="75"/>
  <c r="CE27" i="75"/>
  <c r="BY27" i="75"/>
  <c r="CE20" i="75"/>
  <c r="BY20" i="75"/>
  <c r="M53" i="75"/>
  <c r="G53" i="75"/>
  <c r="CA26" i="75"/>
  <c r="CA19" i="75"/>
  <c r="I52" i="75"/>
  <c r="CC25" i="75"/>
  <c r="Y7" i="92"/>
  <c r="AK7" i="92" s="1"/>
  <c r="BW25" i="75"/>
  <c r="S7" i="92"/>
  <c r="AE7" i="92" s="1"/>
  <c r="CC18" i="75"/>
  <c r="Y6" i="92"/>
  <c r="AK6" i="92" s="1"/>
  <c r="BW18" i="75"/>
  <c r="S6" i="92"/>
  <c r="AE6" i="92" s="1"/>
  <c r="K51" i="75"/>
  <c r="Y5" i="92"/>
  <c r="AK5" i="92" s="1"/>
  <c r="E51" i="75"/>
  <c r="S5" i="92"/>
  <c r="AE5" i="92" s="1"/>
  <c r="CC28" i="75"/>
  <c r="BW21" i="75"/>
  <c r="CD25" i="75"/>
  <c r="Z7" i="92"/>
  <c r="AL7" i="92" s="1"/>
  <c r="BX18" i="75"/>
  <c r="T6" i="92"/>
  <c r="AF6" i="92" s="1"/>
  <c r="F51" i="75"/>
  <c r="T5" i="92"/>
  <c r="AF5" i="92" s="1"/>
  <c r="CA28" i="75"/>
  <c r="CA21" i="75"/>
  <c r="I54" i="75"/>
  <c r="CD27" i="75"/>
  <c r="BX27" i="75"/>
  <c r="CD20" i="75"/>
  <c r="BX20" i="75"/>
  <c r="L53" i="75"/>
  <c r="F53" i="75"/>
  <c r="CF26" i="75"/>
  <c r="BZ26" i="75"/>
  <c r="CF19" i="75"/>
  <c r="BZ19" i="75"/>
  <c r="N52" i="75"/>
  <c r="D78" i="75" s="1"/>
  <c r="H52" i="75"/>
  <c r="CB25" i="75"/>
  <c r="X7" i="92"/>
  <c r="AJ7" i="92" s="1"/>
  <c r="BV25" i="75"/>
  <c r="R7" i="92"/>
  <c r="AD7" i="92" s="1"/>
  <c r="CB18" i="75"/>
  <c r="X6" i="92"/>
  <c r="AJ6" i="92" s="1"/>
  <c r="BV18" i="75"/>
  <c r="R6" i="92"/>
  <c r="AD6" i="92" s="1"/>
  <c r="J51" i="75"/>
  <c r="X5" i="92"/>
  <c r="AJ5" i="92" s="1"/>
  <c r="D51" i="75"/>
  <c r="R5" i="92"/>
  <c r="AD5" i="92" s="1"/>
  <c r="CF28" i="75"/>
  <c r="BZ28" i="75"/>
  <c r="CF21" i="75"/>
  <c r="BZ21" i="75"/>
  <c r="N54" i="75"/>
  <c r="H54" i="75"/>
  <c r="CC27" i="75"/>
  <c r="BW27" i="75"/>
  <c r="CC20" i="75"/>
  <c r="BW20" i="75"/>
  <c r="K53" i="75"/>
  <c r="E53" i="75"/>
  <c r="CE26" i="75"/>
  <c r="BY26" i="75"/>
  <c r="CE19" i="75"/>
  <c r="BY19" i="75"/>
  <c r="M52" i="75"/>
  <c r="G52" i="75"/>
  <c r="CA25" i="75"/>
  <c r="W7" i="92"/>
  <c r="AI7" i="92" s="1"/>
  <c r="CA18" i="75"/>
  <c r="W6" i="92"/>
  <c r="AI6" i="92" s="1"/>
  <c r="I51" i="75"/>
  <c r="W5" i="92"/>
  <c r="AI5" i="92" s="1"/>
  <c r="BW28" i="75"/>
  <c r="K54" i="75"/>
  <c r="CE28" i="75"/>
  <c r="BY28" i="75"/>
  <c r="CE21" i="75"/>
  <c r="BY21" i="75"/>
  <c r="M54" i="75"/>
  <c r="G54" i="75"/>
  <c r="CB27" i="75"/>
  <c r="BV27" i="75"/>
  <c r="CB20" i="75"/>
  <c r="BV20" i="75"/>
  <c r="J53" i="75"/>
  <c r="D53" i="75"/>
  <c r="CD26" i="75"/>
  <c r="BX26" i="75"/>
  <c r="CD19" i="75"/>
  <c r="BX19" i="75"/>
  <c r="L52" i="75"/>
  <c r="F52" i="75"/>
  <c r="CF25" i="75"/>
  <c r="AB7" i="92"/>
  <c r="AN7" i="92" s="1"/>
  <c r="BZ25" i="75"/>
  <c r="V7" i="92"/>
  <c r="AH7" i="92" s="1"/>
  <c r="CF18" i="75"/>
  <c r="AB6" i="92"/>
  <c r="AN6" i="92" s="1"/>
  <c r="BZ18" i="75"/>
  <c r="V6" i="92"/>
  <c r="AH6" i="92" s="1"/>
  <c r="N51" i="75"/>
  <c r="AB5" i="92"/>
  <c r="AN5" i="92" s="1"/>
  <c r="H51" i="75"/>
  <c r="V5" i="92"/>
  <c r="AH5" i="92" s="1"/>
  <c r="CA27" i="75"/>
  <c r="CA20" i="75"/>
  <c r="I53" i="75"/>
  <c r="CC26" i="75"/>
  <c r="BW26" i="75"/>
  <c r="CC19" i="75"/>
  <c r="BW19" i="75"/>
  <c r="K52" i="75"/>
  <c r="E52" i="75"/>
  <c r="CE25" i="75"/>
  <c r="AA7" i="92"/>
  <c r="AM7" i="92" s="1"/>
  <c r="BY25" i="75"/>
  <c r="U7" i="92"/>
  <c r="AG7" i="92" s="1"/>
  <c r="CE18" i="75"/>
  <c r="AA6" i="92"/>
  <c r="AM6" i="92" s="1"/>
  <c r="BY18" i="75"/>
  <c r="U6" i="92"/>
  <c r="AG6" i="92" s="1"/>
  <c r="M51" i="75"/>
  <c r="AA5" i="92"/>
  <c r="AM5" i="92" s="1"/>
  <c r="G51" i="75"/>
  <c r="U5" i="92"/>
  <c r="AG5" i="92" s="1"/>
  <c r="U11" i="93"/>
  <c r="F55" i="80" s="1"/>
  <c r="Z41" i="93"/>
  <c r="AO41" i="93"/>
  <c r="V8" i="93"/>
  <c r="G54" i="80" s="1"/>
  <c r="R12" i="93"/>
  <c r="C37" i="80" s="1"/>
  <c r="Y13" i="93"/>
  <c r="J46" i="80" s="1"/>
  <c r="AB38" i="93"/>
  <c r="M60" i="80" s="1"/>
  <c r="AA39" i="93"/>
  <c r="L42" i="80" s="1"/>
  <c r="U41" i="93"/>
  <c r="Z42" i="93"/>
  <c r="AB40" i="93"/>
  <c r="M51" i="80" s="1"/>
  <c r="U42" i="93"/>
  <c r="Y42" i="93"/>
  <c r="AN42" i="93"/>
  <c r="T38" i="93"/>
  <c r="E60" i="80" s="1"/>
  <c r="AI38" i="93"/>
  <c r="AP37" i="93"/>
  <c r="AA37" i="93"/>
  <c r="AJ37" i="93"/>
  <c r="U37" i="93"/>
  <c r="AP36" i="93"/>
  <c r="AA36" i="93"/>
  <c r="AJ36" i="93"/>
  <c r="U36" i="93"/>
  <c r="AP35" i="93"/>
  <c r="AA35" i="93"/>
  <c r="AJ35" i="93"/>
  <c r="U35" i="93"/>
  <c r="AQ34" i="93"/>
  <c r="AB34" i="93"/>
  <c r="AK34" i="93"/>
  <c r="V34" i="93"/>
  <c r="AQ33" i="93"/>
  <c r="AB33" i="93"/>
  <c r="AK33" i="93"/>
  <c r="V33" i="93"/>
  <c r="AQ32" i="93"/>
  <c r="AB32" i="93"/>
  <c r="AK32" i="93"/>
  <c r="V32" i="93"/>
  <c r="AL31" i="93"/>
  <c r="W31" i="93"/>
  <c r="AL30" i="93"/>
  <c r="W30" i="93"/>
  <c r="AL29" i="93"/>
  <c r="W29" i="93"/>
  <c r="AM28" i="93"/>
  <c r="X28" i="93"/>
  <c r="AG28" i="93"/>
  <c r="R28" i="93"/>
  <c r="AM27" i="93"/>
  <c r="X27" i="93"/>
  <c r="AG27" i="93"/>
  <c r="R27" i="93"/>
  <c r="AM26" i="93"/>
  <c r="X26" i="93"/>
  <c r="AG26" i="93"/>
  <c r="R26" i="93"/>
  <c r="AN25" i="93"/>
  <c r="Y25" i="93"/>
  <c r="AH25" i="93"/>
  <c r="S25" i="93"/>
  <c r="AN24" i="93"/>
  <c r="Y24" i="93"/>
  <c r="AH24" i="93"/>
  <c r="S24" i="93"/>
  <c r="AN23" i="93"/>
  <c r="Y23" i="93"/>
  <c r="AH23" i="93"/>
  <c r="S23" i="93"/>
  <c r="AO22" i="93"/>
  <c r="Z22" i="93"/>
  <c r="AI22" i="93"/>
  <c r="T22" i="93"/>
  <c r="AO21" i="93"/>
  <c r="Z21" i="93"/>
  <c r="AI21" i="93"/>
  <c r="T21" i="93"/>
  <c r="AO20" i="93"/>
  <c r="Z20" i="93"/>
  <c r="AI20" i="93"/>
  <c r="T20" i="93"/>
  <c r="AP19" i="93"/>
  <c r="AA19" i="93"/>
  <c r="AJ19" i="93"/>
  <c r="U19" i="93"/>
  <c r="AP18" i="93"/>
  <c r="AA18" i="93"/>
  <c r="AJ18" i="93"/>
  <c r="U18" i="93"/>
  <c r="AP17" i="93"/>
  <c r="AA17" i="93"/>
  <c r="AJ17" i="93"/>
  <c r="U17" i="93"/>
  <c r="AQ16" i="93"/>
  <c r="AB16" i="93"/>
  <c r="AK16" i="93"/>
  <c r="V16" i="93"/>
  <c r="AQ15" i="93"/>
  <c r="AB15" i="93"/>
  <c r="AK15" i="93"/>
  <c r="V15" i="93"/>
  <c r="AQ14" i="93"/>
  <c r="AB14" i="93"/>
  <c r="AK14" i="93"/>
  <c r="V14" i="93"/>
  <c r="AZ4" i="93"/>
  <c r="Z4" i="93"/>
  <c r="AO4" i="93" s="1"/>
  <c r="AT4" i="93"/>
  <c r="T4" i="93"/>
  <c r="AI4" i="93" s="1"/>
  <c r="Z10" i="93"/>
  <c r="K45" i="80" s="1"/>
  <c r="U12" i="93"/>
  <c r="F37" i="80" s="1"/>
  <c r="S13" i="93"/>
  <c r="D46" i="80" s="1"/>
  <c r="AA13" i="93"/>
  <c r="L46" i="80" s="1"/>
  <c r="R39" i="93"/>
  <c r="C42" i="80" s="1"/>
  <c r="AA42" i="93"/>
  <c r="V40" i="93"/>
  <c r="G51" i="80" s="1"/>
  <c r="X43" i="93"/>
  <c r="AM43" i="93"/>
  <c r="R43" i="93"/>
  <c r="AG43" i="93"/>
  <c r="S39" i="93"/>
  <c r="D42" i="80" s="1"/>
  <c r="AH39" i="93"/>
  <c r="AO37" i="93"/>
  <c r="Z37" i="93"/>
  <c r="AI37" i="93"/>
  <c r="T37" i="93"/>
  <c r="AO36" i="93"/>
  <c r="Z36" i="93"/>
  <c r="AI36" i="93"/>
  <c r="T36" i="93"/>
  <c r="AO35" i="93"/>
  <c r="Z35" i="93"/>
  <c r="AI35" i="93"/>
  <c r="T35" i="93"/>
  <c r="AP34" i="93"/>
  <c r="AA34" i="93"/>
  <c r="L50" i="80" s="1"/>
  <c r="AJ34" i="93"/>
  <c r="U34" i="93"/>
  <c r="AP33" i="93"/>
  <c r="AA33" i="93"/>
  <c r="AJ33" i="93"/>
  <c r="U33" i="93"/>
  <c r="F41" i="80" s="1"/>
  <c r="AP32" i="93"/>
  <c r="AA32" i="93"/>
  <c r="AJ32" i="93"/>
  <c r="U32" i="93"/>
  <c r="AQ31" i="93"/>
  <c r="AB31" i="93"/>
  <c r="AK31" i="93"/>
  <c r="V31" i="93"/>
  <c r="AQ30" i="93"/>
  <c r="AB30" i="93"/>
  <c r="AK30" i="93"/>
  <c r="V30" i="93"/>
  <c r="AQ29" i="93"/>
  <c r="AB29" i="93"/>
  <c r="AK29" i="93"/>
  <c r="V29" i="93"/>
  <c r="AL28" i="93"/>
  <c r="W28" i="93"/>
  <c r="H49" i="80" s="1"/>
  <c r="AL27" i="93"/>
  <c r="W27" i="93"/>
  <c r="AL26" i="93"/>
  <c r="W26" i="93"/>
  <c r="AM25" i="93"/>
  <c r="X25" i="93"/>
  <c r="AG25" i="93"/>
  <c r="R25" i="93"/>
  <c r="AM24" i="93"/>
  <c r="X24" i="93"/>
  <c r="AG24" i="93"/>
  <c r="R24" i="93"/>
  <c r="AM23" i="93"/>
  <c r="X23" i="93"/>
  <c r="AG23" i="93"/>
  <c r="R23" i="93"/>
  <c r="AN22" i="93"/>
  <c r="Y22" i="93"/>
  <c r="J48" i="80" s="1"/>
  <c r="AH22" i="93"/>
  <c r="S22" i="93"/>
  <c r="AN21" i="93"/>
  <c r="Y21" i="93"/>
  <c r="AH21" i="93"/>
  <c r="S21" i="93"/>
  <c r="D39" i="80" s="1"/>
  <c r="AN20" i="93"/>
  <c r="Y20" i="93"/>
  <c r="AH20" i="93"/>
  <c r="S20" i="93"/>
  <c r="AO19" i="93"/>
  <c r="Z19" i="93"/>
  <c r="AI19" i="93"/>
  <c r="T19" i="93"/>
  <c r="AO18" i="93"/>
  <c r="Z18" i="93"/>
  <c r="AI18" i="93"/>
  <c r="T18" i="93"/>
  <c r="AO17" i="93"/>
  <c r="Z17" i="93"/>
  <c r="AI17" i="93"/>
  <c r="T17" i="93"/>
  <c r="AP16" i="93"/>
  <c r="AA16" i="93"/>
  <c r="L47" i="80" s="1"/>
  <c r="AJ16" i="93"/>
  <c r="U16" i="93"/>
  <c r="AP15" i="93"/>
  <c r="AA15" i="93"/>
  <c r="AJ15" i="93"/>
  <c r="U15" i="93"/>
  <c r="F38" i="80" s="1"/>
  <c r="AP14" i="93"/>
  <c r="AA14" i="93"/>
  <c r="AJ14" i="93"/>
  <c r="U14" i="93"/>
  <c r="Y4" i="93"/>
  <c r="AN4" i="93" s="1"/>
  <c r="AY4" i="93"/>
  <c r="AS4" i="93"/>
  <c r="S4" i="93"/>
  <c r="AH4" i="93" s="1"/>
  <c r="W41" i="93"/>
  <c r="AL41" i="93"/>
  <c r="R40" i="93"/>
  <c r="C51" i="80" s="1"/>
  <c r="AG40" i="93"/>
  <c r="AN37" i="93"/>
  <c r="Y37" i="93"/>
  <c r="AH36" i="93"/>
  <c r="S36" i="93"/>
  <c r="AI34" i="93"/>
  <c r="T34" i="93"/>
  <c r="AO32" i="93"/>
  <c r="Z32" i="93"/>
  <c r="K59" i="80" s="1"/>
  <c r="AJ31" i="93"/>
  <c r="U31" i="93"/>
  <c r="AJ30" i="93"/>
  <c r="U30" i="93"/>
  <c r="AJ29" i="93"/>
  <c r="U29" i="93"/>
  <c r="AK28" i="93"/>
  <c r="V28" i="93"/>
  <c r="AK27" i="93"/>
  <c r="V27" i="93"/>
  <c r="AK26" i="93"/>
  <c r="V26" i="93"/>
  <c r="G58" i="80" s="1"/>
  <c r="AL23" i="93"/>
  <c r="W23" i="93"/>
  <c r="AG22" i="93"/>
  <c r="R22" i="93"/>
  <c r="AG21" i="93"/>
  <c r="R21" i="93"/>
  <c r="AG20" i="93"/>
  <c r="R20" i="93"/>
  <c r="C57" i="80" s="1"/>
  <c r="AH19" i="93"/>
  <c r="S19" i="93"/>
  <c r="AN18" i="93"/>
  <c r="Y18" i="93"/>
  <c r="AN17" i="93"/>
  <c r="Y17" i="93"/>
  <c r="AH17" i="93"/>
  <c r="S17" i="93"/>
  <c r="AI16" i="93"/>
  <c r="T16" i="93"/>
  <c r="E47" i="80" s="1"/>
  <c r="AO15" i="93"/>
  <c r="Z15" i="93"/>
  <c r="K38" i="80" s="1"/>
  <c r="AI15" i="93"/>
  <c r="T15" i="93"/>
  <c r="AO14" i="93"/>
  <c r="Z14" i="93"/>
  <c r="K56" i="80" s="1"/>
  <c r="AI14" i="93"/>
  <c r="T14" i="93"/>
  <c r="E56" i="80" s="1"/>
  <c r="AB9" i="93"/>
  <c r="M36" i="80" s="1"/>
  <c r="AQ9" i="93"/>
  <c r="V9" i="93"/>
  <c r="G36" i="80" s="1"/>
  <c r="AK9" i="93"/>
  <c r="X4" i="93"/>
  <c r="AM4" i="93" s="1"/>
  <c r="AX4" i="93"/>
  <c r="AR4" i="93"/>
  <c r="R4" i="93"/>
  <c r="AG4" i="93" s="1"/>
  <c r="AH37" i="93"/>
  <c r="S37" i="93"/>
  <c r="AN36" i="93"/>
  <c r="Y36" i="93"/>
  <c r="AN35" i="93"/>
  <c r="Y35" i="93"/>
  <c r="AH35" i="93"/>
  <c r="S35" i="93"/>
  <c r="AO34" i="93"/>
  <c r="Z34" i="93"/>
  <c r="AO33" i="93"/>
  <c r="Z33" i="93"/>
  <c r="AI33" i="93"/>
  <c r="T33" i="93"/>
  <c r="AI32" i="93"/>
  <c r="T32" i="93"/>
  <c r="E59" i="80" s="1"/>
  <c r="AP31" i="93"/>
  <c r="AA31" i="93"/>
  <c r="AP30" i="93"/>
  <c r="AA30" i="93"/>
  <c r="AP29" i="93"/>
  <c r="AA29" i="93"/>
  <c r="AQ28" i="93"/>
  <c r="AB28" i="93"/>
  <c r="AQ27" i="93"/>
  <c r="AB27" i="93"/>
  <c r="M40" i="80" s="1"/>
  <c r="AQ26" i="93"/>
  <c r="AB26" i="93"/>
  <c r="AL25" i="93"/>
  <c r="W25" i="93"/>
  <c r="AL24" i="93"/>
  <c r="W24" i="93"/>
  <c r="AM22" i="93"/>
  <c r="X22" i="93"/>
  <c r="AM21" i="93"/>
  <c r="X21" i="93"/>
  <c r="AM20" i="93"/>
  <c r="X20" i="93"/>
  <c r="I57" i="80" s="1"/>
  <c r="AN19" i="93"/>
  <c r="Y19" i="93"/>
  <c r="AH18" i="93"/>
  <c r="S18" i="93"/>
  <c r="AO16" i="93"/>
  <c r="Z16" i="93"/>
  <c r="Z8" i="93"/>
  <c r="K54" i="80" s="1"/>
  <c r="V10" i="93"/>
  <c r="G45" i="80" s="1"/>
  <c r="R11" i="93"/>
  <c r="C55" i="80" s="1"/>
  <c r="Y11" i="93"/>
  <c r="J55" i="80" s="1"/>
  <c r="U13" i="93"/>
  <c r="F46" i="80" s="1"/>
  <c r="R38" i="93"/>
  <c r="C60" i="80" s="1"/>
  <c r="U39" i="93"/>
  <c r="F42" i="80" s="1"/>
  <c r="Y40" i="93"/>
  <c r="J51" i="80" s="1"/>
  <c r="R42" i="93"/>
  <c r="Z43" i="93"/>
  <c r="U43" i="93"/>
  <c r="X39" i="93"/>
  <c r="I42" i="80" s="1"/>
  <c r="AB43" i="93"/>
  <c r="AQ43" i="93"/>
  <c r="V43" i="93"/>
  <c r="AK43" i="93"/>
  <c r="AB42" i="93"/>
  <c r="AQ42" i="93"/>
  <c r="V42" i="93"/>
  <c r="AK42" i="93"/>
  <c r="AB41" i="93"/>
  <c r="AQ41" i="93"/>
  <c r="V41" i="93"/>
  <c r="AK41" i="93"/>
  <c r="W40" i="93"/>
  <c r="H51" i="80" s="1"/>
  <c r="AL40" i="93"/>
  <c r="W39" i="93"/>
  <c r="H42" i="80" s="1"/>
  <c r="AL39" i="93"/>
  <c r="W38" i="93"/>
  <c r="H60" i="80" s="1"/>
  <c r="AL38" i="93"/>
  <c r="AM37" i="93"/>
  <c r="X37" i="93"/>
  <c r="AG37" i="93"/>
  <c r="R37" i="93"/>
  <c r="AM36" i="93"/>
  <c r="X36" i="93"/>
  <c r="AG36" i="93"/>
  <c r="R36" i="93"/>
  <c r="AM35" i="93"/>
  <c r="X35" i="93"/>
  <c r="AG35" i="93"/>
  <c r="R35" i="93"/>
  <c r="AN34" i="93"/>
  <c r="Y34" i="93"/>
  <c r="AH34" i="93"/>
  <c r="S34" i="93"/>
  <c r="AN33" i="93"/>
  <c r="Y33" i="93"/>
  <c r="J41" i="80" s="1"/>
  <c r="AH33" i="93"/>
  <c r="S33" i="93"/>
  <c r="D41" i="80" s="1"/>
  <c r="AN32" i="93"/>
  <c r="Y32" i="93"/>
  <c r="J59" i="80" s="1"/>
  <c r="AH32" i="93"/>
  <c r="S32" i="93"/>
  <c r="D59" i="80" s="1"/>
  <c r="AO31" i="93"/>
  <c r="Z31" i="93"/>
  <c r="AI31" i="93"/>
  <c r="T31" i="93"/>
  <c r="AO30" i="93"/>
  <c r="Z30" i="93"/>
  <c r="AI30" i="93"/>
  <c r="T30" i="93"/>
  <c r="AO29" i="93"/>
  <c r="Z29" i="93"/>
  <c r="AI29" i="93"/>
  <c r="T29" i="93"/>
  <c r="AP28" i="93"/>
  <c r="AA28" i="93"/>
  <c r="AJ28" i="93"/>
  <c r="U28" i="93"/>
  <c r="AP27" i="93"/>
  <c r="AA27" i="93"/>
  <c r="L40" i="80" s="1"/>
  <c r="AJ27" i="93"/>
  <c r="U27" i="93"/>
  <c r="AP26" i="93"/>
  <c r="AA26" i="93"/>
  <c r="AJ26" i="93"/>
  <c r="U26" i="93"/>
  <c r="AQ25" i="93"/>
  <c r="AB25" i="93"/>
  <c r="AK25" i="93"/>
  <c r="V25" i="93"/>
  <c r="AQ24" i="93"/>
  <c r="AB24" i="93"/>
  <c r="AK24" i="93"/>
  <c r="V24" i="93"/>
  <c r="AQ23" i="93"/>
  <c r="AB23" i="93"/>
  <c r="AK23" i="93"/>
  <c r="V23" i="93"/>
  <c r="AL22" i="93"/>
  <c r="W22" i="93"/>
  <c r="AL21" i="93"/>
  <c r="W21" i="93"/>
  <c r="AL20" i="93"/>
  <c r="W20" i="93"/>
  <c r="H57" i="80" s="1"/>
  <c r="AM19" i="93"/>
  <c r="X19" i="93"/>
  <c r="AG19" i="93"/>
  <c r="R19" i="93"/>
  <c r="AM18" i="93"/>
  <c r="X18" i="93"/>
  <c r="AG18" i="93"/>
  <c r="R18" i="93"/>
  <c r="AM17" i="93"/>
  <c r="X17" i="93"/>
  <c r="AG17" i="93"/>
  <c r="R17" i="93"/>
  <c r="AN16" i="93"/>
  <c r="Y16" i="93"/>
  <c r="J47" i="80" s="1"/>
  <c r="AH16" i="93"/>
  <c r="S16" i="93"/>
  <c r="D47" i="80" s="1"/>
  <c r="AN15" i="93"/>
  <c r="Y15" i="93"/>
  <c r="AH15" i="93"/>
  <c r="S15" i="93"/>
  <c r="AN14" i="93"/>
  <c r="Y14" i="93"/>
  <c r="AH14" i="93"/>
  <c r="S14" i="93"/>
  <c r="Z13" i="93"/>
  <c r="K46" i="80" s="1"/>
  <c r="AO13" i="93"/>
  <c r="Z12" i="93"/>
  <c r="K37" i="80" s="1"/>
  <c r="AO12" i="93"/>
  <c r="T12" i="93"/>
  <c r="E37" i="80" s="1"/>
  <c r="AI12" i="93"/>
  <c r="Z11" i="93"/>
  <c r="K55" i="80" s="1"/>
  <c r="AO11" i="93"/>
  <c r="T11" i="93"/>
  <c r="E55" i="80" s="1"/>
  <c r="AI11" i="93"/>
  <c r="AA10" i="93"/>
  <c r="L45" i="80" s="1"/>
  <c r="AP10" i="93"/>
  <c r="U10" i="93"/>
  <c r="F45" i="80" s="1"/>
  <c r="AJ10" i="93"/>
  <c r="AA9" i="93"/>
  <c r="L36" i="80" s="1"/>
  <c r="AP9" i="93"/>
  <c r="U9" i="93"/>
  <c r="F36" i="80" s="1"/>
  <c r="AJ9" i="93"/>
  <c r="AA8" i="93"/>
  <c r="L54" i="80" s="1"/>
  <c r="AP8" i="93"/>
  <c r="U8" i="93"/>
  <c r="F54" i="80" s="1"/>
  <c r="AJ8" i="93"/>
  <c r="W4" i="93"/>
  <c r="AL4" i="93" s="1"/>
  <c r="AW4" i="93"/>
  <c r="X40" i="93"/>
  <c r="I51" i="80" s="1"/>
  <c r="AM40" i="93"/>
  <c r="AA11" i="93"/>
  <c r="L55" i="80" s="1"/>
  <c r="AB39" i="93"/>
  <c r="M42" i="80" s="1"/>
  <c r="AQ39" i="93"/>
  <c r="V39" i="93"/>
  <c r="G42" i="80" s="1"/>
  <c r="AK39" i="93"/>
  <c r="AL37" i="93"/>
  <c r="W37" i="93"/>
  <c r="AL36" i="93"/>
  <c r="W36" i="93"/>
  <c r="AL35" i="93"/>
  <c r="W35" i="93"/>
  <c r="AM34" i="93"/>
  <c r="X34" i="93"/>
  <c r="AG34" i="93"/>
  <c r="R34" i="93"/>
  <c r="AM33" i="93"/>
  <c r="X33" i="93"/>
  <c r="AG33" i="93"/>
  <c r="R33" i="93"/>
  <c r="AM32" i="93"/>
  <c r="X32" i="93"/>
  <c r="AG32" i="93"/>
  <c r="R32" i="93"/>
  <c r="AN31" i="93"/>
  <c r="Y31" i="93"/>
  <c r="AH31" i="93"/>
  <c r="S31" i="93"/>
  <c r="AN30" i="93"/>
  <c r="Y30" i="93"/>
  <c r="AH30" i="93"/>
  <c r="S30" i="93"/>
  <c r="AN29" i="93"/>
  <c r="Y29" i="93"/>
  <c r="AH29" i="93"/>
  <c r="S29" i="93"/>
  <c r="AO28" i="93"/>
  <c r="Z28" i="93"/>
  <c r="AI28" i="93"/>
  <c r="T28" i="93"/>
  <c r="AO27" i="93"/>
  <c r="Z27" i="93"/>
  <c r="AI27" i="93"/>
  <c r="T27" i="93"/>
  <c r="AO26" i="93"/>
  <c r="Z26" i="93"/>
  <c r="AI26" i="93"/>
  <c r="T26" i="93"/>
  <c r="AP25" i="93"/>
  <c r="AA25" i="93"/>
  <c r="AJ25" i="93"/>
  <c r="U25" i="93"/>
  <c r="AP24" i="93"/>
  <c r="AA24" i="93"/>
  <c r="AJ24" i="93"/>
  <c r="U24" i="93"/>
  <c r="AP23" i="93"/>
  <c r="AA23" i="93"/>
  <c r="AJ23" i="93"/>
  <c r="U23" i="93"/>
  <c r="AQ22" i="93"/>
  <c r="AB22" i="93"/>
  <c r="AK22" i="93"/>
  <c r="V22" i="93"/>
  <c r="AQ21" i="93"/>
  <c r="AB21" i="93"/>
  <c r="AK21" i="93"/>
  <c r="V21" i="93"/>
  <c r="AQ20" i="93"/>
  <c r="AB20" i="93"/>
  <c r="AK20" i="93"/>
  <c r="V20" i="93"/>
  <c r="AL19" i="93"/>
  <c r="W19" i="93"/>
  <c r="AL18" i="93"/>
  <c r="W18" i="93"/>
  <c r="AL17" i="93"/>
  <c r="W17" i="93"/>
  <c r="AM16" i="93"/>
  <c r="X16" i="93"/>
  <c r="AG16" i="93"/>
  <c r="R16" i="93"/>
  <c r="AM15" i="93"/>
  <c r="X15" i="93"/>
  <c r="AG15" i="93"/>
  <c r="R15" i="93"/>
  <c r="AM14" i="93"/>
  <c r="AM5" i="93" s="1"/>
  <c r="AX5" i="93" s="1"/>
  <c r="X14" i="93"/>
  <c r="AG14" i="93"/>
  <c r="R14" i="93"/>
  <c r="Y12" i="93"/>
  <c r="J37" i="80" s="1"/>
  <c r="AN12" i="93"/>
  <c r="AO5" i="93"/>
  <c r="AZ5" i="93" s="1"/>
  <c r="BB4" i="93"/>
  <c r="AB4" i="93"/>
  <c r="AQ4" i="93" s="1"/>
  <c r="AV4" i="93"/>
  <c r="V4" i="93"/>
  <c r="AK4" i="93" s="1"/>
  <c r="AA12" i="93"/>
  <c r="L37" i="80" s="1"/>
  <c r="X38" i="93"/>
  <c r="I60" i="80" s="1"/>
  <c r="W42" i="93"/>
  <c r="T41" i="93"/>
  <c r="AI41" i="93"/>
  <c r="AA40" i="93"/>
  <c r="L51" i="80" s="1"/>
  <c r="AP40" i="93"/>
  <c r="U40" i="93"/>
  <c r="F51" i="80" s="1"/>
  <c r="AJ40" i="93"/>
  <c r="AA38" i="93"/>
  <c r="L60" i="80" s="1"/>
  <c r="AP38" i="93"/>
  <c r="U38" i="93"/>
  <c r="F60" i="80" s="1"/>
  <c r="AJ38" i="93"/>
  <c r="AQ37" i="93"/>
  <c r="AB37" i="93"/>
  <c r="AK37" i="93"/>
  <c r="V37" i="93"/>
  <c r="AQ36" i="93"/>
  <c r="AB36" i="93"/>
  <c r="AK36" i="93"/>
  <c r="V36" i="93"/>
  <c r="AQ35" i="93"/>
  <c r="AB35" i="93"/>
  <c r="AK35" i="93"/>
  <c r="V35" i="93"/>
  <c r="AL34" i="93"/>
  <c r="W34" i="93"/>
  <c r="AL33" i="93"/>
  <c r="W33" i="93"/>
  <c r="AL32" i="93"/>
  <c r="W32" i="93"/>
  <c r="AM31" i="93"/>
  <c r="X31" i="93"/>
  <c r="AG31" i="93"/>
  <c r="R31" i="93"/>
  <c r="AM30" i="93"/>
  <c r="X30" i="93"/>
  <c r="AG30" i="93"/>
  <c r="R30" i="93"/>
  <c r="AM29" i="93"/>
  <c r="X29" i="93"/>
  <c r="AG29" i="93"/>
  <c r="R29" i="93"/>
  <c r="AN28" i="93"/>
  <c r="Y28" i="93"/>
  <c r="AH28" i="93"/>
  <c r="S28" i="93"/>
  <c r="AN27" i="93"/>
  <c r="Y27" i="93"/>
  <c r="AH27" i="93"/>
  <c r="S27" i="93"/>
  <c r="AN26" i="93"/>
  <c r="Y26" i="93"/>
  <c r="AH26" i="93"/>
  <c r="S26" i="93"/>
  <c r="AO25" i="93"/>
  <c r="Z25" i="93"/>
  <c r="AI25" i="93"/>
  <c r="T25" i="93"/>
  <c r="AO24" i="93"/>
  <c r="Z24" i="93"/>
  <c r="AI24" i="93"/>
  <c r="T24" i="93"/>
  <c r="AO23" i="93"/>
  <c r="Z23" i="93"/>
  <c r="AI23" i="93"/>
  <c r="T23" i="93"/>
  <c r="AP22" i="93"/>
  <c r="AA22" i="93"/>
  <c r="AJ22" i="93"/>
  <c r="U22" i="93"/>
  <c r="AP21" i="93"/>
  <c r="AA21" i="93"/>
  <c r="AJ21" i="93"/>
  <c r="U21" i="93"/>
  <c r="AP20" i="93"/>
  <c r="AA20" i="93"/>
  <c r="AJ20" i="93"/>
  <c r="U20" i="93"/>
  <c r="AQ19" i="93"/>
  <c r="AB19" i="93"/>
  <c r="AK19" i="93"/>
  <c r="V19" i="93"/>
  <c r="AQ18" i="93"/>
  <c r="AB18" i="93"/>
  <c r="AK18" i="93"/>
  <c r="V18" i="93"/>
  <c r="AQ17" i="93"/>
  <c r="AB17" i="93"/>
  <c r="AK17" i="93"/>
  <c r="V17" i="93"/>
  <c r="AL16" i="93"/>
  <c r="AL7" i="93" s="1"/>
  <c r="AW7" i="93" s="1"/>
  <c r="W16" i="93"/>
  <c r="AL15" i="93"/>
  <c r="W15" i="93"/>
  <c r="AL14" i="93"/>
  <c r="W14" i="93"/>
  <c r="X13" i="93"/>
  <c r="I46" i="80" s="1"/>
  <c r="AM13" i="93"/>
  <c r="R13" i="93"/>
  <c r="C46" i="80" s="1"/>
  <c r="AG13" i="93"/>
  <c r="AA4" i="93"/>
  <c r="AP4" i="93" s="1"/>
  <c r="BA4" i="93"/>
  <c r="U4" i="93"/>
  <c r="AJ4" i="93" s="1"/>
  <c r="AU4" i="93"/>
  <c r="AE4" i="91"/>
  <c r="S4" i="91"/>
  <c r="CA14" i="75"/>
  <c r="CF7" i="75"/>
  <c r="BZ7" i="75"/>
  <c r="M30" i="75"/>
  <c r="G30" i="75"/>
  <c r="CA13" i="75"/>
  <c r="CF6" i="75"/>
  <c r="BZ6" i="75"/>
  <c r="M29" i="75"/>
  <c r="G29" i="75"/>
  <c r="CA12" i="75"/>
  <c r="CF5" i="75"/>
  <c r="BZ5" i="75"/>
  <c r="M28" i="75"/>
  <c r="G28" i="75"/>
  <c r="CA11" i="75"/>
  <c r="W7" i="91"/>
  <c r="AI7" i="91" s="1"/>
  <c r="CF4" i="75"/>
  <c r="AB6" i="91"/>
  <c r="AN6" i="91" s="1"/>
  <c r="BZ4" i="75"/>
  <c r="V6" i="91"/>
  <c r="AH6" i="91" s="1"/>
  <c r="M27" i="75"/>
  <c r="AA5" i="91"/>
  <c r="AM5" i="91" s="1"/>
  <c r="G27" i="75"/>
  <c r="U5" i="91"/>
  <c r="AG5" i="91" s="1"/>
  <c r="AJ4" i="91"/>
  <c r="X4" i="91"/>
  <c r="CF14" i="75"/>
  <c r="BZ14" i="75"/>
  <c r="CE7" i="75"/>
  <c r="BY7" i="75"/>
  <c r="L30" i="75"/>
  <c r="F30" i="75"/>
  <c r="CF13" i="75"/>
  <c r="BZ13" i="75"/>
  <c r="CE6" i="75"/>
  <c r="BY6" i="75"/>
  <c r="L29" i="75"/>
  <c r="F29" i="75"/>
  <c r="CF12" i="75"/>
  <c r="BZ12" i="75"/>
  <c r="CE5" i="75"/>
  <c r="BY5" i="75"/>
  <c r="L28" i="75"/>
  <c r="F28" i="75"/>
  <c r="CF11" i="75"/>
  <c r="AB7" i="91"/>
  <c r="AN7" i="91" s="1"/>
  <c r="BZ11" i="75"/>
  <c r="V7" i="91"/>
  <c r="AH7" i="91" s="1"/>
  <c r="CE4" i="75"/>
  <c r="AA6" i="91"/>
  <c r="AM6" i="91" s="1"/>
  <c r="BY4" i="75"/>
  <c r="U6" i="91"/>
  <c r="AG6" i="91" s="1"/>
  <c r="L27" i="75"/>
  <c r="Z5" i="91"/>
  <c r="AL5" i="91" s="1"/>
  <c r="F27" i="75"/>
  <c r="T5" i="91"/>
  <c r="AF5" i="91" s="1"/>
  <c r="Y4" i="91"/>
  <c r="AK4" i="91"/>
  <c r="CE14" i="75"/>
  <c r="E30" i="75"/>
  <c r="BX6" i="75"/>
  <c r="K29" i="75"/>
  <c r="E29" i="75"/>
  <c r="CE11" i="75"/>
  <c r="AA7" i="91"/>
  <c r="AM7" i="91" s="1"/>
  <c r="BY11" i="75"/>
  <c r="U7" i="91"/>
  <c r="AG7" i="91" s="1"/>
  <c r="CD4" i="75"/>
  <c r="Z6" i="91"/>
  <c r="AL6" i="91" s="1"/>
  <c r="BX4" i="75"/>
  <c r="T6" i="91"/>
  <c r="AF6" i="91" s="1"/>
  <c r="K27" i="75"/>
  <c r="Y5" i="91"/>
  <c r="AK5" i="91" s="1"/>
  <c r="E27" i="75"/>
  <c r="S5" i="91"/>
  <c r="AE5" i="91" s="1"/>
  <c r="R4" i="91"/>
  <c r="AD4" i="91"/>
  <c r="BY14" i="75"/>
  <c r="K30" i="75"/>
  <c r="BY13" i="75"/>
  <c r="V4" i="91"/>
  <c r="AH4" i="91"/>
  <c r="CD14" i="75"/>
  <c r="BW7" i="75"/>
  <c r="CD13" i="75"/>
  <c r="BW6" i="75"/>
  <c r="J28" i="75"/>
  <c r="CC4" i="75"/>
  <c r="Y6" i="91"/>
  <c r="AK6" i="91" s="1"/>
  <c r="BX7" i="75"/>
  <c r="CD6" i="75"/>
  <c r="CC7" i="75"/>
  <c r="D30" i="75"/>
  <c r="BX13" i="75"/>
  <c r="J29" i="75"/>
  <c r="BX12" i="75"/>
  <c r="BW5" i="75"/>
  <c r="CD11" i="75"/>
  <c r="Z7" i="91"/>
  <c r="AL7" i="91" s="1"/>
  <c r="BW4" i="75"/>
  <c r="S6" i="91"/>
  <c r="AE6" i="91" s="1"/>
  <c r="J27" i="75"/>
  <c r="X5" i="91"/>
  <c r="AJ5" i="91" s="1"/>
  <c r="D27" i="75"/>
  <c r="R5" i="91"/>
  <c r="AD5" i="91" s="1"/>
  <c r="AM4" i="91"/>
  <c r="AA4" i="91"/>
  <c r="U4" i="91"/>
  <c r="AG4" i="91"/>
  <c r="CC14" i="75"/>
  <c r="BW14" i="75"/>
  <c r="CB7" i="75"/>
  <c r="BV7" i="75"/>
  <c r="I30" i="75"/>
  <c r="CC13" i="75"/>
  <c r="BW13" i="75"/>
  <c r="CB6" i="75"/>
  <c r="BV6" i="75"/>
  <c r="I29" i="75"/>
  <c r="CC12" i="75"/>
  <c r="BW12" i="75"/>
  <c r="CB5" i="75"/>
  <c r="BV5" i="75"/>
  <c r="I28" i="75"/>
  <c r="CC11" i="75"/>
  <c r="Y7" i="91"/>
  <c r="AK7" i="91" s="1"/>
  <c r="BW11" i="75"/>
  <c r="S7" i="91"/>
  <c r="AE7" i="91" s="1"/>
  <c r="CB4" i="75"/>
  <c r="X6" i="91"/>
  <c r="AJ6" i="91" s="1"/>
  <c r="BV4" i="75"/>
  <c r="R6" i="91"/>
  <c r="AD6" i="91" s="1"/>
  <c r="I27" i="75"/>
  <c r="W5" i="91"/>
  <c r="AI5" i="91" s="1"/>
  <c r="AI4" i="91"/>
  <c r="W4" i="91"/>
  <c r="CD7" i="75"/>
  <c r="CE13" i="75"/>
  <c r="AN4" i="91"/>
  <c r="AB4" i="91"/>
  <c r="BX14" i="75"/>
  <c r="J30" i="75"/>
  <c r="CC6" i="75"/>
  <c r="D29" i="75"/>
  <c r="CD12" i="75"/>
  <c r="CC5" i="75"/>
  <c r="D28" i="75"/>
  <c r="BX11" i="75"/>
  <c r="T7" i="91"/>
  <c r="AF7" i="91" s="1"/>
  <c r="Z4" i="91"/>
  <c r="AL4" i="91"/>
  <c r="T4" i="91"/>
  <c r="AF4" i="91"/>
  <c r="CB14" i="75"/>
  <c r="BV14" i="75"/>
  <c r="CA7" i="75"/>
  <c r="N30" i="75"/>
  <c r="D74" i="75" s="1"/>
  <c r="H30" i="75"/>
  <c r="CB13" i="75"/>
  <c r="BV13" i="75"/>
  <c r="CA6" i="75"/>
  <c r="N29" i="75"/>
  <c r="D73" i="75" s="1"/>
  <c r="H29" i="75"/>
  <c r="CB12" i="75"/>
  <c r="BV12" i="75"/>
  <c r="CA5" i="75"/>
  <c r="N28" i="75"/>
  <c r="H28" i="75"/>
  <c r="CB11" i="75"/>
  <c r="X7" i="91"/>
  <c r="AJ7" i="91" s="1"/>
  <c r="BV11" i="75"/>
  <c r="R7" i="91"/>
  <c r="AD7" i="91" s="1"/>
  <c r="CA4" i="75"/>
  <c r="W6" i="91"/>
  <c r="AI6" i="91" s="1"/>
  <c r="N27" i="75"/>
  <c r="D71" i="75" s="1"/>
  <c r="AB5" i="91"/>
  <c r="AN5" i="91" s="1"/>
  <c r="H27" i="75"/>
  <c r="V5" i="91"/>
  <c r="AH5" i="91" s="1"/>
  <c r="D77" i="75"/>
  <c r="R32" i="74"/>
  <c r="R33" i="74"/>
  <c r="R34" i="74"/>
  <c r="R31" i="74"/>
  <c r="Q95" i="72"/>
  <c r="V95" i="72"/>
  <c r="Q92" i="72"/>
  <c r="B106" i="72"/>
  <c r="V96" i="72" s="1"/>
  <c r="B107" i="72"/>
  <c r="B108" i="72"/>
  <c r="B105" i="72"/>
  <c r="V92" i="72" s="1"/>
  <c r="B91" i="72"/>
  <c r="Q93" i="72" s="1"/>
  <c r="B92" i="72"/>
  <c r="B93" i="72"/>
  <c r="B90" i="72"/>
  <c r="R97" i="72" l="1"/>
  <c r="W94" i="72"/>
  <c r="Q96" i="72"/>
  <c r="H75" i="80"/>
  <c r="J77" i="80"/>
  <c r="AP5" i="93"/>
  <c r="BA5" i="93" s="1"/>
  <c r="F40" i="80"/>
  <c r="D79" i="75"/>
  <c r="I76" i="80"/>
  <c r="M77" i="80"/>
  <c r="AP7" i="94"/>
  <c r="BA7" i="94" s="1"/>
  <c r="H78" i="80"/>
  <c r="V93" i="72"/>
  <c r="W97" i="72" s="1"/>
  <c r="AG7" i="93"/>
  <c r="AR7" i="93" s="1"/>
  <c r="AN7" i="93"/>
  <c r="AY7" i="93" s="1"/>
  <c r="AJ5" i="94"/>
  <c r="AU5" i="94" s="1"/>
  <c r="AO6" i="94"/>
  <c r="AZ6" i="94" s="1"/>
  <c r="AG5" i="94"/>
  <c r="AR5" i="94" s="1"/>
  <c r="AM7" i="94"/>
  <c r="AX7" i="94" s="1"/>
  <c r="E66" i="80"/>
  <c r="F67" i="80"/>
  <c r="D68" i="80"/>
  <c r="AH6" i="94"/>
  <c r="AS6" i="94" s="1"/>
  <c r="AG6" i="94"/>
  <c r="AR6" i="94" s="1"/>
  <c r="D56" i="80"/>
  <c r="R92" i="72"/>
  <c r="R94" i="72"/>
  <c r="L76" i="80"/>
  <c r="H47" i="80"/>
  <c r="F39" i="80"/>
  <c r="L48" i="80"/>
  <c r="D40" i="80"/>
  <c r="J49" i="80"/>
  <c r="H50" i="80"/>
  <c r="AH5" i="93"/>
  <c r="AS5" i="93" s="1"/>
  <c r="AH7" i="93"/>
  <c r="AS7" i="93" s="1"/>
  <c r="H56" i="80"/>
  <c r="L39" i="80"/>
  <c r="J40" i="80"/>
  <c r="AP7" i="93"/>
  <c r="BA7" i="93" s="1"/>
  <c r="AJ5" i="93"/>
  <c r="AU5" i="93" s="1"/>
  <c r="AI5" i="93"/>
  <c r="AT5" i="93" s="1"/>
  <c r="AO6" i="93"/>
  <c r="AZ6" i="93" s="1"/>
  <c r="J56" i="80"/>
  <c r="H39" i="80"/>
  <c r="L58" i="80"/>
  <c r="F49" i="80"/>
  <c r="D50" i="80"/>
  <c r="I39" i="80"/>
  <c r="K41" i="80"/>
  <c r="C48" i="80"/>
  <c r="E50" i="80"/>
  <c r="E75" i="80"/>
  <c r="M86" i="80"/>
  <c r="E78" i="80"/>
  <c r="AK5" i="94"/>
  <c r="AV5" i="94" s="1"/>
  <c r="AQ6" i="94"/>
  <c r="BB6" i="94" s="1"/>
  <c r="AN6" i="94"/>
  <c r="AY6" i="94" s="1"/>
  <c r="AL5" i="94"/>
  <c r="AW5" i="94" s="1"/>
  <c r="AL7" i="94"/>
  <c r="AW7" i="94" s="1"/>
  <c r="AQ7" i="94"/>
  <c r="BB7" i="94" s="1"/>
  <c r="AK6" i="94"/>
  <c r="AV6" i="94" s="1"/>
  <c r="J66" i="80"/>
  <c r="H85" i="80"/>
  <c r="F86" i="80"/>
  <c r="L68" i="80"/>
  <c r="D87" i="80"/>
  <c r="J69" i="80"/>
  <c r="AL6" i="93"/>
  <c r="AW6" i="93" s="1"/>
  <c r="AN7" i="94"/>
  <c r="AY7" i="94" s="1"/>
  <c r="F57" i="80"/>
  <c r="D58" i="80"/>
  <c r="H59" i="80"/>
  <c r="AL5" i="93"/>
  <c r="AW5" i="93" s="1"/>
  <c r="AP6" i="93"/>
  <c r="BA6" i="93" s="1"/>
  <c r="AG6" i="93"/>
  <c r="AR6" i="93" s="1"/>
  <c r="AQ7" i="93"/>
  <c r="BB7" i="93" s="1"/>
  <c r="AI6" i="93"/>
  <c r="AT6" i="93" s="1"/>
  <c r="AH6" i="93"/>
  <c r="AS6" i="93" s="1"/>
  <c r="AP5" i="94"/>
  <c r="BA5" i="94" s="1"/>
  <c r="AM5" i="94"/>
  <c r="AX5" i="94" s="1"/>
  <c r="AK7" i="94"/>
  <c r="AV7" i="94" s="1"/>
  <c r="AM6" i="94"/>
  <c r="AX6" i="94" s="1"/>
  <c r="L57" i="80"/>
  <c r="J58" i="80"/>
  <c r="H41" i="80"/>
  <c r="I38" i="80"/>
  <c r="G57" i="80"/>
  <c r="E58" i="80"/>
  <c r="C59" i="80"/>
  <c r="M58" i="80"/>
  <c r="AQ5" i="94"/>
  <c r="BB5" i="94" s="1"/>
  <c r="G68" i="80"/>
  <c r="E69" i="80"/>
  <c r="AH5" i="94"/>
  <c r="AS5" i="94" s="1"/>
  <c r="H38" i="80"/>
  <c r="F48" i="80"/>
  <c r="D49" i="80"/>
  <c r="C56" i="80"/>
  <c r="M39" i="80"/>
  <c r="K40" i="80"/>
  <c r="I41" i="80"/>
  <c r="AO7" i="93"/>
  <c r="AZ7" i="93" s="1"/>
  <c r="G49" i="80"/>
  <c r="AQ5" i="93"/>
  <c r="BB5" i="93" s="1"/>
  <c r="AK7" i="93"/>
  <c r="AV7" i="93" s="1"/>
  <c r="AI7" i="93"/>
  <c r="AT7" i="93" s="1"/>
  <c r="AG5" i="93"/>
  <c r="AR5" i="93" s="1"/>
  <c r="AM6" i="93"/>
  <c r="AX6" i="93" s="1"/>
  <c r="AN5" i="93"/>
  <c r="AY5" i="93" s="1"/>
  <c r="G66" i="80"/>
  <c r="M75" i="80"/>
  <c r="E67" i="80"/>
  <c r="K76" i="80"/>
  <c r="C68" i="80"/>
  <c r="I77" i="80"/>
  <c r="G69" i="80"/>
  <c r="M78" i="80"/>
  <c r="C67" i="80"/>
  <c r="AG7" i="94"/>
  <c r="AR7" i="94" s="1"/>
  <c r="AN5" i="94"/>
  <c r="AY5" i="94" s="1"/>
  <c r="AH7" i="94"/>
  <c r="AS7" i="94" s="1"/>
  <c r="F84" i="80"/>
  <c r="L66" i="80"/>
  <c r="D85" i="80"/>
  <c r="J67" i="80"/>
  <c r="H86" i="80"/>
  <c r="F87" i="80"/>
  <c r="L69" i="80"/>
  <c r="AJ7" i="94"/>
  <c r="AU7" i="94" s="1"/>
  <c r="F68" i="80"/>
  <c r="J78" i="80"/>
  <c r="AO7" i="94"/>
  <c r="AZ7" i="94" s="1"/>
  <c r="F66" i="80"/>
  <c r="L75" i="80"/>
  <c r="D67" i="80"/>
  <c r="J76" i="80"/>
  <c r="H77" i="80"/>
  <c r="F69" i="80"/>
  <c r="L78" i="80"/>
  <c r="M84" i="80"/>
  <c r="G75" i="80"/>
  <c r="K85" i="80"/>
  <c r="E76" i="80"/>
  <c r="I86" i="80"/>
  <c r="C77" i="80"/>
  <c r="M87" i="80"/>
  <c r="G78" i="80"/>
  <c r="K75" i="80"/>
  <c r="E87" i="80"/>
  <c r="H84" i="80"/>
  <c r="F85" i="80"/>
  <c r="L67" i="80"/>
  <c r="D86" i="80"/>
  <c r="J68" i="80"/>
  <c r="H87" i="80"/>
  <c r="K66" i="80"/>
  <c r="I85" i="80"/>
  <c r="AI6" i="94"/>
  <c r="AT6" i="94" s="1"/>
  <c r="AJ6" i="94"/>
  <c r="AU6" i="94" s="1"/>
  <c r="K84" i="80"/>
  <c r="C66" i="80"/>
  <c r="I75" i="80"/>
  <c r="G67" i="80"/>
  <c r="M76" i="80"/>
  <c r="E68" i="80"/>
  <c r="K77" i="80"/>
  <c r="C69" i="80"/>
  <c r="I78" i="80"/>
  <c r="K69" i="80"/>
  <c r="AP6" i="94"/>
  <c r="BA6" i="94" s="1"/>
  <c r="J84" i="80"/>
  <c r="D75" i="80"/>
  <c r="H67" i="80"/>
  <c r="L86" i="80"/>
  <c r="F77" i="80"/>
  <c r="J87" i="80"/>
  <c r="D78" i="80"/>
  <c r="G77" i="80"/>
  <c r="K78" i="80"/>
  <c r="G86" i="80"/>
  <c r="H66" i="80"/>
  <c r="L85" i="80"/>
  <c r="F76" i="80"/>
  <c r="J86" i="80"/>
  <c r="D77" i="80"/>
  <c r="H69" i="80"/>
  <c r="I67" i="80"/>
  <c r="AI5" i="94"/>
  <c r="AT5" i="94" s="1"/>
  <c r="E84" i="80"/>
  <c r="K87" i="80"/>
  <c r="AI7" i="94"/>
  <c r="AT7" i="94" s="1"/>
  <c r="C84" i="80"/>
  <c r="I66" i="80"/>
  <c r="G85" i="80"/>
  <c r="M67" i="80"/>
  <c r="E86" i="80"/>
  <c r="K68" i="80"/>
  <c r="C87" i="80"/>
  <c r="I69" i="80"/>
  <c r="M68" i="80"/>
  <c r="D66" i="80"/>
  <c r="H76" i="80"/>
  <c r="L77" i="80"/>
  <c r="D69" i="80"/>
  <c r="C85" i="80"/>
  <c r="C76" i="80"/>
  <c r="AO5" i="94"/>
  <c r="AZ5" i="94" s="1"/>
  <c r="D80" i="75"/>
  <c r="M49" i="80"/>
  <c r="C39" i="80"/>
  <c r="G56" i="80"/>
  <c r="M38" i="80"/>
  <c r="E57" i="80"/>
  <c r="K39" i="80"/>
  <c r="C58" i="80"/>
  <c r="I40" i="80"/>
  <c r="G59" i="80"/>
  <c r="M41" i="80"/>
  <c r="I56" i="80"/>
  <c r="C47" i="80"/>
  <c r="M57" i="80"/>
  <c r="G48" i="80"/>
  <c r="K58" i="80"/>
  <c r="E49" i="80"/>
  <c r="I59" i="80"/>
  <c r="C50" i="80"/>
  <c r="F56" i="80"/>
  <c r="L38" i="80"/>
  <c r="D57" i="80"/>
  <c r="J39" i="80"/>
  <c r="H58" i="80"/>
  <c r="F59" i="80"/>
  <c r="L41" i="80"/>
  <c r="AM7" i="93"/>
  <c r="AX7" i="93" s="1"/>
  <c r="AJ7" i="93"/>
  <c r="AU7" i="93" s="1"/>
  <c r="D38" i="80"/>
  <c r="H48" i="80"/>
  <c r="L49" i="80"/>
  <c r="J50" i="80"/>
  <c r="AK6" i="93"/>
  <c r="AV6" i="93" s="1"/>
  <c r="I48" i="80"/>
  <c r="K50" i="80"/>
  <c r="E38" i="80"/>
  <c r="G40" i="80"/>
  <c r="M56" i="80"/>
  <c r="G47" i="80"/>
  <c r="K57" i="80"/>
  <c r="E48" i="80"/>
  <c r="I58" i="80"/>
  <c r="C49" i="80"/>
  <c r="M59" i="80"/>
  <c r="G50" i="80"/>
  <c r="C38" i="80"/>
  <c r="I47" i="80"/>
  <c r="G39" i="80"/>
  <c r="M48" i="80"/>
  <c r="E40" i="80"/>
  <c r="K49" i="80"/>
  <c r="C41" i="80"/>
  <c r="I50" i="80"/>
  <c r="L56" i="80"/>
  <c r="F47" i="80"/>
  <c r="J57" i="80"/>
  <c r="D48" i="80"/>
  <c r="H40" i="80"/>
  <c r="L59" i="80"/>
  <c r="F50" i="80"/>
  <c r="AN6" i="93"/>
  <c r="AY6" i="93" s="1"/>
  <c r="AJ6" i="93"/>
  <c r="AU6" i="93" s="1"/>
  <c r="J38" i="80"/>
  <c r="F58" i="80"/>
  <c r="AK5" i="93"/>
  <c r="AV5" i="93" s="1"/>
  <c r="AQ6" i="93"/>
  <c r="BB6" i="93" s="1"/>
  <c r="K47" i="80"/>
  <c r="E41" i="80"/>
  <c r="G38" i="80"/>
  <c r="M47" i="80"/>
  <c r="E39" i="80"/>
  <c r="K48" i="80"/>
  <c r="C40" i="80"/>
  <c r="I49" i="80"/>
  <c r="G41" i="80"/>
  <c r="M50" i="80"/>
  <c r="D72" i="75"/>
  <c r="L73" i="75" s="1"/>
  <c r="G80" i="75"/>
  <c r="H80" i="75" s="1"/>
  <c r="M80" i="75"/>
  <c r="I80" i="75"/>
  <c r="J80" i="75" s="1"/>
  <c r="L80" i="75"/>
  <c r="I73" i="75"/>
  <c r="M73" i="75"/>
  <c r="W92" i="72" l="1"/>
  <c r="L65" i="84"/>
  <c r="K65" i="84"/>
  <c r="J65" i="84"/>
  <c r="I65" i="84"/>
  <c r="H65" i="84"/>
  <c r="G65" i="84"/>
  <c r="F65" i="84"/>
  <c r="E65" i="84"/>
  <c r="D65" i="84"/>
  <c r="C65" i="84"/>
  <c r="B65" i="84"/>
  <c r="L54" i="84"/>
  <c r="K54" i="84"/>
  <c r="J54" i="84"/>
  <c r="I54" i="84"/>
  <c r="H54" i="84"/>
  <c r="G54" i="84"/>
  <c r="F54" i="84"/>
  <c r="E54" i="84"/>
  <c r="D54" i="84"/>
  <c r="C54" i="84"/>
  <c r="B54" i="84"/>
  <c r="L43" i="84"/>
  <c r="K43" i="84"/>
  <c r="J43" i="84"/>
  <c r="I43" i="84"/>
  <c r="H43" i="84"/>
  <c r="G43" i="84"/>
  <c r="F43" i="84"/>
  <c r="E43" i="84"/>
  <c r="D43" i="84"/>
  <c r="C43" i="84"/>
  <c r="B43" i="84"/>
  <c r="W48" i="84" s="1"/>
  <c r="M66" i="84" l="1"/>
  <c r="U76" i="84"/>
  <c r="M55" i="84"/>
  <c r="U60" i="84"/>
  <c r="U45" i="84"/>
  <c r="M44" i="84"/>
  <c r="M74" i="85"/>
  <c r="B77" i="85"/>
  <c r="B76" i="85"/>
  <c r="L77" i="85"/>
  <c r="K77" i="85"/>
  <c r="J77" i="85"/>
  <c r="I77" i="85"/>
  <c r="H77" i="85"/>
  <c r="G77" i="85"/>
  <c r="U81" i="85" s="1"/>
  <c r="F77" i="85"/>
  <c r="E77" i="85"/>
  <c r="D77" i="85"/>
  <c r="C77" i="85"/>
  <c r="L76" i="85"/>
  <c r="K76" i="85"/>
  <c r="J76" i="85"/>
  <c r="I76" i="85"/>
  <c r="H76" i="85"/>
  <c r="G76" i="85"/>
  <c r="F76" i="85"/>
  <c r="E76" i="85"/>
  <c r="D76" i="85"/>
  <c r="C76" i="85"/>
  <c r="L75" i="85"/>
  <c r="K75" i="85"/>
  <c r="J75" i="85"/>
  <c r="I75" i="85"/>
  <c r="H75" i="85"/>
  <c r="G75" i="85"/>
  <c r="F75" i="85"/>
  <c r="E75" i="85"/>
  <c r="D75" i="85"/>
  <c r="C75" i="85"/>
  <c r="B75" i="85"/>
  <c r="Z144" i="80"/>
  <c r="Z149" i="80"/>
  <c r="Z150" i="80"/>
  <c r="Z151" i="80"/>
  <c r="Z152" i="80"/>
  <c r="Z148" i="80"/>
  <c r="AN120" i="80"/>
  <c r="AD122" i="80"/>
  <c r="AD123" i="80"/>
  <c r="AD124" i="80"/>
  <c r="AD125" i="80"/>
  <c r="AD126" i="80"/>
  <c r="AD127" i="80"/>
  <c r="AD128" i="80"/>
  <c r="AD121" i="80"/>
  <c r="AK87" i="80"/>
  <c r="AK88" i="80"/>
  <c r="AK89" i="80"/>
  <c r="AC98" i="80"/>
  <c r="AC99" i="80"/>
  <c r="AC100" i="80"/>
  <c r="AC101" i="80"/>
  <c r="AC102" i="80"/>
  <c r="AC103" i="80"/>
  <c r="AC104" i="80"/>
  <c r="AC97" i="80"/>
  <c r="BS40" i="75"/>
  <c r="BS25" i="75"/>
  <c r="D68" i="88"/>
  <c r="D65" i="88"/>
  <c r="D62" i="88"/>
  <c r="D59" i="88"/>
  <c r="D56" i="88"/>
  <c r="D53" i="88"/>
  <c r="D50" i="88"/>
  <c r="D47" i="88"/>
  <c r="D44" i="88"/>
  <c r="A68" i="88"/>
  <c r="A65" i="88"/>
  <c r="A62" i="88"/>
  <c r="A59" i="88"/>
  <c r="A56" i="88"/>
  <c r="A53" i="88"/>
  <c r="A50" i="88"/>
  <c r="A47" i="88"/>
  <c r="A44" i="88"/>
  <c r="D41" i="88"/>
  <c r="D38" i="88"/>
  <c r="A38" i="88"/>
  <c r="A41" i="88"/>
  <c r="D35" i="88"/>
  <c r="A35" i="88"/>
  <c r="D32" i="88"/>
  <c r="A32" i="88"/>
  <c r="A33" i="88"/>
  <c r="D33" i="88"/>
  <c r="D29" i="88"/>
  <c r="A29" i="88"/>
  <c r="D26" i="88"/>
  <c r="A26" i="88"/>
  <c r="D23" i="88"/>
  <c r="A23" i="88"/>
  <c r="D20" i="88"/>
  <c r="A20" i="88"/>
  <c r="D17" i="88"/>
  <c r="A17" i="88"/>
  <c r="D14" i="88"/>
  <c r="A14" i="88"/>
  <c r="D11" i="88"/>
  <c r="A11" i="88"/>
  <c r="D8" i="88"/>
  <c r="A8" i="88"/>
  <c r="D5" i="88"/>
  <c r="A5" i="88"/>
  <c r="U80" i="85" l="1"/>
  <c r="T81" i="85"/>
  <c r="T80" i="85"/>
  <c r="T79" i="85"/>
  <c r="U79" i="85"/>
  <c r="R79" i="85"/>
  <c r="S79" i="85"/>
  <c r="R80" i="85"/>
  <c r="S80" i="85"/>
  <c r="R81" i="85"/>
  <c r="S81" i="85"/>
  <c r="D70" i="88" l="1"/>
  <c r="D69" i="88"/>
  <c r="D67" i="88"/>
  <c r="D66" i="88"/>
  <c r="D64" i="88"/>
  <c r="D63" i="88"/>
  <c r="D61" i="88"/>
  <c r="D60" i="88"/>
  <c r="D58" i="88"/>
  <c r="D57" i="88"/>
  <c r="D55" i="88"/>
  <c r="D54" i="88"/>
  <c r="D52" i="88"/>
  <c r="D51" i="88"/>
  <c r="D49" i="88"/>
  <c r="D48" i="88"/>
  <c r="D46" i="88"/>
  <c r="D45" i="88"/>
  <c r="D43" i="88"/>
  <c r="D42" i="88"/>
  <c r="D40" i="88"/>
  <c r="D39" i="88"/>
  <c r="D37" i="88"/>
  <c r="D36" i="88"/>
  <c r="D34" i="88"/>
  <c r="D31" i="88"/>
  <c r="D30" i="88"/>
  <c r="D28" i="88"/>
  <c r="D27" i="88"/>
  <c r="D25" i="88"/>
  <c r="D24" i="88"/>
  <c r="D22" i="88"/>
  <c r="D21" i="88"/>
  <c r="D19" i="88"/>
  <c r="D18" i="88"/>
  <c r="D16" i="88"/>
  <c r="D15" i="88"/>
  <c r="D13" i="88"/>
  <c r="D12" i="88"/>
  <c r="D10" i="88"/>
  <c r="D9" i="88"/>
  <c r="D7" i="88"/>
  <c r="D6" i="88"/>
  <c r="A69" i="88"/>
  <c r="A70" i="88"/>
  <c r="A67" i="88"/>
  <c r="A66" i="88"/>
  <c r="A63" i="88"/>
  <c r="A64" i="88"/>
  <c r="A60" i="88"/>
  <c r="A61" i="88"/>
  <c r="A57" i="88"/>
  <c r="A58" i="88"/>
  <c r="A54" i="88"/>
  <c r="A55" i="88"/>
  <c r="A51" i="88"/>
  <c r="A52" i="88"/>
  <c r="A48" i="88"/>
  <c r="A49" i="88"/>
  <c r="A45" i="88"/>
  <c r="A46" i="88"/>
  <c r="A42" i="88"/>
  <c r="A43" i="88"/>
  <c r="A39" i="88"/>
  <c r="A40" i="88"/>
  <c r="A36" i="88"/>
  <c r="A37" i="88"/>
  <c r="A34" i="88"/>
  <c r="A30" i="88"/>
  <c r="A31" i="88"/>
  <c r="A27" i="88"/>
  <c r="A28" i="88"/>
  <c r="A24" i="88"/>
  <c r="A25" i="88"/>
  <c r="A22" i="88"/>
  <c r="A21" i="88"/>
  <c r="A18" i="88"/>
  <c r="A19" i="88"/>
  <c r="A15" i="88"/>
  <c r="A16" i="88"/>
  <c r="A12" i="88"/>
  <c r="A13" i="88"/>
  <c r="A9" i="88"/>
  <c r="A10" i="88"/>
  <c r="A6" i="88"/>
  <c r="A7" i="88"/>
  <c r="N74" i="85" l="1"/>
  <c r="M75" i="85" l="1"/>
  <c r="D79" i="85"/>
  <c r="E79" i="85"/>
  <c r="F79" i="85"/>
  <c r="G79" i="85"/>
  <c r="H79" i="85"/>
  <c r="I79" i="85"/>
  <c r="J79" i="85"/>
  <c r="K79" i="85"/>
  <c r="L79" i="85"/>
  <c r="C79" i="85"/>
  <c r="U113" i="80" l="1"/>
  <c r="L73" i="85" l="1"/>
  <c r="K73" i="85"/>
  <c r="K81" i="85" s="1"/>
  <c r="J73" i="85"/>
  <c r="J81" i="85" s="1"/>
  <c r="I73" i="85"/>
  <c r="I81" i="85" s="1"/>
  <c r="H73" i="85"/>
  <c r="H81" i="85" s="1"/>
  <c r="G73" i="85"/>
  <c r="G81" i="85" s="1"/>
  <c r="F73" i="85"/>
  <c r="F81" i="85" s="1"/>
  <c r="E73" i="85"/>
  <c r="E81" i="85" s="1"/>
  <c r="D73" i="85"/>
  <c r="D81" i="85" s="1"/>
  <c r="C73" i="85"/>
  <c r="C81" i="85" s="1"/>
  <c r="B73" i="85"/>
  <c r="B81" i="85" s="1"/>
  <c r="L72" i="85"/>
  <c r="K72" i="85"/>
  <c r="J72" i="85"/>
  <c r="I72" i="85"/>
  <c r="H72" i="85"/>
  <c r="G72" i="85"/>
  <c r="F72" i="85"/>
  <c r="E72" i="85"/>
  <c r="D72" i="85"/>
  <c r="C72" i="85"/>
  <c r="B72" i="85"/>
  <c r="M72" i="85" l="1"/>
  <c r="N72" i="85"/>
  <c r="L81" i="85"/>
  <c r="M73" i="85"/>
  <c r="A155" i="68"/>
  <c r="A154" i="68"/>
  <c r="A153" i="68"/>
  <c r="A152" i="68"/>
  <c r="A151" i="68"/>
  <c r="A150" i="68"/>
  <c r="A141" i="68"/>
  <c r="A140" i="68"/>
  <c r="A139" i="68"/>
  <c r="A138" i="68"/>
  <c r="A137" i="68"/>
  <c r="A136" i="68"/>
  <c r="A135" i="68"/>
  <c r="A134" i="68"/>
  <c r="A133" i="68"/>
  <c r="A126" i="68"/>
  <c r="A125" i="68"/>
  <c r="A124" i="68"/>
  <c r="A123" i="68"/>
  <c r="A122" i="68"/>
  <c r="A121" i="68"/>
  <c r="A114" i="68"/>
  <c r="A113" i="68"/>
  <c r="A112" i="68"/>
  <c r="A111" i="68"/>
  <c r="A110" i="68"/>
  <c r="A109" i="68"/>
  <c r="A108" i="68"/>
  <c r="A107" i="68"/>
  <c r="A98" i="68"/>
  <c r="A97" i="68"/>
  <c r="A96" i="68"/>
  <c r="A95" i="68"/>
  <c r="A94" i="68"/>
  <c r="A93" i="68"/>
  <c r="A92" i="68"/>
  <c r="A91" i="68"/>
  <c r="A90" i="68"/>
  <c r="A89" i="68"/>
  <c r="A88" i="68"/>
  <c r="A81" i="68"/>
  <c r="A80" i="68"/>
  <c r="A79" i="68"/>
  <c r="A78" i="68"/>
  <c r="A77" i="68"/>
  <c r="A76" i="68"/>
  <c r="A75" i="68"/>
  <c r="A74" i="68"/>
  <c r="A73" i="68"/>
  <c r="A72" i="68"/>
  <c r="A71" i="68"/>
  <c r="A70" i="68"/>
  <c r="A69" i="68"/>
  <c r="A68" i="68"/>
  <c r="A67" i="68"/>
  <c r="A66" i="68"/>
  <c r="A65" i="68"/>
  <c r="A64" i="68"/>
  <c r="A52" i="68"/>
  <c r="B52" i="68" s="1"/>
  <c r="A51" i="68"/>
  <c r="B51" i="68" s="1"/>
  <c r="A50" i="68"/>
  <c r="B50" i="68" s="1"/>
  <c r="C33" i="68"/>
  <c r="B33" i="68"/>
  <c r="A33" i="68" s="1"/>
  <c r="C32" i="68"/>
  <c r="B32" i="68"/>
  <c r="A32" i="68" s="1"/>
  <c r="B303" i="76" s="1"/>
  <c r="C303" i="76" s="1"/>
  <c r="C31" i="68"/>
  <c r="B31" i="68"/>
  <c r="A31" i="68" s="1"/>
  <c r="C30" i="68"/>
  <c r="B30" i="68"/>
  <c r="A30" i="68"/>
  <c r="C29" i="68"/>
  <c r="B29" i="68"/>
  <c r="A29" i="68" s="1"/>
  <c r="C28" i="68"/>
  <c r="B28" i="68"/>
  <c r="A28" i="68" s="1"/>
  <c r="B399" i="76" s="1"/>
  <c r="C399" i="76" s="1"/>
  <c r="C27" i="68"/>
  <c r="B27" i="68"/>
  <c r="A27" i="68" s="1"/>
  <c r="C26" i="68"/>
  <c r="B26" i="68"/>
  <c r="A26" i="68" s="1"/>
  <c r="C25" i="68"/>
  <c r="B25" i="68"/>
  <c r="A25" i="68" s="1"/>
  <c r="C24" i="68"/>
  <c r="B24" i="68"/>
  <c r="A24" i="68"/>
  <c r="B315" i="76" s="1"/>
  <c r="C315" i="76" s="1"/>
  <c r="C23" i="68"/>
  <c r="B23" i="68"/>
  <c r="C22" i="68"/>
  <c r="B22" i="68"/>
  <c r="A22" i="68" s="1"/>
  <c r="C21" i="68"/>
  <c r="B21" i="68"/>
  <c r="A21" i="68" s="1"/>
  <c r="C20" i="68"/>
  <c r="B20" i="68"/>
  <c r="A20" i="68" s="1"/>
  <c r="B411" i="76" s="1"/>
  <c r="C411" i="76" s="1"/>
  <c r="C19" i="68"/>
  <c r="B19" i="68"/>
  <c r="A19" i="68" s="1"/>
  <c r="C18" i="68"/>
  <c r="B18" i="68"/>
  <c r="A18" i="68"/>
  <c r="C17" i="68"/>
  <c r="B17" i="68"/>
  <c r="A17" i="68" s="1"/>
  <c r="C16" i="68"/>
  <c r="B16" i="68"/>
  <c r="A16" i="68" s="1"/>
  <c r="C15" i="68"/>
  <c r="B15" i="68"/>
  <c r="A15" i="68" s="1"/>
  <c r="C14" i="68"/>
  <c r="B14" i="68"/>
  <c r="A14" i="68" s="1"/>
  <c r="B305" i="76" s="1"/>
  <c r="C305" i="76" s="1"/>
  <c r="L7" i="68"/>
  <c r="K7" i="68"/>
  <c r="J7" i="68"/>
  <c r="I7" i="68"/>
  <c r="H7" i="68"/>
  <c r="G7" i="68"/>
  <c r="F7" i="68"/>
  <c r="E7" i="68"/>
  <c r="D7" i="68"/>
  <c r="C7" i="68"/>
  <c r="B7" i="68"/>
  <c r="L6" i="68"/>
  <c r="K6" i="68"/>
  <c r="J6" i="68"/>
  <c r="I6" i="68"/>
  <c r="H6" i="68"/>
  <c r="G6" i="68"/>
  <c r="F6" i="68"/>
  <c r="E6" i="68"/>
  <c r="D6" i="68"/>
  <c r="C6" i="68"/>
  <c r="B6" i="68"/>
  <c r="L5" i="68"/>
  <c r="K5" i="68"/>
  <c r="J5" i="68"/>
  <c r="I5" i="68"/>
  <c r="H5" i="68"/>
  <c r="G5" i="68"/>
  <c r="F5" i="68"/>
  <c r="E5" i="68"/>
  <c r="D5" i="68"/>
  <c r="C5" i="68"/>
  <c r="B5" i="68"/>
  <c r="L4" i="68"/>
  <c r="K4" i="68"/>
  <c r="J4" i="68"/>
  <c r="I4" i="68"/>
  <c r="H4" i="68"/>
  <c r="G4" i="68"/>
  <c r="F4" i="68"/>
  <c r="E4" i="68"/>
  <c r="D4" i="68"/>
  <c r="C4" i="68"/>
  <c r="B4" i="68"/>
  <c r="L3" i="68"/>
  <c r="K3" i="68"/>
  <c r="J3" i="68"/>
  <c r="I3" i="68"/>
  <c r="H3" i="68"/>
  <c r="G3" i="68"/>
  <c r="F3" i="68"/>
  <c r="E3" i="68"/>
  <c r="D3" i="68"/>
  <c r="C3" i="68"/>
  <c r="B3" i="68"/>
  <c r="L23" i="85"/>
  <c r="K23" i="85"/>
  <c r="K24" i="85" s="1"/>
  <c r="J23" i="85"/>
  <c r="I23" i="85"/>
  <c r="H23" i="85"/>
  <c r="G23" i="85"/>
  <c r="F23" i="85"/>
  <c r="E23" i="85"/>
  <c r="E24" i="85" s="1"/>
  <c r="D23" i="85"/>
  <c r="C23" i="85"/>
  <c r="B23" i="85"/>
  <c r="L22" i="85"/>
  <c r="K22" i="85"/>
  <c r="J22" i="85"/>
  <c r="I22" i="85"/>
  <c r="H22" i="85"/>
  <c r="G22" i="85"/>
  <c r="F22" i="85"/>
  <c r="E22" i="85"/>
  <c r="D22" i="85"/>
  <c r="C22" i="85"/>
  <c r="B22" i="85"/>
  <c r="L21" i="85"/>
  <c r="K21" i="85"/>
  <c r="J21" i="85"/>
  <c r="I21" i="85"/>
  <c r="H21" i="85"/>
  <c r="G21" i="85"/>
  <c r="F21" i="85"/>
  <c r="E21" i="85"/>
  <c r="D21" i="85"/>
  <c r="C21" i="85"/>
  <c r="B21" i="85"/>
  <c r="L20" i="85"/>
  <c r="K20" i="85"/>
  <c r="J20" i="85"/>
  <c r="I20" i="85"/>
  <c r="H20" i="85"/>
  <c r="G20" i="85"/>
  <c r="F20" i="85"/>
  <c r="E20" i="85"/>
  <c r="D20" i="85"/>
  <c r="C20" i="85"/>
  <c r="B20" i="85"/>
  <c r="L19" i="85"/>
  <c r="L35" i="85" s="1"/>
  <c r="K19" i="85"/>
  <c r="K35" i="85" s="1"/>
  <c r="J19" i="85"/>
  <c r="J35" i="85" s="1"/>
  <c r="I19" i="85"/>
  <c r="I35" i="85" s="1"/>
  <c r="H19" i="85"/>
  <c r="H35" i="85" s="1"/>
  <c r="G19" i="85"/>
  <c r="G35" i="85" s="1"/>
  <c r="F19" i="85"/>
  <c r="F35" i="85" s="1"/>
  <c r="E19" i="85"/>
  <c r="E35" i="85" s="1"/>
  <c r="D19" i="85"/>
  <c r="D35" i="85" s="1"/>
  <c r="C19" i="85"/>
  <c r="C35" i="85" s="1"/>
  <c r="B19" i="85"/>
  <c r="B35" i="85" s="1"/>
  <c r="L18" i="85"/>
  <c r="L36" i="85" s="1"/>
  <c r="K18" i="85"/>
  <c r="K36" i="85" s="1"/>
  <c r="J18" i="85"/>
  <c r="J36" i="85" s="1"/>
  <c r="I18" i="85"/>
  <c r="I36" i="85" s="1"/>
  <c r="H18" i="85"/>
  <c r="H36" i="85" s="1"/>
  <c r="G18" i="85"/>
  <c r="G36" i="85" s="1"/>
  <c r="F18" i="85"/>
  <c r="F36" i="85" s="1"/>
  <c r="E18" i="85"/>
  <c r="E36" i="85" s="1"/>
  <c r="D18" i="85"/>
  <c r="D36" i="85" s="1"/>
  <c r="C18" i="85"/>
  <c r="C36" i="85" s="1"/>
  <c r="B18" i="85"/>
  <c r="B36" i="85" s="1"/>
  <c r="L17" i="85"/>
  <c r="K17" i="85"/>
  <c r="J17" i="85"/>
  <c r="I17" i="85"/>
  <c r="H17" i="85"/>
  <c r="G17" i="85"/>
  <c r="F17" i="85"/>
  <c r="E17" i="85"/>
  <c r="D17" i="85"/>
  <c r="C17" i="85"/>
  <c r="B17" i="85"/>
  <c r="L16" i="85"/>
  <c r="K16" i="85"/>
  <c r="J16" i="85"/>
  <c r="I16" i="85"/>
  <c r="H16" i="85"/>
  <c r="G16" i="85"/>
  <c r="F16" i="85"/>
  <c r="E16" i="85"/>
  <c r="D16" i="85"/>
  <c r="C16" i="85"/>
  <c r="B16" i="85"/>
  <c r="L15" i="85"/>
  <c r="K15" i="85"/>
  <c r="J15" i="85"/>
  <c r="I15" i="85"/>
  <c r="H15" i="85"/>
  <c r="G15" i="85"/>
  <c r="F15" i="85"/>
  <c r="E15" i="85"/>
  <c r="D15" i="85"/>
  <c r="C15" i="85"/>
  <c r="B15" i="85"/>
  <c r="L14" i="85"/>
  <c r="L37" i="85" s="1"/>
  <c r="K14" i="85"/>
  <c r="K37" i="85" s="1"/>
  <c r="J14" i="85"/>
  <c r="J37" i="85" s="1"/>
  <c r="I14" i="85"/>
  <c r="I37" i="85" s="1"/>
  <c r="H14" i="85"/>
  <c r="H37" i="85" s="1"/>
  <c r="G14" i="85"/>
  <c r="G37" i="85" s="1"/>
  <c r="F14" i="85"/>
  <c r="F37" i="85" s="1"/>
  <c r="E14" i="85"/>
  <c r="E37" i="85" s="1"/>
  <c r="D14" i="85"/>
  <c r="D37" i="85" s="1"/>
  <c r="C14" i="85"/>
  <c r="C37" i="85" s="1"/>
  <c r="B14" i="85"/>
  <c r="B37" i="85" s="1"/>
  <c r="L13" i="85"/>
  <c r="K13" i="85"/>
  <c r="J13" i="85"/>
  <c r="I13" i="85"/>
  <c r="H13" i="85"/>
  <c r="G13" i="85"/>
  <c r="F13" i="85"/>
  <c r="E13" i="85"/>
  <c r="D13" i="85"/>
  <c r="C13" i="85"/>
  <c r="B13" i="85"/>
  <c r="L12" i="85"/>
  <c r="K12" i="85"/>
  <c r="J12" i="85"/>
  <c r="I12" i="85"/>
  <c r="H12" i="85"/>
  <c r="G12" i="85"/>
  <c r="F12" i="85"/>
  <c r="E12" i="85"/>
  <c r="D12" i="85"/>
  <c r="C12" i="85"/>
  <c r="B12" i="85"/>
  <c r="L11" i="85"/>
  <c r="L38" i="85" s="1"/>
  <c r="K11" i="85"/>
  <c r="K38" i="85" s="1"/>
  <c r="J11" i="85"/>
  <c r="J38" i="85" s="1"/>
  <c r="I11" i="85"/>
  <c r="I38" i="85" s="1"/>
  <c r="H11" i="85"/>
  <c r="H38" i="85" s="1"/>
  <c r="G11" i="85"/>
  <c r="G38" i="85" s="1"/>
  <c r="F11" i="85"/>
  <c r="F38" i="85" s="1"/>
  <c r="E11" i="85"/>
  <c r="E38" i="85" s="1"/>
  <c r="D11" i="85"/>
  <c r="D38" i="85" s="1"/>
  <c r="C11" i="85"/>
  <c r="C38" i="85" s="1"/>
  <c r="B11" i="85"/>
  <c r="B38" i="85" s="1"/>
  <c r="L10" i="85"/>
  <c r="L39" i="85" s="1"/>
  <c r="K10" i="85"/>
  <c r="K39" i="85" s="1"/>
  <c r="J10" i="85"/>
  <c r="J39" i="85" s="1"/>
  <c r="I10" i="85"/>
  <c r="I39" i="85" s="1"/>
  <c r="H10" i="85"/>
  <c r="H39" i="85" s="1"/>
  <c r="H41" i="85" s="1"/>
  <c r="G10" i="85"/>
  <c r="G39" i="85" s="1"/>
  <c r="F10" i="85"/>
  <c r="F39" i="85" s="1"/>
  <c r="E10" i="85"/>
  <c r="E39" i="85" s="1"/>
  <c r="D10" i="85"/>
  <c r="D39" i="85" s="1"/>
  <c r="C10" i="85"/>
  <c r="C39" i="85" s="1"/>
  <c r="B10" i="85"/>
  <c r="B39" i="85" s="1"/>
  <c r="L8" i="85"/>
  <c r="K8" i="85"/>
  <c r="J8" i="85"/>
  <c r="I8" i="85"/>
  <c r="H8" i="85"/>
  <c r="G8" i="85"/>
  <c r="F8" i="85"/>
  <c r="E8" i="85"/>
  <c r="D8" i="85"/>
  <c r="C8" i="85"/>
  <c r="B8" i="85"/>
  <c r="L7" i="85"/>
  <c r="K7" i="85"/>
  <c r="J7" i="85"/>
  <c r="I7" i="85"/>
  <c r="H7" i="85"/>
  <c r="G7" i="85"/>
  <c r="F7" i="85"/>
  <c r="E7" i="85"/>
  <c r="D7" i="85"/>
  <c r="C7" i="85"/>
  <c r="B7" i="85"/>
  <c r="L6" i="85"/>
  <c r="K6" i="85"/>
  <c r="J6" i="85"/>
  <c r="I6" i="85"/>
  <c r="H6" i="85"/>
  <c r="G6" i="85"/>
  <c r="F6" i="85"/>
  <c r="E6" i="85"/>
  <c r="D6" i="85"/>
  <c r="C6" i="85"/>
  <c r="B6" i="85"/>
  <c r="L31" i="84"/>
  <c r="K31" i="84"/>
  <c r="J31" i="84"/>
  <c r="I31" i="84"/>
  <c r="H31" i="84"/>
  <c r="G31" i="84"/>
  <c r="F31" i="84"/>
  <c r="E31" i="84"/>
  <c r="D31" i="84"/>
  <c r="C31" i="84"/>
  <c r="B31" i="84"/>
  <c r="L30" i="84"/>
  <c r="K30" i="84"/>
  <c r="J30" i="84"/>
  <c r="I30" i="84"/>
  <c r="H30" i="84"/>
  <c r="G30" i="84"/>
  <c r="F30" i="84"/>
  <c r="E30" i="84"/>
  <c r="D30" i="84"/>
  <c r="C30" i="84"/>
  <c r="B30" i="84"/>
  <c r="L29" i="84"/>
  <c r="K29" i="84"/>
  <c r="J29" i="84"/>
  <c r="I29" i="84"/>
  <c r="H29" i="84"/>
  <c r="G29" i="84"/>
  <c r="F29" i="84"/>
  <c r="E29" i="84"/>
  <c r="D29" i="84"/>
  <c r="C29" i="84"/>
  <c r="B29" i="84"/>
  <c r="L28" i="84"/>
  <c r="K28" i="84"/>
  <c r="J28" i="84"/>
  <c r="I28" i="84"/>
  <c r="H28" i="84"/>
  <c r="G28" i="84"/>
  <c r="F28" i="84"/>
  <c r="E28" i="84"/>
  <c r="D28" i="84"/>
  <c r="C28" i="84"/>
  <c r="B28" i="84"/>
  <c r="L27" i="84"/>
  <c r="K27" i="84"/>
  <c r="J27" i="84"/>
  <c r="I27" i="84"/>
  <c r="H27" i="84"/>
  <c r="H67" i="84" s="1"/>
  <c r="G27" i="84"/>
  <c r="F27" i="84"/>
  <c r="F67" i="84" s="1"/>
  <c r="E27" i="84"/>
  <c r="D27" i="84"/>
  <c r="C27" i="84"/>
  <c r="B27" i="84"/>
  <c r="B67" i="84" s="1"/>
  <c r="L26" i="84"/>
  <c r="L66" i="84" s="1"/>
  <c r="K26" i="84"/>
  <c r="K66" i="84" s="1"/>
  <c r="J26" i="84"/>
  <c r="J66" i="84" s="1"/>
  <c r="I26" i="84"/>
  <c r="I66" i="84" s="1"/>
  <c r="H26" i="84"/>
  <c r="H66" i="84" s="1"/>
  <c r="G26" i="84"/>
  <c r="G66" i="84" s="1"/>
  <c r="F26" i="84"/>
  <c r="F66" i="84" s="1"/>
  <c r="E26" i="84"/>
  <c r="E66" i="84" s="1"/>
  <c r="D26" i="84"/>
  <c r="D66" i="84" s="1"/>
  <c r="C26" i="84"/>
  <c r="C66" i="84" s="1"/>
  <c r="B26" i="84"/>
  <c r="B66" i="84" s="1"/>
  <c r="L25" i="84"/>
  <c r="K25" i="84"/>
  <c r="J25" i="84"/>
  <c r="I25" i="84"/>
  <c r="H25" i="84"/>
  <c r="G25" i="84"/>
  <c r="F25" i="84"/>
  <c r="E25" i="84"/>
  <c r="D25" i="84"/>
  <c r="C25" i="84"/>
  <c r="B25" i="84"/>
  <c r="L20" i="84"/>
  <c r="K20" i="84"/>
  <c r="J20" i="84"/>
  <c r="I20" i="84"/>
  <c r="H20" i="84"/>
  <c r="G20" i="84"/>
  <c r="F20" i="84"/>
  <c r="E20" i="84"/>
  <c r="D20" i="84"/>
  <c r="C20" i="84"/>
  <c r="B20" i="84"/>
  <c r="L19" i="84"/>
  <c r="K19" i="84"/>
  <c r="J19" i="84"/>
  <c r="I19" i="84"/>
  <c r="H19" i="84"/>
  <c r="G19" i="84"/>
  <c r="G59" i="84" s="1"/>
  <c r="F19" i="84"/>
  <c r="E19" i="84"/>
  <c r="D19" i="84"/>
  <c r="C19" i="84"/>
  <c r="B19" i="84"/>
  <c r="L18" i="84"/>
  <c r="K18" i="84"/>
  <c r="J18" i="84"/>
  <c r="I18" i="84"/>
  <c r="H18" i="84"/>
  <c r="G18" i="84"/>
  <c r="F18" i="84"/>
  <c r="E18" i="84"/>
  <c r="D18" i="84"/>
  <c r="C18" i="84"/>
  <c r="B18" i="84"/>
  <c r="L17" i="84"/>
  <c r="K17" i="84"/>
  <c r="K57" i="84" s="1"/>
  <c r="J17" i="84"/>
  <c r="J57" i="84" s="1"/>
  <c r="I17" i="84"/>
  <c r="H17" i="84"/>
  <c r="G17" i="84"/>
  <c r="F17" i="84"/>
  <c r="E17" i="84"/>
  <c r="E57" i="84" s="1"/>
  <c r="D17" i="84"/>
  <c r="D57" i="84" s="1"/>
  <c r="C17" i="84"/>
  <c r="B17" i="84"/>
  <c r="L16" i="84"/>
  <c r="K16" i="84"/>
  <c r="J16" i="84"/>
  <c r="J56" i="84" s="1"/>
  <c r="I16" i="84"/>
  <c r="H16" i="84"/>
  <c r="G16" i="84"/>
  <c r="F16" i="84"/>
  <c r="E16" i="84"/>
  <c r="D16" i="84"/>
  <c r="D56" i="84" s="1"/>
  <c r="C16" i="84"/>
  <c r="B16" i="84"/>
  <c r="L15" i="84"/>
  <c r="L55" i="84" s="1"/>
  <c r="K15" i="84"/>
  <c r="K55" i="84" s="1"/>
  <c r="J15" i="84"/>
  <c r="J55" i="84" s="1"/>
  <c r="I15" i="84"/>
  <c r="I55" i="84" s="1"/>
  <c r="H15" i="84"/>
  <c r="H55" i="84" s="1"/>
  <c r="G15" i="84"/>
  <c r="G55" i="84" s="1"/>
  <c r="F15" i="84"/>
  <c r="F55" i="84" s="1"/>
  <c r="E15" i="84"/>
  <c r="E55" i="84" s="1"/>
  <c r="D15" i="84"/>
  <c r="D55" i="84" s="1"/>
  <c r="C15" i="84"/>
  <c r="C55" i="84" s="1"/>
  <c r="B15" i="84"/>
  <c r="B55" i="84" s="1"/>
  <c r="L14" i="84"/>
  <c r="K14" i="84"/>
  <c r="J14" i="84"/>
  <c r="I14" i="84"/>
  <c r="H14" i="84"/>
  <c r="G14" i="84"/>
  <c r="F14" i="84"/>
  <c r="E14" i="84"/>
  <c r="D14" i="84"/>
  <c r="C14" i="84"/>
  <c r="B14" i="84"/>
  <c r="L10" i="84"/>
  <c r="K10" i="84"/>
  <c r="J10" i="84"/>
  <c r="I10" i="84"/>
  <c r="H10" i="84"/>
  <c r="G10" i="84"/>
  <c r="F10" i="84"/>
  <c r="E10" i="84"/>
  <c r="D10" i="84"/>
  <c r="C10" i="84"/>
  <c r="B10" i="84"/>
  <c r="L9" i="84"/>
  <c r="K9" i="84"/>
  <c r="J9" i="84"/>
  <c r="I9" i="84"/>
  <c r="H9" i="84"/>
  <c r="G9" i="84"/>
  <c r="F9" i="84"/>
  <c r="E9" i="84"/>
  <c r="D9" i="84"/>
  <c r="C9" i="84"/>
  <c r="B9" i="84"/>
  <c r="L8" i="84"/>
  <c r="K8" i="84"/>
  <c r="J8" i="84"/>
  <c r="I8" i="84"/>
  <c r="H8" i="84"/>
  <c r="G8" i="84"/>
  <c r="F8" i="84"/>
  <c r="E8" i="84"/>
  <c r="D8" i="84"/>
  <c r="C8" i="84"/>
  <c r="B8" i="84"/>
  <c r="L7" i="84"/>
  <c r="K7" i="84"/>
  <c r="J7" i="84"/>
  <c r="I7" i="84"/>
  <c r="H7" i="84"/>
  <c r="G7" i="84"/>
  <c r="G46" i="84" s="1"/>
  <c r="F7" i="84"/>
  <c r="E7" i="84"/>
  <c r="D7" i="84"/>
  <c r="C7" i="84"/>
  <c r="B7" i="84"/>
  <c r="L6" i="84"/>
  <c r="K6" i="84"/>
  <c r="J6" i="84"/>
  <c r="I6" i="84"/>
  <c r="H6" i="84"/>
  <c r="G6" i="84"/>
  <c r="F6" i="84"/>
  <c r="F45" i="84" s="1"/>
  <c r="E6" i="84"/>
  <c r="D6" i="84"/>
  <c r="C6" i="84"/>
  <c r="B6" i="84"/>
  <c r="L5" i="84"/>
  <c r="L44" i="84" s="1"/>
  <c r="K5" i="84"/>
  <c r="K44" i="84" s="1"/>
  <c r="J5" i="84"/>
  <c r="J44" i="84" s="1"/>
  <c r="I5" i="84"/>
  <c r="I44" i="84" s="1"/>
  <c r="H5" i="84"/>
  <c r="H44" i="84" s="1"/>
  <c r="G5" i="84"/>
  <c r="G44" i="84" s="1"/>
  <c r="F5" i="84"/>
  <c r="F44" i="84" s="1"/>
  <c r="E5" i="84"/>
  <c r="E44" i="84" s="1"/>
  <c r="D5" i="84"/>
  <c r="D44" i="84" s="1"/>
  <c r="C5" i="84"/>
  <c r="C44" i="84" s="1"/>
  <c r="B5" i="84"/>
  <c r="B44" i="84" s="1"/>
  <c r="L4" i="84"/>
  <c r="K4" i="84"/>
  <c r="J4" i="84"/>
  <c r="I4" i="84"/>
  <c r="H4" i="84"/>
  <c r="G4" i="84"/>
  <c r="F4" i="84"/>
  <c r="E4" i="84"/>
  <c r="D4" i="84"/>
  <c r="C4" i="84"/>
  <c r="B4" i="84"/>
  <c r="N5" i="84" s="1"/>
  <c r="L30" i="82"/>
  <c r="K30" i="82"/>
  <c r="J30" i="82"/>
  <c r="I30" i="82"/>
  <c r="H30" i="82"/>
  <c r="G30" i="82"/>
  <c r="F30" i="82"/>
  <c r="E30" i="82"/>
  <c r="D30" i="82"/>
  <c r="C30" i="82"/>
  <c r="B30" i="82"/>
  <c r="L29" i="82"/>
  <c r="K29" i="82"/>
  <c r="J29" i="82"/>
  <c r="I29" i="82"/>
  <c r="H29" i="82"/>
  <c r="G29" i="82"/>
  <c r="F29" i="82"/>
  <c r="E29" i="82"/>
  <c r="D29" i="82"/>
  <c r="C29" i="82"/>
  <c r="B29" i="82"/>
  <c r="L28" i="82"/>
  <c r="K28" i="82"/>
  <c r="J28" i="82"/>
  <c r="I28" i="82"/>
  <c r="H28" i="82"/>
  <c r="G28" i="82"/>
  <c r="F28" i="82"/>
  <c r="E28" i="82"/>
  <c r="D28" i="82"/>
  <c r="C28" i="82"/>
  <c r="B28" i="82"/>
  <c r="L27" i="82"/>
  <c r="K27" i="82"/>
  <c r="J27" i="82"/>
  <c r="I27" i="82"/>
  <c r="H27" i="82"/>
  <c r="G27" i="82"/>
  <c r="F27" i="82"/>
  <c r="E27" i="82"/>
  <c r="D27" i="82"/>
  <c r="C27" i="82"/>
  <c r="B27" i="82"/>
  <c r="L26" i="82"/>
  <c r="K26" i="82"/>
  <c r="J26" i="82"/>
  <c r="I26" i="82"/>
  <c r="H26" i="82"/>
  <c r="G26" i="82"/>
  <c r="F26" i="82"/>
  <c r="E26" i="82"/>
  <c r="D26" i="82"/>
  <c r="C26" i="82"/>
  <c r="B26" i="82"/>
  <c r="L25" i="82"/>
  <c r="K25" i="82"/>
  <c r="J25" i="82"/>
  <c r="I25" i="82"/>
  <c r="H25" i="82"/>
  <c r="G25" i="82"/>
  <c r="F25" i="82"/>
  <c r="E25" i="82"/>
  <c r="D25" i="82"/>
  <c r="C25" i="82"/>
  <c r="B25" i="82"/>
  <c r="L24" i="82"/>
  <c r="K24" i="82"/>
  <c r="J24" i="82"/>
  <c r="I24" i="82"/>
  <c r="H24" i="82"/>
  <c r="G24" i="82"/>
  <c r="F24" i="82"/>
  <c r="E24" i="82"/>
  <c r="D24" i="82"/>
  <c r="C24" i="82"/>
  <c r="B24" i="82"/>
  <c r="L23" i="82"/>
  <c r="K23" i="82"/>
  <c r="J23" i="82"/>
  <c r="I23" i="82"/>
  <c r="H23" i="82"/>
  <c r="G23" i="82"/>
  <c r="F23" i="82"/>
  <c r="E23" i="82"/>
  <c r="D23" i="82"/>
  <c r="C23" i="82"/>
  <c r="B23" i="82"/>
  <c r="L22" i="82"/>
  <c r="K22" i="82"/>
  <c r="J22" i="82"/>
  <c r="I22" i="82"/>
  <c r="H22" i="82"/>
  <c r="G22" i="82"/>
  <c r="F22" i="82"/>
  <c r="E22" i="82"/>
  <c r="D22" i="82"/>
  <c r="C22" i="82"/>
  <c r="B22" i="82"/>
  <c r="L21" i="82"/>
  <c r="K21" i="82"/>
  <c r="J21" i="82"/>
  <c r="I21" i="82"/>
  <c r="H21" i="82"/>
  <c r="G21" i="82"/>
  <c r="F21" i="82"/>
  <c r="E21" i="82"/>
  <c r="D21" i="82"/>
  <c r="C21" i="82"/>
  <c r="B21" i="82"/>
  <c r="L20" i="82"/>
  <c r="W30" i="82" s="1"/>
  <c r="K20" i="82"/>
  <c r="J20" i="82"/>
  <c r="I20" i="82"/>
  <c r="H20" i="82"/>
  <c r="G20" i="82"/>
  <c r="F20" i="82"/>
  <c r="E20" i="82"/>
  <c r="D20" i="82"/>
  <c r="C20" i="82"/>
  <c r="B20" i="82"/>
  <c r="W36" i="82" s="1"/>
  <c r="L15" i="82"/>
  <c r="K15" i="82"/>
  <c r="J15" i="82"/>
  <c r="I15" i="82"/>
  <c r="H15" i="82"/>
  <c r="G15" i="82"/>
  <c r="F15" i="82"/>
  <c r="E15" i="82"/>
  <c r="D15" i="82"/>
  <c r="C15" i="82"/>
  <c r="B15" i="82"/>
  <c r="L14" i="82"/>
  <c r="K14" i="82"/>
  <c r="J14" i="82"/>
  <c r="I14" i="82"/>
  <c r="H14" i="82"/>
  <c r="G14" i="82"/>
  <c r="F14" i="82"/>
  <c r="E14" i="82"/>
  <c r="D14" i="82"/>
  <c r="C14" i="82"/>
  <c r="B14" i="82"/>
  <c r="L13" i="82"/>
  <c r="K13" i="82"/>
  <c r="J13" i="82"/>
  <c r="I13" i="82"/>
  <c r="H13" i="82"/>
  <c r="G13" i="82"/>
  <c r="F13" i="82"/>
  <c r="E13" i="82"/>
  <c r="D13" i="82"/>
  <c r="C13" i="82"/>
  <c r="B13" i="82"/>
  <c r="L12" i="82"/>
  <c r="K12" i="82"/>
  <c r="J12" i="82"/>
  <c r="I12" i="82"/>
  <c r="H12" i="82"/>
  <c r="G12" i="82"/>
  <c r="F12" i="82"/>
  <c r="E12" i="82"/>
  <c r="D12" i="82"/>
  <c r="C12" i="82"/>
  <c r="B12" i="82"/>
  <c r="L11" i="82"/>
  <c r="K11" i="82"/>
  <c r="J11" i="82"/>
  <c r="I11" i="82"/>
  <c r="H11" i="82"/>
  <c r="G11" i="82"/>
  <c r="F11" i="82"/>
  <c r="E11" i="82"/>
  <c r="D11" i="82"/>
  <c r="C11" i="82"/>
  <c r="B11" i="82"/>
  <c r="L10" i="82"/>
  <c r="K10" i="82"/>
  <c r="J10" i="82"/>
  <c r="I10" i="82"/>
  <c r="H10" i="82"/>
  <c r="G10" i="82"/>
  <c r="F10" i="82"/>
  <c r="E10" i="82"/>
  <c r="D10" i="82"/>
  <c r="C10" i="82"/>
  <c r="B10" i="82"/>
  <c r="L9" i="82"/>
  <c r="K9" i="82"/>
  <c r="J9" i="82"/>
  <c r="I9" i="82"/>
  <c r="H9" i="82"/>
  <c r="G9" i="82"/>
  <c r="F9" i="82"/>
  <c r="E9" i="82"/>
  <c r="D9" i="82"/>
  <c r="C9" i="82"/>
  <c r="B9" i="82"/>
  <c r="L8" i="82"/>
  <c r="K8" i="82"/>
  <c r="J8" i="82"/>
  <c r="I8" i="82"/>
  <c r="H8" i="82"/>
  <c r="G8" i="82"/>
  <c r="F8" i="82"/>
  <c r="E8" i="82"/>
  <c r="D8" i="82"/>
  <c r="C8" i="82"/>
  <c r="B8" i="82"/>
  <c r="L7" i="82"/>
  <c r="K7" i="82"/>
  <c r="J7" i="82"/>
  <c r="I7" i="82"/>
  <c r="H7" i="82"/>
  <c r="G7" i="82"/>
  <c r="F7" i="82"/>
  <c r="E7" i="82"/>
  <c r="D7" i="82"/>
  <c r="C7" i="82"/>
  <c r="B7" i="82"/>
  <c r="O8" i="82" s="1"/>
  <c r="L6" i="82"/>
  <c r="K6" i="82"/>
  <c r="J6" i="82"/>
  <c r="I6" i="82"/>
  <c r="H6" i="82"/>
  <c r="G6" i="82"/>
  <c r="F6" i="82"/>
  <c r="E6" i="82"/>
  <c r="D6" i="82"/>
  <c r="C6" i="82"/>
  <c r="B6" i="82"/>
  <c r="L5" i="82"/>
  <c r="R30" i="82" s="1"/>
  <c r="K5" i="82"/>
  <c r="J5" i="82"/>
  <c r="I5" i="82"/>
  <c r="H5" i="82"/>
  <c r="G5" i="82"/>
  <c r="F5" i="82"/>
  <c r="E5" i="82"/>
  <c r="D5" i="82"/>
  <c r="C5" i="82"/>
  <c r="B5" i="82"/>
  <c r="R36" i="82" s="1"/>
  <c r="M248" i="80"/>
  <c r="L248" i="80"/>
  <c r="K248" i="80"/>
  <c r="J248" i="80"/>
  <c r="I248" i="80"/>
  <c r="H248" i="80"/>
  <c r="G248" i="80"/>
  <c r="F248" i="80"/>
  <c r="E248" i="80"/>
  <c r="D248" i="80"/>
  <c r="C248" i="80"/>
  <c r="B248" i="80"/>
  <c r="M247" i="80"/>
  <c r="L247" i="80"/>
  <c r="K247" i="80"/>
  <c r="J247" i="80"/>
  <c r="I247" i="80"/>
  <c r="H247" i="80"/>
  <c r="G247" i="80"/>
  <c r="F247" i="80"/>
  <c r="E247" i="80"/>
  <c r="D247" i="80"/>
  <c r="C247" i="80"/>
  <c r="B247" i="80"/>
  <c r="M246" i="80"/>
  <c r="L246" i="80"/>
  <c r="K246" i="80"/>
  <c r="J246" i="80"/>
  <c r="I246" i="80"/>
  <c r="H246" i="80"/>
  <c r="G246" i="80"/>
  <c r="F246" i="80"/>
  <c r="E246" i="80"/>
  <c r="D246" i="80"/>
  <c r="C246" i="80"/>
  <c r="B246" i="80"/>
  <c r="M245" i="80"/>
  <c r="L245" i="80"/>
  <c r="K245" i="80"/>
  <c r="J245" i="80"/>
  <c r="I245" i="80"/>
  <c r="H245" i="80"/>
  <c r="G245" i="80"/>
  <c r="F245" i="80"/>
  <c r="E245" i="80"/>
  <c r="D245" i="80"/>
  <c r="C245" i="80"/>
  <c r="B245" i="80"/>
  <c r="M244" i="80"/>
  <c r="L244" i="80"/>
  <c r="K244" i="80"/>
  <c r="J244" i="80"/>
  <c r="I244" i="80"/>
  <c r="H244" i="80"/>
  <c r="G244" i="80"/>
  <c r="F244" i="80"/>
  <c r="E244" i="80"/>
  <c r="D244" i="80"/>
  <c r="C244" i="80"/>
  <c r="B244" i="80"/>
  <c r="M243" i="80"/>
  <c r="L243" i="80"/>
  <c r="K243" i="80"/>
  <c r="J243" i="80"/>
  <c r="I243" i="80"/>
  <c r="H243" i="80"/>
  <c r="G243" i="80"/>
  <c r="F243" i="80"/>
  <c r="E243" i="80"/>
  <c r="D243" i="80"/>
  <c r="C243" i="80"/>
  <c r="B243" i="80"/>
  <c r="M242" i="80"/>
  <c r="L242" i="80"/>
  <c r="K242" i="80"/>
  <c r="J242" i="80"/>
  <c r="I242" i="80"/>
  <c r="H242" i="80"/>
  <c r="G242" i="80"/>
  <c r="F242" i="80"/>
  <c r="E242" i="80"/>
  <c r="D242" i="80"/>
  <c r="C242" i="80"/>
  <c r="M238" i="80"/>
  <c r="L238" i="80"/>
  <c r="K238" i="80"/>
  <c r="J238" i="80"/>
  <c r="I238" i="80"/>
  <c r="H238" i="80"/>
  <c r="G238" i="80"/>
  <c r="F238" i="80"/>
  <c r="E238" i="80"/>
  <c r="D238" i="80"/>
  <c r="C238" i="80"/>
  <c r="B238" i="80"/>
  <c r="M237" i="80"/>
  <c r="L237" i="80"/>
  <c r="K237" i="80"/>
  <c r="J237" i="80"/>
  <c r="I237" i="80"/>
  <c r="H237" i="80"/>
  <c r="G237" i="80"/>
  <c r="F237" i="80"/>
  <c r="E237" i="80"/>
  <c r="D237" i="80"/>
  <c r="C237" i="80"/>
  <c r="B237" i="80"/>
  <c r="M236" i="80"/>
  <c r="L236" i="80"/>
  <c r="K236" i="80"/>
  <c r="J236" i="80"/>
  <c r="I236" i="80"/>
  <c r="H236" i="80"/>
  <c r="G236" i="80"/>
  <c r="F236" i="80"/>
  <c r="E236" i="80"/>
  <c r="D236" i="80"/>
  <c r="C236" i="80"/>
  <c r="B236" i="80"/>
  <c r="M235" i="80"/>
  <c r="L235" i="80"/>
  <c r="K235" i="80"/>
  <c r="J235" i="80"/>
  <c r="I235" i="80"/>
  <c r="H235" i="80"/>
  <c r="G235" i="80"/>
  <c r="F235" i="80"/>
  <c r="E235" i="80"/>
  <c r="D235" i="80"/>
  <c r="C235" i="80"/>
  <c r="B235" i="80"/>
  <c r="M234" i="80"/>
  <c r="L234" i="80"/>
  <c r="K234" i="80"/>
  <c r="J234" i="80"/>
  <c r="I234" i="80"/>
  <c r="H234" i="80"/>
  <c r="G234" i="80"/>
  <c r="F234" i="80"/>
  <c r="E234" i="80"/>
  <c r="D234" i="80"/>
  <c r="C234" i="80"/>
  <c r="B234" i="80"/>
  <c r="M233" i="80"/>
  <c r="L233" i="80"/>
  <c r="K233" i="80"/>
  <c r="J233" i="80"/>
  <c r="I233" i="80"/>
  <c r="H233" i="80"/>
  <c r="G233" i="80"/>
  <c r="F233" i="80"/>
  <c r="E233" i="80"/>
  <c r="D233" i="80"/>
  <c r="C233" i="80"/>
  <c r="B233" i="80"/>
  <c r="M232" i="80"/>
  <c r="L232" i="80"/>
  <c r="K232" i="80"/>
  <c r="J232" i="80"/>
  <c r="I232" i="80"/>
  <c r="H232" i="80"/>
  <c r="G232" i="80"/>
  <c r="F232" i="80"/>
  <c r="E232" i="80"/>
  <c r="D232" i="80"/>
  <c r="C232" i="80"/>
  <c r="M228" i="80"/>
  <c r="L228" i="80"/>
  <c r="K228" i="80"/>
  <c r="J228" i="80"/>
  <c r="I228" i="80"/>
  <c r="H228" i="80"/>
  <c r="G228" i="80"/>
  <c r="F228" i="80"/>
  <c r="E228" i="80"/>
  <c r="D228" i="80"/>
  <c r="C228" i="80"/>
  <c r="B228" i="80"/>
  <c r="M227" i="80"/>
  <c r="L227" i="80"/>
  <c r="K227" i="80"/>
  <c r="J227" i="80"/>
  <c r="I227" i="80"/>
  <c r="H227" i="80"/>
  <c r="G227" i="80"/>
  <c r="F227" i="80"/>
  <c r="E227" i="80"/>
  <c r="D227" i="80"/>
  <c r="C227" i="80"/>
  <c r="B227" i="80"/>
  <c r="M226" i="80"/>
  <c r="L226" i="80"/>
  <c r="K226" i="80"/>
  <c r="J226" i="80"/>
  <c r="I226" i="80"/>
  <c r="H226" i="80"/>
  <c r="G226" i="80"/>
  <c r="F226" i="80"/>
  <c r="E226" i="80"/>
  <c r="D226" i="80"/>
  <c r="C226" i="80"/>
  <c r="B226" i="80"/>
  <c r="M225" i="80"/>
  <c r="L225" i="80"/>
  <c r="K225" i="80"/>
  <c r="J225" i="80"/>
  <c r="I225" i="80"/>
  <c r="H225" i="80"/>
  <c r="G225" i="80"/>
  <c r="F225" i="80"/>
  <c r="E225" i="80"/>
  <c r="D225" i="80"/>
  <c r="C225" i="80"/>
  <c r="B225" i="80"/>
  <c r="M224" i="80"/>
  <c r="L224" i="80"/>
  <c r="K224" i="80"/>
  <c r="J224" i="80"/>
  <c r="I224" i="80"/>
  <c r="H224" i="80"/>
  <c r="G224" i="80"/>
  <c r="F224" i="80"/>
  <c r="E224" i="80"/>
  <c r="D224" i="80"/>
  <c r="C224" i="80"/>
  <c r="B224" i="80"/>
  <c r="M223" i="80"/>
  <c r="L223" i="80"/>
  <c r="K223" i="80"/>
  <c r="J223" i="80"/>
  <c r="I223" i="80"/>
  <c r="H223" i="80"/>
  <c r="G223" i="80"/>
  <c r="F223" i="80"/>
  <c r="E223" i="80"/>
  <c r="D223" i="80"/>
  <c r="C223" i="80"/>
  <c r="B223" i="80"/>
  <c r="M222" i="80"/>
  <c r="L222" i="80"/>
  <c r="K222" i="80"/>
  <c r="J222" i="80"/>
  <c r="I222" i="80"/>
  <c r="H222" i="80"/>
  <c r="G222" i="80"/>
  <c r="F222" i="80"/>
  <c r="E222" i="80"/>
  <c r="D222" i="80"/>
  <c r="C222" i="80"/>
  <c r="M218" i="80"/>
  <c r="L218" i="80"/>
  <c r="K218" i="80"/>
  <c r="J218" i="80"/>
  <c r="I218" i="80"/>
  <c r="H218" i="80"/>
  <c r="G218" i="80"/>
  <c r="F218" i="80"/>
  <c r="E218" i="80"/>
  <c r="D218" i="80"/>
  <c r="C218" i="80"/>
  <c r="B218" i="80"/>
  <c r="M217" i="80"/>
  <c r="L217" i="80"/>
  <c r="K217" i="80"/>
  <c r="J217" i="80"/>
  <c r="I217" i="80"/>
  <c r="H217" i="80"/>
  <c r="G217" i="80"/>
  <c r="F217" i="80"/>
  <c r="E217" i="80"/>
  <c r="D217" i="80"/>
  <c r="C217" i="80"/>
  <c r="B217" i="80"/>
  <c r="M216" i="80"/>
  <c r="L216" i="80"/>
  <c r="K216" i="80"/>
  <c r="J216" i="80"/>
  <c r="I216" i="80"/>
  <c r="H216" i="80"/>
  <c r="G216" i="80"/>
  <c r="F216" i="80"/>
  <c r="E216" i="80"/>
  <c r="D216" i="80"/>
  <c r="C216" i="80"/>
  <c r="B216" i="80"/>
  <c r="M215" i="80"/>
  <c r="L215" i="80"/>
  <c r="K215" i="80"/>
  <c r="J215" i="80"/>
  <c r="I215" i="80"/>
  <c r="H215" i="80"/>
  <c r="G215" i="80"/>
  <c r="F215" i="80"/>
  <c r="E215" i="80"/>
  <c r="D215" i="80"/>
  <c r="C215" i="80"/>
  <c r="B215" i="80"/>
  <c r="M214" i="80"/>
  <c r="L214" i="80"/>
  <c r="K214" i="80"/>
  <c r="J214" i="80"/>
  <c r="I214" i="80"/>
  <c r="H214" i="80"/>
  <c r="G214" i="80"/>
  <c r="F214" i="80"/>
  <c r="E214" i="80"/>
  <c r="D214" i="80"/>
  <c r="C214" i="80"/>
  <c r="B214" i="80"/>
  <c r="M213" i="80"/>
  <c r="L213" i="80"/>
  <c r="K213" i="80"/>
  <c r="J213" i="80"/>
  <c r="I213" i="80"/>
  <c r="H213" i="80"/>
  <c r="G213" i="80"/>
  <c r="F213" i="80"/>
  <c r="E213" i="80"/>
  <c r="D213" i="80"/>
  <c r="C213" i="80"/>
  <c r="B213" i="80"/>
  <c r="M212" i="80"/>
  <c r="L212" i="80"/>
  <c r="K212" i="80"/>
  <c r="J212" i="80"/>
  <c r="I212" i="80"/>
  <c r="H212" i="80"/>
  <c r="G212" i="80"/>
  <c r="F212" i="80"/>
  <c r="E212" i="80"/>
  <c r="D212" i="80"/>
  <c r="C212" i="80"/>
  <c r="M208" i="80"/>
  <c r="L208" i="80"/>
  <c r="K208" i="80"/>
  <c r="J208" i="80"/>
  <c r="I208" i="80"/>
  <c r="H208" i="80"/>
  <c r="G208" i="80"/>
  <c r="F208" i="80"/>
  <c r="E208" i="80"/>
  <c r="D208" i="80"/>
  <c r="C208" i="80"/>
  <c r="B208" i="80"/>
  <c r="M207" i="80"/>
  <c r="L207" i="80"/>
  <c r="K207" i="80"/>
  <c r="J207" i="80"/>
  <c r="I207" i="80"/>
  <c r="H207" i="80"/>
  <c r="G207" i="80"/>
  <c r="F207" i="80"/>
  <c r="E207" i="80"/>
  <c r="D207" i="80"/>
  <c r="C207" i="80"/>
  <c r="B207" i="80"/>
  <c r="M206" i="80"/>
  <c r="L206" i="80"/>
  <c r="K206" i="80"/>
  <c r="J206" i="80"/>
  <c r="I206" i="80"/>
  <c r="H206" i="80"/>
  <c r="G206" i="80"/>
  <c r="F206" i="80"/>
  <c r="E206" i="80"/>
  <c r="D206" i="80"/>
  <c r="C206" i="80"/>
  <c r="B206" i="80"/>
  <c r="M205" i="80"/>
  <c r="L205" i="80"/>
  <c r="K205" i="80"/>
  <c r="J205" i="80"/>
  <c r="I205" i="80"/>
  <c r="H205" i="80"/>
  <c r="G205" i="80"/>
  <c r="F205" i="80"/>
  <c r="E205" i="80"/>
  <c r="D205" i="80"/>
  <c r="C205" i="80"/>
  <c r="B205" i="80"/>
  <c r="M204" i="80"/>
  <c r="L204" i="80"/>
  <c r="K204" i="80"/>
  <c r="J204" i="80"/>
  <c r="I204" i="80"/>
  <c r="H204" i="80"/>
  <c r="G204" i="80"/>
  <c r="F204" i="80"/>
  <c r="E204" i="80"/>
  <c r="D204" i="80"/>
  <c r="C204" i="80"/>
  <c r="B204" i="80"/>
  <c r="M203" i="80"/>
  <c r="L203" i="80"/>
  <c r="K203" i="80"/>
  <c r="J203" i="80"/>
  <c r="I203" i="80"/>
  <c r="H203" i="80"/>
  <c r="G203" i="80"/>
  <c r="F203" i="80"/>
  <c r="E203" i="80"/>
  <c r="D203" i="80"/>
  <c r="C203" i="80"/>
  <c r="B203" i="80"/>
  <c r="M202" i="80"/>
  <c r="L202" i="80"/>
  <c r="K202" i="80"/>
  <c r="J202" i="80"/>
  <c r="I202" i="80"/>
  <c r="H202" i="80"/>
  <c r="G202" i="80"/>
  <c r="F202" i="80"/>
  <c r="E202" i="80"/>
  <c r="D202" i="80"/>
  <c r="C202" i="80"/>
  <c r="M195" i="80"/>
  <c r="L195" i="80"/>
  <c r="K195" i="80"/>
  <c r="J195" i="80"/>
  <c r="I195" i="80"/>
  <c r="H195" i="80"/>
  <c r="G195" i="80"/>
  <c r="F195" i="80"/>
  <c r="E195" i="80"/>
  <c r="D195" i="80"/>
  <c r="C195" i="80"/>
  <c r="B195" i="80"/>
  <c r="M194" i="80"/>
  <c r="L194" i="80"/>
  <c r="K194" i="80"/>
  <c r="J194" i="80"/>
  <c r="I194" i="80"/>
  <c r="H194" i="80"/>
  <c r="G194" i="80"/>
  <c r="F194" i="80"/>
  <c r="E194" i="80"/>
  <c r="D194" i="80"/>
  <c r="C194" i="80"/>
  <c r="B194" i="80"/>
  <c r="M193" i="80"/>
  <c r="L193" i="80"/>
  <c r="K193" i="80"/>
  <c r="J193" i="80"/>
  <c r="I193" i="80"/>
  <c r="H193" i="80"/>
  <c r="G193" i="80"/>
  <c r="F193" i="80"/>
  <c r="E193" i="80"/>
  <c r="D193" i="80"/>
  <c r="C193" i="80"/>
  <c r="B193" i="80"/>
  <c r="M192" i="80"/>
  <c r="L192" i="80"/>
  <c r="K192" i="80"/>
  <c r="J192" i="80"/>
  <c r="I192" i="80"/>
  <c r="H192" i="80"/>
  <c r="G192" i="80"/>
  <c r="F192" i="80"/>
  <c r="E192" i="80"/>
  <c r="D192" i="80"/>
  <c r="C192" i="80"/>
  <c r="B192" i="80"/>
  <c r="M191" i="80"/>
  <c r="L191" i="80"/>
  <c r="K191" i="80"/>
  <c r="J191" i="80"/>
  <c r="I191" i="80"/>
  <c r="H191" i="80"/>
  <c r="G191" i="80"/>
  <c r="F191" i="80"/>
  <c r="E191" i="80"/>
  <c r="D191" i="80"/>
  <c r="C191" i="80"/>
  <c r="B191" i="80"/>
  <c r="M190" i="80"/>
  <c r="L190" i="80"/>
  <c r="K190" i="80"/>
  <c r="J190" i="80"/>
  <c r="I190" i="80"/>
  <c r="H190" i="80"/>
  <c r="G190" i="80"/>
  <c r="F190" i="80"/>
  <c r="E190" i="80"/>
  <c r="D190" i="80"/>
  <c r="C190" i="80"/>
  <c r="B190" i="80"/>
  <c r="M189" i="80"/>
  <c r="L189" i="80"/>
  <c r="K189" i="80"/>
  <c r="J189" i="80"/>
  <c r="I189" i="80"/>
  <c r="H189" i="80"/>
  <c r="G189" i="80"/>
  <c r="F189" i="80"/>
  <c r="E189" i="80"/>
  <c r="D189" i="80"/>
  <c r="C189" i="80"/>
  <c r="B189" i="80"/>
  <c r="M188" i="80"/>
  <c r="L188" i="80"/>
  <c r="K188" i="80"/>
  <c r="J188" i="80"/>
  <c r="I188" i="80"/>
  <c r="H188" i="80"/>
  <c r="G188" i="80"/>
  <c r="F188" i="80"/>
  <c r="E188" i="80"/>
  <c r="D188" i="80"/>
  <c r="C188" i="80"/>
  <c r="B188" i="80"/>
  <c r="M187" i="80"/>
  <c r="L187" i="80"/>
  <c r="K187" i="80"/>
  <c r="J187" i="80"/>
  <c r="I187" i="80"/>
  <c r="H187" i="80"/>
  <c r="G187" i="80"/>
  <c r="F187" i="80"/>
  <c r="E187" i="80"/>
  <c r="D187" i="80"/>
  <c r="C187" i="80"/>
  <c r="B187" i="80"/>
  <c r="M186" i="80"/>
  <c r="L186" i="80"/>
  <c r="K186" i="80"/>
  <c r="J186" i="80"/>
  <c r="I186" i="80"/>
  <c r="H186" i="80"/>
  <c r="G186" i="80"/>
  <c r="F186" i="80"/>
  <c r="E186" i="80"/>
  <c r="D186" i="80"/>
  <c r="C186" i="80"/>
  <c r="M184" i="80"/>
  <c r="L184" i="80"/>
  <c r="K184" i="80"/>
  <c r="J184" i="80"/>
  <c r="I184" i="80"/>
  <c r="H184" i="80"/>
  <c r="G184" i="80"/>
  <c r="F184" i="80"/>
  <c r="E184" i="80"/>
  <c r="D184" i="80"/>
  <c r="C184" i="80"/>
  <c r="B184" i="80"/>
  <c r="M183" i="80"/>
  <c r="L183" i="80"/>
  <c r="K183" i="80"/>
  <c r="J183" i="80"/>
  <c r="I183" i="80"/>
  <c r="H183" i="80"/>
  <c r="G183" i="80"/>
  <c r="F183" i="80"/>
  <c r="E183" i="80"/>
  <c r="D183" i="80"/>
  <c r="C183" i="80"/>
  <c r="B183" i="80"/>
  <c r="M182" i="80"/>
  <c r="L182" i="80"/>
  <c r="K182" i="80"/>
  <c r="J182" i="80"/>
  <c r="I182" i="80"/>
  <c r="H182" i="80"/>
  <c r="G182" i="80"/>
  <c r="F182" i="80"/>
  <c r="E182" i="80"/>
  <c r="D182" i="80"/>
  <c r="C182" i="80"/>
  <c r="B182" i="80"/>
  <c r="M181" i="80"/>
  <c r="L181" i="80"/>
  <c r="K181" i="80"/>
  <c r="J181" i="80"/>
  <c r="I181" i="80"/>
  <c r="H181" i="80"/>
  <c r="G181" i="80"/>
  <c r="F181" i="80"/>
  <c r="E181" i="80"/>
  <c r="D181" i="80"/>
  <c r="C181" i="80"/>
  <c r="B181" i="80"/>
  <c r="M180" i="80"/>
  <c r="L180" i="80"/>
  <c r="K180" i="80"/>
  <c r="J180" i="80"/>
  <c r="I180" i="80"/>
  <c r="H180" i="80"/>
  <c r="G180" i="80"/>
  <c r="F180" i="80"/>
  <c r="E180" i="80"/>
  <c r="D180" i="80"/>
  <c r="C180" i="80"/>
  <c r="B180" i="80"/>
  <c r="M179" i="80"/>
  <c r="L179" i="80"/>
  <c r="K179" i="80"/>
  <c r="J179" i="80"/>
  <c r="I179" i="80"/>
  <c r="H179" i="80"/>
  <c r="G179" i="80"/>
  <c r="F179" i="80"/>
  <c r="E179" i="80"/>
  <c r="D179" i="80"/>
  <c r="C179" i="80"/>
  <c r="B179" i="80"/>
  <c r="M178" i="80"/>
  <c r="L178" i="80"/>
  <c r="K178" i="80"/>
  <c r="J178" i="80"/>
  <c r="I178" i="80"/>
  <c r="H178" i="80"/>
  <c r="G178" i="80"/>
  <c r="F178" i="80"/>
  <c r="E178" i="80"/>
  <c r="D178" i="80"/>
  <c r="C178" i="80"/>
  <c r="B178" i="80"/>
  <c r="M177" i="80"/>
  <c r="L177" i="80"/>
  <c r="K177" i="80"/>
  <c r="J177" i="80"/>
  <c r="I177" i="80"/>
  <c r="H177" i="80"/>
  <c r="G177" i="80"/>
  <c r="F177" i="80"/>
  <c r="E177" i="80"/>
  <c r="D177" i="80"/>
  <c r="C177" i="80"/>
  <c r="B177" i="80"/>
  <c r="M176" i="80"/>
  <c r="L176" i="80"/>
  <c r="K176" i="80"/>
  <c r="J176" i="80"/>
  <c r="I176" i="80"/>
  <c r="H176" i="80"/>
  <c r="G176" i="80"/>
  <c r="F176" i="80"/>
  <c r="E176" i="80"/>
  <c r="D176" i="80"/>
  <c r="C176" i="80"/>
  <c r="B176" i="80"/>
  <c r="M175" i="80"/>
  <c r="L175" i="80"/>
  <c r="K175" i="80"/>
  <c r="J175" i="80"/>
  <c r="I175" i="80"/>
  <c r="H175" i="80"/>
  <c r="G175" i="80"/>
  <c r="F175" i="80"/>
  <c r="E175" i="80"/>
  <c r="D175" i="80"/>
  <c r="C175" i="80"/>
  <c r="M173" i="80"/>
  <c r="L173" i="80"/>
  <c r="K173" i="80"/>
  <c r="J173" i="80"/>
  <c r="I173" i="80"/>
  <c r="H173" i="80"/>
  <c r="G173" i="80"/>
  <c r="F173" i="80"/>
  <c r="E173" i="80"/>
  <c r="D173" i="80"/>
  <c r="C173" i="80"/>
  <c r="B173" i="80"/>
  <c r="M172" i="80"/>
  <c r="L172" i="80"/>
  <c r="K172" i="80"/>
  <c r="J172" i="80"/>
  <c r="I172" i="80"/>
  <c r="H172" i="80"/>
  <c r="G172" i="80"/>
  <c r="F172" i="80"/>
  <c r="E172" i="80"/>
  <c r="D172" i="80"/>
  <c r="C172" i="80"/>
  <c r="B172" i="80"/>
  <c r="M171" i="80"/>
  <c r="L171" i="80"/>
  <c r="K171" i="80"/>
  <c r="J171" i="80"/>
  <c r="I171" i="80"/>
  <c r="H171" i="80"/>
  <c r="G171" i="80"/>
  <c r="F171" i="80"/>
  <c r="E171" i="80"/>
  <c r="D171" i="80"/>
  <c r="C171" i="80"/>
  <c r="B171" i="80"/>
  <c r="M170" i="80"/>
  <c r="L170" i="80"/>
  <c r="K170" i="80"/>
  <c r="J170" i="80"/>
  <c r="I170" i="80"/>
  <c r="H170" i="80"/>
  <c r="G170" i="80"/>
  <c r="F170" i="80"/>
  <c r="E170" i="80"/>
  <c r="D170" i="80"/>
  <c r="C170" i="80"/>
  <c r="B170" i="80"/>
  <c r="M169" i="80"/>
  <c r="L169" i="80"/>
  <c r="K169" i="80"/>
  <c r="J169" i="80"/>
  <c r="I169" i="80"/>
  <c r="H169" i="80"/>
  <c r="G169" i="80"/>
  <c r="F169" i="80"/>
  <c r="E169" i="80"/>
  <c r="D169" i="80"/>
  <c r="C169" i="80"/>
  <c r="B169" i="80"/>
  <c r="M168" i="80"/>
  <c r="L168" i="80"/>
  <c r="K168" i="80"/>
  <c r="J168" i="80"/>
  <c r="I168" i="80"/>
  <c r="H168" i="80"/>
  <c r="G168" i="80"/>
  <c r="F168" i="80"/>
  <c r="E168" i="80"/>
  <c r="D168" i="80"/>
  <c r="C168" i="80"/>
  <c r="B168" i="80"/>
  <c r="M167" i="80"/>
  <c r="L167" i="80"/>
  <c r="K167" i="80"/>
  <c r="J167" i="80"/>
  <c r="I167" i="80"/>
  <c r="H167" i="80"/>
  <c r="G167" i="80"/>
  <c r="F167" i="80"/>
  <c r="E167" i="80"/>
  <c r="D167" i="80"/>
  <c r="C167" i="80"/>
  <c r="B167" i="80"/>
  <c r="M166" i="80"/>
  <c r="L166" i="80"/>
  <c r="K166" i="80"/>
  <c r="J166" i="80"/>
  <c r="I166" i="80"/>
  <c r="H166" i="80"/>
  <c r="G166" i="80"/>
  <c r="F166" i="80"/>
  <c r="E166" i="80"/>
  <c r="D166" i="80"/>
  <c r="C166" i="80"/>
  <c r="B166" i="80"/>
  <c r="M165" i="80"/>
  <c r="L165" i="80"/>
  <c r="K165" i="80"/>
  <c r="J165" i="80"/>
  <c r="I165" i="80"/>
  <c r="H165" i="80"/>
  <c r="G165" i="80"/>
  <c r="F165" i="80"/>
  <c r="E165" i="80"/>
  <c r="D165" i="80"/>
  <c r="C165" i="80"/>
  <c r="B165" i="80"/>
  <c r="M164" i="80"/>
  <c r="L164" i="80"/>
  <c r="K164" i="80"/>
  <c r="J164" i="80"/>
  <c r="I164" i="80"/>
  <c r="H164" i="80"/>
  <c r="G164" i="80"/>
  <c r="F164" i="80"/>
  <c r="E164" i="80"/>
  <c r="D164" i="80"/>
  <c r="C164" i="80"/>
  <c r="M162" i="80"/>
  <c r="L162" i="80"/>
  <c r="K162" i="80"/>
  <c r="J162" i="80"/>
  <c r="I162" i="80"/>
  <c r="H162" i="80"/>
  <c r="G162" i="80"/>
  <c r="F162" i="80"/>
  <c r="E162" i="80"/>
  <c r="D162" i="80"/>
  <c r="C162" i="80"/>
  <c r="B162" i="80"/>
  <c r="M161" i="80"/>
  <c r="L161" i="80"/>
  <c r="K161" i="80"/>
  <c r="J161" i="80"/>
  <c r="I161" i="80"/>
  <c r="H161" i="80"/>
  <c r="G161" i="80"/>
  <c r="F161" i="80"/>
  <c r="E161" i="80"/>
  <c r="D161" i="80"/>
  <c r="C161" i="80"/>
  <c r="B161" i="80"/>
  <c r="M160" i="80"/>
  <c r="L160" i="80"/>
  <c r="K160" i="80"/>
  <c r="J160" i="80"/>
  <c r="I160" i="80"/>
  <c r="H160" i="80"/>
  <c r="G160" i="80"/>
  <c r="F160" i="80"/>
  <c r="E160" i="80"/>
  <c r="D160" i="80"/>
  <c r="C160" i="80"/>
  <c r="B160" i="80"/>
  <c r="M159" i="80"/>
  <c r="L159" i="80"/>
  <c r="K159" i="80"/>
  <c r="J159" i="80"/>
  <c r="I159" i="80"/>
  <c r="H159" i="80"/>
  <c r="G159" i="80"/>
  <c r="F159" i="80"/>
  <c r="E159" i="80"/>
  <c r="D159" i="80"/>
  <c r="C159" i="80"/>
  <c r="B159" i="80"/>
  <c r="M158" i="80"/>
  <c r="L158" i="80"/>
  <c r="K158" i="80"/>
  <c r="J158" i="80"/>
  <c r="I158" i="80"/>
  <c r="H158" i="80"/>
  <c r="G158" i="80"/>
  <c r="F158" i="80"/>
  <c r="E158" i="80"/>
  <c r="D158" i="80"/>
  <c r="C158" i="80"/>
  <c r="B158" i="80"/>
  <c r="M157" i="80"/>
  <c r="L157" i="80"/>
  <c r="K157" i="80"/>
  <c r="J157" i="80"/>
  <c r="I157" i="80"/>
  <c r="H157" i="80"/>
  <c r="G157" i="80"/>
  <c r="F157" i="80"/>
  <c r="E157" i="80"/>
  <c r="D157" i="80"/>
  <c r="C157" i="80"/>
  <c r="B157" i="80"/>
  <c r="M156" i="80"/>
  <c r="L156" i="80"/>
  <c r="K156" i="80"/>
  <c r="J156" i="80"/>
  <c r="I156" i="80"/>
  <c r="H156" i="80"/>
  <c r="G156" i="80"/>
  <c r="F156" i="80"/>
  <c r="E156" i="80"/>
  <c r="D156" i="80"/>
  <c r="C156" i="80"/>
  <c r="B156" i="80"/>
  <c r="M155" i="80"/>
  <c r="L155" i="80"/>
  <c r="K155" i="80"/>
  <c r="J155" i="80"/>
  <c r="I155" i="80"/>
  <c r="H155" i="80"/>
  <c r="G155" i="80"/>
  <c r="F155" i="80"/>
  <c r="E155" i="80"/>
  <c r="D155" i="80"/>
  <c r="C155" i="80"/>
  <c r="B155" i="80"/>
  <c r="M154" i="80"/>
  <c r="L154" i="80"/>
  <c r="K154" i="80"/>
  <c r="J154" i="80"/>
  <c r="I154" i="80"/>
  <c r="H154" i="80"/>
  <c r="G154" i="80"/>
  <c r="F154" i="80"/>
  <c r="E154" i="80"/>
  <c r="D154" i="80"/>
  <c r="C154" i="80"/>
  <c r="B154" i="80"/>
  <c r="M153" i="80"/>
  <c r="L153" i="80"/>
  <c r="K153" i="80"/>
  <c r="J153" i="80"/>
  <c r="I153" i="80"/>
  <c r="H153" i="80"/>
  <c r="G153" i="80"/>
  <c r="F153" i="80"/>
  <c r="E153" i="80"/>
  <c r="D153" i="80"/>
  <c r="C153" i="80"/>
  <c r="M151" i="80"/>
  <c r="L151" i="80"/>
  <c r="K151" i="80"/>
  <c r="J151" i="80"/>
  <c r="I151" i="80"/>
  <c r="H151" i="80"/>
  <c r="G151" i="80"/>
  <c r="F151" i="80"/>
  <c r="E151" i="80"/>
  <c r="D151" i="80"/>
  <c r="C151" i="80"/>
  <c r="B151" i="80"/>
  <c r="M150" i="80"/>
  <c r="L150" i="80"/>
  <c r="K150" i="80"/>
  <c r="J150" i="80"/>
  <c r="I150" i="80"/>
  <c r="H150" i="80"/>
  <c r="G150" i="80"/>
  <c r="F150" i="80"/>
  <c r="E150" i="80"/>
  <c r="D150" i="80"/>
  <c r="C150" i="80"/>
  <c r="B150" i="80"/>
  <c r="M149" i="80"/>
  <c r="L149" i="80"/>
  <c r="K149" i="80"/>
  <c r="J149" i="80"/>
  <c r="I149" i="80"/>
  <c r="H149" i="80"/>
  <c r="G149" i="80"/>
  <c r="F149" i="80"/>
  <c r="E149" i="80"/>
  <c r="D149" i="80"/>
  <c r="C149" i="80"/>
  <c r="B149" i="80"/>
  <c r="M148" i="80"/>
  <c r="L148" i="80"/>
  <c r="K148" i="80"/>
  <c r="J148" i="80"/>
  <c r="I148" i="80"/>
  <c r="H148" i="80"/>
  <c r="G148" i="80"/>
  <c r="F148" i="80"/>
  <c r="E148" i="80"/>
  <c r="D148" i="80"/>
  <c r="C148" i="80"/>
  <c r="B148" i="80"/>
  <c r="M147" i="80"/>
  <c r="L147" i="80"/>
  <c r="K147" i="80"/>
  <c r="J147" i="80"/>
  <c r="I147" i="80"/>
  <c r="H147" i="80"/>
  <c r="G147" i="80"/>
  <c r="F147" i="80"/>
  <c r="E147" i="80"/>
  <c r="D147" i="80"/>
  <c r="C147" i="80"/>
  <c r="B147" i="80"/>
  <c r="M146" i="80"/>
  <c r="L146" i="80"/>
  <c r="K146" i="80"/>
  <c r="J146" i="80"/>
  <c r="I146" i="80"/>
  <c r="H146" i="80"/>
  <c r="G146" i="80"/>
  <c r="F146" i="80"/>
  <c r="E146" i="80"/>
  <c r="D146" i="80"/>
  <c r="C146" i="80"/>
  <c r="B146" i="80"/>
  <c r="M145" i="80"/>
  <c r="L145" i="80"/>
  <c r="K145" i="80"/>
  <c r="J145" i="80"/>
  <c r="I145" i="80"/>
  <c r="H145" i="80"/>
  <c r="G145" i="80"/>
  <c r="F145" i="80"/>
  <c r="E145" i="80"/>
  <c r="D145" i="80"/>
  <c r="C145" i="80"/>
  <c r="B145" i="80"/>
  <c r="M144" i="80"/>
  <c r="L144" i="80"/>
  <c r="K144" i="80"/>
  <c r="J144" i="80"/>
  <c r="I144" i="80"/>
  <c r="H144" i="80"/>
  <c r="G144" i="80"/>
  <c r="F144" i="80"/>
  <c r="E144" i="80"/>
  <c r="D144" i="80"/>
  <c r="C144" i="80"/>
  <c r="B144" i="80"/>
  <c r="M143" i="80"/>
  <c r="L143" i="80"/>
  <c r="K143" i="80"/>
  <c r="J143" i="80"/>
  <c r="I143" i="80"/>
  <c r="H143" i="80"/>
  <c r="G143" i="80"/>
  <c r="F143" i="80"/>
  <c r="E143" i="80"/>
  <c r="D143" i="80"/>
  <c r="C143" i="80"/>
  <c r="B143" i="80"/>
  <c r="M142" i="80"/>
  <c r="L142" i="80"/>
  <c r="K142" i="80"/>
  <c r="J142" i="80"/>
  <c r="I142" i="80"/>
  <c r="H142" i="80"/>
  <c r="G142" i="80"/>
  <c r="F142" i="80"/>
  <c r="E142" i="80"/>
  <c r="D142" i="80"/>
  <c r="C142" i="80"/>
  <c r="M140" i="80"/>
  <c r="L140" i="80"/>
  <c r="K140" i="80"/>
  <c r="J140" i="80"/>
  <c r="I140" i="80"/>
  <c r="H140" i="80"/>
  <c r="G140" i="80"/>
  <c r="F140" i="80"/>
  <c r="E140" i="80"/>
  <c r="D140" i="80"/>
  <c r="C140" i="80"/>
  <c r="B140" i="80"/>
  <c r="M139" i="80"/>
  <c r="L139" i="80"/>
  <c r="K139" i="80"/>
  <c r="J139" i="80"/>
  <c r="I139" i="80"/>
  <c r="H139" i="80"/>
  <c r="G139" i="80"/>
  <c r="F139" i="80"/>
  <c r="E139" i="80"/>
  <c r="D139" i="80"/>
  <c r="C139" i="80"/>
  <c r="B139" i="80"/>
  <c r="M138" i="80"/>
  <c r="L138" i="80"/>
  <c r="K138" i="80"/>
  <c r="J138" i="80"/>
  <c r="I138" i="80"/>
  <c r="H138" i="80"/>
  <c r="G138" i="80"/>
  <c r="F138" i="80"/>
  <c r="E138" i="80"/>
  <c r="D138" i="80"/>
  <c r="C138" i="80"/>
  <c r="B138" i="80"/>
  <c r="M137" i="80"/>
  <c r="L137" i="80"/>
  <c r="K137" i="80"/>
  <c r="J137" i="80"/>
  <c r="I137" i="80"/>
  <c r="H137" i="80"/>
  <c r="G137" i="80"/>
  <c r="F137" i="80"/>
  <c r="E137" i="80"/>
  <c r="D137" i="80"/>
  <c r="C137" i="80"/>
  <c r="B137" i="80"/>
  <c r="M136" i="80"/>
  <c r="L136" i="80"/>
  <c r="K136" i="80"/>
  <c r="J136" i="80"/>
  <c r="I136" i="80"/>
  <c r="H136" i="80"/>
  <c r="G136" i="80"/>
  <c r="F136" i="80"/>
  <c r="E136" i="80"/>
  <c r="D136" i="80"/>
  <c r="C136" i="80"/>
  <c r="B136" i="80"/>
  <c r="M135" i="80"/>
  <c r="L135" i="80"/>
  <c r="K135" i="80"/>
  <c r="J135" i="80"/>
  <c r="I135" i="80"/>
  <c r="H135" i="80"/>
  <c r="G135" i="80"/>
  <c r="F135" i="80"/>
  <c r="E135" i="80"/>
  <c r="D135" i="80"/>
  <c r="C135" i="80"/>
  <c r="B135" i="80"/>
  <c r="M134" i="80"/>
  <c r="L134" i="80"/>
  <c r="K134" i="80"/>
  <c r="J134" i="80"/>
  <c r="I134" i="80"/>
  <c r="H134" i="80"/>
  <c r="G134" i="80"/>
  <c r="F134" i="80"/>
  <c r="E134" i="80"/>
  <c r="D134" i="80"/>
  <c r="C134" i="80"/>
  <c r="B134" i="80"/>
  <c r="M133" i="80"/>
  <c r="L133" i="80"/>
  <c r="K133" i="80"/>
  <c r="J133" i="80"/>
  <c r="I133" i="80"/>
  <c r="H133" i="80"/>
  <c r="G133" i="80"/>
  <c r="F133" i="80"/>
  <c r="E133" i="80"/>
  <c r="D133" i="80"/>
  <c r="C133" i="80"/>
  <c r="B133" i="80"/>
  <c r="M132" i="80"/>
  <c r="L132" i="80"/>
  <c r="K132" i="80"/>
  <c r="J132" i="80"/>
  <c r="I132" i="80"/>
  <c r="H132" i="80"/>
  <c r="G132" i="80"/>
  <c r="F132" i="80"/>
  <c r="E132" i="80"/>
  <c r="D132" i="80"/>
  <c r="C132" i="80"/>
  <c r="B132" i="80"/>
  <c r="M131" i="80"/>
  <c r="L131" i="80"/>
  <c r="K131" i="80"/>
  <c r="J131" i="80"/>
  <c r="I131" i="80"/>
  <c r="H131" i="80"/>
  <c r="G131" i="80"/>
  <c r="F131" i="80"/>
  <c r="E131" i="80"/>
  <c r="D131" i="80"/>
  <c r="C131" i="80"/>
  <c r="M129" i="80"/>
  <c r="L129" i="80"/>
  <c r="K129" i="80"/>
  <c r="J129" i="80"/>
  <c r="I129" i="80"/>
  <c r="H129" i="80"/>
  <c r="G129" i="80"/>
  <c r="F129" i="80"/>
  <c r="E129" i="80"/>
  <c r="D129" i="80"/>
  <c r="C129" i="80"/>
  <c r="B129" i="80"/>
  <c r="M128" i="80"/>
  <c r="L128" i="80"/>
  <c r="K128" i="80"/>
  <c r="J128" i="80"/>
  <c r="I128" i="80"/>
  <c r="H128" i="80"/>
  <c r="G128" i="80"/>
  <c r="F128" i="80"/>
  <c r="E128" i="80"/>
  <c r="D128" i="80"/>
  <c r="C128" i="80"/>
  <c r="B128" i="80"/>
  <c r="M127" i="80"/>
  <c r="L127" i="80"/>
  <c r="K127" i="80"/>
  <c r="J127" i="80"/>
  <c r="I127" i="80"/>
  <c r="H127" i="80"/>
  <c r="G127" i="80"/>
  <c r="F127" i="80"/>
  <c r="E127" i="80"/>
  <c r="D127" i="80"/>
  <c r="C127" i="80"/>
  <c r="B127" i="80"/>
  <c r="M126" i="80"/>
  <c r="L126" i="80"/>
  <c r="K126" i="80"/>
  <c r="J126" i="80"/>
  <c r="I126" i="80"/>
  <c r="H126" i="80"/>
  <c r="G126" i="80"/>
  <c r="F126" i="80"/>
  <c r="E126" i="80"/>
  <c r="D126" i="80"/>
  <c r="C126" i="80"/>
  <c r="B126" i="80"/>
  <c r="M125" i="80"/>
  <c r="L125" i="80"/>
  <c r="K125" i="80"/>
  <c r="J125" i="80"/>
  <c r="I125" i="80"/>
  <c r="H125" i="80"/>
  <c r="G125" i="80"/>
  <c r="F125" i="80"/>
  <c r="E125" i="80"/>
  <c r="D125" i="80"/>
  <c r="C125" i="80"/>
  <c r="B125" i="80"/>
  <c r="M124" i="80"/>
  <c r="L124" i="80"/>
  <c r="K124" i="80"/>
  <c r="J124" i="80"/>
  <c r="I124" i="80"/>
  <c r="H124" i="80"/>
  <c r="G124" i="80"/>
  <c r="F124" i="80"/>
  <c r="E124" i="80"/>
  <c r="D124" i="80"/>
  <c r="C124" i="80"/>
  <c r="B124" i="80"/>
  <c r="M123" i="80"/>
  <c r="L123" i="80"/>
  <c r="K123" i="80"/>
  <c r="J123" i="80"/>
  <c r="I123" i="80"/>
  <c r="H123" i="80"/>
  <c r="G123" i="80"/>
  <c r="F123" i="80"/>
  <c r="E123" i="80"/>
  <c r="D123" i="80"/>
  <c r="C123" i="80"/>
  <c r="B123" i="80"/>
  <c r="M122" i="80"/>
  <c r="L122" i="80"/>
  <c r="K122" i="80"/>
  <c r="J122" i="80"/>
  <c r="I122" i="80"/>
  <c r="H122" i="80"/>
  <c r="G122" i="80"/>
  <c r="F122" i="80"/>
  <c r="E122" i="80"/>
  <c r="D122" i="80"/>
  <c r="C122" i="80"/>
  <c r="B122" i="80"/>
  <c r="M121" i="80"/>
  <c r="L121" i="80"/>
  <c r="K121" i="80"/>
  <c r="J121" i="80"/>
  <c r="I121" i="80"/>
  <c r="H121" i="80"/>
  <c r="G121" i="80"/>
  <c r="F121" i="80"/>
  <c r="E121" i="80"/>
  <c r="D121" i="80"/>
  <c r="C121" i="80"/>
  <c r="B121" i="80"/>
  <c r="M120" i="80"/>
  <c r="L120" i="80"/>
  <c r="K120" i="80"/>
  <c r="J120" i="80"/>
  <c r="I120" i="80"/>
  <c r="H120" i="80"/>
  <c r="G120" i="80"/>
  <c r="F120" i="80"/>
  <c r="E120" i="80"/>
  <c r="D120" i="80"/>
  <c r="C120" i="80"/>
  <c r="P119" i="80"/>
  <c r="AN122" i="80" s="1"/>
  <c r="M118" i="80"/>
  <c r="L118" i="80"/>
  <c r="K118" i="80"/>
  <c r="J118" i="80"/>
  <c r="I118" i="80"/>
  <c r="H118" i="80"/>
  <c r="G118" i="80"/>
  <c r="F118" i="80"/>
  <c r="E118" i="80"/>
  <c r="D118" i="80"/>
  <c r="C118" i="80"/>
  <c r="B118" i="80"/>
  <c r="M117" i="80"/>
  <c r="L117" i="80"/>
  <c r="K117" i="80"/>
  <c r="J117" i="80"/>
  <c r="I117" i="80"/>
  <c r="H117" i="80"/>
  <c r="G117" i="80"/>
  <c r="F117" i="80"/>
  <c r="E117" i="80"/>
  <c r="D117" i="80"/>
  <c r="C117" i="80"/>
  <c r="B117" i="80"/>
  <c r="M116" i="80"/>
  <c r="L116" i="80"/>
  <c r="K116" i="80"/>
  <c r="J116" i="80"/>
  <c r="I116" i="80"/>
  <c r="H116" i="80"/>
  <c r="G116" i="80"/>
  <c r="F116" i="80"/>
  <c r="E116" i="80"/>
  <c r="D116" i="80"/>
  <c r="C116" i="80"/>
  <c r="B116" i="80"/>
  <c r="M115" i="80"/>
  <c r="L115" i="80"/>
  <c r="K115" i="80"/>
  <c r="J115" i="80"/>
  <c r="I115" i="80"/>
  <c r="H115" i="80"/>
  <c r="G115" i="80"/>
  <c r="F115" i="80"/>
  <c r="E115" i="80"/>
  <c r="D115" i="80"/>
  <c r="C115" i="80"/>
  <c r="B115" i="80"/>
  <c r="M114" i="80"/>
  <c r="L114" i="80"/>
  <c r="K114" i="80"/>
  <c r="J114" i="80"/>
  <c r="I114" i="80"/>
  <c r="H114" i="80"/>
  <c r="G114" i="80"/>
  <c r="F114" i="80"/>
  <c r="E114" i="80"/>
  <c r="D114" i="80"/>
  <c r="C114" i="80"/>
  <c r="B114" i="80"/>
  <c r="M113" i="80"/>
  <c r="L113" i="80"/>
  <c r="K113" i="80"/>
  <c r="J113" i="80"/>
  <c r="I113" i="80"/>
  <c r="H113" i="80"/>
  <c r="G113" i="80"/>
  <c r="F113" i="80"/>
  <c r="E113" i="80"/>
  <c r="D113" i="80"/>
  <c r="C113" i="80"/>
  <c r="B113" i="80"/>
  <c r="M112" i="80"/>
  <c r="L112" i="80"/>
  <c r="K112" i="80"/>
  <c r="J112" i="80"/>
  <c r="I112" i="80"/>
  <c r="H112" i="80"/>
  <c r="G112" i="80"/>
  <c r="F112" i="80"/>
  <c r="E112" i="80"/>
  <c r="D112" i="80"/>
  <c r="C112" i="80"/>
  <c r="B112" i="80"/>
  <c r="M111" i="80"/>
  <c r="L111" i="80"/>
  <c r="K111" i="80"/>
  <c r="J111" i="80"/>
  <c r="I111" i="80"/>
  <c r="H111" i="80"/>
  <c r="G111" i="80"/>
  <c r="F111" i="80"/>
  <c r="E111" i="80"/>
  <c r="D111" i="80"/>
  <c r="C111" i="80"/>
  <c r="B111" i="80"/>
  <c r="M110" i="80"/>
  <c r="L110" i="80"/>
  <c r="K110" i="80"/>
  <c r="J110" i="80"/>
  <c r="I110" i="80"/>
  <c r="H110" i="80"/>
  <c r="G110" i="80"/>
  <c r="F110" i="80"/>
  <c r="E110" i="80"/>
  <c r="D110" i="80"/>
  <c r="C110" i="80"/>
  <c r="B110" i="80"/>
  <c r="M109" i="80"/>
  <c r="L109" i="80"/>
  <c r="K109" i="80"/>
  <c r="J109" i="80"/>
  <c r="I109" i="80"/>
  <c r="H109" i="80"/>
  <c r="G109" i="80"/>
  <c r="F109" i="80"/>
  <c r="E109" i="80"/>
  <c r="D109" i="80"/>
  <c r="C109" i="80"/>
  <c r="M107" i="80"/>
  <c r="L107" i="80"/>
  <c r="K107" i="80"/>
  <c r="J107" i="80"/>
  <c r="I107" i="80"/>
  <c r="H107" i="80"/>
  <c r="G107" i="80"/>
  <c r="F107" i="80"/>
  <c r="E107" i="80"/>
  <c r="D107" i="80"/>
  <c r="C107" i="80"/>
  <c r="B107" i="80"/>
  <c r="M106" i="80"/>
  <c r="L106" i="80"/>
  <c r="K106" i="80"/>
  <c r="J106" i="80"/>
  <c r="I106" i="80"/>
  <c r="H106" i="80"/>
  <c r="G106" i="80"/>
  <c r="F106" i="80"/>
  <c r="E106" i="80"/>
  <c r="D106" i="80"/>
  <c r="C106" i="80"/>
  <c r="B106" i="80"/>
  <c r="M105" i="80"/>
  <c r="L105" i="80"/>
  <c r="K105" i="80"/>
  <c r="J105" i="80"/>
  <c r="I105" i="80"/>
  <c r="H105" i="80"/>
  <c r="G105" i="80"/>
  <c r="F105" i="80"/>
  <c r="E105" i="80"/>
  <c r="D105" i="80"/>
  <c r="C105" i="80"/>
  <c r="B105" i="80"/>
  <c r="M104" i="80"/>
  <c r="L104" i="80"/>
  <c r="K104" i="80"/>
  <c r="J104" i="80"/>
  <c r="I104" i="80"/>
  <c r="H104" i="80"/>
  <c r="G104" i="80"/>
  <c r="F104" i="80"/>
  <c r="E104" i="80"/>
  <c r="D104" i="80"/>
  <c r="C104" i="80"/>
  <c r="B104" i="80"/>
  <c r="M103" i="80"/>
  <c r="L103" i="80"/>
  <c r="K103" i="80"/>
  <c r="J103" i="80"/>
  <c r="I103" i="80"/>
  <c r="H103" i="80"/>
  <c r="G103" i="80"/>
  <c r="F103" i="80"/>
  <c r="E103" i="80"/>
  <c r="D103" i="80"/>
  <c r="C103" i="80"/>
  <c r="B103" i="80"/>
  <c r="M102" i="80"/>
  <c r="L102" i="80"/>
  <c r="K102" i="80"/>
  <c r="J102" i="80"/>
  <c r="I102" i="80"/>
  <c r="H102" i="80"/>
  <c r="G102" i="80"/>
  <c r="F102" i="80"/>
  <c r="E102" i="80"/>
  <c r="D102" i="80"/>
  <c r="C102" i="80"/>
  <c r="B102" i="80"/>
  <c r="M101" i="80"/>
  <c r="L101" i="80"/>
  <c r="K101" i="80"/>
  <c r="J101" i="80"/>
  <c r="I101" i="80"/>
  <c r="H101" i="80"/>
  <c r="G101" i="80"/>
  <c r="F101" i="80"/>
  <c r="E101" i="80"/>
  <c r="D101" i="80"/>
  <c r="C101" i="80"/>
  <c r="B101" i="80"/>
  <c r="M100" i="80"/>
  <c r="L100" i="80"/>
  <c r="K100" i="80"/>
  <c r="J100" i="80"/>
  <c r="I100" i="80"/>
  <c r="H100" i="80"/>
  <c r="G100" i="80"/>
  <c r="F100" i="80"/>
  <c r="E100" i="80"/>
  <c r="D100" i="80"/>
  <c r="C100" i="80"/>
  <c r="B100" i="80"/>
  <c r="M99" i="80"/>
  <c r="L99" i="80"/>
  <c r="K99" i="80"/>
  <c r="J99" i="80"/>
  <c r="I99" i="80"/>
  <c r="H99" i="80"/>
  <c r="G99" i="80"/>
  <c r="F99" i="80"/>
  <c r="E99" i="80"/>
  <c r="D99" i="80"/>
  <c r="C99" i="80"/>
  <c r="B99" i="80"/>
  <c r="M98" i="80"/>
  <c r="L98" i="80"/>
  <c r="K98" i="80"/>
  <c r="J98" i="80"/>
  <c r="I98" i="80"/>
  <c r="H98" i="80"/>
  <c r="G98" i="80"/>
  <c r="F98" i="80"/>
  <c r="E98" i="80"/>
  <c r="D98" i="80"/>
  <c r="C98" i="80"/>
  <c r="B89" i="80"/>
  <c r="B88" i="80"/>
  <c r="B87" i="80"/>
  <c r="B86" i="80"/>
  <c r="B85" i="80"/>
  <c r="B84" i="80"/>
  <c r="B83" i="80"/>
  <c r="B82" i="80"/>
  <c r="M81" i="80"/>
  <c r="L81" i="80"/>
  <c r="K81" i="80"/>
  <c r="J81" i="80"/>
  <c r="I81" i="80"/>
  <c r="H81" i="80"/>
  <c r="G81" i="80"/>
  <c r="F81" i="80"/>
  <c r="E81" i="80"/>
  <c r="D81" i="80"/>
  <c r="C81" i="80"/>
  <c r="B80" i="80"/>
  <c r="B79" i="80"/>
  <c r="B78" i="80"/>
  <c r="B77" i="80"/>
  <c r="B76" i="80"/>
  <c r="P75" i="80"/>
  <c r="U86" i="80" s="1"/>
  <c r="B75" i="80"/>
  <c r="B74" i="80"/>
  <c r="B73" i="80"/>
  <c r="M72" i="80"/>
  <c r="L72" i="80"/>
  <c r="K72" i="80"/>
  <c r="J72" i="80"/>
  <c r="I72" i="80"/>
  <c r="H72" i="80"/>
  <c r="G72" i="80"/>
  <c r="F72" i="80"/>
  <c r="E72" i="80"/>
  <c r="D72" i="80"/>
  <c r="C72" i="80"/>
  <c r="B71" i="80"/>
  <c r="B70" i="80"/>
  <c r="B69" i="80"/>
  <c r="B68" i="80"/>
  <c r="B67" i="80"/>
  <c r="B66" i="80"/>
  <c r="B65" i="80"/>
  <c r="B64" i="80"/>
  <c r="M63" i="80"/>
  <c r="L63" i="80"/>
  <c r="K63" i="80"/>
  <c r="J63" i="80"/>
  <c r="I63" i="80"/>
  <c r="H63" i="80"/>
  <c r="G63" i="80"/>
  <c r="F63" i="80"/>
  <c r="E63" i="80"/>
  <c r="D63" i="80"/>
  <c r="C63" i="80"/>
  <c r="B61" i="80"/>
  <c r="B60" i="80"/>
  <c r="B59" i="80"/>
  <c r="B58" i="80"/>
  <c r="B57" i="80"/>
  <c r="B56" i="80"/>
  <c r="B55" i="80"/>
  <c r="B54" i="80"/>
  <c r="M53" i="80"/>
  <c r="L53" i="80"/>
  <c r="K53" i="80"/>
  <c r="J53" i="80"/>
  <c r="I53" i="80"/>
  <c r="H53" i="80"/>
  <c r="G53" i="80"/>
  <c r="F53" i="80"/>
  <c r="E53" i="80"/>
  <c r="D53" i="80"/>
  <c r="C53" i="80"/>
  <c r="B52" i="80"/>
  <c r="B51" i="80"/>
  <c r="B50" i="80"/>
  <c r="B49" i="80"/>
  <c r="B48" i="80"/>
  <c r="B47" i="80"/>
  <c r="B46" i="80"/>
  <c r="B45" i="80"/>
  <c r="M44" i="80"/>
  <c r="L44" i="80"/>
  <c r="K44" i="80"/>
  <c r="J44" i="80"/>
  <c r="I44" i="80"/>
  <c r="H44" i="80"/>
  <c r="G44" i="80"/>
  <c r="F44" i="80"/>
  <c r="E44" i="80"/>
  <c r="D44" i="80"/>
  <c r="C44" i="80"/>
  <c r="P43" i="80"/>
  <c r="B43" i="80"/>
  <c r="B42" i="80"/>
  <c r="B41" i="80"/>
  <c r="B40" i="80"/>
  <c r="B39" i="80"/>
  <c r="B38" i="80"/>
  <c r="B37" i="80"/>
  <c r="B36" i="80"/>
  <c r="M35" i="80"/>
  <c r="L35" i="80"/>
  <c r="K35" i="80"/>
  <c r="J35" i="80"/>
  <c r="I35" i="80"/>
  <c r="H35" i="80"/>
  <c r="G35" i="80"/>
  <c r="F35" i="80"/>
  <c r="E35" i="80"/>
  <c r="D35" i="80"/>
  <c r="C35" i="80"/>
  <c r="M33" i="80"/>
  <c r="L33" i="80"/>
  <c r="K33" i="80"/>
  <c r="J33" i="80"/>
  <c r="I33" i="80"/>
  <c r="H33" i="80"/>
  <c r="G33" i="80"/>
  <c r="F33" i="80"/>
  <c r="E33" i="80"/>
  <c r="D33" i="80"/>
  <c r="C33" i="80"/>
  <c r="B33" i="80"/>
  <c r="M32" i="80"/>
  <c r="L32" i="80"/>
  <c r="K32" i="80"/>
  <c r="J32" i="80"/>
  <c r="I32" i="80"/>
  <c r="H32" i="80"/>
  <c r="G32" i="80"/>
  <c r="F32" i="80"/>
  <c r="E32" i="80"/>
  <c r="D32" i="80"/>
  <c r="C32" i="80"/>
  <c r="B32" i="80"/>
  <c r="M31" i="80"/>
  <c r="L31" i="80"/>
  <c r="K31" i="80"/>
  <c r="J31" i="80"/>
  <c r="I31" i="80"/>
  <c r="H31" i="80"/>
  <c r="G31" i="80"/>
  <c r="F31" i="80"/>
  <c r="E31" i="80"/>
  <c r="D31" i="80"/>
  <c r="C31" i="80"/>
  <c r="B31" i="80"/>
  <c r="M30" i="80"/>
  <c r="L30" i="80"/>
  <c r="K30" i="80"/>
  <c r="J30" i="80"/>
  <c r="I30" i="80"/>
  <c r="H30" i="80"/>
  <c r="G30" i="80"/>
  <c r="F30" i="80"/>
  <c r="E30" i="80"/>
  <c r="D30" i="80"/>
  <c r="C30" i="80"/>
  <c r="B30" i="80"/>
  <c r="M29" i="80"/>
  <c r="L29" i="80"/>
  <c r="K29" i="80"/>
  <c r="J29" i="80"/>
  <c r="I29" i="80"/>
  <c r="H29" i="80"/>
  <c r="G29" i="80"/>
  <c r="F29" i="80"/>
  <c r="E29" i="80"/>
  <c r="D29" i="80"/>
  <c r="C29" i="80"/>
  <c r="B29" i="80"/>
  <c r="M28" i="80"/>
  <c r="L28" i="80"/>
  <c r="K28" i="80"/>
  <c r="J28" i="80"/>
  <c r="I28" i="80"/>
  <c r="H28" i="80"/>
  <c r="G28" i="80"/>
  <c r="F28" i="80"/>
  <c r="E28" i="80"/>
  <c r="D28" i="80"/>
  <c r="C28" i="80"/>
  <c r="B28" i="80"/>
  <c r="M27" i="80"/>
  <c r="L27" i="80"/>
  <c r="K27" i="80"/>
  <c r="J27" i="80"/>
  <c r="I27" i="80"/>
  <c r="H27" i="80"/>
  <c r="G27" i="80"/>
  <c r="F27" i="80"/>
  <c r="E27" i="80"/>
  <c r="D27" i="80"/>
  <c r="C27" i="80"/>
  <c r="B27" i="80"/>
  <c r="M26" i="80"/>
  <c r="L26" i="80"/>
  <c r="K26" i="80"/>
  <c r="J26" i="80"/>
  <c r="I26" i="80"/>
  <c r="H26" i="80"/>
  <c r="G26" i="80"/>
  <c r="F26" i="80"/>
  <c r="E26" i="80"/>
  <c r="D26" i="80"/>
  <c r="C26" i="80"/>
  <c r="B26" i="80"/>
  <c r="M25" i="80"/>
  <c r="L25" i="80"/>
  <c r="K25" i="80"/>
  <c r="J25" i="80"/>
  <c r="I25" i="80"/>
  <c r="H25" i="80"/>
  <c r="G25" i="80"/>
  <c r="F25" i="80"/>
  <c r="E25" i="80"/>
  <c r="D25" i="80"/>
  <c r="C25" i="80"/>
  <c r="M24" i="80"/>
  <c r="L24" i="80"/>
  <c r="K24" i="80"/>
  <c r="J24" i="80"/>
  <c r="I24" i="80"/>
  <c r="H24" i="80"/>
  <c r="G24" i="80"/>
  <c r="F24" i="80"/>
  <c r="E24" i="80"/>
  <c r="D24" i="80"/>
  <c r="C24" i="80"/>
  <c r="B24" i="80"/>
  <c r="M23" i="80"/>
  <c r="L23" i="80"/>
  <c r="K23" i="80"/>
  <c r="J23" i="80"/>
  <c r="I23" i="80"/>
  <c r="H23" i="80"/>
  <c r="G23" i="80"/>
  <c r="F23" i="80"/>
  <c r="E23" i="80"/>
  <c r="D23" i="80"/>
  <c r="C23" i="80"/>
  <c r="B23" i="80"/>
  <c r="M22" i="80"/>
  <c r="L22" i="80"/>
  <c r="K22" i="80"/>
  <c r="J22" i="80"/>
  <c r="I22" i="80"/>
  <c r="H22" i="80"/>
  <c r="G22" i="80"/>
  <c r="F22" i="80"/>
  <c r="E22" i="80"/>
  <c r="D22" i="80"/>
  <c r="C22" i="80"/>
  <c r="B22" i="80"/>
  <c r="M21" i="80"/>
  <c r="L21" i="80"/>
  <c r="K21" i="80"/>
  <c r="J21" i="80"/>
  <c r="I21" i="80"/>
  <c r="H21" i="80"/>
  <c r="G21" i="80"/>
  <c r="F21" i="80"/>
  <c r="E21" i="80"/>
  <c r="D21" i="80"/>
  <c r="C21" i="80"/>
  <c r="B21" i="80"/>
  <c r="M20" i="80"/>
  <c r="L20" i="80"/>
  <c r="K20" i="80"/>
  <c r="J20" i="80"/>
  <c r="I20" i="80"/>
  <c r="H20" i="80"/>
  <c r="G20" i="80"/>
  <c r="F20" i="80"/>
  <c r="E20" i="80"/>
  <c r="D20" i="80"/>
  <c r="C20" i="80"/>
  <c r="B20" i="80"/>
  <c r="M19" i="80"/>
  <c r="L19" i="80"/>
  <c r="K19" i="80"/>
  <c r="J19" i="80"/>
  <c r="I19" i="80"/>
  <c r="H19" i="80"/>
  <c r="G19" i="80"/>
  <c r="F19" i="80"/>
  <c r="E19" i="80"/>
  <c r="D19" i="80"/>
  <c r="C19" i="80"/>
  <c r="B19" i="80"/>
  <c r="M18" i="80"/>
  <c r="L18" i="80"/>
  <c r="K18" i="80"/>
  <c r="J18" i="80"/>
  <c r="I18" i="80"/>
  <c r="H18" i="80"/>
  <c r="G18" i="80"/>
  <c r="F18" i="80"/>
  <c r="E18" i="80"/>
  <c r="D18" i="80"/>
  <c r="C18" i="80"/>
  <c r="B18" i="80"/>
  <c r="M17" i="80"/>
  <c r="L17" i="80"/>
  <c r="K17" i="80"/>
  <c r="J17" i="80"/>
  <c r="I17" i="80"/>
  <c r="H17" i="80"/>
  <c r="G17" i="80"/>
  <c r="F17" i="80"/>
  <c r="E17" i="80"/>
  <c r="D17" i="80"/>
  <c r="C17" i="80"/>
  <c r="B17" i="80"/>
  <c r="M16" i="80"/>
  <c r="A12" i="80" s="1"/>
  <c r="P146" i="80" s="1"/>
  <c r="L16" i="80"/>
  <c r="A11" i="80" s="1"/>
  <c r="K16" i="80"/>
  <c r="A10" i="80" s="1"/>
  <c r="J16" i="80"/>
  <c r="A9" i="80" s="1"/>
  <c r="I16" i="80"/>
  <c r="A8" i="80" s="1"/>
  <c r="H16" i="80"/>
  <c r="A7" i="80" s="1"/>
  <c r="G16" i="80"/>
  <c r="A6" i="80" s="1"/>
  <c r="F16" i="80"/>
  <c r="A5" i="80" s="1"/>
  <c r="E16" i="80"/>
  <c r="A4" i="80" s="1"/>
  <c r="D16" i="80"/>
  <c r="A3" i="80" s="1"/>
  <c r="C16" i="80"/>
  <c r="A2" i="80" s="1"/>
  <c r="P14" i="80"/>
  <c r="M140" i="79"/>
  <c r="N140" i="79" s="1"/>
  <c r="L140" i="79"/>
  <c r="K140" i="79"/>
  <c r="J140" i="79"/>
  <c r="I140" i="79"/>
  <c r="H140" i="79"/>
  <c r="G140" i="79"/>
  <c r="F140" i="79"/>
  <c r="E140" i="79"/>
  <c r="D140" i="79"/>
  <c r="C140" i="79"/>
  <c r="M139" i="79"/>
  <c r="L139" i="79"/>
  <c r="K139" i="79"/>
  <c r="J139" i="79"/>
  <c r="I139" i="79"/>
  <c r="H139" i="79"/>
  <c r="G139" i="79"/>
  <c r="F139" i="79"/>
  <c r="E139" i="79"/>
  <c r="D139" i="79"/>
  <c r="C139" i="79"/>
  <c r="B139" i="79"/>
  <c r="M138" i="79"/>
  <c r="L138" i="79"/>
  <c r="K138" i="79"/>
  <c r="J138" i="79"/>
  <c r="I138" i="79"/>
  <c r="H138" i="79"/>
  <c r="G138" i="79"/>
  <c r="F138" i="79"/>
  <c r="E138" i="79"/>
  <c r="D138" i="79"/>
  <c r="C138" i="79"/>
  <c r="B138" i="79"/>
  <c r="M137" i="79"/>
  <c r="N137" i="79" s="1"/>
  <c r="L137" i="79"/>
  <c r="K137" i="79"/>
  <c r="J137" i="79"/>
  <c r="I137" i="79"/>
  <c r="H137" i="79"/>
  <c r="G137" i="79"/>
  <c r="F137" i="79"/>
  <c r="E137" i="79"/>
  <c r="D137" i="79"/>
  <c r="C137" i="79"/>
  <c r="B137" i="79"/>
  <c r="M136" i="79"/>
  <c r="L136" i="79"/>
  <c r="K136" i="79"/>
  <c r="J136" i="79"/>
  <c r="I136" i="79"/>
  <c r="H136" i="79"/>
  <c r="G136" i="79"/>
  <c r="F136" i="79"/>
  <c r="E136" i="79"/>
  <c r="D136" i="79"/>
  <c r="C136" i="79"/>
  <c r="B136" i="79"/>
  <c r="M135" i="79"/>
  <c r="L135" i="79"/>
  <c r="K135" i="79"/>
  <c r="J135" i="79"/>
  <c r="I135" i="79"/>
  <c r="H135" i="79"/>
  <c r="G135" i="79"/>
  <c r="F135" i="79"/>
  <c r="E135" i="79"/>
  <c r="D135" i="79"/>
  <c r="C135" i="79"/>
  <c r="B135" i="79"/>
  <c r="M134" i="79"/>
  <c r="N134" i="79" s="1"/>
  <c r="L134" i="79"/>
  <c r="K134" i="79"/>
  <c r="J134" i="79"/>
  <c r="I134" i="79"/>
  <c r="H134" i="79"/>
  <c r="G134" i="79"/>
  <c r="F134" i="79"/>
  <c r="E134" i="79"/>
  <c r="D134" i="79"/>
  <c r="C134" i="79"/>
  <c r="B134" i="79"/>
  <c r="M133" i="79"/>
  <c r="N133" i="79" s="1"/>
  <c r="L133" i="79"/>
  <c r="K133" i="79"/>
  <c r="J133" i="79"/>
  <c r="I133" i="79"/>
  <c r="H133" i="79"/>
  <c r="G133" i="79"/>
  <c r="F133" i="79"/>
  <c r="E133" i="79"/>
  <c r="D133" i="79"/>
  <c r="C133" i="79"/>
  <c r="B133" i="79"/>
  <c r="M132" i="79"/>
  <c r="N132" i="79" s="1"/>
  <c r="L132" i="79"/>
  <c r="K132" i="79"/>
  <c r="J132" i="79"/>
  <c r="I132" i="79"/>
  <c r="H132" i="79"/>
  <c r="G132" i="79"/>
  <c r="F132" i="79"/>
  <c r="E132" i="79"/>
  <c r="D132" i="79"/>
  <c r="C132" i="79"/>
  <c r="B132" i="79"/>
  <c r="M131" i="79"/>
  <c r="N131" i="79" s="1"/>
  <c r="L131" i="79"/>
  <c r="K131" i="79"/>
  <c r="J131" i="79"/>
  <c r="I131" i="79"/>
  <c r="H131" i="79"/>
  <c r="G131" i="79"/>
  <c r="F131" i="79"/>
  <c r="E131" i="79"/>
  <c r="D131" i="79"/>
  <c r="C131" i="79"/>
  <c r="B131" i="79"/>
  <c r="M130" i="79"/>
  <c r="L130" i="79"/>
  <c r="K130" i="79"/>
  <c r="J130" i="79"/>
  <c r="I130" i="79"/>
  <c r="H130" i="79"/>
  <c r="G130" i="79"/>
  <c r="F130" i="79"/>
  <c r="E130" i="79"/>
  <c r="D130" i="79"/>
  <c r="C130" i="79"/>
  <c r="B130" i="79"/>
  <c r="M129" i="79"/>
  <c r="N129" i="79" s="1"/>
  <c r="L129" i="79"/>
  <c r="K129" i="79"/>
  <c r="J129" i="79"/>
  <c r="I129" i="79"/>
  <c r="H129" i="79"/>
  <c r="G129" i="79"/>
  <c r="F129" i="79"/>
  <c r="E129" i="79"/>
  <c r="D129" i="79"/>
  <c r="C129" i="79"/>
  <c r="B129" i="79"/>
  <c r="M128" i="79"/>
  <c r="L128" i="79"/>
  <c r="K128" i="79"/>
  <c r="J128" i="79"/>
  <c r="I128" i="79"/>
  <c r="H128" i="79"/>
  <c r="G128" i="79"/>
  <c r="F128" i="79"/>
  <c r="E128" i="79"/>
  <c r="D128" i="79"/>
  <c r="C128" i="79"/>
  <c r="B128" i="79"/>
  <c r="M127" i="79"/>
  <c r="L127" i="79"/>
  <c r="K127" i="79"/>
  <c r="J127" i="79"/>
  <c r="I127" i="79"/>
  <c r="H127" i="79"/>
  <c r="G127" i="79"/>
  <c r="F127" i="79"/>
  <c r="E127" i="79"/>
  <c r="D127" i="79"/>
  <c r="C127" i="79"/>
  <c r="B127" i="79"/>
  <c r="M126" i="79"/>
  <c r="N126" i="79" s="1"/>
  <c r="L126" i="79"/>
  <c r="K126" i="79"/>
  <c r="J126" i="79"/>
  <c r="I126" i="79"/>
  <c r="H126" i="79"/>
  <c r="G126" i="79"/>
  <c r="F126" i="79"/>
  <c r="E126" i="79"/>
  <c r="D126" i="79"/>
  <c r="C126" i="79"/>
  <c r="B126" i="79"/>
  <c r="M125" i="79"/>
  <c r="N125" i="79" s="1"/>
  <c r="L125" i="79"/>
  <c r="K125" i="79"/>
  <c r="J125" i="79"/>
  <c r="I125" i="79"/>
  <c r="H125" i="79"/>
  <c r="G125" i="79"/>
  <c r="F125" i="79"/>
  <c r="E125" i="79"/>
  <c r="D125" i="79"/>
  <c r="C125" i="79"/>
  <c r="B125" i="79"/>
  <c r="M124" i="79"/>
  <c r="L124" i="79"/>
  <c r="K124" i="79"/>
  <c r="J124" i="79"/>
  <c r="I124" i="79"/>
  <c r="H124" i="79"/>
  <c r="G124" i="79"/>
  <c r="F124" i="79"/>
  <c r="E124" i="79"/>
  <c r="D124" i="79"/>
  <c r="C124" i="79"/>
  <c r="B124" i="79"/>
  <c r="M123" i="79"/>
  <c r="N123" i="79" s="1"/>
  <c r="L123" i="79"/>
  <c r="K123" i="79"/>
  <c r="J123" i="79"/>
  <c r="I123" i="79"/>
  <c r="H123" i="79"/>
  <c r="G123" i="79"/>
  <c r="F123" i="79"/>
  <c r="E123" i="79"/>
  <c r="D123" i="79"/>
  <c r="C123" i="79"/>
  <c r="B123" i="79"/>
  <c r="M122" i="79"/>
  <c r="N122" i="79" s="1"/>
  <c r="L122" i="79"/>
  <c r="K122" i="79"/>
  <c r="J122" i="79"/>
  <c r="I122" i="79"/>
  <c r="H122" i="79"/>
  <c r="G122" i="79"/>
  <c r="F122" i="79"/>
  <c r="E122" i="79"/>
  <c r="D122" i="79"/>
  <c r="C122" i="79"/>
  <c r="B122" i="79"/>
  <c r="M121" i="79"/>
  <c r="N121" i="79" s="1"/>
  <c r="L121" i="79"/>
  <c r="K121" i="79"/>
  <c r="J121" i="79"/>
  <c r="I121" i="79"/>
  <c r="H121" i="79"/>
  <c r="G121" i="79"/>
  <c r="F121" i="79"/>
  <c r="E121" i="79"/>
  <c r="D121" i="79"/>
  <c r="C121" i="79"/>
  <c r="M120" i="79"/>
  <c r="L120" i="79"/>
  <c r="K120" i="79"/>
  <c r="J120" i="79"/>
  <c r="I120" i="79"/>
  <c r="H120" i="79"/>
  <c r="G120" i="79"/>
  <c r="F120" i="79"/>
  <c r="E120" i="79"/>
  <c r="D120" i="79"/>
  <c r="C120" i="79"/>
  <c r="M119" i="79"/>
  <c r="L119" i="79"/>
  <c r="K119" i="79"/>
  <c r="J119" i="79"/>
  <c r="I119" i="79"/>
  <c r="H119" i="79"/>
  <c r="G119" i="79"/>
  <c r="F119" i="79"/>
  <c r="E119" i="79"/>
  <c r="D119" i="79"/>
  <c r="C119" i="79"/>
  <c r="B119" i="79"/>
  <c r="M118" i="79"/>
  <c r="L118" i="79"/>
  <c r="K118" i="79"/>
  <c r="J118" i="79"/>
  <c r="I118" i="79"/>
  <c r="H118" i="79"/>
  <c r="G118" i="79"/>
  <c r="F118" i="79"/>
  <c r="E118" i="79"/>
  <c r="D118" i="79"/>
  <c r="C118" i="79"/>
  <c r="B118" i="79"/>
  <c r="M117" i="79"/>
  <c r="N117" i="79" s="1"/>
  <c r="L117" i="79"/>
  <c r="K117" i="79"/>
  <c r="J117" i="79"/>
  <c r="I117" i="79"/>
  <c r="H117" i="79"/>
  <c r="G117" i="79"/>
  <c r="F117" i="79"/>
  <c r="E117" i="79"/>
  <c r="D117" i="79"/>
  <c r="C117" i="79"/>
  <c r="B117" i="79"/>
  <c r="M116" i="79"/>
  <c r="L116" i="79"/>
  <c r="K116" i="79"/>
  <c r="J116" i="79"/>
  <c r="I116" i="79"/>
  <c r="H116" i="79"/>
  <c r="G116" i="79"/>
  <c r="F116" i="79"/>
  <c r="E116" i="79"/>
  <c r="D116" i="79"/>
  <c r="C116" i="79"/>
  <c r="N116" i="79" s="1"/>
  <c r="B116" i="79"/>
  <c r="M115" i="79"/>
  <c r="L115" i="79"/>
  <c r="K115" i="79"/>
  <c r="J115" i="79"/>
  <c r="I115" i="79"/>
  <c r="H115" i="79"/>
  <c r="G115" i="79"/>
  <c r="F115" i="79"/>
  <c r="E115" i="79"/>
  <c r="D115" i="79"/>
  <c r="C115" i="79"/>
  <c r="N115" i="79" s="1"/>
  <c r="B115" i="79"/>
  <c r="M114" i="79"/>
  <c r="L114" i="79"/>
  <c r="K114" i="79"/>
  <c r="J114" i="79"/>
  <c r="I114" i="79"/>
  <c r="H114" i="79"/>
  <c r="G114" i="79"/>
  <c r="F114" i="79"/>
  <c r="E114" i="79"/>
  <c r="D114" i="79"/>
  <c r="C114" i="79"/>
  <c r="N114" i="79" s="1"/>
  <c r="B114" i="79"/>
  <c r="M113" i="79"/>
  <c r="L113" i="79"/>
  <c r="K113" i="79"/>
  <c r="J113" i="79"/>
  <c r="I113" i="79"/>
  <c r="H113" i="79"/>
  <c r="G113" i="79"/>
  <c r="F113" i="79"/>
  <c r="E113" i="79"/>
  <c r="D113" i="79"/>
  <c r="C113" i="79"/>
  <c r="B113" i="79"/>
  <c r="M112" i="79"/>
  <c r="L112" i="79"/>
  <c r="K112" i="79"/>
  <c r="J112" i="79"/>
  <c r="I112" i="79"/>
  <c r="H112" i="79"/>
  <c r="G112" i="79"/>
  <c r="F112" i="79"/>
  <c r="E112" i="79"/>
  <c r="D112" i="79"/>
  <c r="C112" i="79"/>
  <c r="B112" i="79"/>
  <c r="M111" i="79"/>
  <c r="L111" i="79"/>
  <c r="K111" i="79"/>
  <c r="J111" i="79"/>
  <c r="I111" i="79"/>
  <c r="H111" i="79"/>
  <c r="G111" i="79"/>
  <c r="F111" i="79"/>
  <c r="E111" i="79"/>
  <c r="D111" i="79"/>
  <c r="C111" i="79"/>
  <c r="B111" i="79"/>
  <c r="M110" i="79"/>
  <c r="N110" i="79" s="1"/>
  <c r="L110" i="79"/>
  <c r="K110" i="79"/>
  <c r="J110" i="79"/>
  <c r="I110" i="79"/>
  <c r="H110" i="79"/>
  <c r="G110" i="79"/>
  <c r="F110" i="79"/>
  <c r="E110" i="79"/>
  <c r="D110" i="79"/>
  <c r="C110" i="79"/>
  <c r="B110" i="79"/>
  <c r="M109" i="79"/>
  <c r="N109" i="79" s="1"/>
  <c r="L109" i="79"/>
  <c r="K109" i="79"/>
  <c r="J109" i="79"/>
  <c r="I109" i="79"/>
  <c r="H109" i="79"/>
  <c r="G109" i="79"/>
  <c r="F109" i="79"/>
  <c r="E109" i="79"/>
  <c r="D109" i="79"/>
  <c r="C109" i="79"/>
  <c r="B109" i="79"/>
  <c r="M108" i="79"/>
  <c r="N108" i="79" s="1"/>
  <c r="L108" i="79"/>
  <c r="K108" i="79"/>
  <c r="J108" i="79"/>
  <c r="I108" i="79"/>
  <c r="H108" i="79"/>
  <c r="G108" i="79"/>
  <c r="F108" i="79"/>
  <c r="E108" i="79"/>
  <c r="D108" i="79"/>
  <c r="C108" i="79"/>
  <c r="B108" i="79"/>
  <c r="M107" i="79"/>
  <c r="N107" i="79" s="1"/>
  <c r="L107" i="79"/>
  <c r="K107" i="79"/>
  <c r="J107" i="79"/>
  <c r="I107" i="79"/>
  <c r="H107" i="79"/>
  <c r="G107" i="79"/>
  <c r="F107" i="79"/>
  <c r="E107" i="79"/>
  <c r="D107" i="79"/>
  <c r="C107" i="79"/>
  <c r="B107" i="79"/>
  <c r="M106" i="79"/>
  <c r="N106" i="79" s="1"/>
  <c r="L106" i="79"/>
  <c r="K106" i="79"/>
  <c r="J106" i="79"/>
  <c r="I106" i="79"/>
  <c r="H106" i="79"/>
  <c r="G106" i="79"/>
  <c r="F106" i="79"/>
  <c r="E106" i="79"/>
  <c r="D106" i="79"/>
  <c r="C106" i="79"/>
  <c r="B106" i="79"/>
  <c r="M105" i="79"/>
  <c r="N105" i="79" s="1"/>
  <c r="L105" i="79"/>
  <c r="K105" i="79"/>
  <c r="J105" i="79"/>
  <c r="I105" i="79"/>
  <c r="H105" i="79"/>
  <c r="G105" i="79"/>
  <c r="F105" i="79"/>
  <c r="E105" i="79"/>
  <c r="D105" i="79"/>
  <c r="C105" i="79"/>
  <c r="B105" i="79"/>
  <c r="N104" i="79"/>
  <c r="M104" i="79"/>
  <c r="L104" i="79"/>
  <c r="K104" i="79"/>
  <c r="J104" i="79"/>
  <c r="I104" i="79"/>
  <c r="H104" i="79"/>
  <c r="G104" i="79"/>
  <c r="F104" i="79"/>
  <c r="E104" i="79"/>
  <c r="D104" i="79"/>
  <c r="C104" i="79"/>
  <c r="B104" i="79"/>
  <c r="M103" i="79"/>
  <c r="L103" i="79"/>
  <c r="K103" i="79"/>
  <c r="J103" i="79"/>
  <c r="I103" i="79"/>
  <c r="H103" i="79"/>
  <c r="G103" i="79"/>
  <c r="F103" i="79"/>
  <c r="E103" i="79"/>
  <c r="D103" i="79"/>
  <c r="C103" i="79"/>
  <c r="N103" i="79" s="1"/>
  <c r="B103" i="79"/>
  <c r="M102" i="79"/>
  <c r="L102" i="79"/>
  <c r="K102" i="79"/>
  <c r="J102" i="79"/>
  <c r="I102" i="79"/>
  <c r="H102" i="79"/>
  <c r="G102" i="79"/>
  <c r="F102" i="79"/>
  <c r="E102" i="79"/>
  <c r="D102" i="79"/>
  <c r="C102" i="79"/>
  <c r="B102" i="79"/>
  <c r="M101" i="79"/>
  <c r="L101" i="79"/>
  <c r="K101" i="79"/>
  <c r="J101" i="79"/>
  <c r="I101" i="79"/>
  <c r="H101" i="79"/>
  <c r="G101" i="79"/>
  <c r="F101" i="79"/>
  <c r="E101" i="79"/>
  <c r="D101" i="79"/>
  <c r="C101" i="79"/>
  <c r="S100" i="79"/>
  <c r="Z103" i="79" s="1"/>
  <c r="M100" i="79"/>
  <c r="L100" i="79"/>
  <c r="K100" i="79"/>
  <c r="J100" i="79"/>
  <c r="I100" i="79"/>
  <c r="H100" i="79"/>
  <c r="G100" i="79"/>
  <c r="F100" i="79"/>
  <c r="E100" i="79"/>
  <c r="D100" i="79"/>
  <c r="C100" i="79"/>
  <c r="M99" i="79"/>
  <c r="N99" i="79" s="1"/>
  <c r="L99" i="79"/>
  <c r="K99" i="79"/>
  <c r="J99" i="79"/>
  <c r="I99" i="79"/>
  <c r="H99" i="79"/>
  <c r="G99" i="79"/>
  <c r="F99" i="79"/>
  <c r="E99" i="79"/>
  <c r="D99" i="79"/>
  <c r="C99" i="79"/>
  <c r="B99" i="79"/>
  <c r="M98" i="79"/>
  <c r="N98" i="79" s="1"/>
  <c r="L98" i="79"/>
  <c r="K98" i="79"/>
  <c r="J98" i="79"/>
  <c r="I98" i="79"/>
  <c r="H98" i="79"/>
  <c r="G98" i="79"/>
  <c r="F98" i="79"/>
  <c r="E98" i="79"/>
  <c r="D98" i="79"/>
  <c r="C98" i="79"/>
  <c r="B98" i="79"/>
  <c r="M97" i="79"/>
  <c r="L97" i="79"/>
  <c r="K97" i="79"/>
  <c r="J97" i="79"/>
  <c r="I97" i="79"/>
  <c r="H97" i="79"/>
  <c r="G97" i="79"/>
  <c r="F97" i="79"/>
  <c r="E97" i="79"/>
  <c r="D97" i="79"/>
  <c r="C97" i="79"/>
  <c r="B97" i="79"/>
  <c r="M96" i="79"/>
  <c r="N96" i="79" s="1"/>
  <c r="L96" i="79"/>
  <c r="K96" i="79"/>
  <c r="J96" i="79"/>
  <c r="I96" i="79"/>
  <c r="H96" i="79"/>
  <c r="G96" i="79"/>
  <c r="F96" i="79"/>
  <c r="E96" i="79"/>
  <c r="D96" i="79"/>
  <c r="C96" i="79"/>
  <c r="B96" i="79"/>
  <c r="N95" i="79"/>
  <c r="M95" i="79"/>
  <c r="L95" i="79"/>
  <c r="K95" i="79"/>
  <c r="J95" i="79"/>
  <c r="I95" i="79"/>
  <c r="H95" i="79"/>
  <c r="G95" i="79"/>
  <c r="F95" i="79"/>
  <c r="E95" i="79"/>
  <c r="D95" i="79"/>
  <c r="C95" i="79"/>
  <c r="B95" i="79"/>
  <c r="M94" i="79"/>
  <c r="L94" i="79"/>
  <c r="K94" i="79"/>
  <c r="J94" i="79"/>
  <c r="I94" i="79"/>
  <c r="H94" i="79"/>
  <c r="G94" i="79"/>
  <c r="F94" i="79"/>
  <c r="E94" i="79"/>
  <c r="D94" i="79"/>
  <c r="C94" i="79"/>
  <c r="B94" i="79"/>
  <c r="M93" i="79"/>
  <c r="N93" i="79" s="1"/>
  <c r="L93" i="79"/>
  <c r="K93" i="79"/>
  <c r="J93" i="79"/>
  <c r="I93" i="79"/>
  <c r="H93" i="79"/>
  <c r="G93" i="79"/>
  <c r="F93" i="79"/>
  <c r="E93" i="79"/>
  <c r="D93" i="79"/>
  <c r="C93" i="79"/>
  <c r="B93" i="79"/>
  <c r="M92" i="79"/>
  <c r="N92" i="79" s="1"/>
  <c r="L92" i="79"/>
  <c r="K92" i="79"/>
  <c r="J92" i="79"/>
  <c r="I92" i="79"/>
  <c r="H92" i="79"/>
  <c r="G92" i="79"/>
  <c r="F92" i="79"/>
  <c r="E92" i="79"/>
  <c r="D92" i="79"/>
  <c r="C92" i="79"/>
  <c r="B92" i="79"/>
  <c r="M91" i="79"/>
  <c r="L91" i="79"/>
  <c r="K91" i="79"/>
  <c r="J91" i="79"/>
  <c r="I91" i="79"/>
  <c r="H91" i="79"/>
  <c r="G91" i="79"/>
  <c r="F91" i="79"/>
  <c r="E91" i="79"/>
  <c r="D91" i="79"/>
  <c r="C91" i="79"/>
  <c r="N91" i="79" s="1"/>
  <c r="B91" i="79"/>
  <c r="M90" i="79"/>
  <c r="L90" i="79"/>
  <c r="K90" i="79"/>
  <c r="J90" i="79"/>
  <c r="I90" i="79"/>
  <c r="H90" i="79"/>
  <c r="G90" i="79"/>
  <c r="F90" i="79"/>
  <c r="E90" i="79"/>
  <c r="D90" i="79"/>
  <c r="C90" i="79"/>
  <c r="B90" i="79"/>
  <c r="M89" i="79"/>
  <c r="N89" i="79" s="1"/>
  <c r="L89" i="79"/>
  <c r="K89" i="79"/>
  <c r="J89" i="79"/>
  <c r="I89" i="79"/>
  <c r="H89" i="79"/>
  <c r="G89" i="79"/>
  <c r="F89" i="79"/>
  <c r="E89" i="79"/>
  <c r="D89" i="79"/>
  <c r="C89" i="79"/>
  <c r="B89" i="79"/>
  <c r="M88" i="79"/>
  <c r="N88" i="79" s="1"/>
  <c r="L88" i="79"/>
  <c r="K88" i="79"/>
  <c r="J88" i="79"/>
  <c r="I88" i="79"/>
  <c r="H88" i="79"/>
  <c r="G88" i="79"/>
  <c r="F88" i="79"/>
  <c r="E88" i="79"/>
  <c r="D88" i="79"/>
  <c r="C88" i="79"/>
  <c r="B88" i="79"/>
  <c r="M87" i="79"/>
  <c r="N87" i="79" s="1"/>
  <c r="L87" i="79"/>
  <c r="K87" i="79"/>
  <c r="J87" i="79"/>
  <c r="I87" i="79"/>
  <c r="H87" i="79"/>
  <c r="G87" i="79"/>
  <c r="F87" i="79"/>
  <c r="E87" i="79"/>
  <c r="D87" i="79"/>
  <c r="C87" i="79"/>
  <c r="B87" i="79"/>
  <c r="M86" i="79"/>
  <c r="N86" i="79" s="1"/>
  <c r="L86" i="79"/>
  <c r="K86" i="79"/>
  <c r="J86" i="79"/>
  <c r="I86" i="79"/>
  <c r="H86" i="79"/>
  <c r="G86" i="79"/>
  <c r="F86" i="79"/>
  <c r="E86" i="79"/>
  <c r="D86" i="79"/>
  <c r="C86" i="79"/>
  <c r="B86" i="79"/>
  <c r="N85" i="79"/>
  <c r="M85" i="79"/>
  <c r="L85" i="79"/>
  <c r="K85" i="79"/>
  <c r="J85" i="79"/>
  <c r="I85" i="79"/>
  <c r="H85" i="79"/>
  <c r="G85" i="79"/>
  <c r="F85" i="79"/>
  <c r="E85" i="79"/>
  <c r="D85" i="79"/>
  <c r="C85" i="79"/>
  <c r="B85" i="79"/>
  <c r="M84" i="79"/>
  <c r="N84" i="79" s="1"/>
  <c r="L84" i="79"/>
  <c r="K84" i="79"/>
  <c r="J84" i="79"/>
  <c r="I84" i="79"/>
  <c r="H84" i="79"/>
  <c r="G84" i="79"/>
  <c r="F84" i="79"/>
  <c r="E84" i="79"/>
  <c r="D84" i="79"/>
  <c r="C84" i="79"/>
  <c r="B84" i="79"/>
  <c r="M83" i="79"/>
  <c r="L83" i="79"/>
  <c r="K83" i="79"/>
  <c r="J83" i="79"/>
  <c r="I83" i="79"/>
  <c r="H83" i="79"/>
  <c r="G83" i="79"/>
  <c r="F83" i="79"/>
  <c r="E83" i="79"/>
  <c r="D83" i="79"/>
  <c r="C83" i="79"/>
  <c r="N83" i="79" s="1"/>
  <c r="B83" i="79"/>
  <c r="M82" i="79"/>
  <c r="L82" i="79"/>
  <c r="K82" i="79"/>
  <c r="J82" i="79"/>
  <c r="I82" i="79"/>
  <c r="H82" i="79"/>
  <c r="G82" i="79"/>
  <c r="F82" i="79"/>
  <c r="E82" i="79"/>
  <c r="D82" i="79"/>
  <c r="C82" i="79"/>
  <c r="B82" i="79"/>
  <c r="M81" i="79"/>
  <c r="L81" i="79"/>
  <c r="K81" i="79"/>
  <c r="J81" i="79"/>
  <c r="I81" i="79"/>
  <c r="H81" i="79"/>
  <c r="G81" i="79"/>
  <c r="F81" i="79"/>
  <c r="E81" i="79"/>
  <c r="D81" i="79"/>
  <c r="C81" i="79"/>
  <c r="M80" i="79"/>
  <c r="L80" i="79"/>
  <c r="K80" i="79"/>
  <c r="J80" i="79"/>
  <c r="I80" i="79"/>
  <c r="H80" i="79"/>
  <c r="G80" i="79"/>
  <c r="F80" i="79"/>
  <c r="E80" i="79"/>
  <c r="D80" i="79"/>
  <c r="C80" i="79"/>
  <c r="N80" i="79" s="1"/>
  <c r="M79" i="79"/>
  <c r="L79" i="79"/>
  <c r="K79" i="79"/>
  <c r="J79" i="79"/>
  <c r="I79" i="79"/>
  <c r="H79" i="79"/>
  <c r="G79" i="79"/>
  <c r="F79" i="79"/>
  <c r="E79" i="79"/>
  <c r="D79" i="79"/>
  <c r="C79" i="79"/>
  <c r="B79" i="79"/>
  <c r="M78" i="79"/>
  <c r="L78" i="79"/>
  <c r="K78" i="79"/>
  <c r="J78" i="79"/>
  <c r="I78" i="79"/>
  <c r="H78" i="79"/>
  <c r="G78" i="79"/>
  <c r="F78" i="79"/>
  <c r="E78" i="79"/>
  <c r="D78" i="79"/>
  <c r="C78" i="79"/>
  <c r="B78" i="79"/>
  <c r="M77" i="79"/>
  <c r="L77" i="79"/>
  <c r="K77" i="79"/>
  <c r="J77" i="79"/>
  <c r="I77" i="79"/>
  <c r="H77" i="79"/>
  <c r="G77" i="79"/>
  <c r="F77" i="79"/>
  <c r="E77" i="79"/>
  <c r="D77" i="79"/>
  <c r="C77" i="79"/>
  <c r="B77" i="79"/>
  <c r="M76" i="79"/>
  <c r="L76" i="79"/>
  <c r="K76" i="79"/>
  <c r="J76" i="79"/>
  <c r="I76" i="79"/>
  <c r="H76" i="79"/>
  <c r="G76" i="79"/>
  <c r="F76" i="79"/>
  <c r="E76" i="79"/>
  <c r="D76" i="79"/>
  <c r="C76" i="79"/>
  <c r="B76" i="79"/>
  <c r="M75" i="79"/>
  <c r="N75" i="79" s="1"/>
  <c r="L75" i="79"/>
  <c r="K75" i="79"/>
  <c r="J75" i="79"/>
  <c r="I75" i="79"/>
  <c r="H75" i="79"/>
  <c r="G75" i="79"/>
  <c r="F75" i="79"/>
  <c r="E75" i="79"/>
  <c r="D75" i="79"/>
  <c r="C75" i="79"/>
  <c r="B75" i="79"/>
  <c r="N74" i="79"/>
  <c r="M74" i="79"/>
  <c r="L74" i="79"/>
  <c r="K74" i="79"/>
  <c r="J74" i="79"/>
  <c r="I74" i="79"/>
  <c r="H74" i="79"/>
  <c r="G74" i="79"/>
  <c r="F74" i="79"/>
  <c r="E74" i="79"/>
  <c r="D74" i="79"/>
  <c r="C74" i="79"/>
  <c r="B74" i="79"/>
  <c r="M73" i="79"/>
  <c r="L73" i="79"/>
  <c r="K73" i="79"/>
  <c r="J73" i="79"/>
  <c r="I73" i="79"/>
  <c r="H73" i="79"/>
  <c r="G73" i="79"/>
  <c r="F73" i="79"/>
  <c r="E73" i="79"/>
  <c r="D73" i="79"/>
  <c r="C73" i="79"/>
  <c r="N73" i="79" s="1"/>
  <c r="B73" i="79"/>
  <c r="M72" i="79"/>
  <c r="L72" i="79"/>
  <c r="K72" i="79"/>
  <c r="J72" i="79"/>
  <c r="I72" i="79"/>
  <c r="H72" i="79"/>
  <c r="G72" i="79"/>
  <c r="F72" i="79"/>
  <c r="E72" i="79"/>
  <c r="D72" i="79"/>
  <c r="C72" i="79"/>
  <c r="B72" i="79"/>
  <c r="M71" i="79"/>
  <c r="L71" i="79"/>
  <c r="K71" i="79"/>
  <c r="J71" i="79"/>
  <c r="I71" i="79"/>
  <c r="H71" i="79"/>
  <c r="G71" i="79"/>
  <c r="F71" i="79"/>
  <c r="E71" i="79"/>
  <c r="D71" i="79"/>
  <c r="C71" i="79"/>
  <c r="N71" i="79" s="1"/>
  <c r="B71" i="79"/>
  <c r="M70" i="79"/>
  <c r="L70" i="79"/>
  <c r="K70" i="79"/>
  <c r="J70" i="79"/>
  <c r="I70" i="79"/>
  <c r="H70" i="79"/>
  <c r="G70" i="79"/>
  <c r="F70" i="79"/>
  <c r="E70" i="79"/>
  <c r="D70" i="79"/>
  <c r="C70" i="79"/>
  <c r="N70" i="79" s="1"/>
  <c r="B70" i="79"/>
  <c r="M69" i="79"/>
  <c r="L69" i="79"/>
  <c r="K69" i="79"/>
  <c r="J69" i="79"/>
  <c r="I69" i="79"/>
  <c r="H69" i="79"/>
  <c r="G69" i="79"/>
  <c r="F69" i="79"/>
  <c r="E69" i="79"/>
  <c r="D69" i="79"/>
  <c r="C69" i="79"/>
  <c r="B69" i="79"/>
  <c r="M68" i="79"/>
  <c r="N68" i="79" s="1"/>
  <c r="L68" i="79"/>
  <c r="K68" i="79"/>
  <c r="J68" i="79"/>
  <c r="I68" i="79"/>
  <c r="H68" i="79"/>
  <c r="G68" i="79"/>
  <c r="F68" i="79"/>
  <c r="E68" i="79"/>
  <c r="D68" i="79"/>
  <c r="C68" i="79"/>
  <c r="B68" i="79"/>
  <c r="M67" i="79"/>
  <c r="L67" i="79"/>
  <c r="K67" i="79"/>
  <c r="J67" i="79"/>
  <c r="I67" i="79"/>
  <c r="H67" i="79"/>
  <c r="G67" i="79"/>
  <c r="F67" i="79"/>
  <c r="E67" i="79"/>
  <c r="D67" i="79"/>
  <c r="C67" i="79"/>
  <c r="B67" i="79"/>
  <c r="M66" i="79"/>
  <c r="N66" i="79" s="1"/>
  <c r="L66" i="79"/>
  <c r="K66" i="79"/>
  <c r="J66" i="79"/>
  <c r="I66" i="79"/>
  <c r="H66" i="79"/>
  <c r="G66" i="79"/>
  <c r="F66" i="79"/>
  <c r="E66" i="79"/>
  <c r="D66" i="79"/>
  <c r="C66" i="79"/>
  <c r="B66" i="79"/>
  <c r="N65" i="79"/>
  <c r="M65" i="79"/>
  <c r="L65" i="79"/>
  <c r="K65" i="79"/>
  <c r="J65" i="79"/>
  <c r="I65" i="79"/>
  <c r="H65" i="79"/>
  <c r="G65" i="79"/>
  <c r="F65" i="79"/>
  <c r="E65" i="79"/>
  <c r="D65" i="79"/>
  <c r="C65" i="79"/>
  <c r="B65" i="79"/>
  <c r="M64" i="79"/>
  <c r="L64" i="79"/>
  <c r="K64" i="79"/>
  <c r="J64" i="79"/>
  <c r="I64" i="79"/>
  <c r="H64" i="79"/>
  <c r="G64" i="79"/>
  <c r="F64" i="79"/>
  <c r="E64" i="79"/>
  <c r="D64" i="79"/>
  <c r="C64" i="79"/>
  <c r="N64" i="79" s="1"/>
  <c r="B64" i="79"/>
  <c r="M63" i="79"/>
  <c r="L63" i="79"/>
  <c r="K63" i="79"/>
  <c r="J63" i="79"/>
  <c r="I63" i="79"/>
  <c r="H63" i="79"/>
  <c r="G63" i="79"/>
  <c r="F63" i="79"/>
  <c r="E63" i="79"/>
  <c r="D63" i="79"/>
  <c r="C63" i="79"/>
  <c r="B63" i="79"/>
  <c r="M62" i="79"/>
  <c r="L62" i="79"/>
  <c r="K62" i="79"/>
  <c r="J62" i="79"/>
  <c r="I62" i="79"/>
  <c r="H62" i="79"/>
  <c r="G62" i="79"/>
  <c r="F62" i="79"/>
  <c r="E62" i="79"/>
  <c r="D62" i="79"/>
  <c r="C62" i="79"/>
  <c r="N62" i="79" s="1"/>
  <c r="B62" i="79"/>
  <c r="M61" i="79"/>
  <c r="L61" i="79"/>
  <c r="K61" i="79"/>
  <c r="J61" i="79"/>
  <c r="I61" i="79"/>
  <c r="H61" i="79"/>
  <c r="G61" i="79"/>
  <c r="F61" i="79"/>
  <c r="E61" i="79"/>
  <c r="D61" i="79"/>
  <c r="C61" i="79"/>
  <c r="N61" i="79" s="1"/>
  <c r="S60" i="79"/>
  <c r="M60" i="79"/>
  <c r="L60" i="79"/>
  <c r="K60" i="79"/>
  <c r="J60" i="79"/>
  <c r="I60" i="79"/>
  <c r="H60" i="79"/>
  <c r="G60" i="79"/>
  <c r="F60" i="79"/>
  <c r="E60" i="79"/>
  <c r="D60" i="79"/>
  <c r="C60" i="79"/>
  <c r="M59" i="79"/>
  <c r="N59" i="79" s="1"/>
  <c r="L59" i="79"/>
  <c r="K59" i="79"/>
  <c r="J59" i="79"/>
  <c r="I59" i="79"/>
  <c r="H59" i="79"/>
  <c r="G59" i="79"/>
  <c r="F59" i="79"/>
  <c r="E59" i="79"/>
  <c r="D59" i="79"/>
  <c r="C59" i="79"/>
  <c r="B59" i="79"/>
  <c r="M58" i="79"/>
  <c r="L58" i="79"/>
  <c r="K58" i="79"/>
  <c r="J58" i="79"/>
  <c r="I58" i="79"/>
  <c r="H58" i="79"/>
  <c r="G58" i="79"/>
  <c r="F58" i="79"/>
  <c r="E58" i="79"/>
  <c r="D58" i="79"/>
  <c r="C58" i="79"/>
  <c r="N58" i="79" s="1"/>
  <c r="B58" i="79"/>
  <c r="M57" i="79"/>
  <c r="L57" i="79"/>
  <c r="K57" i="79"/>
  <c r="J57" i="79"/>
  <c r="I57" i="79"/>
  <c r="H57" i="79"/>
  <c r="G57" i="79"/>
  <c r="F57" i="79"/>
  <c r="E57" i="79"/>
  <c r="D57" i="79"/>
  <c r="C57" i="79"/>
  <c r="N57" i="79" s="1"/>
  <c r="B57" i="79"/>
  <c r="M56" i="79"/>
  <c r="L56" i="79"/>
  <c r="K56" i="79"/>
  <c r="J56" i="79"/>
  <c r="I56" i="79"/>
  <c r="H56" i="79"/>
  <c r="G56" i="79"/>
  <c r="F56" i="79"/>
  <c r="E56" i="79"/>
  <c r="D56" i="79"/>
  <c r="C56" i="79"/>
  <c r="N56" i="79" s="1"/>
  <c r="B56" i="79"/>
  <c r="M55" i="79"/>
  <c r="L55" i="79"/>
  <c r="K55" i="79"/>
  <c r="J55" i="79"/>
  <c r="I55" i="79"/>
  <c r="H55" i="79"/>
  <c r="G55" i="79"/>
  <c r="F55" i="79"/>
  <c r="E55" i="79"/>
  <c r="D55" i="79"/>
  <c r="C55" i="79"/>
  <c r="B55" i="79"/>
  <c r="M54" i="79"/>
  <c r="N54" i="79" s="1"/>
  <c r="L54" i="79"/>
  <c r="K54" i="79"/>
  <c r="J54" i="79"/>
  <c r="I54" i="79"/>
  <c r="H54" i="79"/>
  <c r="G54" i="79"/>
  <c r="F54" i="79"/>
  <c r="E54" i="79"/>
  <c r="D54" i="79"/>
  <c r="C54" i="79"/>
  <c r="B54" i="79"/>
  <c r="M53" i="79"/>
  <c r="N53" i="79" s="1"/>
  <c r="L53" i="79"/>
  <c r="K53" i="79"/>
  <c r="J53" i="79"/>
  <c r="I53" i="79"/>
  <c r="H53" i="79"/>
  <c r="G53" i="79"/>
  <c r="F53" i="79"/>
  <c r="E53" i="79"/>
  <c r="D53" i="79"/>
  <c r="C53" i="79"/>
  <c r="B53" i="79"/>
  <c r="M52" i="79"/>
  <c r="N52" i="79" s="1"/>
  <c r="L52" i="79"/>
  <c r="K52" i="79"/>
  <c r="J52" i="79"/>
  <c r="I52" i="79"/>
  <c r="H52" i="79"/>
  <c r="G52" i="79"/>
  <c r="F52" i="79"/>
  <c r="E52" i="79"/>
  <c r="D52" i="79"/>
  <c r="C52" i="79"/>
  <c r="B52" i="79"/>
  <c r="M51" i="79"/>
  <c r="N51" i="79" s="1"/>
  <c r="L51" i="79"/>
  <c r="K51" i="79"/>
  <c r="J51" i="79"/>
  <c r="I51" i="79"/>
  <c r="H51" i="79"/>
  <c r="G51" i="79"/>
  <c r="F51" i="79"/>
  <c r="E51" i="79"/>
  <c r="D51" i="79"/>
  <c r="C51" i="79"/>
  <c r="B51" i="79"/>
  <c r="M50" i="79"/>
  <c r="L50" i="79"/>
  <c r="K50" i="79"/>
  <c r="J50" i="79"/>
  <c r="I50" i="79"/>
  <c r="H50" i="79"/>
  <c r="G50" i="79"/>
  <c r="F50" i="79"/>
  <c r="E50" i="79"/>
  <c r="D50" i="79"/>
  <c r="C50" i="79"/>
  <c r="B50" i="79"/>
  <c r="M49" i="79"/>
  <c r="N49" i="79" s="1"/>
  <c r="L49" i="79"/>
  <c r="K49" i="79"/>
  <c r="J49" i="79"/>
  <c r="I49" i="79"/>
  <c r="H49" i="79"/>
  <c r="G49" i="79"/>
  <c r="F49" i="79"/>
  <c r="E49" i="79"/>
  <c r="D49" i="79"/>
  <c r="C49" i="79"/>
  <c r="B49" i="79"/>
  <c r="N48" i="79"/>
  <c r="M48" i="79"/>
  <c r="L48" i="79"/>
  <c r="K48" i="79"/>
  <c r="J48" i="79"/>
  <c r="I48" i="79"/>
  <c r="H48" i="79"/>
  <c r="G48" i="79"/>
  <c r="F48" i="79"/>
  <c r="E48" i="79"/>
  <c r="D48" i="79"/>
  <c r="C48" i="79"/>
  <c r="B48" i="79"/>
  <c r="M47" i="79"/>
  <c r="L47" i="79"/>
  <c r="K47" i="79"/>
  <c r="J47" i="79"/>
  <c r="I47" i="79"/>
  <c r="H47" i="79"/>
  <c r="G47" i="79"/>
  <c r="F47" i="79"/>
  <c r="E47" i="79"/>
  <c r="D47" i="79"/>
  <c r="C47" i="79"/>
  <c r="B47" i="79"/>
  <c r="M46" i="79"/>
  <c r="L46" i="79"/>
  <c r="K46" i="79"/>
  <c r="J46" i="79"/>
  <c r="I46" i="79"/>
  <c r="H46" i="79"/>
  <c r="G46" i="79"/>
  <c r="F46" i="79"/>
  <c r="E46" i="79"/>
  <c r="D46" i="79"/>
  <c r="C46" i="79"/>
  <c r="N46" i="79" s="1"/>
  <c r="B46" i="79"/>
  <c r="M45" i="79"/>
  <c r="L45" i="79"/>
  <c r="K45" i="79"/>
  <c r="J45" i="79"/>
  <c r="I45" i="79"/>
  <c r="H45" i="79"/>
  <c r="G45" i="79"/>
  <c r="F45" i="79"/>
  <c r="E45" i="79"/>
  <c r="D45" i="79"/>
  <c r="C45" i="79"/>
  <c r="N45" i="79" s="1"/>
  <c r="B45" i="79"/>
  <c r="M44" i="79"/>
  <c r="L44" i="79"/>
  <c r="K44" i="79"/>
  <c r="J44" i="79"/>
  <c r="I44" i="79"/>
  <c r="H44" i="79"/>
  <c r="G44" i="79"/>
  <c r="F44" i="79"/>
  <c r="E44" i="79"/>
  <c r="D44" i="79"/>
  <c r="C44" i="79"/>
  <c r="N44" i="79" s="1"/>
  <c r="B44" i="79"/>
  <c r="M43" i="79"/>
  <c r="L43" i="79"/>
  <c r="K43" i="79"/>
  <c r="J43" i="79"/>
  <c r="I43" i="79"/>
  <c r="H43" i="79"/>
  <c r="G43" i="79"/>
  <c r="F43" i="79"/>
  <c r="E43" i="79"/>
  <c r="D43" i="79"/>
  <c r="C43" i="79"/>
  <c r="B43" i="79"/>
  <c r="M42" i="79"/>
  <c r="N42" i="79" s="1"/>
  <c r="L42" i="79"/>
  <c r="K42" i="79"/>
  <c r="J42" i="79"/>
  <c r="I42" i="79"/>
  <c r="H42" i="79"/>
  <c r="G42" i="79"/>
  <c r="F42" i="79"/>
  <c r="E42" i="79"/>
  <c r="D42" i="79"/>
  <c r="C42" i="79"/>
  <c r="B42" i="79"/>
  <c r="M41" i="79"/>
  <c r="N41" i="79" s="1"/>
  <c r="L41" i="79"/>
  <c r="K41" i="79"/>
  <c r="J41" i="79"/>
  <c r="I41" i="79"/>
  <c r="H41" i="79"/>
  <c r="G41" i="79"/>
  <c r="F41" i="79"/>
  <c r="E41" i="79"/>
  <c r="D41" i="79"/>
  <c r="C41" i="79"/>
  <c r="M40" i="79"/>
  <c r="L40" i="79"/>
  <c r="K40" i="79"/>
  <c r="J40" i="79"/>
  <c r="I40" i="79"/>
  <c r="H40" i="79"/>
  <c r="G40" i="79"/>
  <c r="F40" i="79"/>
  <c r="E40" i="79"/>
  <c r="D40" i="79"/>
  <c r="C40" i="79"/>
  <c r="N40" i="79" s="1"/>
  <c r="M39" i="79"/>
  <c r="L39" i="79"/>
  <c r="K39" i="79"/>
  <c r="J39" i="79"/>
  <c r="I39" i="79"/>
  <c r="H39" i="79"/>
  <c r="G39" i="79"/>
  <c r="F39" i="79"/>
  <c r="E39" i="79"/>
  <c r="D39" i="79"/>
  <c r="C39" i="79"/>
  <c r="N39" i="79" s="1"/>
  <c r="B39" i="79"/>
  <c r="M38" i="79"/>
  <c r="L38" i="79"/>
  <c r="K38" i="79"/>
  <c r="J38" i="79"/>
  <c r="I38" i="79"/>
  <c r="H38" i="79"/>
  <c r="G38" i="79"/>
  <c r="F38" i="79"/>
  <c r="E38" i="79"/>
  <c r="D38" i="79"/>
  <c r="C38" i="79"/>
  <c r="B38" i="79"/>
  <c r="M37" i="79"/>
  <c r="L37" i="79"/>
  <c r="K37" i="79"/>
  <c r="J37" i="79"/>
  <c r="I37" i="79"/>
  <c r="H37" i="79"/>
  <c r="G37" i="79"/>
  <c r="F37" i="79"/>
  <c r="E37" i="79"/>
  <c r="D37" i="79"/>
  <c r="C37" i="79"/>
  <c r="N37" i="79" s="1"/>
  <c r="B37" i="79"/>
  <c r="M36" i="79"/>
  <c r="L36" i="79"/>
  <c r="K36" i="79"/>
  <c r="J36" i="79"/>
  <c r="I36" i="79"/>
  <c r="H36" i="79"/>
  <c r="G36" i="79"/>
  <c r="F36" i="79"/>
  <c r="E36" i="79"/>
  <c r="D36" i="79"/>
  <c r="C36" i="79"/>
  <c r="N36" i="79" s="1"/>
  <c r="B36" i="79"/>
  <c r="M35" i="79"/>
  <c r="L35" i="79"/>
  <c r="K35" i="79"/>
  <c r="J35" i="79"/>
  <c r="I35" i="79"/>
  <c r="H35" i="79"/>
  <c r="G35" i="79"/>
  <c r="F35" i="79"/>
  <c r="E35" i="79"/>
  <c r="D35" i="79"/>
  <c r="C35" i="79"/>
  <c r="N35" i="79" s="1"/>
  <c r="B35" i="79"/>
  <c r="M34" i="79"/>
  <c r="L34" i="79"/>
  <c r="K34" i="79"/>
  <c r="J34" i="79"/>
  <c r="I34" i="79"/>
  <c r="H34" i="79"/>
  <c r="G34" i="79"/>
  <c r="F34" i="79"/>
  <c r="E34" i="79"/>
  <c r="D34" i="79"/>
  <c r="C34" i="79"/>
  <c r="B34" i="79"/>
  <c r="M33" i="79"/>
  <c r="L33" i="79"/>
  <c r="K33" i="79"/>
  <c r="J33" i="79"/>
  <c r="I33" i="79"/>
  <c r="H33" i="79"/>
  <c r="G33" i="79"/>
  <c r="F33" i="79"/>
  <c r="E33" i="79"/>
  <c r="D33" i="79"/>
  <c r="C33" i="79"/>
  <c r="N33" i="79" s="1"/>
  <c r="B33" i="79"/>
  <c r="M32" i="79"/>
  <c r="L32" i="79"/>
  <c r="K32" i="79"/>
  <c r="J32" i="79"/>
  <c r="I32" i="79"/>
  <c r="H32" i="79"/>
  <c r="G32" i="79"/>
  <c r="F32" i="79"/>
  <c r="E32" i="79"/>
  <c r="D32" i="79"/>
  <c r="C32" i="79"/>
  <c r="B32" i="79"/>
  <c r="M31" i="79"/>
  <c r="L31" i="79"/>
  <c r="K31" i="79"/>
  <c r="J31" i="79"/>
  <c r="I31" i="79"/>
  <c r="H31" i="79"/>
  <c r="G31" i="79"/>
  <c r="F31" i="79"/>
  <c r="E31" i="79"/>
  <c r="D31" i="79"/>
  <c r="C31" i="79"/>
  <c r="N31" i="79" s="1"/>
  <c r="B31" i="79"/>
  <c r="M30" i="79"/>
  <c r="L30" i="79"/>
  <c r="K30" i="79"/>
  <c r="J30" i="79"/>
  <c r="I30" i="79"/>
  <c r="H30" i="79"/>
  <c r="G30" i="79"/>
  <c r="F30" i="79"/>
  <c r="E30" i="79"/>
  <c r="D30" i="79"/>
  <c r="C30" i="79"/>
  <c r="B30" i="79"/>
  <c r="M29" i="79"/>
  <c r="L29" i="79"/>
  <c r="K29" i="79"/>
  <c r="J29" i="79"/>
  <c r="I29" i="79"/>
  <c r="H29" i="79"/>
  <c r="G29" i="79"/>
  <c r="F29" i="79"/>
  <c r="E29" i="79"/>
  <c r="D29" i="79"/>
  <c r="C29" i="79"/>
  <c r="N29" i="79" s="1"/>
  <c r="B29" i="79"/>
  <c r="M28" i="79"/>
  <c r="L28" i="79"/>
  <c r="K28" i="79"/>
  <c r="J28" i="79"/>
  <c r="I28" i="79"/>
  <c r="H28" i="79"/>
  <c r="G28" i="79"/>
  <c r="F28" i="79"/>
  <c r="E28" i="79"/>
  <c r="D28" i="79"/>
  <c r="C28" i="79"/>
  <c r="N28" i="79" s="1"/>
  <c r="B28" i="79"/>
  <c r="M27" i="79"/>
  <c r="L27" i="79"/>
  <c r="K27" i="79"/>
  <c r="J27" i="79"/>
  <c r="I27" i="79"/>
  <c r="H27" i="79"/>
  <c r="G27" i="79"/>
  <c r="F27" i="79"/>
  <c r="E27" i="79"/>
  <c r="D27" i="79"/>
  <c r="C27" i="79"/>
  <c r="N27" i="79" s="1"/>
  <c r="B27" i="79"/>
  <c r="M26" i="79"/>
  <c r="L26" i="79"/>
  <c r="K26" i="79"/>
  <c r="J26" i="79"/>
  <c r="I26" i="79"/>
  <c r="H26" i="79"/>
  <c r="G26" i="79"/>
  <c r="F26" i="79"/>
  <c r="E26" i="79"/>
  <c r="D26" i="79"/>
  <c r="C26" i="79"/>
  <c r="B26" i="79"/>
  <c r="M25" i="79"/>
  <c r="L25" i="79"/>
  <c r="K25" i="79"/>
  <c r="J25" i="79"/>
  <c r="I25" i="79"/>
  <c r="H25" i="79"/>
  <c r="G25" i="79"/>
  <c r="F25" i="79"/>
  <c r="E25" i="79"/>
  <c r="D25" i="79"/>
  <c r="C25" i="79"/>
  <c r="N25" i="79" s="1"/>
  <c r="B25" i="79"/>
  <c r="M24" i="79"/>
  <c r="L24" i="79"/>
  <c r="K24" i="79"/>
  <c r="J24" i="79"/>
  <c r="I24" i="79"/>
  <c r="H24" i="79"/>
  <c r="G24" i="79"/>
  <c r="F24" i="79"/>
  <c r="E24" i="79"/>
  <c r="D24" i="79"/>
  <c r="C24" i="79"/>
  <c r="B24" i="79"/>
  <c r="M23" i="79"/>
  <c r="L23" i="79"/>
  <c r="K23" i="79"/>
  <c r="J23" i="79"/>
  <c r="I23" i="79"/>
  <c r="H23" i="79"/>
  <c r="G23" i="79"/>
  <c r="F23" i="79"/>
  <c r="E23" i="79"/>
  <c r="D23" i="79"/>
  <c r="C23" i="79"/>
  <c r="N23" i="79" s="1"/>
  <c r="B23" i="79"/>
  <c r="M22" i="79"/>
  <c r="L22" i="79"/>
  <c r="K22" i="79"/>
  <c r="J22" i="79"/>
  <c r="I22" i="79"/>
  <c r="H22" i="79"/>
  <c r="G22" i="79"/>
  <c r="F22" i="79"/>
  <c r="E22" i="79"/>
  <c r="D22" i="79"/>
  <c r="C22" i="79"/>
  <c r="N22" i="79" s="1"/>
  <c r="B22" i="79"/>
  <c r="M21" i="79"/>
  <c r="D12" i="79" s="1"/>
  <c r="L21" i="79"/>
  <c r="D11" i="79" s="1"/>
  <c r="K21" i="79"/>
  <c r="D10" i="79" s="1"/>
  <c r="J21" i="79"/>
  <c r="D9" i="79" s="1"/>
  <c r="I21" i="79"/>
  <c r="D8" i="79" s="1"/>
  <c r="H21" i="79"/>
  <c r="D7" i="79" s="1"/>
  <c r="G21" i="79"/>
  <c r="D6" i="79" s="1"/>
  <c r="F21" i="79"/>
  <c r="D5" i="79" s="1"/>
  <c r="E21" i="79"/>
  <c r="D4" i="79" s="1"/>
  <c r="D21" i="79"/>
  <c r="D3" i="79" s="1"/>
  <c r="C21" i="79"/>
  <c r="D2" i="79" s="1"/>
  <c r="S20" i="79"/>
  <c r="T22" i="79" s="1"/>
  <c r="AZ18" i="79"/>
  <c r="AS18" i="79"/>
  <c r="AL18" i="79"/>
  <c r="E444" i="76"/>
  <c r="A444" i="76"/>
  <c r="E443" i="76"/>
  <c r="A443" i="76"/>
  <c r="E442" i="76"/>
  <c r="A442" i="76"/>
  <c r="E441" i="76"/>
  <c r="B441" i="76"/>
  <c r="C441" i="76" s="1"/>
  <c r="A441" i="76"/>
  <c r="E440" i="76"/>
  <c r="A440" i="76"/>
  <c r="E439" i="76"/>
  <c r="A439" i="76"/>
  <c r="E438" i="76"/>
  <c r="A438" i="76"/>
  <c r="E437" i="76"/>
  <c r="A437" i="76"/>
  <c r="E436" i="76"/>
  <c r="A436" i="76"/>
  <c r="E435" i="76"/>
  <c r="A435" i="76"/>
  <c r="E434" i="76"/>
  <c r="A434" i="76"/>
  <c r="E433" i="76"/>
  <c r="B433" i="76"/>
  <c r="C433" i="76" s="1"/>
  <c r="A433" i="76"/>
  <c r="E432" i="76"/>
  <c r="A432" i="76"/>
  <c r="E431" i="76"/>
  <c r="A431" i="76"/>
  <c r="E430" i="76"/>
  <c r="A430" i="76"/>
  <c r="E429" i="76"/>
  <c r="B429" i="76"/>
  <c r="C429" i="76" s="1"/>
  <c r="A429" i="76"/>
  <c r="E428" i="76"/>
  <c r="A428" i="76"/>
  <c r="E427" i="76"/>
  <c r="B427" i="76"/>
  <c r="C427" i="76" s="1"/>
  <c r="A427" i="76"/>
  <c r="E426" i="76"/>
  <c r="A426" i="76"/>
  <c r="E425" i="76"/>
  <c r="A425" i="76"/>
  <c r="E424" i="76"/>
  <c r="A424" i="76"/>
  <c r="E423" i="76"/>
  <c r="A423" i="76"/>
  <c r="E422" i="76"/>
  <c r="A422" i="76"/>
  <c r="E421" i="76"/>
  <c r="A421" i="76"/>
  <c r="E420" i="76"/>
  <c r="A420" i="76"/>
  <c r="E419" i="76"/>
  <c r="A419" i="76"/>
  <c r="E418" i="76"/>
  <c r="A418" i="76"/>
  <c r="E417" i="76"/>
  <c r="B417" i="76"/>
  <c r="C417" i="76" s="1"/>
  <c r="A417" i="76"/>
  <c r="E416" i="76"/>
  <c r="A416" i="76"/>
  <c r="E415" i="76"/>
  <c r="A415" i="76"/>
  <c r="E414" i="76"/>
  <c r="A414" i="76"/>
  <c r="E413" i="76"/>
  <c r="A413" i="76"/>
  <c r="E412" i="76"/>
  <c r="A412" i="76"/>
  <c r="E411" i="76"/>
  <c r="A411" i="76"/>
  <c r="E410" i="76"/>
  <c r="A410" i="76"/>
  <c r="E409" i="76"/>
  <c r="A409" i="76"/>
  <c r="E408" i="76"/>
  <c r="A408" i="76"/>
  <c r="E407" i="76"/>
  <c r="A407" i="76"/>
  <c r="E406" i="76"/>
  <c r="A406" i="76"/>
  <c r="E405" i="76"/>
  <c r="A405" i="76"/>
  <c r="E404" i="76"/>
  <c r="A404" i="76"/>
  <c r="E403" i="76"/>
  <c r="A403" i="76"/>
  <c r="E402" i="76"/>
  <c r="A402" i="76"/>
  <c r="E401" i="76"/>
  <c r="A401" i="76"/>
  <c r="E400" i="76"/>
  <c r="A400" i="76"/>
  <c r="E399" i="76"/>
  <c r="A399" i="76"/>
  <c r="E398" i="76"/>
  <c r="A398" i="76"/>
  <c r="E397" i="76"/>
  <c r="B397" i="76"/>
  <c r="C397" i="76" s="1"/>
  <c r="A397" i="76"/>
  <c r="E396" i="76"/>
  <c r="A396" i="76"/>
  <c r="E395" i="76"/>
  <c r="A395" i="76"/>
  <c r="E394" i="76"/>
  <c r="A394" i="76"/>
  <c r="E393" i="76"/>
  <c r="A393" i="76"/>
  <c r="E392" i="76"/>
  <c r="A392" i="76"/>
  <c r="E391" i="76"/>
  <c r="A391" i="76"/>
  <c r="E390" i="76"/>
  <c r="A390" i="76"/>
  <c r="E389" i="76"/>
  <c r="A389" i="76"/>
  <c r="E388" i="76"/>
  <c r="A388" i="76"/>
  <c r="E387" i="76"/>
  <c r="B387" i="76"/>
  <c r="C387" i="76" s="1"/>
  <c r="A387" i="76"/>
  <c r="E386" i="76"/>
  <c r="A386" i="76"/>
  <c r="E385" i="76"/>
  <c r="A385" i="76"/>
  <c r="E384" i="76"/>
  <c r="A384" i="76"/>
  <c r="E383" i="76"/>
  <c r="A383" i="76"/>
  <c r="E382" i="76"/>
  <c r="A382" i="76"/>
  <c r="E381" i="76"/>
  <c r="A381" i="76"/>
  <c r="E380" i="76"/>
  <c r="A380" i="76"/>
  <c r="E379" i="76"/>
  <c r="A379" i="76"/>
  <c r="E378" i="76"/>
  <c r="A378" i="76"/>
  <c r="E377" i="76"/>
  <c r="B377" i="76"/>
  <c r="C377" i="76" s="1"/>
  <c r="A377" i="76"/>
  <c r="E376" i="76"/>
  <c r="A376" i="76"/>
  <c r="E375" i="76"/>
  <c r="A375" i="76"/>
  <c r="E374" i="76"/>
  <c r="A374" i="76"/>
  <c r="E373" i="76"/>
  <c r="A373" i="76"/>
  <c r="E372" i="76"/>
  <c r="A372" i="76"/>
  <c r="E371" i="76"/>
  <c r="A371" i="76"/>
  <c r="E370" i="76"/>
  <c r="A370" i="76"/>
  <c r="E369" i="76"/>
  <c r="A369" i="76"/>
  <c r="E368" i="76"/>
  <c r="A368" i="76"/>
  <c r="E367" i="76"/>
  <c r="A367" i="76"/>
  <c r="E366" i="76"/>
  <c r="A366" i="76"/>
  <c r="E365" i="76"/>
  <c r="B365" i="76"/>
  <c r="C365" i="76" s="1"/>
  <c r="A365" i="76"/>
  <c r="E364" i="76"/>
  <c r="A364" i="76"/>
  <c r="E363" i="76"/>
  <c r="A363" i="76"/>
  <c r="E362" i="76"/>
  <c r="A362" i="76"/>
  <c r="E361" i="76"/>
  <c r="A361" i="76"/>
  <c r="E360" i="76"/>
  <c r="A360" i="76"/>
  <c r="E359" i="76"/>
  <c r="A359" i="76"/>
  <c r="E358" i="76"/>
  <c r="A358" i="76"/>
  <c r="E357" i="76"/>
  <c r="B357" i="76"/>
  <c r="C357" i="76" s="1"/>
  <c r="A357" i="76"/>
  <c r="E356" i="76"/>
  <c r="A356" i="76"/>
  <c r="E355" i="76"/>
  <c r="A355" i="76"/>
  <c r="E354" i="76"/>
  <c r="A354" i="76"/>
  <c r="E353" i="76"/>
  <c r="A353" i="76"/>
  <c r="E352" i="76"/>
  <c r="A352" i="76"/>
  <c r="E351" i="76"/>
  <c r="A351" i="76"/>
  <c r="E350" i="76"/>
  <c r="A350" i="76"/>
  <c r="E349" i="76"/>
  <c r="A349" i="76"/>
  <c r="E348" i="76"/>
  <c r="A348" i="76"/>
  <c r="E347" i="76"/>
  <c r="A347" i="76"/>
  <c r="E346" i="76"/>
  <c r="A346" i="76"/>
  <c r="E345" i="76"/>
  <c r="A345" i="76"/>
  <c r="E344" i="76"/>
  <c r="A344" i="76"/>
  <c r="E343" i="76"/>
  <c r="A343" i="76"/>
  <c r="E342" i="76"/>
  <c r="A342" i="76"/>
  <c r="E341" i="76"/>
  <c r="A341" i="76"/>
  <c r="E340" i="76"/>
  <c r="A340" i="76"/>
  <c r="E339" i="76"/>
  <c r="A339" i="76"/>
  <c r="E338" i="76"/>
  <c r="A338" i="76"/>
  <c r="E337" i="76"/>
  <c r="A337" i="76"/>
  <c r="E336" i="76"/>
  <c r="A336" i="76"/>
  <c r="E335" i="76"/>
  <c r="B335" i="76"/>
  <c r="C335" i="76" s="1"/>
  <c r="A335" i="76"/>
  <c r="E334" i="76"/>
  <c r="A334" i="76"/>
  <c r="E333" i="76"/>
  <c r="A333" i="76"/>
  <c r="E332" i="76"/>
  <c r="A332" i="76"/>
  <c r="E331" i="76"/>
  <c r="A331" i="76"/>
  <c r="E330" i="76"/>
  <c r="A330" i="76"/>
  <c r="E329" i="76"/>
  <c r="B329" i="76"/>
  <c r="C329" i="76" s="1"/>
  <c r="A329" i="76"/>
  <c r="E328" i="76"/>
  <c r="A328" i="76"/>
  <c r="E327" i="76"/>
  <c r="A327" i="76"/>
  <c r="E326" i="76"/>
  <c r="A326" i="76"/>
  <c r="E325" i="76"/>
  <c r="A325" i="76"/>
  <c r="E324" i="76"/>
  <c r="A324" i="76"/>
  <c r="E323" i="76"/>
  <c r="A323" i="76"/>
  <c r="E322" i="76"/>
  <c r="A322" i="76"/>
  <c r="E321" i="76"/>
  <c r="A321" i="76"/>
  <c r="E320" i="76"/>
  <c r="A320" i="76"/>
  <c r="E319" i="76"/>
  <c r="A319" i="76"/>
  <c r="E318" i="76"/>
  <c r="A318" i="76"/>
  <c r="E317" i="76"/>
  <c r="A317" i="76"/>
  <c r="E316" i="76"/>
  <c r="A316" i="76"/>
  <c r="E315" i="76"/>
  <c r="A315" i="76"/>
  <c r="E314" i="76"/>
  <c r="A314" i="76"/>
  <c r="E313" i="76"/>
  <c r="A313" i="76"/>
  <c r="E312" i="76"/>
  <c r="A312" i="76"/>
  <c r="E311" i="76"/>
  <c r="A311" i="76"/>
  <c r="E310" i="76"/>
  <c r="A310" i="76"/>
  <c r="E309" i="76"/>
  <c r="A309" i="76"/>
  <c r="E308" i="76"/>
  <c r="A308" i="76"/>
  <c r="E307" i="76"/>
  <c r="A307" i="76"/>
  <c r="E306" i="76"/>
  <c r="A306" i="76"/>
  <c r="E305" i="76"/>
  <c r="A305" i="76"/>
  <c r="E304" i="76"/>
  <c r="A304" i="76"/>
  <c r="E303" i="76"/>
  <c r="A303" i="76"/>
  <c r="E302" i="76"/>
  <c r="A302" i="76"/>
  <c r="E301" i="76"/>
  <c r="A301" i="76"/>
  <c r="E300" i="76"/>
  <c r="A300" i="76"/>
  <c r="E299" i="76"/>
  <c r="A299" i="76"/>
  <c r="E298" i="76"/>
  <c r="A298" i="76"/>
  <c r="E297" i="76"/>
  <c r="A297" i="76"/>
  <c r="E296" i="76"/>
  <c r="A296" i="76"/>
  <c r="E295" i="76"/>
  <c r="B295" i="76"/>
  <c r="C295" i="76" s="1"/>
  <c r="A295" i="76"/>
  <c r="E294" i="76"/>
  <c r="A294" i="76"/>
  <c r="E293" i="76"/>
  <c r="A293" i="76"/>
  <c r="E292" i="76"/>
  <c r="A292" i="76"/>
  <c r="E291" i="76"/>
  <c r="A291" i="76"/>
  <c r="E290" i="76"/>
  <c r="A290" i="76"/>
  <c r="E289" i="76"/>
  <c r="B289" i="76"/>
  <c r="C289" i="76" s="1"/>
  <c r="A289" i="76"/>
  <c r="E288" i="76"/>
  <c r="A288" i="76"/>
  <c r="E287" i="76"/>
  <c r="A287" i="76"/>
  <c r="E286" i="76"/>
  <c r="A286" i="76"/>
  <c r="E285" i="76"/>
  <c r="A285" i="76"/>
  <c r="E284" i="76"/>
  <c r="A284" i="76"/>
  <c r="E283" i="76"/>
  <c r="A283" i="76"/>
  <c r="E282" i="76"/>
  <c r="A282" i="76"/>
  <c r="E281" i="76"/>
  <c r="A281" i="76"/>
  <c r="E280" i="76"/>
  <c r="A280" i="76"/>
  <c r="E279" i="76"/>
  <c r="A279" i="76"/>
  <c r="E278" i="76"/>
  <c r="A278" i="76"/>
  <c r="E277" i="76"/>
  <c r="A277" i="76"/>
  <c r="E276" i="76"/>
  <c r="A276" i="76"/>
  <c r="E275" i="76"/>
  <c r="A275" i="76"/>
  <c r="E274" i="76"/>
  <c r="A274" i="76"/>
  <c r="E273" i="76"/>
  <c r="A273" i="76"/>
  <c r="E272" i="76"/>
  <c r="A272" i="76"/>
  <c r="E271" i="76"/>
  <c r="A271" i="76"/>
  <c r="E270" i="76"/>
  <c r="A270" i="76"/>
  <c r="E269" i="76"/>
  <c r="A269" i="76"/>
  <c r="E268" i="76"/>
  <c r="A268" i="76"/>
  <c r="E267" i="76"/>
  <c r="A267" i="76"/>
  <c r="E266" i="76"/>
  <c r="A266" i="76"/>
  <c r="E265" i="76"/>
  <c r="A265" i="76"/>
  <c r="E264" i="76"/>
  <c r="A264" i="76"/>
  <c r="E263" i="76"/>
  <c r="A263" i="76"/>
  <c r="E262" i="76"/>
  <c r="A262" i="76"/>
  <c r="E261" i="76"/>
  <c r="B261" i="76"/>
  <c r="C261" i="76" s="1"/>
  <c r="A261" i="76"/>
  <c r="E260" i="76"/>
  <c r="A260" i="76"/>
  <c r="E259" i="76"/>
  <c r="A259" i="76"/>
  <c r="E258" i="76"/>
  <c r="A258" i="76"/>
  <c r="E257" i="76"/>
  <c r="A257" i="76"/>
  <c r="E256" i="76"/>
  <c r="A256" i="76"/>
  <c r="E255" i="76"/>
  <c r="A255" i="76"/>
  <c r="E254" i="76"/>
  <c r="A254" i="76"/>
  <c r="E253" i="76"/>
  <c r="B253" i="76"/>
  <c r="C253" i="76" s="1"/>
  <c r="A253" i="76"/>
  <c r="E252" i="76"/>
  <c r="A252" i="76"/>
  <c r="E251" i="76"/>
  <c r="A251" i="76"/>
  <c r="E250" i="76"/>
  <c r="A250" i="76"/>
  <c r="E249" i="76"/>
  <c r="A249" i="76"/>
  <c r="E248" i="76"/>
  <c r="A248" i="76"/>
  <c r="E247" i="76"/>
  <c r="B247" i="76"/>
  <c r="C247" i="76" s="1"/>
  <c r="A247" i="76"/>
  <c r="E246" i="76"/>
  <c r="A246" i="76"/>
  <c r="E245" i="76"/>
  <c r="B245" i="76"/>
  <c r="C245" i="76" s="1"/>
  <c r="A245" i="76"/>
  <c r="E244" i="76"/>
  <c r="A244" i="76"/>
  <c r="E243" i="76"/>
  <c r="A243" i="76"/>
  <c r="E242" i="76"/>
  <c r="A242" i="76"/>
  <c r="E241" i="76"/>
  <c r="A241" i="76"/>
  <c r="E240" i="76"/>
  <c r="A240" i="76"/>
  <c r="E239" i="76"/>
  <c r="A239" i="76"/>
  <c r="E238" i="76"/>
  <c r="A238" i="76"/>
  <c r="E237" i="76"/>
  <c r="A237" i="76"/>
  <c r="E236" i="76"/>
  <c r="A236" i="76"/>
  <c r="E235" i="76"/>
  <c r="A235" i="76"/>
  <c r="E234" i="76"/>
  <c r="A234" i="76"/>
  <c r="E233" i="76"/>
  <c r="B233" i="76"/>
  <c r="C233" i="76" s="1"/>
  <c r="A233" i="76"/>
  <c r="E232" i="76"/>
  <c r="A232" i="76"/>
  <c r="E231" i="76"/>
  <c r="A231" i="76"/>
  <c r="E230" i="76"/>
  <c r="A230" i="76"/>
  <c r="E229" i="76"/>
  <c r="B229" i="76"/>
  <c r="C229" i="76" s="1"/>
  <c r="A229" i="76"/>
  <c r="E228" i="76"/>
  <c r="A228" i="76"/>
  <c r="E227" i="76"/>
  <c r="A227" i="76"/>
  <c r="E226" i="76"/>
  <c r="A226" i="76"/>
  <c r="E225" i="76"/>
  <c r="A225" i="76"/>
  <c r="E224" i="76"/>
  <c r="A224" i="76"/>
  <c r="E223" i="76"/>
  <c r="A223" i="76"/>
  <c r="E222" i="76"/>
  <c r="A222" i="76"/>
  <c r="E221" i="76"/>
  <c r="B221" i="76"/>
  <c r="C221" i="76" s="1"/>
  <c r="A221" i="76"/>
  <c r="E220" i="76"/>
  <c r="A220" i="76"/>
  <c r="E219" i="76"/>
  <c r="A219" i="76"/>
  <c r="E218" i="76"/>
  <c r="A218" i="76"/>
  <c r="E217" i="76"/>
  <c r="A217" i="76"/>
  <c r="E216" i="76"/>
  <c r="A216" i="76"/>
  <c r="E215" i="76"/>
  <c r="A215" i="76"/>
  <c r="E214" i="76"/>
  <c r="A214" i="76"/>
  <c r="E213" i="76"/>
  <c r="B213" i="76"/>
  <c r="C213" i="76" s="1"/>
  <c r="A213" i="76"/>
  <c r="E212" i="76"/>
  <c r="A212" i="76"/>
  <c r="E211" i="76"/>
  <c r="A211" i="76"/>
  <c r="E210" i="76"/>
  <c r="A210" i="76"/>
  <c r="E209" i="76"/>
  <c r="A209" i="76"/>
  <c r="E208" i="76"/>
  <c r="A208" i="76"/>
  <c r="E207" i="76"/>
  <c r="B207" i="76"/>
  <c r="C207" i="76" s="1"/>
  <c r="A207" i="76"/>
  <c r="E206" i="76"/>
  <c r="A206" i="76"/>
  <c r="E205" i="76"/>
  <c r="A205" i="76"/>
  <c r="E204" i="76"/>
  <c r="A204" i="76"/>
  <c r="E203" i="76"/>
  <c r="A203" i="76"/>
  <c r="E202" i="76"/>
  <c r="A202" i="76"/>
  <c r="E201" i="76"/>
  <c r="B201" i="76"/>
  <c r="C201" i="76" s="1"/>
  <c r="A201" i="76"/>
  <c r="E200" i="76"/>
  <c r="A200" i="76"/>
  <c r="E199" i="76"/>
  <c r="A199" i="76"/>
  <c r="E198" i="76"/>
  <c r="A198" i="76"/>
  <c r="E197" i="76"/>
  <c r="A197" i="76"/>
  <c r="E196" i="76"/>
  <c r="A196" i="76"/>
  <c r="E195" i="76"/>
  <c r="A195" i="76"/>
  <c r="E194" i="76"/>
  <c r="A194" i="76"/>
  <c r="E193" i="76"/>
  <c r="B193" i="76"/>
  <c r="C193" i="76" s="1"/>
  <c r="A193" i="76"/>
  <c r="E192" i="76"/>
  <c r="A192" i="76"/>
  <c r="E191" i="76"/>
  <c r="A191" i="76"/>
  <c r="E190" i="76"/>
  <c r="A190" i="76"/>
  <c r="E189" i="76"/>
  <c r="B189" i="76"/>
  <c r="C189" i="76" s="1"/>
  <c r="A189" i="76"/>
  <c r="E188" i="76"/>
  <c r="A188" i="76"/>
  <c r="E187" i="76"/>
  <c r="A187" i="76"/>
  <c r="E186" i="76"/>
  <c r="A186" i="76"/>
  <c r="E185" i="76"/>
  <c r="A185" i="76"/>
  <c r="E184" i="76"/>
  <c r="A184" i="76"/>
  <c r="E183" i="76"/>
  <c r="A183" i="76"/>
  <c r="E182" i="76"/>
  <c r="A182" i="76"/>
  <c r="E181" i="76"/>
  <c r="B181" i="76"/>
  <c r="C181" i="76" s="1"/>
  <c r="A181" i="76"/>
  <c r="E180" i="76"/>
  <c r="A180" i="76"/>
  <c r="E179" i="76"/>
  <c r="A179" i="76"/>
  <c r="E178" i="76"/>
  <c r="A178" i="76"/>
  <c r="E177" i="76"/>
  <c r="A177" i="76"/>
  <c r="E176" i="76"/>
  <c r="A176" i="76"/>
  <c r="E175" i="76"/>
  <c r="A175" i="76"/>
  <c r="E174" i="76"/>
  <c r="A174" i="76"/>
  <c r="E173" i="76"/>
  <c r="B173" i="76"/>
  <c r="C173" i="76" s="1"/>
  <c r="A173" i="76"/>
  <c r="E172" i="76"/>
  <c r="A172" i="76"/>
  <c r="E171" i="76"/>
  <c r="A171" i="76"/>
  <c r="E170" i="76"/>
  <c r="A170" i="76"/>
  <c r="E169" i="76"/>
  <c r="B169" i="76"/>
  <c r="C169" i="76" s="1"/>
  <c r="A169" i="76"/>
  <c r="E168" i="76"/>
  <c r="A168" i="76"/>
  <c r="E167" i="76"/>
  <c r="A167" i="76"/>
  <c r="E166" i="76"/>
  <c r="A166" i="76"/>
  <c r="E165" i="76"/>
  <c r="A165" i="76"/>
  <c r="E164" i="76"/>
  <c r="A164" i="76"/>
  <c r="E163" i="76"/>
  <c r="A163" i="76"/>
  <c r="E162" i="76"/>
  <c r="A162" i="76"/>
  <c r="E161" i="76"/>
  <c r="A161" i="76"/>
  <c r="E160" i="76"/>
  <c r="B160" i="76"/>
  <c r="C160" i="76" s="1"/>
  <c r="A160" i="76"/>
  <c r="E159" i="76"/>
  <c r="A159" i="76"/>
  <c r="E158" i="76"/>
  <c r="A158" i="76"/>
  <c r="E157" i="76"/>
  <c r="B157" i="76"/>
  <c r="C157" i="76" s="1"/>
  <c r="A157" i="76"/>
  <c r="E156" i="76"/>
  <c r="A156" i="76"/>
  <c r="E155" i="76"/>
  <c r="A155" i="76"/>
  <c r="E154" i="76"/>
  <c r="A154" i="76"/>
  <c r="E153" i="76"/>
  <c r="A153" i="76"/>
  <c r="E152" i="76"/>
  <c r="B152" i="76"/>
  <c r="C152" i="76" s="1"/>
  <c r="A152" i="76"/>
  <c r="E151" i="76"/>
  <c r="A151" i="76"/>
  <c r="E150" i="76"/>
  <c r="B150" i="76"/>
  <c r="C150" i="76" s="1"/>
  <c r="A150" i="76"/>
  <c r="E149" i="76"/>
  <c r="B149" i="76"/>
  <c r="C149" i="76" s="1"/>
  <c r="A149" i="76"/>
  <c r="E148" i="76"/>
  <c r="A148" i="76"/>
  <c r="E147" i="76"/>
  <c r="A147" i="76"/>
  <c r="E146" i="76"/>
  <c r="A146" i="76"/>
  <c r="E145" i="76"/>
  <c r="A145" i="76"/>
  <c r="E144" i="76"/>
  <c r="A144" i="76"/>
  <c r="E143" i="76"/>
  <c r="A143" i="76"/>
  <c r="E142" i="76"/>
  <c r="A142" i="76"/>
  <c r="E141" i="76"/>
  <c r="A141" i="76"/>
  <c r="E140" i="76"/>
  <c r="B140" i="76"/>
  <c r="C140" i="76" s="1"/>
  <c r="A140" i="76"/>
  <c r="E139" i="76"/>
  <c r="A139" i="76"/>
  <c r="E138" i="76"/>
  <c r="A138" i="76"/>
  <c r="E137" i="76"/>
  <c r="B137" i="76"/>
  <c r="C137" i="76" s="1"/>
  <c r="A137" i="76"/>
  <c r="E136" i="76"/>
  <c r="A136" i="76"/>
  <c r="E135" i="76"/>
  <c r="A135" i="76"/>
  <c r="E134" i="76"/>
  <c r="A134" i="76"/>
  <c r="E133" i="76"/>
  <c r="A133" i="76"/>
  <c r="E132" i="76"/>
  <c r="A132" i="76"/>
  <c r="E131" i="76"/>
  <c r="A131" i="76"/>
  <c r="E130" i="76"/>
  <c r="A130" i="76"/>
  <c r="E129" i="76"/>
  <c r="B129" i="76"/>
  <c r="C129" i="76" s="1"/>
  <c r="A129" i="76"/>
  <c r="E128" i="76"/>
  <c r="A128" i="76"/>
  <c r="E127" i="76"/>
  <c r="A127" i="76"/>
  <c r="E126" i="76"/>
  <c r="A126" i="76"/>
  <c r="E125" i="76"/>
  <c r="A125" i="76"/>
  <c r="E124" i="76"/>
  <c r="B124" i="76"/>
  <c r="C124" i="76" s="1"/>
  <c r="A124" i="76"/>
  <c r="E123" i="76"/>
  <c r="A123" i="76"/>
  <c r="E122" i="76"/>
  <c r="A122" i="76"/>
  <c r="E121" i="76"/>
  <c r="A121" i="76"/>
  <c r="E120" i="76"/>
  <c r="A120" i="76"/>
  <c r="E119" i="76"/>
  <c r="A119" i="76"/>
  <c r="E118" i="76"/>
  <c r="A118" i="76"/>
  <c r="E117" i="76"/>
  <c r="A117" i="76"/>
  <c r="E116" i="76"/>
  <c r="A116" i="76"/>
  <c r="E115" i="76"/>
  <c r="A115" i="76"/>
  <c r="E114" i="76"/>
  <c r="A114" i="76"/>
  <c r="E113" i="76"/>
  <c r="A113" i="76"/>
  <c r="E112" i="76"/>
  <c r="A112" i="76"/>
  <c r="E111" i="76"/>
  <c r="A111" i="76"/>
  <c r="E110" i="76"/>
  <c r="A110" i="76"/>
  <c r="E109" i="76"/>
  <c r="A109" i="76"/>
  <c r="E108" i="76"/>
  <c r="A108" i="76"/>
  <c r="E107" i="76"/>
  <c r="A107" i="76"/>
  <c r="E106" i="76"/>
  <c r="A106" i="76"/>
  <c r="E105" i="76"/>
  <c r="A105" i="76"/>
  <c r="E104" i="76"/>
  <c r="A104" i="76"/>
  <c r="E103" i="76"/>
  <c r="A103" i="76"/>
  <c r="E102" i="76"/>
  <c r="A102" i="76"/>
  <c r="E101" i="76"/>
  <c r="A101" i="76"/>
  <c r="E100" i="76"/>
  <c r="A100" i="76"/>
  <c r="E99" i="76"/>
  <c r="A99" i="76"/>
  <c r="E98" i="76"/>
  <c r="A98" i="76"/>
  <c r="E97" i="76"/>
  <c r="A97" i="76"/>
  <c r="E96" i="76"/>
  <c r="A96" i="76"/>
  <c r="E95" i="76"/>
  <c r="A95" i="76"/>
  <c r="E94" i="76"/>
  <c r="A94" i="76"/>
  <c r="E93" i="76"/>
  <c r="B93" i="76"/>
  <c r="C93" i="76" s="1"/>
  <c r="A93" i="76"/>
  <c r="E92" i="76"/>
  <c r="A92" i="76"/>
  <c r="E91" i="76"/>
  <c r="A91" i="76"/>
  <c r="E90" i="76"/>
  <c r="A90" i="76"/>
  <c r="E89" i="76"/>
  <c r="B89" i="76"/>
  <c r="C89" i="76" s="1"/>
  <c r="A89" i="76"/>
  <c r="E88" i="76"/>
  <c r="A88" i="76"/>
  <c r="E87" i="76"/>
  <c r="B87" i="76"/>
  <c r="C87" i="76" s="1"/>
  <c r="A87" i="76"/>
  <c r="E86" i="76"/>
  <c r="A86" i="76"/>
  <c r="E85" i="76"/>
  <c r="A85" i="76"/>
  <c r="E84" i="76"/>
  <c r="A84" i="76"/>
  <c r="E83" i="76"/>
  <c r="A83" i="76"/>
  <c r="E82" i="76"/>
  <c r="A82" i="76"/>
  <c r="E81" i="76"/>
  <c r="B81" i="76"/>
  <c r="C81" i="76" s="1"/>
  <c r="A81" i="76"/>
  <c r="E80" i="76"/>
  <c r="A80" i="76"/>
  <c r="E79" i="76"/>
  <c r="A79" i="76"/>
  <c r="E78" i="76"/>
  <c r="A78" i="76"/>
  <c r="E77" i="76"/>
  <c r="B77" i="76"/>
  <c r="C77" i="76" s="1"/>
  <c r="A77" i="76"/>
  <c r="E76" i="76"/>
  <c r="A76" i="76"/>
  <c r="E75" i="76"/>
  <c r="B75" i="76"/>
  <c r="C75" i="76" s="1"/>
  <c r="A75" i="76"/>
  <c r="E74" i="76"/>
  <c r="A74" i="76"/>
  <c r="E73" i="76"/>
  <c r="A73" i="76"/>
  <c r="E72" i="76"/>
  <c r="B72" i="76"/>
  <c r="C72" i="76" s="1"/>
  <c r="A72" i="76"/>
  <c r="E71" i="76"/>
  <c r="A71" i="76"/>
  <c r="E70" i="76"/>
  <c r="A70" i="76"/>
  <c r="E69" i="76"/>
  <c r="A69" i="76"/>
  <c r="E68" i="76"/>
  <c r="A68" i="76"/>
  <c r="E67" i="76"/>
  <c r="A67" i="76"/>
  <c r="E66" i="76"/>
  <c r="A66" i="76"/>
  <c r="E65" i="76"/>
  <c r="A65" i="76"/>
  <c r="E64" i="76"/>
  <c r="A64" i="76"/>
  <c r="E63" i="76"/>
  <c r="A63" i="76"/>
  <c r="E62" i="76"/>
  <c r="A62" i="76"/>
  <c r="E61" i="76"/>
  <c r="A61" i="76"/>
  <c r="E60" i="76"/>
  <c r="A60" i="76"/>
  <c r="E59" i="76"/>
  <c r="A59" i="76"/>
  <c r="E58" i="76"/>
  <c r="B58" i="76"/>
  <c r="C58" i="76" s="1"/>
  <c r="A58" i="76"/>
  <c r="E57" i="76"/>
  <c r="A57" i="76"/>
  <c r="E56" i="76"/>
  <c r="A56" i="76"/>
  <c r="E55" i="76"/>
  <c r="A55" i="76"/>
  <c r="E54" i="76"/>
  <c r="A54" i="76"/>
  <c r="E53" i="76"/>
  <c r="B53" i="76"/>
  <c r="C53" i="76" s="1"/>
  <c r="A53" i="76"/>
  <c r="E52" i="76"/>
  <c r="A52" i="76"/>
  <c r="E51" i="76"/>
  <c r="A51" i="76"/>
  <c r="E50" i="76"/>
  <c r="A50" i="76"/>
  <c r="E49" i="76"/>
  <c r="B49" i="76"/>
  <c r="C49" i="76" s="1"/>
  <c r="A49" i="76"/>
  <c r="E48" i="76"/>
  <c r="A48" i="76"/>
  <c r="E47" i="76"/>
  <c r="A47" i="76"/>
  <c r="E46" i="76"/>
  <c r="A46" i="76"/>
  <c r="E45" i="76"/>
  <c r="A45" i="76"/>
  <c r="E44" i="76"/>
  <c r="B44" i="76"/>
  <c r="C44" i="76" s="1"/>
  <c r="A44" i="76"/>
  <c r="E43" i="76"/>
  <c r="B43" i="76"/>
  <c r="C43" i="76" s="1"/>
  <c r="A43" i="76"/>
  <c r="E42" i="76"/>
  <c r="A42" i="76"/>
  <c r="E41" i="76"/>
  <c r="A41" i="76"/>
  <c r="E40" i="76"/>
  <c r="B40" i="76"/>
  <c r="C40" i="76" s="1"/>
  <c r="A40" i="76"/>
  <c r="E39" i="76"/>
  <c r="A39" i="76"/>
  <c r="E38" i="76"/>
  <c r="C38" i="76"/>
  <c r="B38" i="76"/>
  <c r="A38" i="76"/>
  <c r="E37" i="76"/>
  <c r="A37" i="76"/>
  <c r="E36" i="76"/>
  <c r="A36" i="76"/>
  <c r="E35" i="76"/>
  <c r="A35" i="76"/>
  <c r="E34" i="76"/>
  <c r="A34" i="76"/>
  <c r="E33" i="76"/>
  <c r="A33" i="76"/>
  <c r="E32" i="76"/>
  <c r="B32" i="76"/>
  <c r="C32" i="76" s="1"/>
  <c r="A32" i="76"/>
  <c r="E31" i="76"/>
  <c r="A31" i="76"/>
  <c r="E30" i="76"/>
  <c r="B30" i="76"/>
  <c r="C30" i="76" s="1"/>
  <c r="A30" i="76"/>
  <c r="E29" i="76"/>
  <c r="A29" i="76"/>
  <c r="E28" i="76"/>
  <c r="B28" i="76"/>
  <c r="C28" i="76" s="1"/>
  <c r="A28" i="76"/>
  <c r="E27" i="76"/>
  <c r="A27" i="76"/>
  <c r="E26" i="76"/>
  <c r="B26" i="76"/>
  <c r="C26" i="76" s="1"/>
  <c r="A26" i="76"/>
  <c r="E25" i="76"/>
  <c r="A25" i="76"/>
  <c r="E24" i="76"/>
  <c r="C24" i="76"/>
  <c r="B24" i="76"/>
  <c r="A24" i="76"/>
  <c r="E23" i="76"/>
  <c r="A23" i="76"/>
  <c r="E22" i="76"/>
  <c r="A22" i="76"/>
  <c r="E21" i="76"/>
  <c r="A21" i="76"/>
  <c r="E20" i="76"/>
  <c r="B20" i="76"/>
  <c r="C20" i="76" s="1"/>
  <c r="A20" i="76"/>
  <c r="E19" i="76"/>
  <c r="A19" i="76"/>
  <c r="E18" i="76"/>
  <c r="B18" i="76"/>
  <c r="C18" i="76" s="1"/>
  <c r="A18" i="76"/>
  <c r="E17" i="76"/>
  <c r="B17" i="76"/>
  <c r="C17" i="76" s="1"/>
  <c r="A17" i="76"/>
  <c r="E16" i="76"/>
  <c r="A16" i="76"/>
  <c r="E15" i="76"/>
  <c r="A15" i="76"/>
  <c r="E14" i="76"/>
  <c r="A14" i="76"/>
  <c r="E13" i="76"/>
  <c r="B13" i="76"/>
  <c r="C13" i="76" s="1"/>
  <c r="A13" i="76"/>
  <c r="E12" i="76"/>
  <c r="C12" i="76"/>
  <c r="B12" i="76"/>
  <c r="A12" i="76"/>
  <c r="E11" i="76"/>
  <c r="A11" i="76"/>
  <c r="E10" i="76"/>
  <c r="A10" i="76"/>
  <c r="E9" i="76"/>
  <c r="A9" i="76"/>
  <c r="E8" i="76"/>
  <c r="B8" i="76"/>
  <c r="C8" i="76" s="1"/>
  <c r="A8" i="76"/>
  <c r="E7" i="76"/>
  <c r="A7" i="76"/>
  <c r="E6" i="76"/>
  <c r="B6" i="76"/>
  <c r="C6" i="76" s="1"/>
  <c r="A6" i="76"/>
  <c r="E5" i="76"/>
  <c r="A5" i="76"/>
  <c r="AC62" i="75"/>
  <c r="AB62" i="75"/>
  <c r="AA62" i="75"/>
  <c r="Z62" i="75"/>
  <c r="X62" i="75"/>
  <c r="W62" i="75"/>
  <c r="V62" i="75"/>
  <c r="U62" i="75"/>
  <c r="T62" i="75"/>
  <c r="AC61" i="75"/>
  <c r="AA61" i="75"/>
  <c r="Z61" i="75"/>
  <c r="Y61" i="75"/>
  <c r="W61" i="75"/>
  <c r="U61" i="75"/>
  <c r="T61" i="75"/>
  <c r="S61" i="75"/>
  <c r="AB60" i="75"/>
  <c r="AA60" i="75"/>
  <c r="Z60" i="75"/>
  <c r="Y60" i="75"/>
  <c r="X60" i="75"/>
  <c r="W60" i="75"/>
  <c r="V60" i="75"/>
  <c r="U60" i="75"/>
  <c r="T60" i="75"/>
  <c r="S60" i="75"/>
  <c r="AC59" i="75"/>
  <c r="AA59" i="75"/>
  <c r="Y59" i="75"/>
  <c r="X59" i="75"/>
  <c r="W59" i="75"/>
  <c r="U59" i="75"/>
  <c r="S59" i="75"/>
  <c r="N50" i="75"/>
  <c r="M50" i="75"/>
  <c r="L50" i="75"/>
  <c r="K50" i="75"/>
  <c r="J50" i="75"/>
  <c r="I50" i="75"/>
  <c r="H50" i="75"/>
  <c r="G50" i="75"/>
  <c r="F50" i="75"/>
  <c r="E50" i="75"/>
  <c r="D50" i="75"/>
  <c r="C50" i="75"/>
  <c r="B50" i="75"/>
  <c r="N49" i="75"/>
  <c r="M49" i="75"/>
  <c r="L49" i="75"/>
  <c r="K49" i="75"/>
  <c r="J49" i="75"/>
  <c r="I49" i="75"/>
  <c r="H49" i="75"/>
  <c r="G49" i="75"/>
  <c r="F49" i="75"/>
  <c r="E49" i="75"/>
  <c r="D49" i="75"/>
  <c r="C49" i="75"/>
  <c r="B49" i="75"/>
  <c r="N48" i="75"/>
  <c r="M48" i="75"/>
  <c r="L48" i="75"/>
  <c r="K48" i="75"/>
  <c r="J48" i="75"/>
  <c r="I48" i="75"/>
  <c r="H48" i="75"/>
  <c r="G48" i="75"/>
  <c r="F48" i="75"/>
  <c r="E48" i="75"/>
  <c r="D48" i="75"/>
  <c r="C48" i="75"/>
  <c r="B48" i="75"/>
  <c r="N47" i="75"/>
  <c r="M47" i="75"/>
  <c r="L47" i="75"/>
  <c r="K47" i="75"/>
  <c r="J47" i="75"/>
  <c r="I47" i="75"/>
  <c r="H47" i="75"/>
  <c r="G47" i="75"/>
  <c r="F47" i="75"/>
  <c r="E47" i="75"/>
  <c r="D47" i="75"/>
  <c r="C47" i="75"/>
  <c r="B47" i="75"/>
  <c r="N46" i="75"/>
  <c r="M46" i="75"/>
  <c r="L46" i="75"/>
  <c r="K46" i="75"/>
  <c r="J46" i="75"/>
  <c r="I46" i="75"/>
  <c r="H46" i="75"/>
  <c r="G46" i="75"/>
  <c r="F46" i="75"/>
  <c r="E46" i="75"/>
  <c r="D46" i="75"/>
  <c r="C46" i="75"/>
  <c r="B46" i="75"/>
  <c r="N45" i="75"/>
  <c r="M45" i="75"/>
  <c r="L45" i="75"/>
  <c r="K45" i="75"/>
  <c r="J45" i="75"/>
  <c r="I45" i="75"/>
  <c r="H45" i="75"/>
  <c r="G45" i="75"/>
  <c r="F45" i="75"/>
  <c r="E45" i="75"/>
  <c r="D45" i="75"/>
  <c r="C45" i="75"/>
  <c r="B45" i="75"/>
  <c r="N44" i="75"/>
  <c r="M44" i="75"/>
  <c r="L44" i="75"/>
  <c r="K44" i="75"/>
  <c r="J44" i="75"/>
  <c r="I44" i="75"/>
  <c r="H44" i="75"/>
  <c r="G44" i="75"/>
  <c r="F44" i="75"/>
  <c r="E44" i="75"/>
  <c r="D44" i="75"/>
  <c r="C44" i="75"/>
  <c r="B44" i="75"/>
  <c r="N43" i="75"/>
  <c r="M43" i="75"/>
  <c r="L43" i="75"/>
  <c r="K43" i="75"/>
  <c r="J43" i="75"/>
  <c r="I43" i="75"/>
  <c r="H43" i="75"/>
  <c r="G43" i="75"/>
  <c r="F43" i="75"/>
  <c r="E43" i="75"/>
  <c r="D43" i="75"/>
  <c r="C43" i="75"/>
  <c r="B43" i="75"/>
  <c r="N42" i="75"/>
  <c r="M42" i="75"/>
  <c r="L42" i="75"/>
  <c r="K42" i="75"/>
  <c r="J42" i="75"/>
  <c r="I42" i="75"/>
  <c r="H42" i="75"/>
  <c r="G42" i="75"/>
  <c r="F42" i="75"/>
  <c r="E42" i="75"/>
  <c r="D42" i="75"/>
  <c r="C42" i="75"/>
  <c r="B42" i="75"/>
  <c r="N41" i="75"/>
  <c r="M41" i="75"/>
  <c r="L41" i="75"/>
  <c r="K41" i="75"/>
  <c r="J41" i="75"/>
  <c r="I41" i="75"/>
  <c r="H41" i="75"/>
  <c r="G41" i="75"/>
  <c r="F41" i="75"/>
  <c r="E41" i="75"/>
  <c r="D41" i="75"/>
  <c r="C41" i="75"/>
  <c r="B41" i="75"/>
  <c r="N40" i="75"/>
  <c r="M40" i="75"/>
  <c r="L40" i="75"/>
  <c r="K40" i="75"/>
  <c r="J40" i="75"/>
  <c r="I40" i="75"/>
  <c r="H40" i="75"/>
  <c r="G40" i="75"/>
  <c r="F40" i="75"/>
  <c r="E40" i="75"/>
  <c r="D40" i="75"/>
  <c r="C40" i="75"/>
  <c r="B40" i="75"/>
  <c r="N39" i="75"/>
  <c r="M39" i="75"/>
  <c r="L39" i="75"/>
  <c r="K39" i="75"/>
  <c r="J39" i="75"/>
  <c r="I39" i="75"/>
  <c r="H39" i="75"/>
  <c r="G39" i="75"/>
  <c r="F39" i="75"/>
  <c r="E39" i="75"/>
  <c r="D39" i="75"/>
  <c r="C39" i="75"/>
  <c r="B39" i="75"/>
  <c r="N38" i="75"/>
  <c r="M38" i="75"/>
  <c r="L38" i="75"/>
  <c r="K38" i="75"/>
  <c r="J38" i="75"/>
  <c r="I38" i="75"/>
  <c r="H38" i="75"/>
  <c r="G38" i="75"/>
  <c r="F38" i="75"/>
  <c r="E38" i="75"/>
  <c r="D38" i="75"/>
  <c r="C38" i="75"/>
  <c r="B38" i="75"/>
  <c r="N37" i="75"/>
  <c r="M37" i="75"/>
  <c r="L37" i="75"/>
  <c r="K37" i="75"/>
  <c r="J37" i="75"/>
  <c r="I37" i="75"/>
  <c r="H37" i="75"/>
  <c r="G37" i="75"/>
  <c r="F37" i="75"/>
  <c r="E37" i="75"/>
  <c r="D37" i="75"/>
  <c r="C37" i="75"/>
  <c r="B37" i="75"/>
  <c r="N36" i="75"/>
  <c r="M36" i="75"/>
  <c r="L36" i="75"/>
  <c r="K36" i="75"/>
  <c r="J36" i="75"/>
  <c r="I36" i="75"/>
  <c r="H36" i="75"/>
  <c r="G36" i="75"/>
  <c r="F36" i="75"/>
  <c r="E36" i="75"/>
  <c r="D36" i="75"/>
  <c r="C36" i="75"/>
  <c r="B36" i="75"/>
  <c r="N35" i="75"/>
  <c r="M35" i="75"/>
  <c r="L35" i="75"/>
  <c r="K35" i="75"/>
  <c r="J35" i="75"/>
  <c r="I35" i="75"/>
  <c r="H35" i="75"/>
  <c r="G35" i="75"/>
  <c r="F35" i="75"/>
  <c r="E35" i="75"/>
  <c r="D35" i="75"/>
  <c r="C35" i="75"/>
  <c r="B35" i="75"/>
  <c r="N34" i="75"/>
  <c r="M34" i="75"/>
  <c r="L34" i="75"/>
  <c r="K34" i="75"/>
  <c r="J34" i="75"/>
  <c r="I34" i="75"/>
  <c r="H34" i="75"/>
  <c r="G34" i="75"/>
  <c r="F34" i="75"/>
  <c r="E34" i="75"/>
  <c r="D34" i="75"/>
  <c r="C34" i="75"/>
  <c r="B34" i="75"/>
  <c r="N33" i="75"/>
  <c r="M33" i="75"/>
  <c r="L33" i="75"/>
  <c r="K33" i="75"/>
  <c r="J33" i="75"/>
  <c r="I33" i="75"/>
  <c r="H33" i="75"/>
  <c r="G33" i="75"/>
  <c r="F33" i="75"/>
  <c r="E33" i="75"/>
  <c r="D33" i="75"/>
  <c r="C33" i="75"/>
  <c r="B33" i="75"/>
  <c r="N32" i="75"/>
  <c r="M32" i="75"/>
  <c r="L32" i="75"/>
  <c r="K32" i="75"/>
  <c r="J32" i="75"/>
  <c r="I32" i="75"/>
  <c r="H32" i="75"/>
  <c r="G32" i="75"/>
  <c r="F32" i="75"/>
  <c r="E32" i="75"/>
  <c r="D32" i="75"/>
  <c r="C32" i="75"/>
  <c r="B32" i="75"/>
  <c r="N31" i="75"/>
  <c r="M31" i="75"/>
  <c r="L31" i="75"/>
  <c r="K31" i="75"/>
  <c r="J31" i="75"/>
  <c r="I31" i="75"/>
  <c r="H31" i="75"/>
  <c r="G31" i="75"/>
  <c r="F31" i="75"/>
  <c r="E31" i="75"/>
  <c r="D31" i="75"/>
  <c r="C31" i="75"/>
  <c r="B31" i="75"/>
  <c r="AC54" i="75"/>
  <c r="AB54" i="75"/>
  <c r="AA54" i="75"/>
  <c r="Z54" i="75"/>
  <c r="Y54" i="75"/>
  <c r="X54" i="75"/>
  <c r="W54" i="75"/>
  <c r="V54" i="75"/>
  <c r="U54" i="75"/>
  <c r="T54" i="75"/>
  <c r="S54" i="75"/>
  <c r="AB53" i="75"/>
  <c r="AA53" i="75"/>
  <c r="Z53" i="75"/>
  <c r="Y53" i="75"/>
  <c r="X53" i="75"/>
  <c r="W53" i="75"/>
  <c r="V53" i="75"/>
  <c r="U53" i="75"/>
  <c r="T53" i="75"/>
  <c r="S53" i="75"/>
  <c r="AC52" i="75"/>
  <c r="AB52" i="75"/>
  <c r="AA52" i="75"/>
  <c r="Z52" i="75"/>
  <c r="Y52" i="75"/>
  <c r="X52" i="75"/>
  <c r="W52" i="75"/>
  <c r="V52" i="75"/>
  <c r="U52" i="75"/>
  <c r="T52" i="75"/>
  <c r="S52" i="75"/>
  <c r="AC51" i="75"/>
  <c r="AB51" i="75"/>
  <c r="AA51" i="75"/>
  <c r="Z51" i="75"/>
  <c r="Y51" i="75"/>
  <c r="X51" i="75"/>
  <c r="W51" i="75"/>
  <c r="V51" i="75"/>
  <c r="U51" i="75"/>
  <c r="T51" i="75"/>
  <c r="S51" i="75"/>
  <c r="N26" i="75"/>
  <c r="M26" i="75"/>
  <c r="L26" i="75"/>
  <c r="K26" i="75"/>
  <c r="J26" i="75"/>
  <c r="I26" i="75"/>
  <c r="H26" i="75"/>
  <c r="G26" i="75"/>
  <c r="F26" i="75"/>
  <c r="E26" i="75"/>
  <c r="D26" i="75"/>
  <c r="C26" i="75"/>
  <c r="B26" i="75"/>
  <c r="N25" i="75"/>
  <c r="M25" i="75"/>
  <c r="L25" i="75"/>
  <c r="K25" i="75"/>
  <c r="J25" i="75"/>
  <c r="I25" i="75"/>
  <c r="H25" i="75"/>
  <c r="G25" i="75"/>
  <c r="F25" i="75"/>
  <c r="E25" i="75"/>
  <c r="D25" i="75"/>
  <c r="C25" i="75"/>
  <c r="B25" i="75"/>
  <c r="N24" i="75"/>
  <c r="M24" i="75"/>
  <c r="L24" i="75"/>
  <c r="K24" i="75"/>
  <c r="J24" i="75"/>
  <c r="I24" i="75"/>
  <c r="H24" i="75"/>
  <c r="G24" i="75"/>
  <c r="F24" i="75"/>
  <c r="E24" i="75"/>
  <c r="D24" i="75"/>
  <c r="C24" i="75"/>
  <c r="B24" i="75"/>
  <c r="N23" i="75"/>
  <c r="M23" i="75"/>
  <c r="L23" i="75"/>
  <c r="K23" i="75"/>
  <c r="J23" i="75"/>
  <c r="I23" i="75"/>
  <c r="H23" i="75"/>
  <c r="G23" i="75"/>
  <c r="F23" i="75"/>
  <c r="E23" i="75"/>
  <c r="D23" i="75"/>
  <c r="C23" i="75"/>
  <c r="B23" i="75"/>
  <c r="N22" i="75"/>
  <c r="M22" i="75"/>
  <c r="L22" i="75"/>
  <c r="K22" i="75"/>
  <c r="J22" i="75"/>
  <c r="I22" i="75"/>
  <c r="H22" i="75"/>
  <c r="G22" i="75"/>
  <c r="F22" i="75"/>
  <c r="E22" i="75"/>
  <c r="D22" i="75"/>
  <c r="C22" i="75"/>
  <c r="B22" i="75"/>
  <c r="N21" i="75"/>
  <c r="M21" i="75"/>
  <c r="L21" i="75"/>
  <c r="K21" i="75"/>
  <c r="J21" i="75"/>
  <c r="I21" i="75"/>
  <c r="H21" i="75"/>
  <c r="G21" i="75"/>
  <c r="F21" i="75"/>
  <c r="E21" i="75"/>
  <c r="D21" i="75"/>
  <c r="C21" i="75"/>
  <c r="B21" i="75"/>
  <c r="N20" i="75"/>
  <c r="M20" i="75"/>
  <c r="L20" i="75"/>
  <c r="K20" i="75"/>
  <c r="J20" i="75"/>
  <c r="I20" i="75"/>
  <c r="H20" i="75"/>
  <c r="G20" i="75"/>
  <c r="F20" i="75"/>
  <c r="E20" i="75"/>
  <c r="D20" i="75"/>
  <c r="C20" i="75"/>
  <c r="B20" i="75"/>
  <c r="N19" i="75"/>
  <c r="M19" i="75"/>
  <c r="L19" i="75"/>
  <c r="K19" i="75"/>
  <c r="J19" i="75"/>
  <c r="I19" i="75"/>
  <c r="H19" i="75"/>
  <c r="G19" i="75"/>
  <c r="F19" i="75"/>
  <c r="E19" i="75"/>
  <c r="D19" i="75"/>
  <c r="C19" i="75"/>
  <c r="B19" i="75"/>
  <c r="N18" i="75"/>
  <c r="M18" i="75"/>
  <c r="L18" i="75"/>
  <c r="K18" i="75"/>
  <c r="J18" i="75"/>
  <c r="I18" i="75"/>
  <c r="H18" i="75"/>
  <c r="G18" i="75"/>
  <c r="F18" i="75"/>
  <c r="E18" i="75"/>
  <c r="D18" i="75"/>
  <c r="C18" i="75"/>
  <c r="B18" i="75"/>
  <c r="N17" i="75"/>
  <c r="M17" i="75"/>
  <c r="L17" i="75"/>
  <c r="K17" i="75"/>
  <c r="J17" i="75"/>
  <c r="I17" i="75"/>
  <c r="H17" i="75"/>
  <c r="G17" i="75"/>
  <c r="F17" i="75"/>
  <c r="E17" i="75"/>
  <c r="D17" i="75"/>
  <c r="C17" i="75"/>
  <c r="B17" i="75"/>
  <c r="N16" i="75"/>
  <c r="M16" i="75"/>
  <c r="L16" i="75"/>
  <c r="K16" i="75"/>
  <c r="J16" i="75"/>
  <c r="I16" i="75"/>
  <c r="H16" i="75"/>
  <c r="G16" i="75"/>
  <c r="F16" i="75"/>
  <c r="E16" i="75"/>
  <c r="D16" i="75"/>
  <c r="C16" i="75"/>
  <c r="B16" i="75"/>
  <c r="N15" i="75"/>
  <c r="M15" i="75"/>
  <c r="L15" i="75"/>
  <c r="K15" i="75"/>
  <c r="J15" i="75"/>
  <c r="I15" i="75"/>
  <c r="H15" i="75"/>
  <c r="G15" i="75"/>
  <c r="F15" i="75"/>
  <c r="E15" i="75"/>
  <c r="D15" i="75"/>
  <c r="C15" i="75"/>
  <c r="B15" i="75"/>
  <c r="N14" i="75"/>
  <c r="M14" i="75"/>
  <c r="L14" i="75"/>
  <c r="K14" i="75"/>
  <c r="J14" i="75"/>
  <c r="I14" i="75"/>
  <c r="H14" i="75"/>
  <c r="G14" i="75"/>
  <c r="F14" i="75"/>
  <c r="E14" i="75"/>
  <c r="D14" i="75"/>
  <c r="C14" i="75"/>
  <c r="B14" i="75"/>
  <c r="N13" i="75"/>
  <c r="M13" i="75"/>
  <c r="L13" i="75"/>
  <c r="K13" i="75"/>
  <c r="J13" i="75"/>
  <c r="I13" i="75"/>
  <c r="H13" i="75"/>
  <c r="G13" i="75"/>
  <c r="F13" i="75"/>
  <c r="E13" i="75"/>
  <c r="D13" i="75"/>
  <c r="C13" i="75"/>
  <c r="B13" i="75"/>
  <c r="N12" i="75"/>
  <c r="M12" i="75"/>
  <c r="L12" i="75"/>
  <c r="K12" i="75"/>
  <c r="J12" i="75"/>
  <c r="I12" i="75"/>
  <c r="H12" i="75"/>
  <c r="G12" i="75"/>
  <c r="F12" i="75"/>
  <c r="E12" i="75"/>
  <c r="D12" i="75"/>
  <c r="C12" i="75"/>
  <c r="B12" i="75"/>
  <c r="N11" i="75"/>
  <c r="M11" i="75"/>
  <c r="L11" i="75"/>
  <c r="K11" i="75"/>
  <c r="J11" i="75"/>
  <c r="I11" i="75"/>
  <c r="H11" i="75"/>
  <c r="G11" i="75"/>
  <c r="F11" i="75"/>
  <c r="E11" i="75"/>
  <c r="D11" i="75"/>
  <c r="C11" i="75"/>
  <c r="B11" i="75"/>
  <c r="N10" i="75"/>
  <c r="M10" i="75"/>
  <c r="L10" i="75"/>
  <c r="K10" i="75"/>
  <c r="J10" i="75"/>
  <c r="I10" i="75"/>
  <c r="H10" i="75"/>
  <c r="G10" i="75"/>
  <c r="F10" i="75"/>
  <c r="E10" i="75"/>
  <c r="D10" i="75"/>
  <c r="C10" i="75"/>
  <c r="B10" i="75"/>
  <c r="N9" i="75"/>
  <c r="M9" i="75"/>
  <c r="L9" i="75"/>
  <c r="K9" i="75"/>
  <c r="J9" i="75"/>
  <c r="I9" i="75"/>
  <c r="H9" i="75"/>
  <c r="G9" i="75"/>
  <c r="F9" i="75"/>
  <c r="E9" i="75"/>
  <c r="D9" i="75"/>
  <c r="C9" i="75"/>
  <c r="B9" i="75"/>
  <c r="N8" i="75"/>
  <c r="M8" i="75"/>
  <c r="L8" i="75"/>
  <c r="K8" i="75"/>
  <c r="J8" i="75"/>
  <c r="I8" i="75"/>
  <c r="H8" i="75"/>
  <c r="G8" i="75"/>
  <c r="F8" i="75"/>
  <c r="E8" i="75"/>
  <c r="D8" i="75"/>
  <c r="C8" i="75"/>
  <c r="B8" i="75"/>
  <c r="N7" i="75"/>
  <c r="M7" i="75"/>
  <c r="L7" i="75"/>
  <c r="K7" i="75"/>
  <c r="J7" i="75"/>
  <c r="I7" i="75"/>
  <c r="H7" i="75"/>
  <c r="G7" i="75"/>
  <c r="F7" i="75"/>
  <c r="E7" i="75"/>
  <c r="D7" i="75"/>
  <c r="C7" i="75"/>
  <c r="B7" i="75"/>
  <c r="N6" i="75"/>
  <c r="M6" i="75"/>
  <c r="AB50" i="75" s="1"/>
  <c r="AB58" i="75" s="1"/>
  <c r="L6" i="75"/>
  <c r="AA50" i="75" s="1"/>
  <c r="AA58" i="75" s="1"/>
  <c r="K6" i="75"/>
  <c r="Z50" i="75" s="1"/>
  <c r="Z58" i="75" s="1"/>
  <c r="J6" i="75"/>
  <c r="Y50" i="75" s="1"/>
  <c r="Y58" i="75" s="1"/>
  <c r="I6" i="75"/>
  <c r="X50" i="75" s="1"/>
  <c r="X58" i="75" s="1"/>
  <c r="H6" i="75"/>
  <c r="W50" i="75" s="1"/>
  <c r="W58" i="75" s="1"/>
  <c r="G6" i="75"/>
  <c r="V50" i="75" s="1"/>
  <c r="V58" i="75" s="1"/>
  <c r="F6" i="75"/>
  <c r="U50" i="75" s="1"/>
  <c r="U58" i="75" s="1"/>
  <c r="E6" i="75"/>
  <c r="T50" i="75" s="1"/>
  <c r="T58" i="75" s="1"/>
  <c r="D6" i="75"/>
  <c r="S50" i="75" s="1"/>
  <c r="S58" i="75" s="1"/>
  <c r="BD5" i="75"/>
  <c r="BC5" i="75"/>
  <c r="BB5" i="75"/>
  <c r="BA5" i="75"/>
  <c r="AZ5" i="75"/>
  <c r="AY5" i="75"/>
  <c r="AX5" i="75"/>
  <c r="AW5" i="75"/>
  <c r="AV5" i="75"/>
  <c r="AU5" i="75"/>
  <c r="AT5" i="75"/>
  <c r="BD4" i="75"/>
  <c r="BC4" i="75"/>
  <c r="BB4" i="75"/>
  <c r="BA4" i="75"/>
  <c r="AZ4" i="75"/>
  <c r="AY4" i="75"/>
  <c r="AX4" i="75"/>
  <c r="AW4" i="75"/>
  <c r="AV4" i="75"/>
  <c r="AU4" i="75"/>
  <c r="AT4" i="75"/>
  <c r="BD3" i="75"/>
  <c r="BC3" i="75"/>
  <c r="BL11" i="75" s="1"/>
  <c r="BB3" i="75"/>
  <c r="BL10" i="75" s="1"/>
  <c r="BA3" i="75"/>
  <c r="BL9" i="75" s="1"/>
  <c r="AZ3" i="75"/>
  <c r="BL8" i="75" s="1"/>
  <c r="AY3" i="75"/>
  <c r="BL7" i="75" s="1"/>
  <c r="AX3" i="75"/>
  <c r="BL6" i="75" s="1"/>
  <c r="AW3" i="75"/>
  <c r="BL5" i="75" s="1"/>
  <c r="AV3" i="75"/>
  <c r="BL4" i="75" s="1"/>
  <c r="AU3" i="75"/>
  <c r="BL3" i="75" s="1"/>
  <c r="AT3" i="75"/>
  <c r="BL2" i="75" s="1"/>
  <c r="N104" i="74"/>
  <c r="M104" i="74"/>
  <c r="L104" i="74"/>
  <c r="K104" i="74"/>
  <c r="J104" i="74"/>
  <c r="I104" i="74"/>
  <c r="H104" i="74"/>
  <c r="G104" i="74"/>
  <c r="F104" i="74"/>
  <c r="E104" i="74"/>
  <c r="D104" i="74"/>
  <c r="N103" i="74"/>
  <c r="M103" i="74"/>
  <c r="L103" i="74"/>
  <c r="K103" i="74"/>
  <c r="J103" i="74"/>
  <c r="I103" i="74"/>
  <c r="H103" i="74"/>
  <c r="G103" i="74"/>
  <c r="F103" i="74"/>
  <c r="E103" i="74"/>
  <c r="D103" i="74"/>
  <c r="N102" i="74"/>
  <c r="M102" i="74"/>
  <c r="L102" i="74"/>
  <c r="K102" i="74"/>
  <c r="J102" i="74"/>
  <c r="I102" i="74"/>
  <c r="H102" i="74"/>
  <c r="G102" i="74"/>
  <c r="F102" i="74"/>
  <c r="E102" i="74"/>
  <c r="D102" i="74"/>
  <c r="N101" i="74"/>
  <c r="M101" i="74"/>
  <c r="L101" i="74"/>
  <c r="K101" i="74"/>
  <c r="J101" i="74"/>
  <c r="I101" i="74"/>
  <c r="H101" i="74"/>
  <c r="G101" i="74"/>
  <c r="F101" i="74"/>
  <c r="E101" i="74"/>
  <c r="D101" i="74"/>
  <c r="N91" i="74"/>
  <c r="M91" i="74"/>
  <c r="L91" i="74"/>
  <c r="K91" i="74"/>
  <c r="J91" i="74"/>
  <c r="I91" i="74"/>
  <c r="H91" i="74"/>
  <c r="G91" i="74"/>
  <c r="F91" i="74"/>
  <c r="E91" i="74"/>
  <c r="D91" i="74"/>
  <c r="N90" i="74"/>
  <c r="M90" i="74"/>
  <c r="L90" i="74"/>
  <c r="K90" i="74"/>
  <c r="J90" i="74"/>
  <c r="I90" i="74"/>
  <c r="H90" i="74"/>
  <c r="G90" i="74"/>
  <c r="F90" i="74"/>
  <c r="E90" i="74"/>
  <c r="D90" i="74"/>
  <c r="D95" i="74" s="1"/>
  <c r="N89" i="74"/>
  <c r="M89" i="74"/>
  <c r="L89" i="74"/>
  <c r="K89" i="74"/>
  <c r="J89" i="74"/>
  <c r="I89" i="74"/>
  <c r="H89" i="74"/>
  <c r="G89" i="74"/>
  <c r="F89" i="74"/>
  <c r="E89" i="74"/>
  <c r="D89" i="74"/>
  <c r="N88" i="74"/>
  <c r="M88" i="74"/>
  <c r="L88" i="74"/>
  <c r="K88" i="74"/>
  <c r="J88" i="74"/>
  <c r="I88" i="74"/>
  <c r="H88" i="74"/>
  <c r="G88" i="74"/>
  <c r="F88" i="74"/>
  <c r="E88" i="74"/>
  <c r="D88" i="74"/>
  <c r="N54" i="74"/>
  <c r="M54" i="74"/>
  <c r="L54" i="74"/>
  <c r="K54" i="74"/>
  <c r="J54" i="74"/>
  <c r="I54" i="74"/>
  <c r="H54" i="74"/>
  <c r="G54" i="74"/>
  <c r="F54" i="74"/>
  <c r="E54" i="74"/>
  <c r="D54" i="74"/>
  <c r="N53" i="74"/>
  <c r="M53" i="74"/>
  <c r="L53" i="74"/>
  <c r="K53" i="74"/>
  <c r="J53" i="74"/>
  <c r="I53" i="74"/>
  <c r="H53" i="74"/>
  <c r="G53" i="74"/>
  <c r="F53" i="74"/>
  <c r="E53" i="74"/>
  <c r="D53" i="74"/>
  <c r="N52" i="74"/>
  <c r="M52" i="74"/>
  <c r="L52" i="74"/>
  <c r="K52" i="74"/>
  <c r="J52" i="74"/>
  <c r="I52" i="74"/>
  <c r="H52" i="74"/>
  <c r="G52" i="74"/>
  <c r="F52" i="74"/>
  <c r="E52" i="74"/>
  <c r="D52" i="74"/>
  <c r="N51" i="74"/>
  <c r="M51" i="74"/>
  <c r="AB31" i="74" s="1"/>
  <c r="L51" i="74"/>
  <c r="K51" i="74"/>
  <c r="J51" i="74"/>
  <c r="I51" i="74"/>
  <c r="H51" i="74"/>
  <c r="G51" i="74"/>
  <c r="F51" i="74"/>
  <c r="E51" i="74"/>
  <c r="D51" i="74"/>
  <c r="N50" i="74"/>
  <c r="M50" i="74"/>
  <c r="L50" i="74"/>
  <c r="K50" i="74"/>
  <c r="J50" i="74"/>
  <c r="I50" i="74"/>
  <c r="H50" i="74"/>
  <c r="G50" i="74"/>
  <c r="F50" i="74"/>
  <c r="E50" i="74"/>
  <c r="D50" i="74"/>
  <c r="C50" i="74"/>
  <c r="B50" i="74"/>
  <c r="N49" i="74"/>
  <c r="M49" i="74"/>
  <c r="L49" i="74"/>
  <c r="K49" i="74"/>
  <c r="J49" i="74"/>
  <c r="I49" i="74"/>
  <c r="H49" i="74"/>
  <c r="G49" i="74"/>
  <c r="F49" i="74"/>
  <c r="E49" i="74"/>
  <c r="D49" i="74"/>
  <c r="C49" i="74"/>
  <c r="B49" i="74"/>
  <c r="N48" i="74"/>
  <c r="M48" i="74"/>
  <c r="L48" i="74"/>
  <c r="K48" i="74"/>
  <c r="J48" i="74"/>
  <c r="I48" i="74"/>
  <c r="H48" i="74"/>
  <c r="G48" i="74"/>
  <c r="F48" i="74"/>
  <c r="E48" i="74"/>
  <c r="D48" i="74"/>
  <c r="C48" i="74"/>
  <c r="B48" i="74"/>
  <c r="N47" i="74"/>
  <c r="M47" i="74"/>
  <c r="L47" i="74"/>
  <c r="K47" i="74"/>
  <c r="J47" i="74"/>
  <c r="I47" i="74"/>
  <c r="H47" i="74"/>
  <c r="G47" i="74"/>
  <c r="F47" i="74"/>
  <c r="E47" i="74"/>
  <c r="D47" i="74"/>
  <c r="C47" i="74"/>
  <c r="B47" i="74"/>
  <c r="N46" i="74"/>
  <c r="M46" i="74"/>
  <c r="L46" i="74"/>
  <c r="K46" i="74"/>
  <c r="J46" i="74"/>
  <c r="I46" i="74"/>
  <c r="H46" i="74"/>
  <c r="G46" i="74"/>
  <c r="F46" i="74"/>
  <c r="E46" i="74"/>
  <c r="D46" i="74"/>
  <c r="C46" i="74"/>
  <c r="B46" i="74"/>
  <c r="N45" i="74"/>
  <c r="M45" i="74"/>
  <c r="L45" i="74"/>
  <c r="K45" i="74"/>
  <c r="J45" i="74"/>
  <c r="I45" i="74"/>
  <c r="H45" i="74"/>
  <c r="G45" i="74"/>
  <c r="F45" i="74"/>
  <c r="E45" i="74"/>
  <c r="D45" i="74"/>
  <c r="C45" i="74"/>
  <c r="B45" i="74"/>
  <c r="N44" i="74"/>
  <c r="M44" i="74"/>
  <c r="L44" i="74"/>
  <c r="K44" i="74"/>
  <c r="J44" i="74"/>
  <c r="I44" i="74"/>
  <c r="H44" i="74"/>
  <c r="G44" i="74"/>
  <c r="F44" i="74"/>
  <c r="E44" i="74"/>
  <c r="D44" i="74"/>
  <c r="C44" i="74"/>
  <c r="B44" i="74"/>
  <c r="N43" i="74"/>
  <c r="M43" i="74"/>
  <c r="L43" i="74"/>
  <c r="K43" i="74"/>
  <c r="J43" i="74"/>
  <c r="I43" i="74"/>
  <c r="H43" i="74"/>
  <c r="G43" i="74"/>
  <c r="F43" i="74"/>
  <c r="E43" i="74"/>
  <c r="D43" i="74"/>
  <c r="C43" i="74"/>
  <c r="B43" i="74"/>
  <c r="N42" i="74"/>
  <c r="M42" i="74"/>
  <c r="L42" i="74"/>
  <c r="K42" i="74"/>
  <c r="J42" i="74"/>
  <c r="I42" i="74"/>
  <c r="H42" i="74"/>
  <c r="G42" i="74"/>
  <c r="F42" i="74"/>
  <c r="E42" i="74"/>
  <c r="D42" i="74"/>
  <c r="C42" i="74"/>
  <c r="B42" i="74"/>
  <c r="N41" i="74"/>
  <c r="M41" i="74"/>
  <c r="L41" i="74"/>
  <c r="K41" i="74"/>
  <c r="J41" i="74"/>
  <c r="I41" i="74"/>
  <c r="H41" i="74"/>
  <c r="G41" i="74"/>
  <c r="F41" i="74"/>
  <c r="E41" i="74"/>
  <c r="D41" i="74"/>
  <c r="C41" i="74"/>
  <c r="B41" i="74"/>
  <c r="N40" i="74"/>
  <c r="M40" i="74"/>
  <c r="L40" i="74"/>
  <c r="K40" i="74"/>
  <c r="J40" i="74"/>
  <c r="I40" i="74"/>
  <c r="H40" i="74"/>
  <c r="G40" i="74"/>
  <c r="F40" i="74"/>
  <c r="E40" i="74"/>
  <c r="D40" i="74"/>
  <c r="C40" i="74"/>
  <c r="B40" i="74"/>
  <c r="N39" i="74"/>
  <c r="M39" i="74"/>
  <c r="L39" i="74"/>
  <c r="K39" i="74"/>
  <c r="J39" i="74"/>
  <c r="I39" i="74"/>
  <c r="H39" i="74"/>
  <c r="G39" i="74"/>
  <c r="F39" i="74"/>
  <c r="E39" i="74"/>
  <c r="D39" i="74"/>
  <c r="C39" i="74"/>
  <c r="B39" i="74"/>
  <c r="N38" i="74"/>
  <c r="M38" i="74"/>
  <c r="L38" i="74"/>
  <c r="K38" i="74"/>
  <c r="J38" i="74"/>
  <c r="I38" i="74"/>
  <c r="H38" i="74"/>
  <c r="G38" i="74"/>
  <c r="F38" i="74"/>
  <c r="E38" i="74"/>
  <c r="D38" i="74"/>
  <c r="C38" i="74"/>
  <c r="B38" i="74"/>
  <c r="N37" i="74"/>
  <c r="M37" i="74"/>
  <c r="L37" i="74"/>
  <c r="K37" i="74"/>
  <c r="J37" i="74"/>
  <c r="I37" i="74"/>
  <c r="H37" i="74"/>
  <c r="G37" i="74"/>
  <c r="F37" i="74"/>
  <c r="E37" i="74"/>
  <c r="D37" i="74"/>
  <c r="C37" i="74"/>
  <c r="B37" i="74"/>
  <c r="N36" i="74"/>
  <c r="M36" i="74"/>
  <c r="L36" i="74"/>
  <c r="K36" i="74"/>
  <c r="J36" i="74"/>
  <c r="I36" i="74"/>
  <c r="H36" i="74"/>
  <c r="G36" i="74"/>
  <c r="F36" i="74"/>
  <c r="E36" i="74"/>
  <c r="D36" i="74"/>
  <c r="C36" i="74"/>
  <c r="B36" i="74"/>
  <c r="N35" i="74"/>
  <c r="M35" i="74"/>
  <c r="L35" i="74"/>
  <c r="K35" i="74"/>
  <c r="J35" i="74"/>
  <c r="I35" i="74"/>
  <c r="H35" i="74"/>
  <c r="G35" i="74"/>
  <c r="F35" i="74"/>
  <c r="E35" i="74"/>
  <c r="D35" i="74"/>
  <c r="C35" i="74"/>
  <c r="B35" i="74"/>
  <c r="N34" i="74"/>
  <c r="M34" i="74"/>
  <c r="L34" i="74"/>
  <c r="K34" i="74"/>
  <c r="J34" i="74"/>
  <c r="I34" i="74"/>
  <c r="H34" i="74"/>
  <c r="G34" i="74"/>
  <c r="F34" i="74"/>
  <c r="E34" i="74"/>
  <c r="D34" i="74"/>
  <c r="C34" i="74"/>
  <c r="B34" i="74"/>
  <c r="N33" i="74"/>
  <c r="M33" i="74"/>
  <c r="L33" i="74"/>
  <c r="K33" i="74"/>
  <c r="J33" i="74"/>
  <c r="I33" i="74"/>
  <c r="H33" i="74"/>
  <c r="G33" i="74"/>
  <c r="F33" i="74"/>
  <c r="E33" i="74"/>
  <c r="D33" i="74"/>
  <c r="C33" i="74"/>
  <c r="B33" i="74"/>
  <c r="S26" i="74" s="1"/>
  <c r="N32" i="74"/>
  <c r="M32" i="74"/>
  <c r="L32" i="74"/>
  <c r="K32" i="74"/>
  <c r="J32" i="74"/>
  <c r="I32" i="74"/>
  <c r="H32" i="74"/>
  <c r="G32" i="74"/>
  <c r="F32" i="74"/>
  <c r="E32" i="74"/>
  <c r="D32" i="74"/>
  <c r="C32" i="74"/>
  <c r="B32" i="74"/>
  <c r="V31" i="74"/>
  <c r="Q31" i="74"/>
  <c r="N31" i="74"/>
  <c r="M31" i="74"/>
  <c r="T81" i="74" s="1"/>
  <c r="S81" i="74" s="1"/>
  <c r="L31" i="74"/>
  <c r="K31" i="74"/>
  <c r="J31" i="74"/>
  <c r="I31" i="74"/>
  <c r="H31" i="74"/>
  <c r="G31" i="74"/>
  <c r="H81" i="74" s="1"/>
  <c r="G81" i="74" s="1"/>
  <c r="F31" i="74"/>
  <c r="E31" i="74"/>
  <c r="D31" i="74"/>
  <c r="C31" i="74"/>
  <c r="B31" i="74"/>
  <c r="N30" i="74"/>
  <c r="AC34" i="74" s="1"/>
  <c r="M30" i="74"/>
  <c r="L30" i="74"/>
  <c r="AA34" i="74" s="1"/>
  <c r="K30" i="74"/>
  <c r="Z34" i="74" s="1"/>
  <c r="J30" i="74"/>
  <c r="I30" i="74"/>
  <c r="X34" i="74" s="1"/>
  <c r="H30" i="74"/>
  <c r="W34" i="74" s="1"/>
  <c r="G30" i="74"/>
  <c r="F30" i="74"/>
  <c r="U34" i="74" s="1"/>
  <c r="E30" i="74"/>
  <c r="T34" i="74" s="1"/>
  <c r="D30" i="74"/>
  <c r="N29" i="74"/>
  <c r="AC33" i="74" s="1"/>
  <c r="M29" i="74"/>
  <c r="AB33" i="74" s="1"/>
  <c r="L29" i="74"/>
  <c r="K29" i="74"/>
  <c r="Z33" i="74" s="1"/>
  <c r="J29" i="74"/>
  <c r="Y33" i="74" s="1"/>
  <c r="I29" i="74"/>
  <c r="H29" i="74"/>
  <c r="W33" i="74" s="1"/>
  <c r="G29" i="74"/>
  <c r="V33" i="74" s="1"/>
  <c r="F29" i="74"/>
  <c r="E29" i="74"/>
  <c r="T33" i="74" s="1"/>
  <c r="D29" i="74"/>
  <c r="S33" i="74" s="1"/>
  <c r="N28" i="74"/>
  <c r="M28" i="74"/>
  <c r="AB32" i="74" s="1"/>
  <c r="L28" i="74"/>
  <c r="AA32" i="74" s="1"/>
  <c r="K28" i="74"/>
  <c r="J28" i="74"/>
  <c r="Y32" i="74" s="1"/>
  <c r="I28" i="74"/>
  <c r="X32" i="74" s="1"/>
  <c r="H28" i="74"/>
  <c r="G28" i="74"/>
  <c r="V32" i="74" s="1"/>
  <c r="F28" i="74"/>
  <c r="U32" i="74" s="1"/>
  <c r="E28" i="74"/>
  <c r="D28" i="74"/>
  <c r="S32" i="74" s="1"/>
  <c r="N27" i="74"/>
  <c r="AC31" i="74" s="1"/>
  <c r="M27" i="74"/>
  <c r="L27" i="74"/>
  <c r="AA31" i="74" s="1"/>
  <c r="K27" i="74"/>
  <c r="Z31" i="74" s="1"/>
  <c r="J27" i="74"/>
  <c r="I27" i="74"/>
  <c r="X31" i="74" s="1"/>
  <c r="H27" i="74"/>
  <c r="W31" i="74" s="1"/>
  <c r="G27" i="74"/>
  <c r="F27" i="74"/>
  <c r="U31" i="74" s="1"/>
  <c r="E27" i="74"/>
  <c r="T31" i="74" s="1"/>
  <c r="D27" i="74"/>
  <c r="N26" i="74"/>
  <c r="M26" i="74"/>
  <c r="L26" i="74"/>
  <c r="AA26" i="74" s="1"/>
  <c r="K26" i="74"/>
  <c r="J26" i="74"/>
  <c r="I26" i="74"/>
  <c r="H26" i="74"/>
  <c r="G26" i="74"/>
  <c r="F26" i="74"/>
  <c r="U26" i="74" s="1"/>
  <c r="E26" i="74"/>
  <c r="D26" i="74"/>
  <c r="C26" i="74"/>
  <c r="B26" i="74"/>
  <c r="R26" i="74" s="1"/>
  <c r="Y26" i="74" s="1"/>
  <c r="Y25" i="74"/>
  <c r="N25" i="74"/>
  <c r="M25" i="74"/>
  <c r="L25" i="74"/>
  <c r="K25" i="74"/>
  <c r="Z25" i="74" s="1"/>
  <c r="J25" i="74"/>
  <c r="I25" i="74"/>
  <c r="H25" i="74"/>
  <c r="G25" i="74"/>
  <c r="F25" i="74"/>
  <c r="E25" i="74"/>
  <c r="T25" i="74" s="1"/>
  <c r="D25" i="74"/>
  <c r="C25" i="74"/>
  <c r="B25" i="74"/>
  <c r="R25" i="74" s="1"/>
  <c r="AC25" i="74" s="1"/>
  <c r="W24" i="74"/>
  <c r="N24" i="74"/>
  <c r="M24" i="74"/>
  <c r="L24" i="74"/>
  <c r="K24" i="74"/>
  <c r="Z24" i="74" s="1"/>
  <c r="J24" i="74"/>
  <c r="I24" i="74"/>
  <c r="H24" i="74"/>
  <c r="G24" i="74"/>
  <c r="F24" i="74"/>
  <c r="E24" i="74"/>
  <c r="T24" i="74" s="1"/>
  <c r="D24" i="74"/>
  <c r="C24" i="74"/>
  <c r="B24" i="74"/>
  <c r="R24" i="74" s="1"/>
  <c r="AC24" i="74" s="1"/>
  <c r="W23" i="74"/>
  <c r="N23" i="74"/>
  <c r="M23" i="74"/>
  <c r="L23" i="74"/>
  <c r="K23" i="74"/>
  <c r="Z23" i="74" s="1"/>
  <c r="J23" i="74"/>
  <c r="I23" i="74"/>
  <c r="H23" i="74"/>
  <c r="G23" i="74"/>
  <c r="F23" i="74"/>
  <c r="E23" i="74"/>
  <c r="T23" i="74" s="1"/>
  <c r="D23" i="74"/>
  <c r="C23" i="74"/>
  <c r="B23" i="74"/>
  <c r="R23" i="74" s="1"/>
  <c r="AC23" i="74" s="1"/>
  <c r="W22" i="74"/>
  <c r="N22" i="74"/>
  <c r="M22" i="74"/>
  <c r="L22" i="74"/>
  <c r="K22" i="74"/>
  <c r="Z22" i="74" s="1"/>
  <c r="J22" i="74"/>
  <c r="I22" i="74"/>
  <c r="H22" i="74"/>
  <c r="G22" i="74"/>
  <c r="F22" i="74"/>
  <c r="E22" i="74"/>
  <c r="T22" i="74" s="1"/>
  <c r="D22" i="74"/>
  <c r="C22" i="74"/>
  <c r="B22" i="74"/>
  <c r="R22" i="74" s="1"/>
  <c r="AC22" i="74" s="1"/>
  <c r="W21" i="74"/>
  <c r="N21" i="74"/>
  <c r="M21" i="74"/>
  <c r="L21" i="74"/>
  <c r="K21" i="74"/>
  <c r="Z21" i="74" s="1"/>
  <c r="J21" i="74"/>
  <c r="I21" i="74"/>
  <c r="H21" i="74"/>
  <c r="G21" i="74"/>
  <c r="F21" i="74"/>
  <c r="E21" i="74"/>
  <c r="T21" i="74" s="1"/>
  <c r="D21" i="74"/>
  <c r="C21" i="74"/>
  <c r="B21" i="74"/>
  <c r="R21" i="74" s="1"/>
  <c r="AC21" i="74" s="1"/>
  <c r="Y20" i="74"/>
  <c r="S20" i="74"/>
  <c r="N20" i="74"/>
  <c r="M20" i="74"/>
  <c r="L20" i="74"/>
  <c r="K20" i="74"/>
  <c r="J20" i="74"/>
  <c r="I20" i="74"/>
  <c r="X20" i="74" s="1"/>
  <c r="H20" i="74"/>
  <c r="G20" i="74"/>
  <c r="F20" i="74"/>
  <c r="E20" i="74"/>
  <c r="D20" i="74"/>
  <c r="C20" i="74"/>
  <c r="B20" i="74"/>
  <c r="R20" i="74" s="1"/>
  <c r="AC20" i="74" s="1"/>
  <c r="AA19" i="74"/>
  <c r="U19" i="74"/>
  <c r="N19" i="74"/>
  <c r="M19" i="74"/>
  <c r="AB19" i="74" s="1"/>
  <c r="L19" i="74"/>
  <c r="K19" i="74"/>
  <c r="J19" i="74"/>
  <c r="I19" i="74"/>
  <c r="H19" i="74"/>
  <c r="G19" i="74"/>
  <c r="V19" i="74" s="1"/>
  <c r="F19" i="74"/>
  <c r="E19" i="74"/>
  <c r="D19" i="74"/>
  <c r="C19" i="74"/>
  <c r="B19" i="74"/>
  <c r="R19" i="74" s="1"/>
  <c r="S19" i="74" s="1"/>
  <c r="N18" i="74"/>
  <c r="M18" i="74"/>
  <c r="L18" i="74"/>
  <c r="K18" i="74"/>
  <c r="J18" i="74"/>
  <c r="I18" i="74"/>
  <c r="H18" i="74"/>
  <c r="G18" i="74"/>
  <c r="F18" i="74"/>
  <c r="E18" i="74"/>
  <c r="D18" i="74"/>
  <c r="C18" i="74"/>
  <c r="B18" i="74"/>
  <c r="R18" i="74" s="1"/>
  <c r="U18" i="74" s="1"/>
  <c r="Y17" i="74"/>
  <c r="S17" i="74"/>
  <c r="N17" i="74"/>
  <c r="M17" i="74"/>
  <c r="L17" i="74"/>
  <c r="K17" i="74"/>
  <c r="J17" i="74"/>
  <c r="I17" i="74"/>
  <c r="X17" i="74" s="1"/>
  <c r="H17" i="74"/>
  <c r="G17" i="74"/>
  <c r="F17" i="74"/>
  <c r="E17" i="74"/>
  <c r="D17" i="74"/>
  <c r="C17" i="74"/>
  <c r="B17" i="74"/>
  <c r="R17" i="74" s="1"/>
  <c r="W17" i="74" s="1"/>
  <c r="Y16" i="74"/>
  <c r="S16" i="74"/>
  <c r="N16" i="74"/>
  <c r="M16" i="74"/>
  <c r="L16" i="74"/>
  <c r="AA16" i="74" s="1"/>
  <c r="K16" i="74"/>
  <c r="J16" i="74"/>
  <c r="I16" i="74"/>
  <c r="X16" i="74" s="1"/>
  <c r="H16" i="74"/>
  <c r="G16" i="74"/>
  <c r="F16" i="74"/>
  <c r="E16" i="74"/>
  <c r="D16" i="74"/>
  <c r="C16" i="74"/>
  <c r="B16" i="74"/>
  <c r="R16" i="74" s="1"/>
  <c r="W16" i="74" s="1"/>
  <c r="AA15" i="74"/>
  <c r="U15" i="74"/>
  <c r="N15" i="74"/>
  <c r="M15" i="74"/>
  <c r="AB15" i="74" s="1"/>
  <c r="L15" i="74"/>
  <c r="K15" i="74"/>
  <c r="J15" i="74"/>
  <c r="I15" i="74"/>
  <c r="H15" i="74"/>
  <c r="G15" i="74"/>
  <c r="V15" i="74" s="1"/>
  <c r="F15" i="74"/>
  <c r="E15" i="74"/>
  <c r="D15" i="74"/>
  <c r="C15" i="74"/>
  <c r="B15" i="74"/>
  <c r="R15" i="74" s="1"/>
  <c r="Y15" i="74" s="1"/>
  <c r="W14" i="74"/>
  <c r="N14" i="74"/>
  <c r="M14" i="74"/>
  <c r="L14" i="74"/>
  <c r="K14" i="74"/>
  <c r="Z14" i="74" s="1"/>
  <c r="J14" i="74"/>
  <c r="I14" i="74"/>
  <c r="H14" i="74"/>
  <c r="G14" i="74"/>
  <c r="F14" i="74"/>
  <c r="E14" i="74"/>
  <c r="T14" i="74" s="1"/>
  <c r="D14" i="74"/>
  <c r="C14" i="74"/>
  <c r="B14" i="74"/>
  <c r="R14" i="74" s="1"/>
  <c r="AA14" i="74" s="1"/>
  <c r="Y13" i="74"/>
  <c r="T13" i="74"/>
  <c r="N13" i="74"/>
  <c r="M13" i="74"/>
  <c r="AB13" i="74" s="1"/>
  <c r="L13" i="74"/>
  <c r="K13" i="74"/>
  <c r="J13" i="74"/>
  <c r="I13" i="74"/>
  <c r="H13" i="74"/>
  <c r="G13" i="74"/>
  <c r="V13" i="74" s="1"/>
  <c r="F13" i="74"/>
  <c r="E13" i="74"/>
  <c r="D13" i="74"/>
  <c r="C13" i="74"/>
  <c r="B13" i="74"/>
  <c r="R13" i="74" s="1"/>
  <c r="AC13" i="74" s="1"/>
  <c r="N12" i="74"/>
  <c r="M12" i="74"/>
  <c r="L12" i="74"/>
  <c r="K12" i="74"/>
  <c r="J12" i="74"/>
  <c r="I12" i="74"/>
  <c r="H12" i="74"/>
  <c r="G12" i="74"/>
  <c r="F12" i="74"/>
  <c r="E12" i="74"/>
  <c r="D12" i="74"/>
  <c r="C12" i="74"/>
  <c r="B12" i="74"/>
  <c r="R12" i="74" s="1"/>
  <c r="AC12" i="74" s="1"/>
  <c r="Y11" i="74"/>
  <c r="T11" i="74"/>
  <c r="N11" i="74"/>
  <c r="M11" i="74"/>
  <c r="AB11" i="74" s="1"/>
  <c r="L11" i="74"/>
  <c r="K11" i="74"/>
  <c r="J11" i="74"/>
  <c r="I11" i="74"/>
  <c r="H11" i="74"/>
  <c r="G11" i="74"/>
  <c r="V11" i="74" s="1"/>
  <c r="F11" i="74"/>
  <c r="E11" i="74"/>
  <c r="D11" i="74"/>
  <c r="C11" i="74"/>
  <c r="B11" i="74"/>
  <c r="R11" i="74" s="1"/>
  <c r="W11" i="74" s="1"/>
  <c r="AC10" i="74"/>
  <c r="W10" i="74"/>
  <c r="S10" i="74"/>
  <c r="N10" i="74"/>
  <c r="M10" i="74"/>
  <c r="L10" i="74"/>
  <c r="AA10" i="74" s="1"/>
  <c r="K10" i="74"/>
  <c r="J10" i="74"/>
  <c r="I10" i="74"/>
  <c r="X10" i="74" s="1"/>
  <c r="H10" i="74"/>
  <c r="G10" i="74"/>
  <c r="F10" i="74"/>
  <c r="E10" i="74"/>
  <c r="D10" i="74"/>
  <c r="C10" i="74"/>
  <c r="B10" i="74"/>
  <c r="R10" i="74" s="1"/>
  <c r="Z10" i="74" s="1"/>
  <c r="AA9" i="74"/>
  <c r="W9" i="74"/>
  <c r="S9" i="74"/>
  <c r="N9" i="74"/>
  <c r="M9" i="74"/>
  <c r="L9" i="74"/>
  <c r="K9" i="74"/>
  <c r="J9" i="74"/>
  <c r="I9" i="74"/>
  <c r="X9" i="74" s="1"/>
  <c r="H9" i="74"/>
  <c r="G9" i="74"/>
  <c r="F9" i="74"/>
  <c r="E9" i="74"/>
  <c r="D9" i="74"/>
  <c r="C9" i="74"/>
  <c r="B9" i="74"/>
  <c r="R9" i="74" s="1"/>
  <c r="U9" i="74" s="1"/>
  <c r="AA8" i="74"/>
  <c r="W8" i="74"/>
  <c r="S8" i="74"/>
  <c r="N8" i="74"/>
  <c r="M8" i="74"/>
  <c r="L8" i="74"/>
  <c r="K8" i="74"/>
  <c r="J8" i="74"/>
  <c r="I8" i="74"/>
  <c r="X8" i="74" s="1"/>
  <c r="H8" i="74"/>
  <c r="G8" i="74"/>
  <c r="F8" i="74"/>
  <c r="E8" i="74"/>
  <c r="D8" i="74"/>
  <c r="C8" i="74"/>
  <c r="B8" i="74"/>
  <c r="R8" i="74" s="1"/>
  <c r="Z8" i="74" s="1"/>
  <c r="S7" i="74"/>
  <c r="Q7" i="74"/>
  <c r="N7" i="74"/>
  <c r="M7" i="74"/>
  <c r="L7" i="74"/>
  <c r="K7" i="74"/>
  <c r="J7" i="74"/>
  <c r="I7" i="74"/>
  <c r="H7" i="74"/>
  <c r="G7" i="74"/>
  <c r="F7" i="74"/>
  <c r="E7" i="74"/>
  <c r="D7" i="74"/>
  <c r="C7" i="74"/>
  <c r="B7" i="74"/>
  <c r="R7" i="74" s="1"/>
  <c r="Y7" i="74" s="1"/>
  <c r="N6" i="74"/>
  <c r="M6" i="74"/>
  <c r="L6" i="74"/>
  <c r="K6" i="74"/>
  <c r="J6" i="74"/>
  <c r="I6" i="74"/>
  <c r="H6" i="74"/>
  <c r="G6" i="74"/>
  <c r="F6" i="74"/>
  <c r="E6" i="74"/>
  <c r="D6" i="74"/>
  <c r="BD5" i="74"/>
  <c r="N107" i="74" s="1"/>
  <c r="BC5" i="74"/>
  <c r="M106" i="74" s="1"/>
  <c r="BB5" i="74"/>
  <c r="L106" i="74" s="1"/>
  <c r="BA5" i="74"/>
  <c r="K106" i="74" s="1"/>
  <c r="AZ5" i="74"/>
  <c r="J109" i="74" s="1"/>
  <c r="AY5" i="74"/>
  <c r="I108" i="74" s="1"/>
  <c r="AX5" i="74"/>
  <c r="H107" i="74" s="1"/>
  <c r="AW5" i="74"/>
  <c r="G106" i="74" s="1"/>
  <c r="AV5" i="74"/>
  <c r="F106" i="74" s="1"/>
  <c r="AU5" i="74"/>
  <c r="E106" i="74" s="1"/>
  <c r="AT5" i="74"/>
  <c r="D109" i="74" s="1"/>
  <c r="BD4" i="74"/>
  <c r="N94" i="74" s="1"/>
  <c r="BC4" i="74"/>
  <c r="M93" i="74" s="1"/>
  <c r="BB4" i="74"/>
  <c r="L93" i="74" s="1"/>
  <c r="BA4" i="74"/>
  <c r="K93" i="74" s="1"/>
  <c r="AZ4" i="74"/>
  <c r="J96" i="74" s="1"/>
  <c r="AY4" i="74"/>
  <c r="I95" i="74" s="1"/>
  <c r="AX4" i="74"/>
  <c r="H94" i="74" s="1"/>
  <c r="AW4" i="74"/>
  <c r="G93" i="74" s="1"/>
  <c r="AV4" i="74"/>
  <c r="F93" i="74" s="1"/>
  <c r="AU4" i="74"/>
  <c r="E93" i="74" s="1"/>
  <c r="AT4" i="74"/>
  <c r="D96" i="74" s="1"/>
  <c r="BD3" i="74"/>
  <c r="BC3" i="74"/>
  <c r="BB3" i="74"/>
  <c r="BA3" i="74"/>
  <c r="AZ3" i="74"/>
  <c r="AY3" i="74"/>
  <c r="AX3" i="74"/>
  <c r="AW3" i="74"/>
  <c r="AV3" i="74"/>
  <c r="AU3" i="74"/>
  <c r="AT3" i="74"/>
  <c r="N108" i="72"/>
  <c r="M108" i="72"/>
  <c r="L108" i="72"/>
  <c r="K108" i="72"/>
  <c r="J108" i="72"/>
  <c r="I108" i="72"/>
  <c r="H108" i="72"/>
  <c r="G108" i="72"/>
  <c r="F108" i="72"/>
  <c r="E108" i="72"/>
  <c r="D108" i="72"/>
  <c r="N107" i="72"/>
  <c r="M107" i="72"/>
  <c r="L107" i="72"/>
  <c r="K107" i="72"/>
  <c r="J107" i="72"/>
  <c r="I107" i="72"/>
  <c r="H107" i="72"/>
  <c r="G107" i="72"/>
  <c r="F107" i="72"/>
  <c r="E107" i="72"/>
  <c r="D107" i="72"/>
  <c r="N106" i="72"/>
  <c r="M106" i="72"/>
  <c r="L106" i="72"/>
  <c r="K106" i="72"/>
  <c r="J106" i="72"/>
  <c r="I106" i="72"/>
  <c r="H106" i="72"/>
  <c r="G106" i="72"/>
  <c r="F106" i="72"/>
  <c r="E106" i="72"/>
  <c r="D106" i="72"/>
  <c r="N105" i="72"/>
  <c r="M105" i="72"/>
  <c r="L105" i="72"/>
  <c r="K105" i="72"/>
  <c r="J105" i="72"/>
  <c r="I105" i="72"/>
  <c r="H105" i="72"/>
  <c r="G105" i="72"/>
  <c r="F105" i="72"/>
  <c r="E105" i="72"/>
  <c r="D105" i="72"/>
  <c r="N93" i="72"/>
  <c r="M93" i="72"/>
  <c r="L93" i="72"/>
  <c r="K93" i="72"/>
  <c r="J93" i="72"/>
  <c r="I93" i="72"/>
  <c r="H93" i="72"/>
  <c r="G93" i="72"/>
  <c r="F93" i="72"/>
  <c r="E93" i="72"/>
  <c r="D93" i="72"/>
  <c r="N92" i="72"/>
  <c r="M92" i="72"/>
  <c r="L92" i="72"/>
  <c r="K92" i="72"/>
  <c r="J92" i="72"/>
  <c r="I92" i="72"/>
  <c r="H92" i="72"/>
  <c r="G92" i="72"/>
  <c r="F92" i="72"/>
  <c r="E92" i="72"/>
  <c r="D92" i="72"/>
  <c r="N91" i="72"/>
  <c r="M91" i="72"/>
  <c r="L91" i="72"/>
  <c r="K91" i="72"/>
  <c r="J91" i="72"/>
  <c r="I91" i="72"/>
  <c r="H91" i="72"/>
  <c r="G91" i="72"/>
  <c r="F91" i="72"/>
  <c r="E91" i="72"/>
  <c r="D91" i="72"/>
  <c r="N90" i="72"/>
  <c r="M90" i="72"/>
  <c r="L90" i="72"/>
  <c r="K90" i="72"/>
  <c r="J90" i="72"/>
  <c r="I90" i="72"/>
  <c r="H90" i="72"/>
  <c r="G90" i="72"/>
  <c r="F90" i="72"/>
  <c r="E90" i="72"/>
  <c r="D90" i="72"/>
  <c r="N54" i="72"/>
  <c r="M54" i="72"/>
  <c r="L54" i="72"/>
  <c r="K54" i="72"/>
  <c r="J54" i="72"/>
  <c r="I54" i="72"/>
  <c r="H54" i="72"/>
  <c r="G54" i="72"/>
  <c r="F54" i="72"/>
  <c r="E54" i="72"/>
  <c r="D54" i="72"/>
  <c r="N53" i="72"/>
  <c r="M53" i="72"/>
  <c r="L53" i="72"/>
  <c r="K53" i="72"/>
  <c r="J53" i="72"/>
  <c r="I53" i="72"/>
  <c r="H53" i="72"/>
  <c r="G53" i="72"/>
  <c r="F53" i="72"/>
  <c r="E53" i="72"/>
  <c r="D53" i="72"/>
  <c r="N52" i="72"/>
  <c r="M52" i="72"/>
  <c r="L52" i="72"/>
  <c r="K52" i="72"/>
  <c r="J52" i="72"/>
  <c r="I52" i="72"/>
  <c r="H52" i="72"/>
  <c r="G52" i="72"/>
  <c r="F52" i="72"/>
  <c r="E52" i="72"/>
  <c r="D52" i="72"/>
  <c r="N51" i="72"/>
  <c r="M51" i="72"/>
  <c r="L51" i="72"/>
  <c r="K51" i="72"/>
  <c r="J51" i="72"/>
  <c r="I51" i="72"/>
  <c r="H51" i="72"/>
  <c r="G51" i="72"/>
  <c r="F51" i="72"/>
  <c r="E51" i="72"/>
  <c r="D51" i="72"/>
  <c r="N50" i="72"/>
  <c r="M50" i="72"/>
  <c r="L50" i="72"/>
  <c r="K50" i="72"/>
  <c r="J50" i="72"/>
  <c r="I50" i="72"/>
  <c r="H50" i="72"/>
  <c r="G50" i="72"/>
  <c r="F50" i="72"/>
  <c r="E50" i="72"/>
  <c r="D50" i="72"/>
  <c r="C50" i="72"/>
  <c r="B50" i="72"/>
  <c r="N49" i="72"/>
  <c r="M49" i="72"/>
  <c r="L49" i="72"/>
  <c r="K49" i="72"/>
  <c r="J49" i="72"/>
  <c r="I49" i="72"/>
  <c r="H49" i="72"/>
  <c r="G49" i="72"/>
  <c r="F49" i="72"/>
  <c r="E49" i="72"/>
  <c r="D49" i="72"/>
  <c r="C49" i="72"/>
  <c r="B49" i="72"/>
  <c r="N48" i="72"/>
  <c r="M48" i="72"/>
  <c r="L48" i="72"/>
  <c r="K48" i="72"/>
  <c r="J48" i="72"/>
  <c r="I48" i="72"/>
  <c r="H48" i="72"/>
  <c r="G48" i="72"/>
  <c r="F48" i="72"/>
  <c r="E48" i="72"/>
  <c r="D48" i="72"/>
  <c r="C48" i="72"/>
  <c r="B48" i="72"/>
  <c r="N47" i="72"/>
  <c r="M47" i="72"/>
  <c r="L47" i="72"/>
  <c r="K47" i="72"/>
  <c r="J47" i="72"/>
  <c r="I47" i="72"/>
  <c r="H47" i="72"/>
  <c r="G47" i="72"/>
  <c r="F47" i="72"/>
  <c r="E47" i="72"/>
  <c r="D47" i="72"/>
  <c r="C47" i="72"/>
  <c r="B47" i="72"/>
  <c r="N46" i="72"/>
  <c r="M46" i="72"/>
  <c r="L46" i="72"/>
  <c r="K46" i="72"/>
  <c r="J46" i="72"/>
  <c r="I46" i="72"/>
  <c r="H46" i="72"/>
  <c r="G46" i="72"/>
  <c r="F46" i="72"/>
  <c r="E46" i="72"/>
  <c r="D46" i="72"/>
  <c r="C46" i="72"/>
  <c r="B46" i="72"/>
  <c r="N45" i="72"/>
  <c r="M45" i="72"/>
  <c r="L45" i="72"/>
  <c r="K45" i="72"/>
  <c r="J45" i="72"/>
  <c r="I45" i="72"/>
  <c r="H45" i="72"/>
  <c r="G45" i="72"/>
  <c r="F45" i="72"/>
  <c r="E45" i="72"/>
  <c r="D45" i="72"/>
  <c r="C45" i="72"/>
  <c r="B45" i="72"/>
  <c r="N44" i="72"/>
  <c r="M44" i="72"/>
  <c r="L44" i="72"/>
  <c r="K44" i="72"/>
  <c r="J44" i="72"/>
  <c r="I44" i="72"/>
  <c r="H44" i="72"/>
  <c r="G44" i="72"/>
  <c r="F44" i="72"/>
  <c r="E44" i="72"/>
  <c r="D44" i="72"/>
  <c r="C44" i="72"/>
  <c r="B44" i="72"/>
  <c r="N43" i="72"/>
  <c r="M43" i="72"/>
  <c r="L43" i="72"/>
  <c r="K43" i="72"/>
  <c r="J43" i="72"/>
  <c r="I43" i="72"/>
  <c r="H43" i="72"/>
  <c r="G43" i="72"/>
  <c r="F43" i="72"/>
  <c r="E43" i="72"/>
  <c r="D43" i="72"/>
  <c r="C43" i="72"/>
  <c r="B43" i="72"/>
  <c r="N42" i="72"/>
  <c r="M42" i="72"/>
  <c r="L42" i="72"/>
  <c r="K42" i="72"/>
  <c r="J42" i="72"/>
  <c r="I42" i="72"/>
  <c r="H42" i="72"/>
  <c r="G42" i="72"/>
  <c r="F42" i="72"/>
  <c r="E42" i="72"/>
  <c r="D42" i="72"/>
  <c r="C42" i="72"/>
  <c r="B42" i="72"/>
  <c r="N41" i="72"/>
  <c r="M41" i="72"/>
  <c r="L41" i="72"/>
  <c r="K41" i="72"/>
  <c r="J41" i="72"/>
  <c r="I41" i="72"/>
  <c r="H41" i="72"/>
  <c r="G41" i="72"/>
  <c r="F41" i="72"/>
  <c r="E41" i="72"/>
  <c r="D41" i="72"/>
  <c r="C41" i="72"/>
  <c r="B41" i="72"/>
  <c r="N40" i="72"/>
  <c r="M40" i="72"/>
  <c r="L40" i="72"/>
  <c r="K40" i="72"/>
  <c r="J40" i="72"/>
  <c r="I40" i="72"/>
  <c r="H40" i="72"/>
  <c r="G40" i="72"/>
  <c r="F40" i="72"/>
  <c r="E40" i="72"/>
  <c r="D40" i="72"/>
  <c r="C40" i="72"/>
  <c r="B40" i="72"/>
  <c r="N39" i="72"/>
  <c r="M39" i="72"/>
  <c r="L39" i="72"/>
  <c r="K39" i="72"/>
  <c r="J39" i="72"/>
  <c r="I39" i="72"/>
  <c r="H39" i="72"/>
  <c r="G39" i="72"/>
  <c r="F39" i="72"/>
  <c r="E39" i="72"/>
  <c r="D39" i="72"/>
  <c r="C39" i="72"/>
  <c r="B39" i="72"/>
  <c r="N38" i="72"/>
  <c r="M38" i="72"/>
  <c r="L38" i="72"/>
  <c r="K38" i="72"/>
  <c r="J38" i="72"/>
  <c r="I38" i="72"/>
  <c r="H38" i="72"/>
  <c r="G38" i="72"/>
  <c r="F38" i="72"/>
  <c r="E38" i="72"/>
  <c r="D38" i="72"/>
  <c r="C38" i="72"/>
  <c r="B38" i="72"/>
  <c r="N37" i="72"/>
  <c r="M37" i="72"/>
  <c r="L37" i="72"/>
  <c r="K37" i="72"/>
  <c r="J37" i="72"/>
  <c r="I37" i="72"/>
  <c r="H37" i="72"/>
  <c r="G37" i="72"/>
  <c r="F37" i="72"/>
  <c r="E37" i="72"/>
  <c r="D37" i="72"/>
  <c r="C37" i="72"/>
  <c r="B37" i="72"/>
  <c r="N36" i="72"/>
  <c r="M36" i="72"/>
  <c r="L36" i="72"/>
  <c r="K36" i="72"/>
  <c r="J36" i="72"/>
  <c r="I36" i="72"/>
  <c r="H36" i="72"/>
  <c r="G36" i="72"/>
  <c r="F36" i="72"/>
  <c r="E36" i="72"/>
  <c r="D36" i="72"/>
  <c r="C36" i="72"/>
  <c r="B36" i="72"/>
  <c r="N35" i="72"/>
  <c r="M35" i="72"/>
  <c r="L35" i="72"/>
  <c r="K35" i="72"/>
  <c r="J35" i="72"/>
  <c r="I35" i="72"/>
  <c r="H35" i="72"/>
  <c r="G35" i="72"/>
  <c r="F35" i="72"/>
  <c r="E35" i="72"/>
  <c r="D35" i="72"/>
  <c r="C35" i="72"/>
  <c r="B35" i="72"/>
  <c r="N34" i="72"/>
  <c r="M34" i="72"/>
  <c r="L34" i="72"/>
  <c r="K34" i="72"/>
  <c r="J34" i="72"/>
  <c r="I34" i="72"/>
  <c r="H34" i="72"/>
  <c r="G34" i="72"/>
  <c r="F34" i="72"/>
  <c r="E34" i="72"/>
  <c r="D34" i="72"/>
  <c r="C34" i="72"/>
  <c r="B34" i="72"/>
  <c r="N33" i="72"/>
  <c r="M33" i="72"/>
  <c r="L33" i="72"/>
  <c r="K33" i="72"/>
  <c r="J33" i="72"/>
  <c r="I33" i="72"/>
  <c r="H33" i="72"/>
  <c r="G33" i="72"/>
  <c r="F33" i="72"/>
  <c r="E33" i="72"/>
  <c r="D33" i="72"/>
  <c r="C33" i="72"/>
  <c r="B33" i="72"/>
  <c r="N32" i="72"/>
  <c r="M32" i="72"/>
  <c r="L32" i="72"/>
  <c r="K32" i="72"/>
  <c r="J32" i="72"/>
  <c r="I32" i="72"/>
  <c r="H32" i="72"/>
  <c r="G32" i="72"/>
  <c r="F32" i="72"/>
  <c r="E32" i="72"/>
  <c r="D32" i="72"/>
  <c r="C32" i="72"/>
  <c r="B32" i="72"/>
  <c r="Q31" i="72"/>
  <c r="N31" i="72"/>
  <c r="M31" i="72"/>
  <c r="L31" i="72"/>
  <c r="K31" i="72"/>
  <c r="P81" i="72" s="1"/>
  <c r="O81" i="72" s="1"/>
  <c r="J31" i="72"/>
  <c r="I31" i="72"/>
  <c r="H31" i="72"/>
  <c r="G31" i="72"/>
  <c r="F31" i="72"/>
  <c r="E31" i="72"/>
  <c r="D81" i="72" s="1"/>
  <c r="C81" i="72" s="1"/>
  <c r="D31" i="72"/>
  <c r="C31" i="72"/>
  <c r="B31" i="72"/>
  <c r="N30" i="72"/>
  <c r="M30" i="72"/>
  <c r="L30" i="72"/>
  <c r="K30" i="72"/>
  <c r="J30" i="72"/>
  <c r="I30" i="72"/>
  <c r="H30" i="72"/>
  <c r="G30" i="72"/>
  <c r="F30" i="72"/>
  <c r="E30" i="72"/>
  <c r="D30" i="72"/>
  <c r="N29" i="72"/>
  <c r="M29" i="72"/>
  <c r="L29" i="72"/>
  <c r="K29" i="72"/>
  <c r="J29" i="72"/>
  <c r="I29" i="72"/>
  <c r="H29" i="72"/>
  <c r="G29" i="72"/>
  <c r="F29" i="72"/>
  <c r="E29" i="72"/>
  <c r="D29" i="72"/>
  <c r="N28" i="72"/>
  <c r="M28" i="72"/>
  <c r="L28" i="72"/>
  <c r="K28" i="72"/>
  <c r="J28" i="72"/>
  <c r="I28" i="72"/>
  <c r="H28" i="72"/>
  <c r="G28" i="72"/>
  <c r="F28" i="72"/>
  <c r="E28" i="72"/>
  <c r="D28" i="72"/>
  <c r="N27" i="72"/>
  <c r="M27" i="72"/>
  <c r="L27" i="72"/>
  <c r="K27" i="72"/>
  <c r="J27" i="72"/>
  <c r="I27" i="72"/>
  <c r="H27" i="72"/>
  <c r="G27" i="72"/>
  <c r="F27" i="72"/>
  <c r="E27" i="72"/>
  <c r="D27" i="72"/>
  <c r="N26" i="72"/>
  <c r="M26" i="72"/>
  <c r="L26" i="72"/>
  <c r="K26" i="72"/>
  <c r="J26" i="72"/>
  <c r="I26" i="72"/>
  <c r="H26" i="72"/>
  <c r="G26" i="72"/>
  <c r="F26" i="72"/>
  <c r="E26" i="72"/>
  <c r="D26" i="72"/>
  <c r="C26" i="72"/>
  <c r="B26" i="72"/>
  <c r="R26" i="72" s="1"/>
  <c r="N25" i="72"/>
  <c r="M25" i="72"/>
  <c r="L25" i="72"/>
  <c r="K25" i="72"/>
  <c r="J25" i="72"/>
  <c r="I25" i="72"/>
  <c r="H25" i="72"/>
  <c r="G25" i="72"/>
  <c r="F25" i="72"/>
  <c r="E25" i="72"/>
  <c r="D25" i="72"/>
  <c r="C25" i="72"/>
  <c r="B25" i="72"/>
  <c r="R25" i="72" s="1"/>
  <c r="N24" i="72"/>
  <c r="M24" i="72"/>
  <c r="L24" i="72"/>
  <c r="K24" i="72"/>
  <c r="J24" i="72"/>
  <c r="I24" i="72"/>
  <c r="H24" i="72"/>
  <c r="G24" i="72"/>
  <c r="F24" i="72"/>
  <c r="E24" i="72"/>
  <c r="D24" i="72"/>
  <c r="C24" i="72"/>
  <c r="B24" i="72"/>
  <c r="R24" i="72" s="1"/>
  <c r="N23" i="72"/>
  <c r="M23" i="72"/>
  <c r="L23" i="72"/>
  <c r="K23" i="72"/>
  <c r="J23" i="72"/>
  <c r="I23" i="72"/>
  <c r="H23" i="72"/>
  <c r="G23" i="72"/>
  <c r="F23" i="72"/>
  <c r="E23" i="72"/>
  <c r="D23" i="72"/>
  <c r="C23" i="72"/>
  <c r="B23" i="72"/>
  <c r="R23" i="72" s="1"/>
  <c r="N22" i="72"/>
  <c r="M22" i="72"/>
  <c r="L22" i="72"/>
  <c r="K22" i="72"/>
  <c r="J22" i="72"/>
  <c r="I22" i="72"/>
  <c r="H22" i="72"/>
  <c r="G22" i="72"/>
  <c r="F22" i="72"/>
  <c r="E22" i="72"/>
  <c r="D22" i="72"/>
  <c r="C22" i="72"/>
  <c r="B22" i="72"/>
  <c r="R22" i="72" s="1"/>
  <c r="N21" i="72"/>
  <c r="M21" i="72"/>
  <c r="L21" i="72"/>
  <c r="K21" i="72"/>
  <c r="J21" i="72"/>
  <c r="I21" i="72"/>
  <c r="H21" i="72"/>
  <c r="G21" i="72"/>
  <c r="F21" i="72"/>
  <c r="E21" i="72"/>
  <c r="D21" i="72"/>
  <c r="C21" i="72"/>
  <c r="B21" i="72"/>
  <c r="R21" i="72" s="1"/>
  <c r="N20" i="72"/>
  <c r="M20" i="72"/>
  <c r="L20" i="72"/>
  <c r="K20" i="72"/>
  <c r="J20" i="72"/>
  <c r="I20" i="72"/>
  <c r="H20" i="72"/>
  <c r="G20" i="72"/>
  <c r="F20" i="72"/>
  <c r="E20" i="72"/>
  <c r="D20" i="72"/>
  <c r="C20" i="72"/>
  <c r="B20" i="72"/>
  <c r="R20" i="72" s="1"/>
  <c r="N19" i="72"/>
  <c r="M19" i="72"/>
  <c r="L19" i="72"/>
  <c r="K19" i="72"/>
  <c r="J19" i="72"/>
  <c r="I19" i="72"/>
  <c r="H19" i="72"/>
  <c r="G19" i="72"/>
  <c r="F19" i="72"/>
  <c r="E19" i="72"/>
  <c r="D19" i="72"/>
  <c r="C19" i="72"/>
  <c r="B19" i="72"/>
  <c r="R19" i="72" s="1"/>
  <c r="N18" i="72"/>
  <c r="M18" i="72"/>
  <c r="L18" i="72"/>
  <c r="K18" i="72"/>
  <c r="J18" i="72"/>
  <c r="I18" i="72"/>
  <c r="H18" i="72"/>
  <c r="G18" i="72"/>
  <c r="F18" i="72"/>
  <c r="E18" i="72"/>
  <c r="D18" i="72"/>
  <c r="C18" i="72"/>
  <c r="B18" i="72"/>
  <c r="R18" i="72" s="1"/>
  <c r="N17" i="72"/>
  <c r="M17" i="72"/>
  <c r="L17" i="72"/>
  <c r="K17" i="72"/>
  <c r="J17" i="72"/>
  <c r="I17" i="72"/>
  <c r="H17" i="72"/>
  <c r="G17" i="72"/>
  <c r="F17" i="72"/>
  <c r="E17" i="72"/>
  <c r="D17" i="72"/>
  <c r="C17" i="72"/>
  <c r="B17" i="72"/>
  <c r="R17" i="72" s="1"/>
  <c r="N16" i="72"/>
  <c r="M16" i="72"/>
  <c r="L16" i="72"/>
  <c r="K16" i="72"/>
  <c r="J16" i="72"/>
  <c r="I16" i="72"/>
  <c r="H16" i="72"/>
  <c r="G16" i="72"/>
  <c r="F16" i="72"/>
  <c r="E16" i="72"/>
  <c r="D16" i="72"/>
  <c r="C16" i="72"/>
  <c r="B16" i="72"/>
  <c r="R16" i="72" s="1"/>
  <c r="N15" i="72"/>
  <c r="M15" i="72"/>
  <c r="L15" i="72"/>
  <c r="K15" i="72"/>
  <c r="J15" i="72"/>
  <c r="I15" i="72"/>
  <c r="H15" i="72"/>
  <c r="G15" i="72"/>
  <c r="F15" i="72"/>
  <c r="E15" i="72"/>
  <c r="D15" i="72"/>
  <c r="C15" i="72"/>
  <c r="B15" i="72"/>
  <c r="R15" i="72" s="1"/>
  <c r="N14" i="72"/>
  <c r="M14" i="72"/>
  <c r="L14" i="72"/>
  <c r="K14" i="72"/>
  <c r="J14" i="72"/>
  <c r="I14" i="72"/>
  <c r="H14" i="72"/>
  <c r="G14" i="72"/>
  <c r="F14" i="72"/>
  <c r="E14" i="72"/>
  <c r="D14" i="72"/>
  <c r="C14" i="72"/>
  <c r="B14" i="72"/>
  <c r="R14" i="72" s="1"/>
  <c r="N13" i="72"/>
  <c r="M13" i="72"/>
  <c r="L13" i="72"/>
  <c r="K13" i="72"/>
  <c r="J13" i="72"/>
  <c r="I13" i="72"/>
  <c r="H13" i="72"/>
  <c r="G13" i="72"/>
  <c r="F13" i="72"/>
  <c r="E13" i="72"/>
  <c r="D13" i="72"/>
  <c r="C13" i="72"/>
  <c r="B13" i="72"/>
  <c r="R13" i="72" s="1"/>
  <c r="N12" i="72"/>
  <c r="M12" i="72"/>
  <c r="L12" i="72"/>
  <c r="K12" i="72"/>
  <c r="J12" i="72"/>
  <c r="I12" i="72"/>
  <c r="H12" i="72"/>
  <c r="G12" i="72"/>
  <c r="F12" i="72"/>
  <c r="E12" i="72"/>
  <c r="D12" i="72"/>
  <c r="C12" i="72"/>
  <c r="B12" i="72"/>
  <c r="R12" i="72" s="1"/>
  <c r="N11" i="72"/>
  <c r="M11" i="72"/>
  <c r="L11" i="72"/>
  <c r="K11" i="72"/>
  <c r="J11" i="72"/>
  <c r="I11" i="72"/>
  <c r="H11" i="72"/>
  <c r="G11" i="72"/>
  <c r="F11" i="72"/>
  <c r="E11" i="72"/>
  <c r="D11" i="72"/>
  <c r="C11" i="72"/>
  <c r="B11" i="72"/>
  <c r="R11" i="72" s="1"/>
  <c r="N10" i="72"/>
  <c r="M10" i="72"/>
  <c r="L10" i="72"/>
  <c r="K10" i="72"/>
  <c r="J10" i="72"/>
  <c r="I10" i="72"/>
  <c r="H10" i="72"/>
  <c r="G10" i="72"/>
  <c r="F10" i="72"/>
  <c r="E10" i="72"/>
  <c r="D10" i="72"/>
  <c r="C10" i="72"/>
  <c r="B10" i="72"/>
  <c r="R10" i="72" s="1"/>
  <c r="N9" i="72"/>
  <c r="M9" i="72"/>
  <c r="L9" i="72"/>
  <c r="K9" i="72"/>
  <c r="J9" i="72"/>
  <c r="I9" i="72"/>
  <c r="H9" i="72"/>
  <c r="G9" i="72"/>
  <c r="F9" i="72"/>
  <c r="E9" i="72"/>
  <c r="D9" i="72"/>
  <c r="C9" i="72"/>
  <c r="B9" i="72"/>
  <c r="R9" i="72" s="1"/>
  <c r="U9" i="72" s="1"/>
  <c r="S8" i="72"/>
  <c r="N8" i="72"/>
  <c r="M8" i="72"/>
  <c r="L8" i="72"/>
  <c r="K8" i="72"/>
  <c r="J8" i="72"/>
  <c r="I8" i="72"/>
  <c r="H8" i="72"/>
  <c r="G8" i="72"/>
  <c r="F8" i="72"/>
  <c r="E8" i="72"/>
  <c r="D8" i="72"/>
  <c r="C8" i="72"/>
  <c r="B8" i="72"/>
  <c r="R8" i="72" s="1"/>
  <c r="Q7" i="72"/>
  <c r="N7" i="72"/>
  <c r="M7" i="72"/>
  <c r="L7" i="72"/>
  <c r="K7" i="72"/>
  <c r="J7" i="72"/>
  <c r="I7" i="72"/>
  <c r="H7" i="72"/>
  <c r="G7" i="72"/>
  <c r="F7" i="72"/>
  <c r="E7" i="72"/>
  <c r="D7" i="72"/>
  <c r="C7" i="72"/>
  <c r="B7" i="72"/>
  <c r="R7" i="72" s="1"/>
  <c r="N6" i="72"/>
  <c r="M6" i="72"/>
  <c r="L6" i="72"/>
  <c r="K6" i="72"/>
  <c r="J6" i="72"/>
  <c r="I6" i="72"/>
  <c r="H6" i="72"/>
  <c r="G6" i="72"/>
  <c r="F6" i="72"/>
  <c r="E6" i="72"/>
  <c r="D6" i="72"/>
  <c r="BD5" i="72"/>
  <c r="N112" i="72" s="1"/>
  <c r="BC5" i="72"/>
  <c r="BB5" i="72"/>
  <c r="BA5" i="72"/>
  <c r="K110" i="72" s="1"/>
  <c r="AZ5" i="72"/>
  <c r="J110" i="72" s="1"/>
  <c r="AY5" i="72"/>
  <c r="AX5" i="72"/>
  <c r="H112" i="72" s="1"/>
  <c r="AW5" i="72"/>
  <c r="AV5" i="72"/>
  <c r="AU5" i="72"/>
  <c r="E110" i="72" s="1"/>
  <c r="AT5" i="72"/>
  <c r="D110" i="72" s="1"/>
  <c r="BD4" i="72"/>
  <c r="BC4" i="72"/>
  <c r="M98" i="72" s="1"/>
  <c r="BB4" i="72"/>
  <c r="L97" i="72" s="1"/>
  <c r="BA4" i="72"/>
  <c r="K96" i="72" s="1"/>
  <c r="AZ4" i="72"/>
  <c r="J95" i="72" s="1"/>
  <c r="AY4" i="72"/>
  <c r="I95" i="72" s="1"/>
  <c r="AX4" i="72"/>
  <c r="AW4" i="72"/>
  <c r="G98" i="72" s="1"/>
  <c r="AV4" i="72"/>
  <c r="F97" i="72" s="1"/>
  <c r="AU4" i="72"/>
  <c r="E96" i="72" s="1"/>
  <c r="AT4" i="72"/>
  <c r="D95" i="72" s="1"/>
  <c r="BD3" i="72"/>
  <c r="BC3" i="72"/>
  <c r="BB3" i="72"/>
  <c r="BA3" i="72"/>
  <c r="AZ3" i="72"/>
  <c r="AY3" i="72"/>
  <c r="AX3" i="72"/>
  <c r="AW3" i="72"/>
  <c r="AV3" i="72"/>
  <c r="AU3" i="72"/>
  <c r="AT3" i="72"/>
  <c r="AA17" i="72" l="1"/>
  <c r="U17" i="72"/>
  <c r="P71" i="72"/>
  <c r="O71" i="72" s="1"/>
  <c r="U13" i="72"/>
  <c r="S13" i="72"/>
  <c r="Z18" i="72"/>
  <c r="AA26" i="72"/>
  <c r="U21" i="72"/>
  <c r="D71" i="72"/>
  <c r="C71" i="72" s="1"/>
  <c r="U11" i="72"/>
  <c r="AA11" i="72"/>
  <c r="S12" i="72"/>
  <c r="Y12" i="72"/>
  <c r="Y13" i="72"/>
  <c r="U19" i="72"/>
  <c r="AA23" i="72"/>
  <c r="U23" i="72"/>
  <c r="Z10" i="72"/>
  <c r="Y10" i="72"/>
  <c r="S14" i="72"/>
  <c r="AA16" i="72"/>
  <c r="AA19" i="72"/>
  <c r="Z7" i="72"/>
  <c r="J71" i="72"/>
  <c r="I71" i="72" s="1"/>
  <c r="V71" i="72"/>
  <c r="U8" i="72"/>
  <c r="AA8" i="72"/>
  <c r="S9" i="72"/>
  <c r="Y9" i="72"/>
  <c r="U15" i="72"/>
  <c r="U25" i="72"/>
  <c r="J81" i="72"/>
  <c r="I81" i="72" s="1"/>
  <c r="U16" i="72"/>
  <c r="Z24" i="72"/>
  <c r="U12" i="74"/>
  <c r="S12" i="74"/>
  <c r="AA12" i="74"/>
  <c r="W12" i="74"/>
  <c r="Y12" i="74"/>
  <c r="S11" i="72"/>
  <c r="Y14" i="72"/>
  <c r="AA21" i="72"/>
  <c r="U22" i="72"/>
  <c r="AA22" i="72"/>
  <c r="AA25" i="72"/>
  <c r="B72" i="74"/>
  <c r="N72" i="74"/>
  <c r="M72" i="74" s="1"/>
  <c r="V81" i="72"/>
  <c r="U81" i="72" s="1"/>
  <c r="U47" i="72" s="1"/>
  <c r="V47" i="72" s="1"/>
  <c r="F81" i="72"/>
  <c r="E81" i="72" s="1"/>
  <c r="D80" i="72"/>
  <c r="C80" i="72" s="1"/>
  <c r="P80" i="72"/>
  <c r="O80" i="72" s="1"/>
  <c r="N83" i="72"/>
  <c r="M83" i="72" s="1"/>
  <c r="H79" i="72"/>
  <c r="T72" i="74"/>
  <c r="S72" i="74" s="1"/>
  <c r="Z12" i="74"/>
  <c r="Z18" i="74"/>
  <c r="N81" i="74"/>
  <c r="M81" i="74" s="1"/>
  <c r="B16" i="76"/>
  <c r="C16" i="76" s="1"/>
  <c r="B36" i="76"/>
  <c r="C36" i="76" s="1"/>
  <c r="B56" i="76"/>
  <c r="C56" i="76" s="1"/>
  <c r="F110" i="72"/>
  <c r="L110" i="72"/>
  <c r="F72" i="72"/>
  <c r="E72" i="72" s="1"/>
  <c r="R72" i="72"/>
  <c r="Q72" i="72" s="1"/>
  <c r="Y8" i="72"/>
  <c r="U10" i="72"/>
  <c r="AA10" i="72"/>
  <c r="Y11" i="72"/>
  <c r="Z12" i="72"/>
  <c r="AA13" i="72"/>
  <c r="AA15" i="72"/>
  <c r="U18" i="72"/>
  <c r="AA18" i="72"/>
  <c r="Z20" i="72"/>
  <c r="U24" i="72"/>
  <c r="AA24" i="72"/>
  <c r="Z26" i="72"/>
  <c r="L83" i="72"/>
  <c r="K83" i="72" s="1"/>
  <c r="H83" i="72"/>
  <c r="G83" i="72" s="1"/>
  <c r="T83" i="72"/>
  <c r="S83" i="72" s="1"/>
  <c r="BH3" i="74"/>
  <c r="BG3" i="74"/>
  <c r="BF3" i="74"/>
  <c r="BF4" i="74"/>
  <c r="J73" i="74"/>
  <c r="I73" i="74" s="1"/>
  <c r="V73" i="74"/>
  <c r="T8" i="74"/>
  <c r="AC8" i="74"/>
  <c r="V9" i="74"/>
  <c r="AB9" i="74"/>
  <c r="Y9" i="74"/>
  <c r="T10" i="74"/>
  <c r="AA11" i="74"/>
  <c r="Z13" i="74"/>
  <c r="U13" i="74"/>
  <c r="X14" i="74"/>
  <c r="S14" i="74"/>
  <c r="AC15" i="74"/>
  <c r="V16" i="74"/>
  <c r="AB16" i="74"/>
  <c r="AC16" i="74"/>
  <c r="V17" i="74"/>
  <c r="AB17" i="74"/>
  <c r="AA17" i="74"/>
  <c r="Y18" i="74"/>
  <c r="T19" i="74"/>
  <c r="Z19" i="74"/>
  <c r="W19" i="74"/>
  <c r="U20" i="74"/>
  <c r="X21" i="74"/>
  <c r="S21" i="74"/>
  <c r="X22" i="74"/>
  <c r="S22" i="74"/>
  <c r="X23" i="74"/>
  <c r="S23" i="74"/>
  <c r="X24" i="74"/>
  <c r="S24" i="74"/>
  <c r="X25" i="74"/>
  <c r="S25" i="74"/>
  <c r="D82" i="74"/>
  <c r="C82" i="74" s="1"/>
  <c r="P82" i="74"/>
  <c r="O82" i="74" s="1"/>
  <c r="BH3" i="75"/>
  <c r="BL12" i="75"/>
  <c r="BK19" i="75" s="1"/>
  <c r="BF3" i="75"/>
  <c r="BG3" i="75"/>
  <c r="B79" i="76"/>
  <c r="C79" i="76" s="1"/>
  <c r="B275" i="76"/>
  <c r="C275" i="76" s="1"/>
  <c r="B283" i="76"/>
  <c r="C283" i="76" s="1"/>
  <c r="B102" i="76"/>
  <c r="C102" i="76" s="1"/>
  <c r="B22" i="76"/>
  <c r="C22" i="76" s="1"/>
  <c r="B62" i="76"/>
  <c r="C62" i="76" s="1"/>
  <c r="R81" i="72"/>
  <c r="Q81" i="72" s="1"/>
  <c r="B83" i="72"/>
  <c r="L82" i="72"/>
  <c r="K82" i="72" s="1"/>
  <c r="T79" i="72"/>
  <c r="S79" i="72" s="1"/>
  <c r="H72" i="74"/>
  <c r="G72" i="74" s="1"/>
  <c r="T12" i="74"/>
  <c r="AC14" i="74"/>
  <c r="T18" i="74"/>
  <c r="W18" i="74"/>
  <c r="X26" i="74"/>
  <c r="B81" i="74"/>
  <c r="B325" i="76"/>
  <c r="C325" i="76" s="1"/>
  <c r="B285" i="76"/>
  <c r="C285" i="76" s="1"/>
  <c r="B65" i="76"/>
  <c r="C65" i="76" s="1"/>
  <c r="B5" i="76"/>
  <c r="C5" i="76" s="1"/>
  <c r="B425" i="76"/>
  <c r="C425" i="76" s="1"/>
  <c r="B385" i="76"/>
  <c r="C385" i="76" s="1"/>
  <c r="B205" i="76"/>
  <c r="C205" i="76" s="1"/>
  <c r="B165" i="76"/>
  <c r="C165" i="76" s="1"/>
  <c r="B145" i="76"/>
  <c r="C145" i="76" s="1"/>
  <c r="B125" i="76"/>
  <c r="C125" i="76" s="1"/>
  <c r="B45" i="76"/>
  <c r="C45" i="76" s="1"/>
  <c r="B265" i="76"/>
  <c r="C265" i="76" s="1"/>
  <c r="B185" i="76"/>
  <c r="C185" i="76" s="1"/>
  <c r="B105" i="76"/>
  <c r="C105" i="76" s="1"/>
  <c r="B25" i="76"/>
  <c r="C25" i="76" s="1"/>
  <c r="B225" i="76"/>
  <c r="C225" i="76" s="1"/>
  <c r="B85" i="76"/>
  <c r="C85" i="76" s="1"/>
  <c r="B419" i="76"/>
  <c r="C419" i="76" s="1"/>
  <c r="B379" i="76"/>
  <c r="C379" i="76" s="1"/>
  <c r="B159" i="76"/>
  <c r="C159" i="76" s="1"/>
  <c r="B139" i="76"/>
  <c r="C139" i="76" s="1"/>
  <c r="B119" i="76"/>
  <c r="C119" i="76" s="1"/>
  <c r="B19" i="76"/>
  <c r="C19" i="76" s="1"/>
  <c r="B439" i="76"/>
  <c r="C439" i="76" s="1"/>
  <c r="B339" i="76"/>
  <c r="C339" i="76" s="1"/>
  <c r="B299" i="76"/>
  <c r="C299" i="76" s="1"/>
  <c r="B219" i="76"/>
  <c r="C219" i="76" s="1"/>
  <c r="B319" i="76"/>
  <c r="C319" i="76" s="1"/>
  <c r="B279" i="76"/>
  <c r="C279" i="76" s="1"/>
  <c r="B99" i="76"/>
  <c r="C99" i="76" s="1"/>
  <c r="B199" i="76"/>
  <c r="C199" i="76" s="1"/>
  <c r="G111" i="72"/>
  <c r="M111" i="72"/>
  <c r="H74" i="72"/>
  <c r="G74" i="72" s="1"/>
  <c r="T74" i="72"/>
  <c r="S74" i="72" s="1"/>
  <c r="U12" i="72"/>
  <c r="U26" i="72"/>
  <c r="B80" i="72"/>
  <c r="B85" i="72" s="1"/>
  <c r="N80" i="72"/>
  <c r="M80" i="72" s="1"/>
  <c r="BG4" i="74"/>
  <c r="L74" i="74"/>
  <c r="K74" i="74" s="1"/>
  <c r="U8" i="74"/>
  <c r="Z9" i="74"/>
  <c r="U10" i="74"/>
  <c r="X11" i="74"/>
  <c r="S11" i="74"/>
  <c r="AC11" i="74"/>
  <c r="V12" i="74"/>
  <c r="AB12" i="74"/>
  <c r="W13" i="74"/>
  <c r="U14" i="74"/>
  <c r="X15" i="74"/>
  <c r="S15" i="74"/>
  <c r="AC17" i="74"/>
  <c r="V18" i="74"/>
  <c r="AB18" i="74"/>
  <c r="AA18" i="74"/>
  <c r="Y19" i="74"/>
  <c r="T20" i="74"/>
  <c r="Z20" i="74"/>
  <c r="W20" i="74"/>
  <c r="U21" i="74"/>
  <c r="U22" i="74"/>
  <c r="U23" i="74"/>
  <c r="U24" i="74"/>
  <c r="W25" i="74"/>
  <c r="T26" i="74"/>
  <c r="Z26" i="74"/>
  <c r="S31" i="74"/>
  <c r="Y31" i="74"/>
  <c r="T32" i="74"/>
  <c r="Z32" i="74"/>
  <c r="U33" i="74"/>
  <c r="AA33" i="74"/>
  <c r="V34" i="74"/>
  <c r="AB34" i="74"/>
  <c r="F83" i="74"/>
  <c r="E83" i="74" s="1"/>
  <c r="R83" i="74"/>
  <c r="Q83" i="74" s="1"/>
  <c r="B39" i="76"/>
  <c r="C39" i="76" s="1"/>
  <c r="B59" i="76"/>
  <c r="C59" i="76" s="1"/>
  <c r="B135" i="76"/>
  <c r="C135" i="76" s="1"/>
  <c r="B259" i="76"/>
  <c r="C259" i="76" s="1"/>
  <c r="B405" i="76"/>
  <c r="C405" i="76" s="1"/>
  <c r="G34" i="85"/>
  <c r="G71" i="85"/>
  <c r="B69" i="76"/>
  <c r="C69" i="76" s="1"/>
  <c r="B409" i="76"/>
  <c r="C409" i="76" s="1"/>
  <c r="B369" i="76"/>
  <c r="C369" i="76" s="1"/>
  <c r="B389" i="76"/>
  <c r="C389" i="76" s="1"/>
  <c r="B349" i="76"/>
  <c r="C349" i="76" s="1"/>
  <c r="B249" i="76"/>
  <c r="C249" i="76" s="1"/>
  <c r="B209" i="76"/>
  <c r="C209" i="76" s="1"/>
  <c r="B29" i="76"/>
  <c r="C29" i="76" s="1"/>
  <c r="B309" i="76"/>
  <c r="C309" i="76" s="1"/>
  <c r="B269" i="76"/>
  <c r="C269" i="76" s="1"/>
  <c r="B109" i="76"/>
  <c r="C109" i="76" s="1"/>
  <c r="B9" i="76"/>
  <c r="C9" i="76" s="1"/>
  <c r="B337" i="76"/>
  <c r="C337" i="76" s="1"/>
  <c r="B297" i="76"/>
  <c r="C297" i="76" s="1"/>
  <c r="B217" i="76"/>
  <c r="C217" i="76" s="1"/>
  <c r="B117" i="76"/>
  <c r="C117" i="76" s="1"/>
  <c r="B57" i="76"/>
  <c r="C57" i="76" s="1"/>
  <c r="B437" i="76"/>
  <c r="C437" i="76" s="1"/>
  <c r="B257" i="76"/>
  <c r="C257" i="76" s="1"/>
  <c r="B177" i="76"/>
  <c r="C177" i="76" s="1"/>
  <c r="B317" i="76"/>
  <c r="C317" i="76" s="1"/>
  <c r="B277" i="76"/>
  <c r="C277" i="76" s="1"/>
  <c r="B97" i="76"/>
  <c r="C97" i="76" s="1"/>
  <c r="B37" i="76"/>
  <c r="C37" i="76" s="1"/>
  <c r="B237" i="76"/>
  <c r="C237" i="76" s="1"/>
  <c r="B197" i="76"/>
  <c r="C197" i="76" s="1"/>
  <c r="H93" i="74"/>
  <c r="N93" i="74"/>
  <c r="N98" i="74" s="1"/>
  <c r="B203" i="76"/>
  <c r="C203" i="76" s="1"/>
  <c r="B63" i="76"/>
  <c r="C63" i="76" s="1"/>
  <c r="B423" i="76"/>
  <c r="C423" i="76" s="1"/>
  <c r="B383" i="76"/>
  <c r="C383" i="76" s="1"/>
  <c r="B243" i="76"/>
  <c r="C243" i="76" s="1"/>
  <c r="B163" i="76"/>
  <c r="C163" i="76" s="1"/>
  <c r="B143" i="76"/>
  <c r="C143" i="76" s="1"/>
  <c r="B123" i="76"/>
  <c r="C123" i="76" s="1"/>
  <c r="B443" i="76"/>
  <c r="C443" i="76" s="1"/>
  <c r="B263" i="76"/>
  <c r="C263" i="76" s="1"/>
  <c r="B223" i="76"/>
  <c r="C223" i="76" s="1"/>
  <c r="B183" i="76"/>
  <c r="C183" i="76" s="1"/>
  <c r="B103" i="76"/>
  <c r="C103" i="76" s="1"/>
  <c r="B83" i="76"/>
  <c r="C83" i="76" s="1"/>
  <c r="B403" i="76"/>
  <c r="C403" i="76" s="1"/>
  <c r="B363" i="76"/>
  <c r="C363" i="76" s="1"/>
  <c r="B23" i="76"/>
  <c r="C23" i="76" s="1"/>
  <c r="H95" i="72"/>
  <c r="BG4" i="72"/>
  <c r="I113" i="72"/>
  <c r="L72" i="72"/>
  <c r="K72" i="72" s="1"/>
  <c r="F83" i="72"/>
  <c r="E83" i="72" s="1"/>
  <c r="R83" i="72"/>
  <c r="Q83" i="72" s="1"/>
  <c r="G110" i="72"/>
  <c r="M110" i="72"/>
  <c r="M115" i="72" s="1"/>
  <c r="I112" i="72"/>
  <c r="D113" i="72"/>
  <c r="J113" i="72"/>
  <c r="D73" i="74"/>
  <c r="C73" i="74" s="1"/>
  <c r="P73" i="74"/>
  <c r="O73" i="74" s="1"/>
  <c r="V8" i="74"/>
  <c r="AB8" i="74"/>
  <c r="Y8" i="74"/>
  <c r="T9" i="74"/>
  <c r="AC9" i="74"/>
  <c r="V10" i="74"/>
  <c r="AB10" i="74"/>
  <c r="Y10" i="74"/>
  <c r="Z11" i="74"/>
  <c r="U11" i="74"/>
  <c r="X12" i="74"/>
  <c r="AA13" i="74"/>
  <c r="Y14" i="74"/>
  <c r="T15" i="74"/>
  <c r="Z15" i="74"/>
  <c r="W15" i="74"/>
  <c r="U16" i="74"/>
  <c r="U17" i="74"/>
  <c r="X18" i="74"/>
  <c r="S18" i="74"/>
  <c r="AC19" i="74"/>
  <c r="V20" i="74"/>
  <c r="AB20" i="74"/>
  <c r="AA20" i="74"/>
  <c r="AA21" i="74"/>
  <c r="Y21" i="74"/>
  <c r="AA22" i="74"/>
  <c r="Y22" i="74"/>
  <c r="AA23" i="74"/>
  <c r="Y23" i="74"/>
  <c r="AA24" i="74"/>
  <c r="Y24" i="74"/>
  <c r="U25" i="74"/>
  <c r="AA25" i="74"/>
  <c r="V26" i="74"/>
  <c r="AB26" i="74"/>
  <c r="J82" i="74"/>
  <c r="I82" i="74" s="1"/>
  <c r="V82" i="74"/>
  <c r="B179" i="76"/>
  <c r="C179" i="76" s="1"/>
  <c r="B323" i="76"/>
  <c r="C323" i="76" s="1"/>
  <c r="B345" i="76"/>
  <c r="C345" i="76" s="1"/>
  <c r="B407" i="76"/>
  <c r="C407" i="76" s="1"/>
  <c r="B367" i="76"/>
  <c r="C367" i="76" s="1"/>
  <c r="B67" i="76"/>
  <c r="C67" i="76" s="1"/>
  <c r="B7" i="76"/>
  <c r="C7" i="76" s="1"/>
  <c r="B327" i="76"/>
  <c r="C327" i="76" s="1"/>
  <c r="B287" i="76"/>
  <c r="C287" i="76" s="1"/>
  <c r="B167" i="76"/>
  <c r="C167" i="76" s="1"/>
  <c r="B147" i="76"/>
  <c r="C147" i="76" s="1"/>
  <c r="B127" i="76"/>
  <c r="C127" i="76" s="1"/>
  <c r="B47" i="76"/>
  <c r="C47" i="76" s="1"/>
  <c r="B347" i="76"/>
  <c r="C347" i="76" s="1"/>
  <c r="B307" i="76"/>
  <c r="C307" i="76" s="1"/>
  <c r="B27" i="76"/>
  <c r="C27" i="76" s="1"/>
  <c r="B267" i="76"/>
  <c r="C267" i="76" s="1"/>
  <c r="B227" i="76"/>
  <c r="C227" i="76" s="1"/>
  <c r="B187" i="76"/>
  <c r="C187" i="76" s="1"/>
  <c r="B107" i="76"/>
  <c r="C107" i="76" s="1"/>
  <c r="B421" i="76"/>
  <c r="C421" i="76" s="1"/>
  <c r="B381" i="76"/>
  <c r="C381" i="76" s="1"/>
  <c r="B241" i="76"/>
  <c r="C241" i="76" s="1"/>
  <c r="B161" i="76"/>
  <c r="C161" i="76" s="1"/>
  <c r="B141" i="76"/>
  <c r="C141" i="76" s="1"/>
  <c r="B121" i="76"/>
  <c r="C121" i="76" s="1"/>
  <c r="B61" i="76"/>
  <c r="C61" i="76" s="1"/>
  <c r="B341" i="76"/>
  <c r="C341" i="76" s="1"/>
  <c r="B301" i="76"/>
  <c r="C301" i="76" s="1"/>
  <c r="B41" i="76"/>
  <c r="C41" i="76" s="1"/>
  <c r="B401" i="76"/>
  <c r="C401" i="76" s="1"/>
  <c r="B361" i="76"/>
  <c r="C361" i="76" s="1"/>
  <c r="B101" i="76"/>
  <c r="C101" i="76" s="1"/>
  <c r="B321" i="76"/>
  <c r="C321" i="76" s="1"/>
  <c r="B281" i="76"/>
  <c r="C281" i="76" s="1"/>
  <c r="B21" i="76"/>
  <c r="C21" i="76" s="1"/>
  <c r="AC18" i="74"/>
  <c r="B435" i="76"/>
  <c r="C435" i="76" s="1"/>
  <c r="B255" i="76"/>
  <c r="C255" i="76" s="1"/>
  <c r="B215" i="76"/>
  <c r="C215" i="76" s="1"/>
  <c r="B175" i="76"/>
  <c r="C175" i="76" s="1"/>
  <c r="B115" i="76"/>
  <c r="C115" i="76" s="1"/>
  <c r="B55" i="76"/>
  <c r="C55" i="76" s="1"/>
  <c r="B395" i="76"/>
  <c r="C395" i="76" s="1"/>
  <c r="B355" i="76"/>
  <c r="C355" i="76" s="1"/>
  <c r="B235" i="76"/>
  <c r="C235" i="76" s="1"/>
  <c r="B195" i="76"/>
  <c r="C195" i="76" s="1"/>
  <c r="B95" i="76"/>
  <c r="C95" i="76" s="1"/>
  <c r="B15" i="76"/>
  <c r="C15" i="76" s="1"/>
  <c r="B415" i="76"/>
  <c r="C415" i="76" s="1"/>
  <c r="B375" i="76"/>
  <c r="C375" i="76" s="1"/>
  <c r="B155" i="76"/>
  <c r="C155" i="76" s="1"/>
  <c r="B35" i="76"/>
  <c r="C35" i="76" s="1"/>
  <c r="BH3" i="72"/>
  <c r="BG3" i="72"/>
  <c r="B74" i="72"/>
  <c r="N74" i="72"/>
  <c r="M74" i="72" s="1"/>
  <c r="AA9" i="72"/>
  <c r="S10" i="72"/>
  <c r="Z11" i="72"/>
  <c r="AA12" i="72"/>
  <c r="U14" i="72"/>
  <c r="AA14" i="72"/>
  <c r="S15" i="72"/>
  <c r="Y15" i="72"/>
  <c r="Z16" i="72"/>
  <c r="U20" i="72"/>
  <c r="AA20" i="72"/>
  <c r="Z22" i="72"/>
  <c r="H80" i="72"/>
  <c r="G80" i="72" s="1"/>
  <c r="T80" i="72"/>
  <c r="S80" i="72" s="1"/>
  <c r="D112" i="72"/>
  <c r="J112" i="72"/>
  <c r="E113" i="72"/>
  <c r="K113" i="72"/>
  <c r="F74" i="74"/>
  <c r="E74" i="74" s="1"/>
  <c r="R74" i="74"/>
  <c r="Q74" i="74" s="1"/>
  <c r="X13" i="74"/>
  <c r="S13" i="74"/>
  <c r="V14" i="74"/>
  <c r="AB14" i="74"/>
  <c r="T16" i="74"/>
  <c r="Z16" i="74"/>
  <c r="T17" i="74"/>
  <c r="Z17" i="74"/>
  <c r="X19" i="74"/>
  <c r="V21" i="74"/>
  <c r="AB21" i="74"/>
  <c r="V22" i="74"/>
  <c r="AB22" i="74"/>
  <c r="V23" i="74"/>
  <c r="AB23" i="74"/>
  <c r="V24" i="74"/>
  <c r="AB24" i="74"/>
  <c r="V25" i="74"/>
  <c r="AB25" i="74"/>
  <c r="W26" i="74"/>
  <c r="AC26" i="74"/>
  <c r="W32" i="74"/>
  <c r="AC32" i="74"/>
  <c r="X33" i="74"/>
  <c r="S34" i="74"/>
  <c r="Y34" i="74"/>
  <c r="L83" i="74"/>
  <c r="K83" i="74" s="1"/>
  <c r="B239" i="76"/>
  <c r="C239" i="76" s="1"/>
  <c r="B343" i="76"/>
  <c r="C343" i="76" s="1"/>
  <c r="B359" i="76"/>
  <c r="C359" i="76" s="1"/>
  <c r="F58" i="84"/>
  <c r="L58" i="84"/>
  <c r="D34" i="85"/>
  <c r="D71" i="85"/>
  <c r="J34" i="85"/>
  <c r="J71" i="85"/>
  <c r="B10" i="76"/>
  <c r="C10" i="76" s="1"/>
  <c r="B70" i="76"/>
  <c r="C70" i="76" s="1"/>
  <c r="B393" i="76"/>
  <c r="C393" i="76" s="1"/>
  <c r="B353" i="76"/>
  <c r="C353" i="76" s="1"/>
  <c r="B113" i="76"/>
  <c r="C113" i="76" s="1"/>
  <c r="B313" i="76"/>
  <c r="C313" i="76" s="1"/>
  <c r="B273" i="76"/>
  <c r="C273" i="76" s="1"/>
  <c r="B73" i="76"/>
  <c r="C73" i="76" s="1"/>
  <c r="B413" i="76"/>
  <c r="C413" i="76" s="1"/>
  <c r="B373" i="76"/>
  <c r="C373" i="76" s="1"/>
  <c r="B153" i="76"/>
  <c r="C153" i="76" s="1"/>
  <c r="B33" i="76"/>
  <c r="C33" i="76" s="1"/>
  <c r="B333" i="76"/>
  <c r="C333" i="76" s="1"/>
  <c r="B293" i="76"/>
  <c r="C293" i="76" s="1"/>
  <c r="B133" i="76"/>
  <c r="C133" i="76" s="1"/>
  <c r="N43" i="79"/>
  <c r="N69" i="79"/>
  <c r="N81" i="79"/>
  <c r="N82" i="79"/>
  <c r="N111" i="79"/>
  <c r="N112" i="79"/>
  <c r="N113" i="79"/>
  <c r="N120" i="79"/>
  <c r="P95" i="80"/>
  <c r="O23" i="82"/>
  <c r="B34" i="85"/>
  <c r="B71" i="85"/>
  <c r="H34" i="85"/>
  <c r="H71" i="85"/>
  <c r="N47" i="79"/>
  <c r="N67" i="79"/>
  <c r="N72" i="79"/>
  <c r="N97" i="79"/>
  <c r="N118" i="79"/>
  <c r="N119" i="79"/>
  <c r="N124" i="79"/>
  <c r="N127" i="79"/>
  <c r="N128" i="79"/>
  <c r="N130" i="79"/>
  <c r="N135" i="79"/>
  <c r="N136" i="79"/>
  <c r="N138" i="79"/>
  <c r="N139" i="79"/>
  <c r="C56" i="84"/>
  <c r="I56" i="84"/>
  <c r="E58" i="84"/>
  <c r="K58" i="84"/>
  <c r="F59" i="84"/>
  <c r="L59" i="84"/>
  <c r="D67" i="84"/>
  <c r="J67" i="84"/>
  <c r="E68" i="84"/>
  <c r="K68" i="84"/>
  <c r="F69" i="84"/>
  <c r="L69" i="84"/>
  <c r="B71" i="84"/>
  <c r="H71" i="84"/>
  <c r="C34" i="85"/>
  <c r="C71" i="85"/>
  <c r="I34" i="85"/>
  <c r="I71" i="85"/>
  <c r="N55" i="79"/>
  <c r="N60" i="79"/>
  <c r="N90" i="79"/>
  <c r="M13" i="82"/>
  <c r="M29" i="82"/>
  <c r="E46" i="84"/>
  <c r="K46" i="84"/>
  <c r="F47" i="84"/>
  <c r="L67" i="84"/>
  <c r="G68" i="84"/>
  <c r="B69" i="84"/>
  <c r="H69" i="84"/>
  <c r="E34" i="85"/>
  <c r="E71" i="85"/>
  <c r="K34" i="85"/>
  <c r="K71" i="85"/>
  <c r="M37" i="85"/>
  <c r="E41" i="85"/>
  <c r="K41" i="85"/>
  <c r="M22" i="85"/>
  <c r="C24" i="85"/>
  <c r="I24" i="85"/>
  <c r="J95" i="74"/>
  <c r="E96" i="74"/>
  <c r="K96" i="74"/>
  <c r="N50" i="79"/>
  <c r="Z63" i="79"/>
  <c r="N63" i="79"/>
  <c r="N76" i="79"/>
  <c r="N77" i="79"/>
  <c r="N78" i="79"/>
  <c r="N79" i="79"/>
  <c r="N94" i="79"/>
  <c r="N100" i="79"/>
  <c r="N101" i="79"/>
  <c r="N102" i="79"/>
  <c r="E45" i="84"/>
  <c r="K45" i="84"/>
  <c r="F46" i="84"/>
  <c r="G47" i="84"/>
  <c r="H48" i="84"/>
  <c r="F56" i="84"/>
  <c r="L56" i="84"/>
  <c r="G57" i="84"/>
  <c r="B68" i="84"/>
  <c r="H68" i="84"/>
  <c r="F34" i="85"/>
  <c r="F71" i="85"/>
  <c r="L34" i="85"/>
  <c r="L71" i="85"/>
  <c r="M36" i="85"/>
  <c r="C56" i="85"/>
  <c r="M38" i="85"/>
  <c r="C70" i="84"/>
  <c r="I70" i="84"/>
  <c r="D71" i="84"/>
  <c r="J71" i="84"/>
  <c r="G67" i="84"/>
  <c r="C69" i="84"/>
  <c r="I69" i="84"/>
  <c r="D70" i="84"/>
  <c r="J70" i="84"/>
  <c r="E71" i="84"/>
  <c r="K71" i="84"/>
  <c r="M67" i="84"/>
  <c r="C68" i="84"/>
  <c r="I68" i="84"/>
  <c r="D69" i="84"/>
  <c r="J69" i="84"/>
  <c r="E70" i="84"/>
  <c r="K70" i="84"/>
  <c r="F71" i="84"/>
  <c r="L71" i="84"/>
  <c r="C67" i="84"/>
  <c r="I67" i="84"/>
  <c r="D68" i="84"/>
  <c r="J68" i="84"/>
  <c r="E69" i="84"/>
  <c r="K69" i="84"/>
  <c r="F70" i="84"/>
  <c r="L70" i="84"/>
  <c r="G71" i="84"/>
  <c r="G70" i="84"/>
  <c r="E67" i="84"/>
  <c r="K67" i="84"/>
  <c r="F68" i="84"/>
  <c r="L68" i="84"/>
  <c r="M68" i="84" s="1"/>
  <c r="G69" i="84"/>
  <c r="B70" i="84"/>
  <c r="H70" i="84"/>
  <c r="C71" i="84"/>
  <c r="I71" i="84"/>
  <c r="C41" i="85"/>
  <c r="I41" i="85"/>
  <c r="D41" i="85"/>
  <c r="J41" i="85"/>
  <c r="F42" i="85"/>
  <c r="M35" i="85"/>
  <c r="N35" i="85"/>
  <c r="L42" i="85"/>
  <c r="D24" i="85"/>
  <c r="J24" i="85"/>
  <c r="G42" i="85"/>
  <c r="B42" i="85"/>
  <c r="B41" i="85"/>
  <c r="H42" i="85"/>
  <c r="F24" i="85"/>
  <c r="L24" i="85"/>
  <c r="M24" i="85"/>
  <c r="C42" i="85"/>
  <c r="I42" i="85"/>
  <c r="L25" i="85"/>
  <c r="G24" i="85"/>
  <c r="M25" i="85"/>
  <c r="F41" i="85"/>
  <c r="L41" i="85"/>
  <c r="D42" i="85"/>
  <c r="J42" i="85"/>
  <c r="M23" i="85"/>
  <c r="M21" i="85"/>
  <c r="B24" i="85"/>
  <c r="H24" i="85"/>
  <c r="G41" i="85"/>
  <c r="E42" i="85"/>
  <c r="K42" i="85"/>
  <c r="M39" i="85"/>
  <c r="M28" i="82"/>
  <c r="G61" i="84"/>
  <c r="G60" i="84"/>
  <c r="B60" i="84"/>
  <c r="B61" i="84"/>
  <c r="E56" i="84"/>
  <c r="K56" i="84"/>
  <c r="F57" i="84"/>
  <c r="L57" i="84"/>
  <c r="G58" i="84"/>
  <c r="B59" i="84"/>
  <c r="H59" i="84"/>
  <c r="C61" i="84"/>
  <c r="C60" i="84"/>
  <c r="I61" i="84"/>
  <c r="I60" i="84"/>
  <c r="H61" i="84"/>
  <c r="H60" i="84"/>
  <c r="M56" i="84"/>
  <c r="B58" i="84"/>
  <c r="H58" i="84"/>
  <c r="C59" i="84"/>
  <c r="I59" i="84"/>
  <c r="D60" i="84"/>
  <c r="D61" i="84"/>
  <c r="J60" i="84"/>
  <c r="J61" i="84"/>
  <c r="M58" i="84"/>
  <c r="G56" i="84"/>
  <c r="B57" i="84"/>
  <c r="M57" i="84" s="1"/>
  <c r="H57" i="84"/>
  <c r="C58" i="84"/>
  <c r="I58" i="84"/>
  <c r="D59" i="84"/>
  <c r="J59" i="84"/>
  <c r="E60" i="84"/>
  <c r="E61" i="84"/>
  <c r="K60" i="84"/>
  <c r="K61" i="84"/>
  <c r="M59" i="84"/>
  <c r="B56" i="84"/>
  <c r="H56" i="84"/>
  <c r="C57" i="84"/>
  <c r="I57" i="84"/>
  <c r="D58" i="84"/>
  <c r="J58" i="84"/>
  <c r="E59" i="84"/>
  <c r="K59" i="84"/>
  <c r="F60" i="84"/>
  <c r="F61" i="84"/>
  <c r="L60" i="84"/>
  <c r="L61" i="84"/>
  <c r="M61" i="84" s="1"/>
  <c r="BA38" i="79"/>
  <c r="E73" i="75"/>
  <c r="E79" i="75"/>
  <c r="AC50" i="75"/>
  <c r="AC58" i="75" s="1"/>
  <c r="E72" i="75"/>
  <c r="D76" i="75"/>
  <c r="D70" i="75"/>
  <c r="E80" i="75"/>
  <c r="M9" i="82"/>
  <c r="O7" i="82"/>
  <c r="T40" i="82" s="1"/>
  <c r="R40" i="82"/>
  <c r="M8" i="82"/>
  <c r="M14" i="82"/>
  <c r="N8" i="82"/>
  <c r="N7" i="82"/>
  <c r="T38" i="82" s="1"/>
  <c r="R38" i="82"/>
  <c r="M7" i="82"/>
  <c r="M6" i="82"/>
  <c r="M12" i="82"/>
  <c r="M11" i="82"/>
  <c r="M10" i="82"/>
  <c r="D45" i="84"/>
  <c r="J45" i="84"/>
  <c r="M8" i="84"/>
  <c r="L47" i="84"/>
  <c r="G48" i="84"/>
  <c r="B49" i="84"/>
  <c r="B51" i="84" s="1"/>
  <c r="N10" i="84"/>
  <c r="H49" i="84"/>
  <c r="L46" i="84"/>
  <c r="M46" i="84" s="1"/>
  <c r="M7" i="84"/>
  <c r="B48" i="84"/>
  <c r="N9" i="84"/>
  <c r="C49" i="84"/>
  <c r="I49" i="84"/>
  <c r="L45" i="84"/>
  <c r="M6" i="84"/>
  <c r="B47" i="84"/>
  <c r="N8" i="84"/>
  <c r="H47" i="84"/>
  <c r="C48" i="84"/>
  <c r="I48" i="84"/>
  <c r="D49" i="84"/>
  <c r="J49" i="84"/>
  <c r="G45" i="84"/>
  <c r="B46" i="84"/>
  <c r="N7" i="84"/>
  <c r="H46" i="84"/>
  <c r="C47" i="84"/>
  <c r="I47" i="84"/>
  <c r="D48" i="84"/>
  <c r="J48" i="84"/>
  <c r="E49" i="84"/>
  <c r="K49" i="84"/>
  <c r="K51" i="84" s="1"/>
  <c r="O5" i="84"/>
  <c r="M5" i="84"/>
  <c r="N6" i="84"/>
  <c r="B45" i="84"/>
  <c r="H45" i="84"/>
  <c r="C46" i="84"/>
  <c r="I46" i="84"/>
  <c r="D47" i="84"/>
  <c r="J47" i="84"/>
  <c r="E48" i="84"/>
  <c r="K48" i="84"/>
  <c r="F49" i="84"/>
  <c r="F51" i="84" s="1"/>
  <c r="M10" i="84"/>
  <c r="L49" i="84"/>
  <c r="C45" i="84"/>
  <c r="I45" i="84"/>
  <c r="D46" i="84"/>
  <c r="J46" i="84"/>
  <c r="E47" i="84"/>
  <c r="K47" i="84"/>
  <c r="F48" i="84"/>
  <c r="L48" i="84"/>
  <c r="M9" i="84"/>
  <c r="G49" i="84"/>
  <c r="Y81" i="74"/>
  <c r="A81" i="74"/>
  <c r="X82" i="74"/>
  <c r="U82" i="74"/>
  <c r="H106" i="74"/>
  <c r="H111" i="74" s="1"/>
  <c r="N106" i="74"/>
  <c r="N111" i="74" s="1"/>
  <c r="I107" i="74"/>
  <c r="D108" i="74"/>
  <c r="J108" i="74"/>
  <c r="E109" i="74"/>
  <c r="K109" i="74"/>
  <c r="F79" i="74"/>
  <c r="L79" i="74"/>
  <c r="R79" i="74"/>
  <c r="B80" i="74"/>
  <c r="H80" i="74"/>
  <c r="G80" i="74" s="1"/>
  <c r="N80" i="74"/>
  <c r="M80" i="74" s="1"/>
  <c r="T80" i="74"/>
  <c r="S80" i="74" s="1"/>
  <c r="D81" i="74"/>
  <c r="C81" i="74" s="1"/>
  <c r="J81" i="74"/>
  <c r="I81" i="74" s="1"/>
  <c r="P81" i="74"/>
  <c r="O81" i="74" s="1"/>
  <c r="V81" i="74"/>
  <c r="F82" i="74"/>
  <c r="E82" i="74" s="1"/>
  <c r="L82" i="74"/>
  <c r="K82" i="74" s="1"/>
  <c r="R82" i="74"/>
  <c r="Q82" i="74" s="1"/>
  <c r="B83" i="74"/>
  <c r="H83" i="74"/>
  <c r="G83" i="74" s="1"/>
  <c r="N83" i="74"/>
  <c r="M83" i="74" s="1"/>
  <c r="T83" i="74"/>
  <c r="S83" i="74" s="1"/>
  <c r="I106" i="74"/>
  <c r="I111" i="74" s="1"/>
  <c r="D107" i="74"/>
  <c r="J107" i="74"/>
  <c r="E108" i="74"/>
  <c r="K108" i="74"/>
  <c r="F109" i="74"/>
  <c r="L109" i="74"/>
  <c r="BF5" i="74"/>
  <c r="D106" i="74"/>
  <c r="J106" i="74"/>
  <c r="E107" i="74"/>
  <c r="E111" i="74" s="1"/>
  <c r="K107" i="74"/>
  <c r="K111" i="74" s="1"/>
  <c r="F108" i="74"/>
  <c r="L108" i="74"/>
  <c r="G109" i="74"/>
  <c r="M109" i="74"/>
  <c r="BG5" i="74"/>
  <c r="B79" i="74"/>
  <c r="H79" i="74"/>
  <c r="N79" i="74"/>
  <c r="T79" i="74"/>
  <c r="D80" i="74"/>
  <c r="C80" i="74" s="1"/>
  <c r="J80" i="74"/>
  <c r="I80" i="74" s="1"/>
  <c r="P80" i="74"/>
  <c r="O80" i="74" s="1"/>
  <c r="V80" i="74"/>
  <c r="F81" i="74"/>
  <c r="E81" i="74" s="1"/>
  <c r="L81" i="74"/>
  <c r="K81" i="74" s="1"/>
  <c r="R81" i="74"/>
  <c r="Q81" i="74" s="1"/>
  <c r="B82" i="74"/>
  <c r="H82" i="74"/>
  <c r="G82" i="74" s="1"/>
  <c r="N82" i="74"/>
  <c r="M82" i="74" s="1"/>
  <c r="T82" i="74"/>
  <c r="S82" i="74" s="1"/>
  <c r="D83" i="74"/>
  <c r="C83" i="74" s="1"/>
  <c r="J83" i="74"/>
  <c r="I83" i="74" s="1"/>
  <c r="P83" i="74"/>
  <c r="O83" i="74" s="1"/>
  <c r="V83" i="74"/>
  <c r="F107" i="74"/>
  <c r="F111" i="74" s="1"/>
  <c r="L107" i="74"/>
  <c r="L111" i="74" s="1"/>
  <c r="G108" i="74"/>
  <c r="M108" i="74"/>
  <c r="H109" i="74"/>
  <c r="N109" i="74"/>
  <c r="BH5" i="74"/>
  <c r="G107" i="74"/>
  <c r="G111" i="74" s="1"/>
  <c r="M107" i="74"/>
  <c r="M111" i="74" s="1"/>
  <c r="H108" i="74"/>
  <c r="N108" i="74"/>
  <c r="I109" i="74"/>
  <c r="D79" i="74"/>
  <c r="J79" i="74"/>
  <c r="P79" i="74"/>
  <c r="V79" i="74"/>
  <c r="F80" i="74"/>
  <c r="E80" i="74" s="1"/>
  <c r="L80" i="74"/>
  <c r="K80" i="74" s="1"/>
  <c r="R80" i="74"/>
  <c r="Q80" i="74" s="1"/>
  <c r="X73" i="74"/>
  <c r="U73" i="74"/>
  <c r="Y72" i="74"/>
  <c r="S52" i="74" s="1"/>
  <c r="A72" i="74"/>
  <c r="H98" i="74"/>
  <c r="F100" i="74"/>
  <c r="F87" i="74"/>
  <c r="F69" i="74"/>
  <c r="F78" i="74" s="1"/>
  <c r="U6" i="74"/>
  <c r="U30" i="74" s="1"/>
  <c r="L87" i="74"/>
  <c r="L100" i="74"/>
  <c r="R69" i="74"/>
  <c r="R78" i="74" s="1"/>
  <c r="AA6" i="74"/>
  <c r="AA30" i="74" s="1"/>
  <c r="T7" i="74"/>
  <c r="Z7" i="74"/>
  <c r="F70" i="74"/>
  <c r="L70" i="74"/>
  <c r="R70" i="74"/>
  <c r="B71" i="74"/>
  <c r="H71" i="74"/>
  <c r="G71" i="74" s="1"/>
  <c r="N71" i="74"/>
  <c r="M71" i="74" s="1"/>
  <c r="T71" i="74"/>
  <c r="S71" i="74" s="1"/>
  <c r="D72" i="74"/>
  <c r="C72" i="74" s="1"/>
  <c r="J72" i="74"/>
  <c r="I72" i="74" s="1"/>
  <c r="P72" i="74"/>
  <c r="O72" i="74" s="1"/>
  <c r="V72" i="74"/>
  <c r="F73" i="74"/>
  <c r="E73" i="74" s="1"/>
  <c r="L73" i="74"/>
  <c r="K73" i="74" s="1"/>
  <c r="R73" i="74"/>
  <c r="Q73" i="74" s="1"/>
  <c r="B74" i="74"/>
  <c r="H74" i="74"/>
  <c r="G74" i="74" s="1"/>
  <c r="N74" i="74"/>
  <c r="M74" i="74" s="1"/>
  <c r="T74" i="74"/>
  <c r="S74" i="74" s="1"/>
  <c r="I93" i="74"/>
  <c r="D94" i="74"/>
  <c r="J94" i="74"/>
  <c r="E95" i="74"/>
  <c r="K95" i="74"/>
  <c r="F96" i="74"/>
  <c r="L96" i="74"/>
  <c r="BH4" i="74"/>
  <c r="G87" i="74"/>
  <c r="G100" i="74"/>
  <c r="H69" i="74"/>
  <c r="H78" i="74" s="1"/>
  <c r="V6" i="74"/>
  <c r="V30" i="74" s="1"/>
  <c r="M87" i="74"/>
  <c r="M100" i="74"/>
  <c r="T69" i="74"/>
  <c r="T78" i="74" s="1"/>
  <c r="AB6" i="74"/>
  <c r="AB30" i="74" s="1"/>
  <c r="U7" i="74"/>
  <c r="AA7" i="74"/>
  <c r="D93" i="74"/>
  <c r="J93" i="74"/>
  <c r="E94" i="74"/>
  <c r="E98" i="74" s="1"/>
  <c r="K94" i="74"/>
  <c r="K98" i="74" s="1"/>
  <c r="F95" i="74"/>
  <c r="L95" i="74"/>
  <c r="G96" i="74"/>
  <c r="M96" i="74"/>
  <c r="E87" i="74"/>
  <c r="E100" i="74"/>
  <c r="D69" i="74"/>
  <c r="D78" i="74" s="1"/>
  <c r="T6" i="74"/>
  <c r="T30" i="74" s="1"/>
  <c r="H87" i="74"/>
  <c r="H100" i="74"/>
  <c r="J69" i="74"/>
  <c r="J78" i="74" s="1"/>
  <c r="W6" i="74"/>
  <c r="W30" i="74" s="1"/>
  <c r="N87" i="74"/>
  <c r="N100" i="74"/>
  <c r="V69" i="74"/>
  <c r="AC6" i="74"/>
  <c r="AC30" i="74" s="1"/>
  <c r="V7" i="74"/>
  <c r="AB7" i="74"/>
  <c r="B70" i="74"/>
  <c r="H70" i="74"/>
  <c r="N70" i="74"/>
  <c r="T70" i="74"/>
  <c r="D71" i="74"/>
  <c r="C71" i="74" s="1"/>
  <c r="J71" i="74"/>
  <c r="I71" i="74" s="1"/>
  <c r="P71" i="74"/>
  <c r="O71" i="74" s="1"/>
  <c r="V71" i="74"/>
  <c r="F72" i="74"/>
  <c r="E72" i="74" s="1"/>
  <c r="L72" i="74"/>
  <c r="K72" i="74" s="1"/>
  <c r="R72" i="74"/>
  <c r="Q72" i="74" s="1"/>
  <c r="B73" i="74"/>
  <c r="H73" i="74"/>
  <c r="G73" i="74" s="1"/>
  <c r="N73" i="74"/>
  <c r="M73" i="74" s="1"/>
  <c r="T73" i="74"/>
  <c r="S73" i="74" s="1"/>
  <c r="D74" i="74"/>
  <c r="C74" i="74" s="1"/>
  <c r="J74" i="74"/>
  <c r="I74" i="74" s="1"/>
  <c r="P74" i="74"/>
  <c r="O74" i="74" s="1"/>
  <c r="V74" i="74"/>
  <c r="F94" i="74"/>
  <c r="F98" i="74" s="1"/>
  <c r="L94" i="74"/>
  <c r="L98" i="74" s="1"/>
  <c r="G95" i="74"/>
  <c r="M95" i="74"/>
  <c r="H96" i="74"/>
  <c r="N96" i="74"/>
  <c r="I100" i="74"/>
  <c r="I87" i="74"/>
  <c r="L69" i="74"/>
  <c r="L78" i="74" s="1"/>
  <c r="X6" i="74"/>
  <c r="X30" i="74" s="1"/>
  <c r="W7" i="74"/>
  <c r="AC7" i="74"/>
  <c r="G94" i="74"/>
  <c r="G98" i="74" s="1"/>
  <c r="M94" i="74"/>
  <c r="M98" i="74" s="1"/>
  <c r="H95" i="74"/>
  <c r="N95" i="74"/>
  <c r="I96" i="74"/>
  <c r="K87" i="74"/>
  <c r="K100" i="74"/>
  <c r="P69" i="74"/>
  <c r="P78" i="74" s="1"/>
  <c r="Z6" i="74"/>
  <c r="Z30" i="74" s="1"/>
  <c r="I94" i="74"/>
  <c r="D100" i="74"/>
  <c r="D87" i="74"/>
  <c r="B69" i="74"/>
  <c r="Y91" i="74"/>
  <c r="R91" i="74"/>
  <c r="S6" i="74"/>
  <c r="S30" i="74" s="1"/>
  <c r="J87" i="74"/>
  <c r="J100" i="74"/>
  <c r="N69" i="74"/>
  <c r="N78" i="74" s="1"/>
  <c r="Y6" i="74"/>
  <c r="Y30" i="74" s="1"/>
  <c r="X7" i="74"/>
  <c r="D70" i="74"/>
  <c r="J70" i="74"/>
  <c r="P70" i="74"/>
  <c r="V70" i="74"/>
  <c r="F71" i="74"/>
  <c r="E71" i="74" s="1"/>
  <c r="L71" i="74"/>
  <c r="K71" i="74" s="1"/>
  <c r="R71" i="74"/>
  <c r="Q71" i="74" s="1"/>
  <c r="Y80" i="72"/>
  <c r="W51" i="72" s="1"/>
  <c r="G115" i="72"/>
  <c r="Y83" i="72"/>
  <c r="A83" i="72"/>
  <c r="Z83" i="72" s="1"/>
  <c r="G79" i="72"/>
  <c r="AE79" i="72"/>
  <c r="F82" i="72"/>
  <c r="E82" i="72" s="1"/>
  <c r="R82" i="72"/>
  <c r="Q82" i="72" s="1"/>
  <c r="H111" i="72"/>
  <c r="BG5" i="72"/>
  <c r="D79" i="72"/>
  <c r="J79" i="72"/>
  <c r="P79" i="72"/>
  <c r="V79" i="72"/>
  <c r="F80" i="72"/>
  <c r="E80" i="72" s="1"/>
  <c r="L80" i="72"/>
  <c r="K80" i="72" s="1"/>
  <c r="R80" i="72"/>
  <c r="Q80" i="72" s="1"/>
  <c r="B82" i="72"/>
  <c r="H82" i="72"/>
  <c r="G82" i="72" s="1"/>
  <c r="N82" i="72"/>
  <c r="M82" i="72" s="1"/>
  <c r="T82" i="72"/>
  <c r="S82" i="72" s="1"/>
  <c r="I110" i="72"/>
  <c r="D111" i="72"/>
  <c r="D115" i="72" s="1"/>
  <c r="J111" i="72"/>
  <c r="J115" i="72" s="1"/>
  <c r="E112" i="72"/>
  <c r="K112" i="72"/>
  <c r="F113" i="72"/>
  <c r="L113" i="72"/>
  <c r="B79" i="72"/>
  <c r="J80" i="72"/>
  <c r="I80" i="72" s="1"/>
  <c r="H110" i="72"/>
  <c r="B81" i="72"/>
  <c r="H81" i="72"/>
  <c r="G81" i="72" s="1"/>
  <c r="N81" i="72"/>
  <c r="M81" i="72" s="1"/>
  <c r="T81" i="72"/>
  <c r="S81" i="72" s="1"/>
  <c r="D83" i="72"/>
  <c r="C83" i="72" s="1"/>
  <c r="J83" i="72"/>
  <c r="I83" i="72" s="1"/>
  <c r="P83" i="72"/>
  <c r="O83" i="72" s="1"/>
  <c r="V83" i="72"/>
  <c r="E111" i="72"/>
  <c r="E115" i="72" s="1"/>
  <c r="K111" i="72"/>
  <c r="K115" i="72" s="1"/>
  <c r="F112" i="72"/>
  <c r="L112" i="72"/>
  <c r="G113" i="72"/>
  <c r="M113" i="72"/>
  <c r="N79" i="72"/>
  <c r="N110" i="72"/>
  <c r="BH5" i="72"/>
  <c r="F79" i="72"/>
  <c r="L79" i="72"/>
  <c r="R79" i="72"/>
  <c r="D82" i="72"/>
  <c r="C82" i="72" s="1"/>
  <c r="J82" i="72"/>
  <c r="I82" i="72" s="1"/>
  <c r="P82" i="72"/>
  <c r="O82" i="72" s="1"/>
  <c r="V82" i="72"/>
  <c r="F111" i="72"/>
  <c r="F115" i="72" s="1"/>
  <c r="L111" i="72"/>
  <c r="L115" i="72" s="1"/>
  <c r="G112" i="72"/>
  <c r="M112" i="72"/>
  <c r="H113" i="72"/>
  <c r="N113" i="72"/>
  <c r="V80" i="72"/>
  <c r="N111" i="72"/>
  <c r="BF5" i="72"/>
  <c r="L81" i="72"/>
  <c r="K81" i="72" s="1"/>
  <c r="I111" i="72"/>
  <c r="AA7" i="72"/>
  <c r="Z9" i="72"/>
  <c r="Z15" i="72"/>
  <c r="Z8" i="72"/>
  <c r="Z14" i="72"/>
  <c r="Z13" i="72"/>
  <c r="Z17" i="72"/>
  <c r="Z19" i="72"/>
  <c r="Z21" i="72"/>
  <c r="Z23" i="72"/>
  <c r="Z25" i="72"/>
  <c r="W40" i="82"/>
  <c r="M23" i="82"/>
  <c r="Y40" i="82" s="1"/>
  <c r="W38" i="82"/>
  <c r="M22" i="82"/>
  <c r="Y38" i="82" s="1"/>
  <c r="N23" i="82"/>
  <c r="M21" i="82"/>
  <c r="M27" i="82"/>
  <c r="M26" i="82"/>
  <c r="M25" i="82"/>
  <c r="M24" i="82"/>
  <c r="N24" i="79"/>
  <c r="N26" i="79"/>
  <c r="N30" i="79"/>
  <c r="N32" i="79"/>
  <c r="N34" i="79"/>
  <c r="N38" i="79"/>
  <c r="Y74" i="72"/>
  <c r="A74" i="72"/>
  <c r="Z74" i="72" s="1"/>
  <c r="X71" i="72"/>
  <c r="S46" i="72" s="1"/>
  <c r="U71" i="72"/>
  <c r="Q46" i="72" s="1"/>
  <c r="R46" i="72" s="1"/>
  <c r="U7" i="72"/>
  <c r="W6" i="72"/>
  <c r="W30" i="72" s="1"/>
  <c r="H89" i="72"/>
  <c r="J69" i="72"/>
  <c r="J78" i="72" s="1"/>
  <c r="AC6" i="72"/>
  <c r="AC30" i="72" s="1"/>
  <c r="N89" i="72"/>
  <c r="V69" i="72"/>
  <c r="V7" i="72"/>
  <c r="AB7" i="72"/>
  <c r="V8" i="72"/>
  <c r="AB8" i="72"/>
  <c r="V9" i="72"/>
  <c r="AB9" i="72"/>
  <c r="V10" i="72"/>
  <c r="AB10" i="72"/>
  <c r="V11" i="72"/>
  <c r="AB11" i="72"/>
  <c r="V12" i="72"/>
  <c r="AB12" i="72"/>
  <c r="V13" i="72"/>
  <c r="AB13" i="72"/>
  <c r="V14" i="72"/>
  <c r="AB14" i="72"/>
  <c r="V15" i="72"/>
  <c r="AB15" i="72"/>
  <c r="V16" i="72"/>
  <c r="AB16" i="72"/>
  <c r="V17" i="72"/>
  <c r="AB17" i="72"/>
  <c r="V18" i="72"/>
  <c r="AB18" i="72"/>
  <c r="V19" i="72"/>
  <c r="AB19" i="72"/>
  <c r="V20" i="72"/>
  <c r="AB20" i="72"/>
  <c r="V21" i="72"/>
  <c r="AB21" i="72"/>
  <c r="V22" i="72"/>
  <c r="AB22" i="72"/>
  <c r="V23" i="72"/>
  <c r="AB23" i="72"/>
  <c r="V24" i="72"/>
  <c r="AB24" i="72"/>
  <c r="V25" i="72"/>
  <c r="AB25" i="72"/>
  <c r="V26" i="72"/>
  <c r="AB26" i="72"/>
  <c r="D70" i="72"/>
  <c r="J70" i="72"/>
  <c r="P70" i="72"/>
  <c r="V70" i="72"/>
  <c r="F71" i="72"/>
  <c r="E71" i="72" s="1"/>
  <c r="L71" i="72"/>
  <c r="K71" i="72" s="1"/>
  <c r="R71" i="72"/>
  <c r="Q71" i="72" s="1"/>
  <c r="B73" i="72"/>
  <c r="H73" i="72"/>
  <c r="G73" i="72" s="1"/>
  <c r="N73" i="72"/>
  <c r="M73" i="72" s="1"/>
  <c r="T73" i="72"/>
  <c r="S73" i="72" s="1"/>
  <c r="E95" i="72"/>
  <c r="E100" i="72" s="1"/>
  <c r="K95" i="72"/>
  <c r="K100" i="72" s="1"/>
  <c r="F96" i="72"/>
  <c r="L96" i="72"/>
  <c r="G97" i="72"/>
  <c r="M97" i="72"/>
  <c r="H98" i="72"/>
  <c r="N98" i="72"/>
  <c r="B352" i="76"/>
  <c r="C352" i="76" s="1"/>
  <c r="B272" i="76"/>
  <c r="C272" i="76" s="1"/>
  <c r="B192" i="76"/>
  <c r="C192" i="76" s="1"/>
  <c r="B92" i="76"/>
  <c r="C92" i="76" s="1"/>
  <c r="B432" i="76"/>
  <c r="C432" i="76" s="1"/>
  <c r="B52" i="76"/>
  <c r="C52" i="76" s="1"/>
  <c r="B412" i="76"/>
  <c r="C412" i="76" s="1"/>
  <c r="B332" i="76"/>
  <c r="C332" i="76" s="1"/>
  <c r="B252" i="76"/>
  <c r="C252" i="76" s="1"/>
  <c r="B392" i="76"/>
  <c r="C392" i="76" s="1"/>
  <c r="B312" i="76"/>
  <c r="C312" i="76" s="1"/>
  <c r="B172" i="76"/>
  <c r="C172" i="76" s="1"/>
  <c r="B112" i="76"/>
  <c r="C112" i="76" s="1"/>
  <c r="B232" i="76"/>
  <c r="C232" i="76" s="1"/>
  <c r="B372" i="76"/>
  <c r="C372" i="76" s="1"/>
  <c r="B292" i="76"/>
  <c r="C292" i="76" s="1"/>
  <c r="B212" i="76"/>
  <c r="C212" i="76" s="1"/>
  <c r="B132" i="76"/>
  <c r="C132" i="76" s="1"/>
  <c r="B404" i="76"/>
  <c r="C404" i="76" s="1"/>
  <c r="B324" i="76"/>
  <c r="C324" i="76" s="1"/>
  <c r="B84" i="76"/>
  <c r="C84" i="76" s="1"/>
  <c r="B244" i="76"/>
  <c r="C244" i="76" s="1"/>
  <c r="B224" i="76"/>
  <c r="C224" i="76" s="1"/>
  <c r="B164" i="76"/>
  <c r="C164" i="76" s="1"/>
  <c r="B144" i="76"/>
  <c r="C144" i="76" s="1"/>
  <c r="B384" i="76"/>
  <c r="C384" i="76" s="1"/>
  <c r="B304" i="76"/>
  <c r="C304" i="76" s="1"/>
  <c r="B104" i="76"/>
  <c r="C104" i="76" s="1"/>
  <c r="B444" i="76"/>
  <c r="C444" i="76" s="1"/>
  <c r="B364" i="76"/>
  <c r="C364" i="76" s="1"/>
  <c r="B284" i="76"/>
  <c r="C284" i="76" s="1"/>
  <c r="B204" i="76"/>
  <c r="C204" i="76" s="1"/>
  <c r="B64" i="76"/>
  <c r="C64" i="76" s="1"/>
  <c r="B424" i="76"/>
  <c r="C424" i="76" s="1"/>
  <c r="B344" i="76"/>
  <c r="C344" i="76" s="1"/>
  <c r="B264" i="76"/>
  <c r="C264" i="76" s="1"/>
  <c r="B184" i="76"/>
  <c r="C184" i="76" s="1"/>
  <c r="L69" i="72"/>
  <c r="L78" i="72" s="1"/>
  <c r="I89" i="72"/>
  <c r="X6" i="72"/>
  <c r="X30" i="72" s="1"/>
  <c r="W7" i="72"/>
  <c r="AC7" i="72"/>
  <c r="W8" i="72"/>
  <c r="AC8" i="72"/>
  <c r="W9" i="72"/>
  <c r="AC9" i="72"/>
  <c r="W10" i="72"/>
  <c r="AC10" i="72"/>
  <c r="W11" i="72"/>
  <c r="AC11" i="72"/>
  <c r="W12" i="72"/>
  <c r="AC12" i="72"/>
  <c r="W13" i="72"/>
  <c r="AC13" i="72"/>
  <c r="W14" i="72"/>
  <c r="AC14" i="72"/>
  <c r="W15" i="72"/>
  <c r="AC15" i="72"/>
  <c r="W16" i="72"/>
  <c r="AC16" i="72"/>
  <c r="W17" i="72"/>
  <c r="AC17" i="72"/>
  <c r="W18" i="72"/>
  <c r="AC18" i="72"/>
  <c r="W19" i="72"/>
  <c r="AC19" i="72"/>
  <c r="W20" i="72"/>
  <c r="AC20" i="72"/>
  <c r="W21" i="72"/>
  <c r="AC21" i="72"/>
  <c r="W22" i="72"/>
  <c r="AC22" i="72"/>
  <c r="W23" i="72"/>
  <c r="AC23" i="72"/>
  <c r="W24" i="72"/>
  <c r="AC24" i="72"/>
  <c r="W25" i="72"/>
  <c r="AC25" i="72"/>
  <c r="W26" i="72"/>
  <c r="AC26" i="72"/>
  <c r="B72" i="72"/>
  <c r="H72" i="72"/>
  <c r="G72" i="72" s="1"/>
  <c r="N72" i="72"/>
  <c r="M72" i="72" s="1"/>
  <c r="T72" i="72"/>
  <c r="S72" i="72" s="1"/>
  <c r="D74" i="72"/>
  <c r="C74" i="72" s="1"/>
  <c r="J74" i="72"/>
  <c r="I74" i="72" s="1"/>
  <c r="P74" i="72"/>
  <c r="O74" i="72" s="1"/>
  <c r="V74" i="72"/>
  <c r="F95" i="72"/>
  <c r="F100" i="72" s="1"/>
  <c r="L95" i="72"/>
  <c r="L100" i="72" s="1"/>
  <c r="G96" i="72"/>
  <c r="M96" i="72"/>
  <c r="H97" i="72"/>
  <c r="N97" i="72"/>
  <c r="I98" i="72"/>
  <c r="B350" i="76"/>
  <c r="C350" i="76" s="1"/>
  <c r="B270" i="76"/>
  <c r="C270" i="76" s="1"/>
  <c r="B190" i="76"/>
  <c r="C190" i="76" s="1"/>
  <c r="B90" i="76"/>
  <c r="C90" i="76" s="1"/>
  <c r="B430" i="76"/>
  <c r="C430" i="76" s="1"/>
  <c r="B50" i="76"/>
  <c r="C50" i="76" s="1"/>
  <c r="B410" i="76"/>
  <c r="C410" i="76" s="1"/>
  <c r="B330" i="76"/>
  <c r="C330" i="76" s="1"/>
  <c r="B250" i="76"/>
  <c r="C250" i="76" s="1"/>
  <c r="B390" i="76"/>
  <c r="C390" i="76" s="1"/>
  <c r="B310" i="76"/>
  <c r="C310" i="76" s="1"/>
  <c r="B170" i="76"/>
  <c r="C170" i="76" s="1"/>
  <c r="B110" i="76"/>
  <c r="C110" i="76" s="1"/>
  <c r="B230" i="76"/>
  <c r="C230" i="76" s="1"/>
  <c r="B370" i="76"/>
  <c r="C370" i="76" s="1"/>
  <c r="B290" i="76"/>
  <c r="C290" i="76" s="1"/>
  <c r="B210" i="76"/>
  <c r="C210" i="76" s="1"/>
  <c r="B130" i="76"/>
  <c r="C130" i="76" s="1"/>
  <c r="B122" i="76"/>
  <c r="C122" i="76" s="1"/>
  <c r="B422" i="76"/>
  <c r="C422" i="76" s="1"/>
  <c r="B342" i="76"/>
  <c r="C342" i="76" s="1"/>
  <c r="B262" i="76"/>
  <c r="C262" i="76" s="1"/>
  <c r="B182" i="76"/>
  <c r="C182" i="76" s="1"/>
  <c r="B42" i="76"/>
  <c r="C42" i="76" s="1"/>
  <c r="B402" i="76"/>
  <c r="C402" i="76" s="1"/>
  <c r="B322" i="76"/>
  <c r="C322" i="76" s="1"/>
  <c r="B82" i="76"/>
  <c r="C82" i="76" s="1"/>
  <c r="B242" i="76"/>
  <c r="C242" i="76" s="1"/>
  <c r="B222" i="76"/>
  <c r="C222" i="76" s="1"/>
  <c r="B162" i="76"/>
  <c r="C162" i="76" s="1"/>
  <c r="B142" i="76"/>
  <c r="C142" i="76" s="1"/>
  <c r="B382" i="76"/>
  <c r="C382" i="76" s="1"/>
  <c r="B302" i="76"/>
  <c r="C302" i="76" s="1"/>
  <c r="B442" i="76"/>
  <c r="C442" i="76" s="1"/>
  <c r="B362" i="76"/>
  <c r="C362" i="76" s="1"/>
  <c r="B282" i="76"/>
  <c r="C282" i="76" s="1"/>
  <c r="B202" i="76"/>
  <c r="C202" i="76" s="1"/>
  <c r="B69" i="72"/>
  <c r="D89" i="72"/>
  <c r="S6" i="72"/>
  <c r="S30" i="72" s="1"/>
  <c r="N69" i="72"/>
  <c r="N78" i="72" s="1"/>
  <c r="J89" i="72"/>
  <c r="Y6" i="72"/>
  <c r="Y30" i="72" s="1"/>
  <c r="X7" i="72"/>
  <c r="X8" i="72"/>
  <c r="X9" i="72"/>
  <c r="X10" i="72"/>
  <c r="X11" i="72"/>
  <c r="X12" i="72"/>
  <c r="X13" i="72"/>
  <c r="X14" i="72"/>
  <c r="X15" i="72"/>
  <c r="X16" i="72"/>
  <c r="X17" i="72"/>
  <c r="X18" i="72"/>
  <c r="X19" i="72"/>
  <c r="X20" i="72"/>
  <c r="X21" i="72"/>
  <c r="X22" i="72"/>
  <c r="X23" i="72"/>
  <c r="X24" i="72"/>
  <c r="X25" i="72"/>
  <c r="X26" i="72"/>
  <c r="F70" i="72"/>
  <c r="L70" i="72"/>
  <c r="R70" i="72"/>
  <c r="B71" i="72"/>
  <c r="H71" i="72"/>
  <c r="G71" i="72" s="1"/>
  <c r="N71" i="72"/>
  <c r="M71" i="72" s="1"/>
  <c r="T71" i="72"/>
  <c r="S71" i="72" s="1"/>
  <c r="D73" i="72"/>
  <c r="C73" i="72" s="1"/>
  <c r="J73" i="72"/>
  <c r="I73" i="72" s="1"/>
  <c r="P73" i="72"/>
  <c r="O73" i="72" s="1"/>
  <c r="V73" i="72"/>
  <c r="G95" i="72"/>
  <c r="G100" i="72" s="1"/>
  <c r="M95" i="72"/>
  <c r="M100" i="72" s="1"/>
  <c r="H96" i="72"/>
  <c r="N96" i="72"/>
  <c r="I97" i="72"/>
  <c r="D98" i="72"/>
  <c r="J98" i="72"/>
  <c r="B288" i="76"/>
  <c r="C288" i="76" s="1"/>
  <c r="B208" i="76"/>
  <c r="C208" i="76" s="1"/>
  <c r="B368" i="76"/>
  <c r="C368" i="76" s="1"/>
  <c r="B128" i="76"/>
  <c r="C128" i="76" s="1"/>
  <c r="B428" i="76"/>
  <c r="C428" i="76" s="1"/>
  <c r="B348" i="76"/>
  <c r="C348" i="76" s="1"/>
  <c r="B268" i="76"/>
  <c r="C268" i="76" s="1"/>
  <c r="B188" i="76"/>
  <c r="C188" i="76" s="1"/>
  <c r="B88" i="76"/>
  <c r="C88" i="76" s="1"/>
  <c r="B408" i="76"/>
  <c r="C408" i="76" s="1"/>
  <c r="B328" i="76"/>
  <c r="C328" i="76" s="1"/>
  <c r="B48" i="76"/>
  <c r="C48" i="76" s="1"/>
  <c r="B388" i="76"/>
  <c r="C388" i="76" s="1"/>
  <c r="B308" i="76"/>
  <c r="C308" i="76" s="1"/>
  <c r="B248" i="76"/>
  <c r="C248" i="76" s="1"/>
  <c r="B228" i="76"/>
  <c r="C228" i="76" s="1"/>
  <c r="B168" i="76"/>
  <c r="C168" i="76" s="1"/>
  <c r="B148" i="76"/>
  <c r="C148" i="76" s="1"/>
  <c r="B108" i="76"/>
  <c r="C108" i="76" s="1"/>
  <c r="B68" i="76"/>
  <c r="C68" i="76" s="1"/>
  <c r="B440" i="76"/>
  <c r="C440" i="76" s="1"/>
  <c r="B360" i="76"/>
  <c r="C360" i="76" s="1"/>
  <c r="B280" i="76"/>
  <c r="C280" i="76" s="1"/>
  <c r="B200" i="76"/>
  <c r="C200" i="76" s="1"/>
  <c r="B60" i="76"/>
  <c r="C60" i="76" s="1"/>
  <c r="B120" i="76"/>
  <c r="C120" i="76" s="1"/>
  <c r="B420" i="76"/>
  <c r="C420" i="76" s="1"/>
  <c r="B340" i="76"/>
  <c r="C340" i="76" s="1"/>
  <c r="B260" i="76"/>
  <c r="C260" i="76" s="1"/>
  <c r="B180" i="76"/>
  <c r="C180" i="76" s="1"/>
  <c r="B400" i="76"/>
  <c r="C400" i="76" s="1"/>
  <c r="B320" i="76"/>
  <c r="C320" i="76" s="1"/>
  <c r="B80" i="76"/>
  <c r="C80" i="76" s="1"/>
  <c r="B240" i="76"/>
  <c r="C240" i="76" s="1"/>
  <c r="B220" i="76"/>
  <c r="C220" i="76" s="1"/>
  <c r="B380" i="76"/>
  <c r="C380" i="76" s="1"/>
  <c r="B300" i="76"/>
  <c r="C300" i="76" s="1"/>
  <c r="B100" i="76"/>
  <c r="C100" i="76" s="1"/>
  <c r="K89" i="72"/>
  <c r="P69" i="72"/>
  <c r="P78" i="72" s="1"/>
  <c r="Z6" i="72"/>
  <c r="Z30" i="72" s="1"/>
  <c r="S7" i="72"/>
  <c r="S16" i="72"/>
  <c r="Y16" i="72"/>
  <c r="S17" i="72"/>
  <c r="Y17" i="72"/>
  <c r="S18" i="72"/>
  <c r="Y18" i="72"/>
  <c r="S19" i="72"/>
  <c r="Y19" i="72"/>
  <c r="S20" i="72"/>
  <c r="Y20" i="72"/>
  <c r="S21" i="72"/>
  <c r="Y21" i="72"/>
  <c r="S22" i="72"/>
  <c r="Y22" i="72"/>
  <c r="S23" i="72"/>
  <c r="Y23" i="72"/>
  <c r="S24" i="72"/>
  <c r="Y24" i="72"/>
  <c r="S25" i="72"/>
  <c r="Y25" i="72"/>
  <c r="S26" i="72"/>
  <c r="Y26" i="72"/>
  <c r="D72" i="72"/>
  <c r="C72" i="72" s="1"/>
  <c r="J72" i="72"/>
  <c r="I72" i="72" s="1"/>
  <c r="P72" i="72"/>
  <c r="O72" i="72" s="1"/>
  <c r="V72" i="72"/>
  <c r="F74" i="72"/>
  <c r="E74" i="72" s="1"/>
  <c r="L74" i="72"/>
  <c r="K74" i="72" s="1"/>
  <c r="R74" i="72"/>
  <c r="Q74" i="72" s="1"/>
  <c r="N95" i="72"/>
  <c r="I96" i="72"/>
  <c r="I100" i="72" s="1"/>
  <c r="D97" i="72"/>
  <c r="J97" i="72"/>
  <c r="E98" i="72"/>
  <c r="K98" i="72"/>
  <c r="B386" i="76"/>
  <c r="C386" i="76" s="1"/>
  <c r="B306" i="76"/>
  <c r="C306" i="76" s="1"/>
  <c r="B106" i="76"/>
  <c r="C106" i="76" s="1"/>
  <c r="B366" i="76"/>
  <c r="C366" i="76" s="1"/>
  <c r="B286" i="76"/>
  <c r="C286" i="76" s="1"/>
  <c r="B206" i="76"/>
  <c r="C206" i="76" s="1"/>
  <c r="B66" i="76"/>
  <c r="C66" i="76" s="1"/>
  <c r="B126" i="76"/>
  <c r="C126" i="76" s="1"/>
  <c r="B426" i="76"/>
  <c r="C426" i="76" s="1"/>
  <c r="B346" i="76"/>
  <c r="C346" i="76" s="1"/>
  <c r="B266" i="76"/>
  <c r="C266" i="76" s="1"/>
  <c r="B186" i="76"/>
  <c r="C186" i="76" s="1"/>
  <c r="B46" i="76"/>
  <c r="C46" i="76" s="1"/>
  <c r="B406" i="76"/>
  <c r="C406" i="76" s="1"/>
  <c r="B326" i="76"/>
  <c r="C326" i="76" s="1"/>
  <c r="B246" i="76"/>
  <c r="C246" i="76" s="1"/>
  <c r="B226" i="76"/>
  <c r="C226" i="76" s="1"/>
  <c r="B166" i="76"/>
  <c r="C166" i="76" s="1"/>
  <c r="B146" i="76"/>
  <c r="C146" i="76" s="1"/>
  <c r="B238" i="76"/>
  <c r="C238" i="76" s="1"/>
  <c r="B218" i="76"/>
  <c r="C218" i="76" s="1"/>
  <c r="B158" i="76"/>
  <c r="C158" i="76" s="1"/>
  <c r="B138" i="76"/>
  <c r="C138" i="76" s="1"/>
  <c r="B378" i="76"/>
  <c r="C378" i="76" s="1"/>
  <c r="B298" i="76"/>
  <c r="C298" i="76" s="1"/>
  <c r="B98" i="76"/>
  <c r="C98" i="76" s="1"/>
  <c r="B438" i="76"/>
  <c r="C438" i="76" s="1"/>
  <c r="B358" i="76"/>
  <c r="C358" i="76" s="1"/>
  <c r="B278" i="76"/>
  <c r="C278" i="76" s="1"/>
  <c r="B198" i="76"/>
  <c r="C198" i="76" s="1"/>
  <c r="B118" i="76"/>
  <c r="C118" i="76" s="1"/>
  <c r="B418" i="76"/>
  <c r="C418" i="76" s="1"/>
  <c r="B338" i="76"/>
  <c r="C338" i="76" s="1"/>
  <c r="B258" i="76"/>
  <c r="C258" i="76" s="1"/>
  <c r="B178" i="76"/>
  <c r="C178" i="76" s="1"/>
  <c r="B398" i="76"/>
  <c r="C398" i="76" s="1"/>
  <c r="B318" i="76"/>
  <c r="C318" i="76" s="1"/>
  <c r="B78" i="76"/>
  <c r="C78" i="76" s="1"/>
  <c r="BH4" i="72"/>
  <c r="AB6" i="72"/>
  <c r="AB30" i="72" s="1"/>
  <c r="M89" i="72"/>
  <c r="T69" i="72"/>
  <c r="T78" i="72" s="1"/>
  <c r="T6" i="72"/>
  <c r="T30" i="72" s="1"/>
  <c r="E89" i="72"/>
  <c r="D69" i="72"/>
  <c r="D78" i="72" s="1"/>
  <c r="Y7" i="72"/>
  <c r="BF4" i="72"/>
  <c r="U6" i="72"/>
  <c r="U30" i="72" s="1"/>
  <c r="F89" i="72"/>
  <c r="F69" i="72"/>
  <c r="F78" i="72" s="1"/>
  <c r="AA6" i="72"/>
  <c r="AA30" i="72" s="1"/>
  <c r="R69" i="72"/>
  <c r="R78" i="72" s="1"/>
  <c r="L89" i="72"/>
  <c r="T7" i="72"/>
  <c r="T8" i="72"/>
  <c r="T9" i="72"/>
  <c r="T10" i="72"/>
  <c r="T11" i="72"/>
  <c r="T12" i="72"/>
  <c r="T13" i="72"/>
  <c r="T14" i="72"/>
  <c r="T15" i="72"/>
  <c r="T16" i="72"/>
  <c r="T17" i="72"/>
  <c r="T18" i="72"/>
  <c r="T19" i="72"/>
  <c r="T20" i="72"/>
  <c r="T21" i="72"/>
  <c r="T22" i="72"/>
  <c r="T23" i="72"/>
  <c r="T24" i="72"/>
  <c r="T25" i="72"/>
  <c r="T26" i="72"/>
  <c r="B70" i="72"/>
  <c r="H70" i="72"/>
  <c r="N70" i="72"/>
  <c r="T70" i="72"/>
  <c r="F73" i="72"/>
  <c r="E73" i="72" s="1"/>
  <c r="L73" i="72"/>
  <c r="K73" i="72" s="1"/>
  <c r="R73" i="72"/>
  <c r="Q73" i="72" s="1"/>
  <c r="D96" i="72"/>
  <c r="J96" i="72"/>
  <c r="J100" i="72" s="1"/>
  <c r="E97" i="72"/>
  <c r="K97" i="72"/>
  <c r="F98" i="72"/>
  <c r="L98" i="72"/>
  <c r="B86" i="76"/>
  <c r="C86" i="76" s="1"/>
  <c r="B416" i="76"/>
  <c r="C416" i="76" s="1"/>
  <c r="B336" i="76"/>
  <c r="C336" i="76" s="1"/>
  <c r="B256" i="76"/>
  <c r="C256" i="76" s="1"/>
  <c r="B176" i="76"/>
  <c r="C176" i="76" s="1"/>
  <c r="B396" i="76"/>
  <c r="C396" i="76" s="1"/>
  <c r="B316" i="76"/>
  <c r="C316" i="76" s="1"/>
  <c r="B76" i="76"/>
  <c r="C76" i="76" s="1"/>
  <c r="B236" i="76"/>
  <c r="C236" i="76" s="1"/>
  <c r="B216" i="76"/>
  <c r="C216" i="76" s="1"/>
  <c r="B156" i="76"/>
  <c r="C156" i="76" s="1"/>
  <c r="B136" i="76"/>
  <c r="C136" i="76" s="1"/>
  <c r="B376" i="76"/>
  <c r="C376" i="76" s="1"/>
  <c r="B296" i="76"/>
  <c r="C296" i="76" s="1"/>
  <c r="B96" i="76"/>
  <c r="C96" i="76" s="1"/>
  <c r="B436" i="76"/>
  <c r="C436" i="76" s="1"/>
  <c r="B356" i="76"/>
  <c r="C356" i="76" s="1"/>
  <c r="B276" i="76"/>
  <c r="C276" i="76" s="1"/>
  <c r="B196" i="76"/>
  <c r="C196" i="76" s="1"/>
  <c r="B116" i="76"/>
  <c r="C116" i="76" s="1"/>
  <c r="V6" i="72"/>
  <c r="V30" i="72" s="1"/>
  <c r="G89" i="72"/>
  <c r="H69" i="72"/>
  <c r="H78" i="72" s="1"/>
  <c r="A23" i="68"/>
  <c r="BG4" i="75"/>
  <c r="BH4" i="75"/>
  <c r="C33" i="88"/>
  <c r="C69" i="88"/>
  <c r="C36" i="88"/>
  <c r="C60" i="88"/>
  <c r="C39" i="88"/>
  <c r="C48" i="88"/>
  <c r="C57" i="88"/>
  <c r="C18" i="88"/>
  <c r="C27" i="88"/>
  <c r="C12" i="88"/>
  <c r="C63" i="88"/>
  <c r="C42" i="88"/>
  <c r="C51" i="88"/>
  <c r="C21" i="88"/>
  <c r="C30" i="88"/>
  <c r="C15" i="88"/>
  <c r="C6" i="88"/>
  <c r="C66" i="88"/>
  <c r="C45" i="88"/>
  <c r="C54" i="88"/>
  <c r="C24" i="88"/>
  <c r="C9" i="88"/>
  <c r="C67" i="88"/>
  <c r="C46" i="88"/>
  <c r="C55" i="88"/>
  <c r="C25" i="88"/>
  <c r="C10" i="88"/>
  <c r="C37" i="88"/>
  <c r="C61" i="88"/>
  <c r="C40" i="88"/>
  <c r="C49" i="88"/>
  <c r="C58" i="88"/>
  <c r="C19" i="88"/>
  <c r="C28" i="88"/>
  <c r="C13" i="88"/>
  <c r="C7" i="88"/>
  <c r="C64" i="88"/>
  <c r="C43" i="88"/>
  <c r="C52" i="88"/>
  <c r="C22" i="88"/>
  <c r="C31" i="88"/>
  <c r="C16" i="88"/>
  <c r="C70" i="88"/>
  <c r="C34" i="88"/>
  <c r="C59" i="88"/>
  <c r="C56" i="88"/>
  <c r="C38" i="88"/>
  <c r="C20" i="88"/>
  <c r="C53" i="88"/>
  <c r="C35" i="88"/>
  <c r="C17" i="88"/>
  <c r="C68" i="88"/>
  <c r="C50" i="88"/>
  <c r="C32" i="88"/>
  <c r="C14" i="88"/>
  <c r="C65" i="88"/>
  <c r="C47" i="88"/>
  <c r="C29" i="88"/>
  <c r="C11" i="88"/>
  <c r="C62" i="88"/>
  <c r="C44" i="88"/>
  <c r="C26" i="88"/>
  <c r="C8" i="88"/>
  <c r="C41" i="88"/>
  <c r="C23" i="88"/>
  <c r="C5" i="88"/>
  <c r="BF4" i="75"/>
  <c r="AE52" i="75"/>
  <c r="BH5" i="75"/>
  <c r="AE61" i="75"/>
  <c r="R32" i="72"/>
  <c r="R33" i="72"/>
  <c r="R34" i="72"/>
  <c r="R31" i="72"/>
  <c r="O18" i="84"/>
  <c r="C72" i="84"/>
  <c r="I72" i="84"/>
  <c r="C51" i="84"/>
  <c r="H51" i="84"/>
  <c r="O17" i="84"/>
  <c r="D72" i="84"/>
  <c r="J72" i="84"/>
  <c r="I51" i="84"/>
  <c r="N16" i="84"/>
  <c r="O16" i="84"/>
  <c r="M16" i="84"/>
  <c r="E72" i="84"/>
  <c r="K72" i="84"/>
  <c r="D51" i="84"/>
  <c r="J51" i="84"/>
  <c r="F72" i="84"/>
  <c r="L72" i="84"/>
  <c r="M72" i="84" s="1"/>
  <c r="L51" i="84"/>
  <c r="E51" i="84"/>
  <c r="N20" i="84"/>
  <c r="O20" i="84"/>
  <c r="G72" i="84"/>
  <c r="G51" i="84"/>
  <c r="O19" i="84"/>
  <c r="B72" i="84"/>
  <c r="H72" i="84"/>
  <c r="AD23" i="79"/>
  <c r="AE23" i="79" s="1"/>
  <c r="AB38" i="79" s="1"/>
  <c r="W108" i="80"/>
  <c r="AM85" i="80"/>
  <c r="BA20" i="79"/>
  <c r="BA21" i="79"/>
  <c r="BA23" i="79"/>
  <c r="BA25" i="79"/>
  <c r="BA27" i="79"/>
  <c r="BA29" i="79"/>
  <c r="BA31" i="79"/>
  <c r="BA33" i="79"/>
  <c r="BA35" i="79"/>
  <c r="BA37" i="79"/>
  <c r="BI2" i="79"/>
  <c r="BB20" i="79"/>
  <c r="BB21" i="79"/>
  <c r="BB23" i="79"/>
  <c r="BB25" i="79"/>
  <c r="BB27" i="79"/>
  <c r="BB29" i="79"/>
  <c r="BB31" i="79"/>
  <c r="BB33" i="79"/>
  <c r="BB35" i="79"/>
  <c r="BB37" i="79"/>
  <c r="BA22" i="79"/>
  <c r="BA24" i="79"/>
  <c r="BA26" i="79"/>
  <c r="BA28" i="79"/>
  <c r="BA30" i="79"/>
  <c r="BA32" i="79"/>
  <c r="BA34" i="79"/>
  <c r="BA36" i="79"/>
  <c r="BB22" i="79"/>
  <c r="BB24" i="79"/>
  <c r="BB26" i="79"/>
  <c r="BB28" i="79"/>
  <c r="BB30" i="79"/>
  <c r="BB32" i="79"/>
  <c r="BB34" i="79"/>
  <c r="BB36" i="79"/>
  <c r="BB38" i="79"/>
  <c r="AT27" i="79"/>
  <c r="AM37" i="79"/>
  <c r="Z22" i="79"/>
  <c r="T63" i="79"/>
  <c r="AW4" i="79"/>
  <c r="W23" i="79"/>
  <c r="W22" i="79"/>
  <c r="Y22" i="79"/>
  <c r="U23" i="79"/>
  <c r="AB29" i="79"/>
  <c r="U102" i="79"/>
  <c r="AA103" i="79"/>
  <c r="AD63" i="79"/>
  <c r="V102" i="79"/>
  <c r="AB109" i="79"/>
  <c r="BI4" i="79"/>
  <c r="AC22" i="79"/>
  <c r="X23" i="79"/>
  <c r="T62" i="79"/>
  <c r="AA102" i="79"/>
  <c r="U103" i="79"/>
  <c r="AA23" i="79"/>
  <c r="Z62" i="79"/>
  <c r="AB102" i="79"/>
  <c r="AC23" i="79"/>
  <c r="BF5" i="75"/>
  <c r="BG5" i="75"/>
  <c r="T59" i="75"/>
  <c r="Z59" i="75"/>
  <c r="V61" i="75"/>
  <c r="AB61" i="75"/>
  <c r="AC53" i="75"/>
  <c r="AE53" i="75" s="1"/>
  <c r="V59" i="75"/>
  <c r="AB59" i="75"/>
  <c r="AC60" i="75"/>
  <c r="AE60" i="75" s="1"/>
  <c r="X61" i="75"/>
  <c r="S62" i="75"/>
  <c r="AE62" i="75" s="1"/>
  <c r="Y62" i="75"/>
  <c r="AE54" i="75"/>
  <c r="AE59" i="75"/>
  <c r="AE51" i="75"/>
  <c r="B11" i="76"/>
  <c r="C11" i="76" s="1"/>
  <c r="B71" i="76"/>
  <c r="C71" i="76" s="1"/>
  <c r="B131" i="76"/>
  <c r="C131" i="76" s="1"/>
  <c r="B191" i="76"/>
  <c r="C191" i="76" s="1"/>
  <c r="B251" i="76"/>
  <c r="C251" i="76" s="1"/>
  <c r="B311" i="76"/>
  <c r="C311" i="76" s="1"/>
  <c r="B371" i="76"/>
  <c r="C371" i="76" s="1"/>
  <c r="B431" i="76"/>
  <c r="C431" i="76" s="1"/>
  <c r="B31" i="76"/>
  <c r="C31" i="76" s="1"/>
  <c r="B91" i="76"/>
  <c r="C91" i="76" s="1"/>
  <c r="B151" i="76"/>
  <c r="C151" i="76" s="1"/>
  <c r="B211" i="76"/>
  <c r="C211" i="76" s="1"/>
  <c r="B271" i="76"/>
  <c r="C271" i="76" s="1"/>
  <c r="B331" i="76"/>
  <c r="C331" i="76" s="1"/>
  <c r="B391" i="76"/>
  <c r="C391" i="76" s="1"/>
  <c r="B51" i="76"/>
  <c r="C51" i="76" s="1"/>
  <c r="B111" i="76"/>
  <c r="C111" i="76" s="1"/>
  <c r="B171" i="76"/>
  <c r="C171" i="76" s="1"/>
  <c r="B231" i="76"/>
  <c r="C231" i="76" s="1"/>
  <c r="B291" i="76"/>
  <c r="C291" i="76" s="1"/>
  <c r="B351" i="76"/>
  <c r="C351" i="76" s="1"/>
  <c r="X133" i="80"/>
  <c r="R121" i="80"/>
  <c r="AT20" i="79"/>
  <c r="AT21" i="79"/>
  <c r="AU23" i="79"/>
  <c r="AU25" i="79"/>
  <c r="AU27" i="79"/>
  <c r="AT29" i="79"/>
  <c r="AT31" i="79"/>
  <c r="AT33" i="79"/>
  <c r="AT35" i="79"/>
  <c r="AT37" i="79"/>
  <c r="AU20" i="79"/>
  <c r="AU21" i="79"/>
  <c r="AU29" i="79"/>
  <c r="AU31" i="79"/>
  <c r="AU33" i="79"/>
  <c r="AU35" i="79"/>
  <c r="AU37" i="79"/>
  <c r="AT22" i="79"/>
  <c r="AT24" i="79"/>
  <c r="AT26" i="79"/>
  <c r="AT28" i="79"/>
  <c r="AU22" i="79"/>
  <c r="AU24" i="79"/>
  <c r="AU26" i="79"/>
  <c r="AU28" i="79"/>
  <c r="AT30" i="79"/>
  <c r="AT32" i="79"/>
  <c r="AT34" i="79"/>
  <c r="AT36" i="79"/>
  <c r="AT38" i="79"/>
  <c r="AW2" i="79"/>
  <c r="AU30" i="79"/>
  <c r="AU32" i="79"/>
  <c r="AU34" i="79"/>
  <c r="AU36" i="79"/>
  <c r="AU38" i="79"/>
  <c r="AT23" i="79"/>
  <c r="AT25" i="79"/>
  <c r="AN20" i="79"/>
  <c r="AN37" i="79"/>
  <c r="T162" i="80"/>
  <c r="Y164" i="80"/>
  <c r="R150" i="80"/>
  <c r="R52" i="80"/>
  <c r="W58" i="80"/>
  <c r="U104" i="80"/>
  <c r="X2" i="80"/>
  <c r="X108" i="80"/>
  <c r="W97" i="80"/>
  <c r="U101" i="80"/>
  <c r="S81" i="80"/>
  <c r="R23" i="80"/>
  <c r="U98" i="80"/>
  <c r="S79" i="80"/>
  <c r="R17" i="80"/>
  <c r="R19" i="80"/>
  <c r="U121" i="80"/>
  <c r="U127" i="80"/>
  <c r="S19" i="80"/>
  <c r="X98" i="80"/>
  <c r="Z98" i="80" s="1"/>
  <c r="X101" i="80"/>
  <c r="Z101" i="80" s="1"/>
  <c r="X104" i="80"/>
  <c r="Z104" i="80" s="1"/>
  <c r="U122" i="80"/>
  <c r="U128" i="80"/>
  <c r="T151" i="80"/>
  <c r="S153" i="80"/>
  <c r="S16" i="80"/>
  <c r="S20" i="80"/>
  <c r="U99" i="80"/>
  <c r="U102" i="80"/>
  <c r="T107" i="80"/>
  <c r="U123" i="80"/>
  <c r="U129" i="80"/>
  <c r="V132" i="80"/>
  <c r="U156" i="80"/>
  <c r="X99" i="80"/>
  <c r="Z99" i="80" s="1"/>
  <c r="X102" i="80"/>
  <c r="Z102" i="80" s="1"/>
  <c r="W107" i="80"/>
  <c r="U124" i="80"/>
  <c r="S133" i="80"/>
  <c r="U157" i="80"/>
  <c r="S17" i="80"/>
  <c r="R21" i="80"/>
  <c r="U100" i="80"/>
  <c r="U103" i="80"/>
  <c r="R108" i="80"/>
  <c r="U125" i="80"/>
  <c r="Y133" i="80"/>
  <c r="U161" i="80"/>
  <c r="S18" i="80"/>
  <c r="R22" i="80"/>
  <c r="R45" i="80"/>
  <c r="T97" i="80"/>
  <c r="X100" i="80"/>
  <c r="Z100" i="80" s="1"/>
  <c r="X103" i="80"/>
  <c r="Z103" i="80" s="1"/>
  <c r="U108" i="80"/>
  <c r="U126" i="80"/>
  <c r="T148" i="80"/>
  <c r="U162" i="80"/>
  <c r="AN21" i="79"/>
  <c r="AN29" i="79"/>
  <c r="AN31" i="79"/>
  <c r="AN33" i="79"/>
  <c r="AN35" i="79"/>
  <c r="AM22" i="79"/>
  <c r="AM24" i="79"/>
  <c r="AM26" i="79"/>
  <c r="AM28" i="79"/>
  <c r="AN22" i="79"/>
  <c r="AN24" i="79"/>
  <c r="AN26" i="79"/>
  <c r="AN28" i="79"/>
  <c r="AM30" i="79"/>
  <c r="AM32" i="79"/>
  <c r="AM34" i="79"/>
  <c r="AM36" i="79"/>
  <c r="AM38" i="79"/>
  <c r="AO37" i="79" s="1"/>
  <c r="AN30" i="79"/>
  <c r="AN32" i="79"/>
  <c r="AN34" i="79"/>
  <c r="AN36" i="79"/>
  <c r="AN38" i="79"/>
  <c r="AJ3" i="79"/>
  <c r="AM23" i="79"/>
  <c r="AM25" i="79"/>
  <c r="AM27" i="79"/>
  <c r="AM20" i="79"/>
  <c r="AM21" i="79"/>
  <c r="AN23" i="79"/>
  <c r="AN25" i="79"/>
  <c r="AN27" i="79"/>
  <c r="AM29" i="79"/>
  <c r="AM31" i="79"/>
  <c r="AM33" i="79"/>
  <c r="AM35" i="79"/>
  <c r="Y62" i="79"/>
  <c r="Y63" i="79"/>
  <c r="V103" i="79"/>
  <c r="AB103" i="79"/>
  <c r="U22" i="79"/>
  <c r="AA22" i="79"/>
  <c r="Y23" i="79"/>
  <c r="U62" i="79"/>
  <c r="AA62" i="79"/>
  <c r="U63" i="79"/>
  <c r="AA63" i="79"/>
  <c r="AB69" i="79"/>
  <c r="W102" i="79"/>
  <c r="AC102" i="79"/>
  <c r="W103" i="79"/>
  <c r="AC103" i="79"/>
  <c r="V22" i="79"/>
  <c r="AB22" i="79"/>
  <c r="T23" i="79"/>
  <c r="Z23" i="79"/>
  <c r="V62" i="79"/>
  <c r="AB62" i="79"/>
  <c r="V63" i="79"/>
  <c r="AB63" i="79"/>
  <c r="X102" i="79"/>
  <c r="AD102" i="79"/>
  <c r="AE102" i="79" s="1"/>
  <c r="X103" i="79"/>
  <c r="AD103" i="79"/>
  <c r="AE103" i="79" s="1"/>
  <c r="W62" i="79"/>
  <c r="AC62" i="79"/>
  <c r="W63" i="79"/>
  <c r="AC63" i="79"/>
  <c r="Y102" i="79"/>
  <c r="Y103" i="79"/>
  <c r="AJ5" i="79"/>
  <c r="X22" i="79"/>
  <c r="AD22" i="79"/>
  <c r="V23" i="79"/>
  <c r="AB23" i="79"/>
  <c r="X62" i="79"/>
  <c r="AD62" i="79"/>
  <c r="X63" i="79"/>
  <c r="T102" i="79"/>
  <c r="Z102" i="79"/>
  <c r="T103" i="79"/>
  <c r="R51" i="80"/>
  <c r="S46" i="80"/>
  <c r="S48" i="80"/>
  <c r="S50" i="80"/>
  <c r="S52" i="80"/>
  <c r="S78" i="80"/>
  <c r="R82" i="80"/>
  <c r="R47" i="80"/>
  <c r="R49" i="80"/>
  <c r="S53" i="80"/>
  <c r="R53" i="80"/>
  <c r="R79" i="80"/>
  <c r="S82" i="80"/>
  <c r="U97" i="80"/>
  <c r="V98" i="80"/>
  <c r="V99" i="80"/>
  <c r="V100" i="80"/>
  <c r="V101" i="80"/>
  <c r="V102" i="80"/>
  <c r="V103" i="80"/>
  <c r="V104" i="80"/>
  <c r="U107" i="80"/>
  <c r="S108" i="80"/>
  <c r="Y108" i="80"/>
  <c r="V121" i="80"/>
  <c r="V122" i="80"/>
  <c r="V123" i="80"/>
  <c r="V124" i="80"/>
  <c r="V125" i="80"/>
  <c r="V126" i="80"/>
  <c r="V127" i="80"/>
  <c r="V128" i="80"/>
  <c r="V129" i="80"/>
  <c r="W132" i="80"/>
  <c r="T133" i="80"/>
  <c r="Z133" i="80"/>
  <c r="U148" i="80"/>
  <c r="S150" i="80"/>
  <c r="U151" i="80"/>
  <c r="T153" i="80"/>
  <c r="V156" i="80"/>
  <c r="V157" i="80"/>
  <c r="V161" i="80"/>
  <c r="V162" i="80"/>
  <c r="V97" i="80"/>
  <c r="W98" i="80"/>
  <c r="W99" i="80"/>
  <c r="W100" i="80"/>
  <c r="W101" i="80"/>
  <c r="W102" i="80"/>
  <c r="W103" i="80"/>
  <c r="W104" i="80"/>
  <c r="V107" i="80"/>
  <c r="T108" i="80"/>
  <c r="W121" i="80"/>
  <c r="AA121" i="80" s="1"/>
  <c r="W122" i="80"/>
  <c r="AA122" i="80" s="1"/>
  <c r="W123" i="80"/>
  <c r="AA123" i="80" s="1"/>
  <c r="W124" i="80"/>
  <c r="AA124" i="80" s="1"/>
  <c r="W125" i="80"/>
  <c r="AA125" i="80" s="1"/>
  <c r="W126" i="80"/>
  <c r="AA126" i="80" s="1"/>
  <c r="W127" i="80"/>
  <c r="AA127" i="80" s="1"/>
  <c r="W128" i="80"/>
  <c r="AA128" i="80" s="1"/>
  <c r="W129" i="80"/>
  <c r="AA129" i="80" s="1"/>
  <c r="R132" i="80"/>
  <c r="X132" i="80"/>
  <c r="U133" i="80"/>
  <c r="R149" i="80"/>
  <c r="T150" i="80"/>
  <c r="R152" i="80"/>
  <c r="U153" i="80"/>
  <c r="W156" i="80"/>
  <c r="W157" i="80"/>
  <c r="W161" i="80"/>
  <c r="W162" i="80"/>
  <c r="S45" i="80"/>
  <c r="S47" i="80"/>
  <c r="S49" i="80"/>
  <c r="S51" i="80"/>
  <c r="R77" i="80"/>
  <c r="T77" i="80" s="1"/>
  <c r="R80" i="80"/>
  <c r="R122" i="80"/>
  <c r="R123" i="80"/>
  <c r="R124" i="80"/>
  <c r="R125" i="80"/>
  <c r="R126" i="80"/>
  <c r="R127" i="80"/>
  <c r="R128" i="80"/>
  <c r="R129" i="80"/>
  <c r="S132" i="80"/>
  <c r="Y132" i="80"/>
  <c r="V133" i="80"/>
  <c r="S149" i="80"/>
  <c r="U150" i="80"/>
  <c r="S152" i="80"/>
  <c r="R156" i="80"/>
  <c r="R157" i="80"/>
  <c r="R161" i="80"/>
  <c r="R162" i="80"/>
  <c r="S21" i="80"/>
  <c r="S22" i="80"/>
  <c r="S23" i="80"/>
  <c r="S77" i="80"/>
  <c r="S80" i="80"/>
  <c r="R81" i="80"/>
  <c r="X97" i="80"/>
  <c r="S98" i="80"/>
  <c r="S99" i="80"/>
  <c r="S100" i="80"/>
  <c r="S101" i="80"/>
  <c r="S102" i="80"/>
  <c r="S103" i="80"/>
  <c r="S104" i="80"/>
  <c r="R114" i="80" s="1"/>
  <c r="R107" i="80"/>
  <c r="X107" i="80"/>
  <c r="V108" i="80"/>
  <c r="S121" i="80"/>
  <c r="S122" i="80"/>
  <c r="S123" i="80"/>
  <c r="S124" i="80"/>
  <c r="S125" i="80"/>
  <c r="S126" i="80"/>
  <c r="S127" i="80"/>
  <c r="S128" i="80"/>
  <c r="S129" i="80"/>
  <c r="R137" i="80" s="1"/>
  <c r="T132" i="80"/>
  <c r="Z132" i="80"/>
  <c r="W133" i="80"/>
  <c r="R148" i="80"/>
  <c r="T149" i="80"/>
  <c r="R151" i="80"/>
  <c r="T152" i="80"/>
  <c r="S156" i="80"/>
  <c r="S157" i="80"/>
  <c r="S161" i="80"/>
  <c r="S162" i="80"/>
  <c r="R16" i="80"/>
  <c r="R18" i="80"/>
  <c r="R20" i="80"/>
  <c r="R46" i="80"/>
  <c r="R48" i="80"/>
  <c r="R50" i="80"/>
  <c r="R78" i="80"/>
  <c r="S97" i="80"/>
  <c r="T98" i="80"/>
  <c r="T99" i="80"/>
  <c r="T100" i="80"/>
  <c r="T101" i="80"/>
  <c r="T102" i="80"/>
  <c r="T103" i="80"/>
  <c r="T104" i="80"/>
  <c r="R115" i="80" s="1"/>
  <c r="S107" i="80"/>
  <c r="Y107" i="80"/>
  <c r="T121" i="80"/>
  <c r="AB121" i="80" s="1"/>
  <c r="T122" i="80"/>
  <c r="T123" i="80"/>
  <c r="T124" i="80"/>
  <c r="T125" i="80"/>
  <c r="T126" i="80"/>
  <c r="T127" i="80"/>
  <c r="AB127" i="80" s="1"/>
  <c r="T128" i="80"/>
  <c r="T129" i="80"/>
  <c r="U132" i="80"/>
  <c r="R133" i="80"/>
  <c r="S148" i="80"/>
  <c r="U149" i="80"/>
  <c r="S151" i="80"/>
  <c r="U152" i="80"/>
  <c r="R153" i="80"/>
  <c r="X153" i="80" s="1"/>
  <c r="Y166" i="80" s="1"/>
  <c r="T156" i="80"/>
  <c r="T157" i="80"/>
  <c r="T161" i="80"/>
  <c r="AK79" i="72" l="1"/>
  <c r="X81" i="72"/>
  <c r="W47" i="72" s="1"/>
  <c r="M69" i="84"/>
  <c r="Y98" i="80"/>
  <c r="H100" i="72"/>
  <c r="W52" i="74"/>
  <c r="X47" i="74"/>
  <c r="O10" i="84"/>
  <c r="O7" i="84"/>
  <c r="A80" i="72"/>
  <c r="BM22" i="75"/>
  <c r="BN25" i="75"/>
  <c r="BN26" i="75" s="1"/>
  <c r="BO22" i="75"/>
  <c r="BN22" i="75"/>
  <c r="BP22" i="75"/>
  <c r="BP21" i="75"/>
  <c r="BR21" i="75" s="1"/>
  <c r="BO25" i="75"/>
  <c r="BQ25" i="75" s="1"/>
  <c r="BU40" i="75" s="1"/>
  <c r="BV40" i="75" s="1"/>
  <c r="BO21" i="75"/>
  <c r="BP23" i="75"/>
  <c r="BM21" i="75"/>
  <c r="BN24" i="75"/>
  <c r="BM24" i="75"/>
  <c r="BN23" i="75"/>
  <c r="BM23" i="75"/>
  <c r="BN21" i="75"/>
  <c r="BM25" i="75"/>
  <c r="BM26" i="75" s="1"/>
  <c r="BO24" i="75"/>
  <c r="BP24" i="75"/>
  <c r="BR24" i="75" s="1"/>
  <c r="BP25" i="75"/>
  <c r="BR25" i="75" s="1"/>
  <c r="BU51" i="75" s="1"/>
  <c r="BV51" i="75" s="1"/>
  <c r="BO23" i="75"/>
  <c r="BQ23" i="75" s="1"/>
  <c r="BU38" i="75"/>
  <c r="AO20" i="79"/>
  <c r="Y104" i="80"/>
  <c r="AM87" i="80" s="1"/>
  <c r="T78" i="80"/>
  <c r="T81" i="80"/>
  <c r="T80" i="80"/>
  <c r="Y150" i="80"/>
  <c r="AB125" i="80"/>
  <c r="T79" i="80"/>
  <c r="Y152" i="80"/>
  <c r="Y151" i="80"/>
  <c r="AH23" i="79"/>
  <c r="AI23" i="79" s="1"/>
  <c r="AB42" i="79" s="1"/>
  <c r="Y101" i="80"/>
  <c r="M70" i="84"/>
  <c r="M71" i="84"/>
  <c r="U82" i="84"/>
  <c r="V82" i="84" s="1"/>
  <c r="V83" i="84" s="1"/>
  <c r="X149" i="80"/>
  <c r="W151" i="80"/>
  <c r="Y153" i="80"/>
  <c r="AD166" i="80" s="1"/>
  <c r="V151" i="80"/>
  <c r="X151" i="80"/>
  <c r="Y149" i="80"/>
  <c r="X152" i="80"/>
  <c r="X148" i="80"/>
  <c r="Y148" i="80"/>
  <c r="X150" i="80"/>
  <c r="D57" i="85"/>
  <c r="D58" i="85"/>
  <c r="G58" i="85"/>
  <c r="G57" i="85"/>
  <c r="U66" i="84"/>
  <c r="V66" i="84" s="1"/>
  <c r="V67" i="84" s="1"/>
  <c r="M60" i="84"/>
  <c r="AB124" i="80"/>
  <c r="AB128" i="80"/>
  <c r="AB122" i="80"/>
  <c r="AB126" i="80"/>
  <c r="R33" i="82"/>
  <c r="P8" i="82"/>
  <c r="R34" i="82" s="1"/>
  <c r="U51" i="84"/>
  <c r="M49" i="84"/>
  <c r="M47" i="84"/>
  <c r="T47" i="84"/>
  <c r="V47" i="84" s="1"/>
  <c r="M45" i="84"/>
  <c r="U47" i="84"/>
  <c r="O8" i="84"/>
  <c r="O9" i="84"/>
  <c r="M48" i="84"/>
  <c r="Z127" i="80"/>
  <c r="Z121" i="80"/>
  <c r="Z126" i="80"/>
  <c r="AC126" i="80"/>
  <c r="AC124" i="80"/>
  <c r="AC129" i="80"/>
  <c r="AU124" i="80" s="1"/>
  <c r="AB129" i="80"/>
  <c r="AS124" i="80" s="1"/>
  <c r="AB123" i="80"/>
  <c r="Z125" i="80"/>
  <c r="AC123" i="80"/>
  <c r="Z124" i="80"/>
  <c r="Z129" i="80"/>
  <c r="AN124" i="80" s="1"/>
  <c r="Z123" i="80"/>
  <c r="AC128" i="80"/>
  <c r="AC127" i="80"/>
  <c r="Z128" i="80"/>
  <c r="Z122" i="80"/>
  <c r="AC125" i="80"/>
  <c r="AC122" i="80"/>
  <c r="AC121" i="80"/>
  <c r="D85" i="74"/>
  <c r="D86" i="74" s="1"/>
  <c r="C79" i="74"/>
  <c r="X80" i="74"/>
  <c r="W46" i="74" s="1"/>
  <c r="U80" i="74"/>
  <c r="U46" i="74" s="1"/>
  <c r="V46" i="74" s="1"/>
  <c r="X83" i="74"/>
  <c r="X52" i="74" s="1"/>
  <c r="U83" i="74"/>
  <c r="Y79" i="74"/>
  <c r="W50" i="74" s="1"/>
  <c r="B85" i="74"/>
  <c r="B86" i="74" s="1"/>
  <c r="A79" i="74"/>
  <c r="H85" i="74"/>
  <c r="H86" i="74" s="1"/>
  <c r="G79" i="74"/>
  <c r="F85" i="74"/>
  <c r="F86" i="74" s="1"/>
  <c r="E79" i="74"/>
  <c r="Y82" i="74"/>
  <c r="A82" i="74"/>
  <c r="Z82" i="74" s="1"/>
  <c r="X81" i="74"/>
  <c r="W47" i="74" s="1"/>
  <c r="U81" i="74"/>
  <c r="U47" i="74" s="1"/>
  <c r="V47" i="74" s="1"/>
  <c r="Z81" i="74"/>
  <c r="U52" i="74"/>
  <c r="V52" i="74" s="1"/>
  <c r="X79" i="74"/>
  <c r="W45" i="74" s="1"/>
  <c r="V85" i="74"/>
  <c r="V86" i="74" s="1"/>
  <c r="U79" i="74"/>
  <c r="U45" i="74" s="1"/>
  <c r="V45" i="74" s="1"/>
  <c r="J111" i="74"/>
  <c r="Y80" i="74"/>
  <c r="W51" i="74" s="1"/>
  <c r="A80" i="74"/>
  <c r="P85" i="74"/>
  <c r="P86" i="74" s="1"/>
  <c r="O79" i="74"/>
  <c r="T85" i="74"/>
  <c r="T86" i="74" s="1"/>
  <c r="S79" i="74"/>
  <c r="Y96" i="74"/>
  <c r="Y95" i="74"/>
  <c r="D111" i="74"/>
  <c r="Y83" i="74"/>
  <c r="A83" i="74"/>
  <c r="Z83" i="74" s="1"/>
  <c r="R85" i="74"/>
  <c r="R86" i="74" s="1"/>
  <c r="Q79" i="74"/>
  <c r="J85" i="74"/>
  <c r="J86" i="74" s="1"/>
  <c r="I79" i="74"/>
  <c r="N85" i="74"/>
  <c r="N86" i="74" s="1"/>
  <c r="M79" i="74"/>
  <c r="Y99" i="74"/>
  <c r="Y98" i="74"/>
  <c r="L85" i="74"/>
  <c r="L86" i="74" s="1"/>
  <c r="K79" i="74"/>
  <c r="J98" i="74"/>
  <c r="N76" i="74"/>
  <c r="N77" i="74" s="1"/>
  <c r="M70" i="74"/>
  <c r="U44" i="74"/>
  <c r="V78" i="74"/>
  <c r="R44" i="74"/>
  <c r="R96" i="74"/>
  <c r="R95" i="74"/>
  <c r="D98" i="74"/>
  <c r="I98" i="74"/>
  <c r="F76" i="74"/>
  <c r="F77" i="74" s="1"/>
  <c r="E70" i="74"/>
  <c r="X70" i="74"/>
  <c r="S45" i="74" s="1"/>
  <c r="V76" i="74"/>
  <c r="V77" i="74" s="1"/>
  <c r="U70" i="74"/>
  <c r="Q45" i="74" s="1"/>
  <c r="R45" i="74" s="1"/>
  <c r="U49" i="74"/>
  <c r="B78" i="74"/>
  <c r="R49" i="74"/>
  <c r="X71" i="74"/>
  <c r="S46" i="74" s="1"/>
  <c r="U71" i="74"/>
  <c r="Q46" i="74" s="1"/>
  <c r="R46" i="74" s="1"/>
  <c r="H76" i="74"/>
  <c r="H77" i="74" s="1"/>
  <c r="G70" i="74"/>
  <c r="T76" i="74"/>
  <c r="T77" i="74" s="1"/>
  <c r="S70" i="74"/>
  <c r="P76" i="74"/>
  <c r="P77" i="74" s="1"/>
  <c r="O70" i="74"/>
  <c r="X74" i="74"/>
  <c r="T52" i="74" s="1"/>
  <c r="U74" i="74"/>
  <c r="Y70" i="74"/>
  <c r="S50" i="74" s="1"/>
  <c r="B76" i="74"/>
  <c r="B77" i="74" s="1"/>
  <c r="A70" i="74"/>
  <c r="X72" i="74"/>
  <c r="S47" i="74" s="1"/>
  <c r="U72" i="74"/>
  <c r="Q47" i="74" s="1"/>
  <c r="R47" i="74" s="1"/>
  <c r="Z72" i="74"/>
  <c r="Q52" i="74"/>
  <c r="R52" i="74" s="1"/>
  <c r="R99" i="74"/>
  <c r="R98" i="74"/>
  <c r="J76" i="74"/>
  <c r="J77" i="74" s="1"/>
  <c r="I70" i="74"/>
  <c r="Y73" i="74"/>
  <c r="T47" i="74" s="1"/>
  <c r="A73" i="74"/>
  <c r="Z73" i="74" s="1"/>
  <c r="Y71" i="74"/>
  <c r="S51" i="74" s="1"/>
  <c r="A71" i="74"/>
  <c r="L76" i="74"/>
  <c r="L77" i="74" s="1"/>
  <c r="K70" i="74"/>
  <c r="D76" i="74"/>
  <c r="D77" i="74" s="1"/>
  <c r="C70" i="74"/>
  <c r="Y74" i="74"/>
  <c r="B75" i="74"/>
  <c r="A74" i="74"/>
  <c r="Z74" i="74" s="1"/>
  <c r="R76" i="74"/>
  <c r="R77" i="74" s="1"/>
  <c r="Q70" i="74"/>
  <c r="N115" i="72"/>
  <c r="O115" i="72" s="1"/>
  <c r="H115" i="72"/>
  <c r="M79" i="72"/>
  <c r="AH79" i="72"/>
  <c r="I115" i="72"/>
  <c r="AJ79" i="72"/>
  <c r="Q79" i="72"/>
  <c r="X83" i="72"/>
  <c r="U83" i="72"/>
  <c r="U80" i="72"/>
  <c r="U46" i="72" s="1"/>
  <c r="V46" i="72" s="1"/>
  <c r="X80" i="72"/>
  <c r="W46" i="72" s="1"/>
  <c r="AG79" i="72"/>
  <c r="K79" i="72"/>
  <c r="Y81" i="72"/>
  <c r="W52" i="72" s="1"/>
  <c r="B86" i="72"/>
  <c r="A81" i="72"/>
  <c r="U79" i="72"/>
  <c r="U45" i="72" s="1"/>
  <c r="V45" i="72" s="1"/>
  <c r="X79" i="72"/>
  <c r="W45" i="72" s="1"/>
  <c r="AL79" i="72"/>
  <c r="U51" i="72"/>
  <c r="V51" i="72" s="1"/>
  <c r="Z80" i="72"/>
  <c r="X82" i="72"/>
  <c r="U82" i="72"/>
  <c r="E79" i="72"/>
  <c r="AD79" i="72"/>
  <c r="AI79" i="72"/>
  <c r="O79" i="72"/>
  <c r="Y82" i="72"/>
  <c r="A82" i="72"/>
  <c r="Z82" i="72" s="1"/>
  <c r="AF79" i="72"/>
  <c r="I79" i="72"/>
  <c r="W96" i="72"/>
  <c r="X96" i="72" s="1"/>
  <c r="Y79" i="72"/>
  <c r="W50" i="72" s="1"/>
  <c r="B84" i="72"/>
  <c r="A79" i="72"/>
  <c r="AB79" i="72"/>
  <c r="W99" i="72"/>
  <c r="X99" i="72" s="1"/>
  <c r="W98" i="72"/>
  <c r="X98" i="72" s="1"/>
  <c r="AC79" i="72"/>
  <c r="C79" i="72"/>
  <c r="W95" i="72"/>
  <c r="X95" i="72" s="1"/>
  <c r="AV27" i="79"/>
  <c r="Y102" i="80"/>
  <c r="Y103" i="80"/>
  <c r="Y99" i="80"/>
  <c r="AB97" i="80"/>
  <c r="AP20" i="79"/>
  <c r="AB98" i="80"/>
  <c r="AB104" i="80"/>
  <c r="AT87" i="80" s="1"/>
  <c r="AB103" i="80"/>
  <c r="AB102" i="80"/>
  <c r="Y100" i="80"/>
  <c r="AB101" i="80"/>
  <c r="Y97" i="80"/>
  <c r="AB100" i="80"/>
  <c r="AB99" i="80"/>
  <c r="AA102" i="80"/>
  <c r="AA104" i="80"/>
  <c r="AR87" i="80" s="1"/>
  <c r="AA97" i="80"/>
  <c r="AA99" i="80"/>
  <c r="AA101" i="80"/>
  <c r="AA103" i="80"/>
  <c r="AA100" i="80"/>
  <c r="AA98" i="80"/>
  <c r="I79" i="75"/>
  <c r="J79" i="75" s="1"/>
  <c r="M79" i="75"/>
  <c r="G79" i="75"/>
  <c r="H79" i="75" s="1"/>
  <c r="L79" i="75"/>
  <c r="L72" i="75"/>
  <c r="M72" i="75"/>
  <c r="I72" i="75"/>
  <c r="J72" i="75" s="1"/>
  <c r="G72" i="75"/>
  <c r="H72" i="75" s="1"/>
  <c r="P23" i="82"/>
  <c r="W34" i="82" s="1"/>
  <c r="W33" i="82"/>
  <c r="R99" i="72"/>
  <c r="S99" i="72" s="1"/>
  <c r="R98" i="72"/>
  <c r="S98" i="72" s="1"/>
  <c r="N100" i="72"/>
  <c r="W91" i="72"/>
  <c r="R91" i="72"/>
  <c r="O70" i="72"/>
  <c r="AI70" i="72"/>
  <c r="R96" i="72"/>
  <c r="S96" i="72" s="1"/>
  <c r="X73" i="72"/>
  <c r="T51" i="72" s="1"/>
  <c r="U73" i="72"/>
  <c r="B78" i="72"/>
  <c r="U49" i="72"/>
  <c r="W49" i="72" s="1"/>
  <c r="R49" i="72"/>
  <c r="Y73" i="72"/>
  <c r="T47" i="72" s="1"/>
  <c r="B67" i="72"/>
  <c r="A73" i="72"/>
  <c r="Z73" i="72" s="1"/>
  <c r="I70" i="72"/>
  <c r="AF70" i="72"/>
  <c r="R44" i="72"/>
  <c r="V78" i="72"/>
  <c r="U44" i="72"/>
  <c r="R95" i="72"/>
  <c r="S95" i="72" s="1"/>
  <c r="AE70" i="72"/>
  <c r="G70" i="72"/>
  <c r="AK70" i="72"/>
  <c r="S70" i="72"/>
  <c r="Y71" i="72"/>
  <c r="S51" i="72" s="1"/>
  <c r="B76" i="72"/>
  <c r="A71" i="72"/>
  <c r="C70" i="72"/>
  <c r="AC70" i="72"/>
  <c r="M70" i="72"/>
  <c r="AH70" i="72"/>
  <c r="AJ70" i="72"/>
  <c r="Q70" i="72"/>
  <c r="X72" i="72"/>
  <c r="S47" i="72" s="1"/>
  <c r="U72" i="72"/>
  <c r="Q47" i="72" s="1"/>
  <c r="R47" i="72" s="1"/>
  <c r="AG70" i="72"/>
  <c r="K70" i="72"/>
  <c r="X74" i="72"/>
  <c r="U74" i="72"/>
  <c r="B434" i="76"/>
  <c r="C434" i="76" s="1"/>
  <c r="B54" i="76"/>
  <c r="C54" i="76" s="1"/>
  <c r="B414" i="76"/>
  <c r="C414" i="76" s="1"/>
  <c r="B334" i="76"/>
  <c r="C334" i="76" s="1"/>
  <c r="B254" i="76"/>
  <c r="C254" i="76" s="1"/>
  <c r="B114" i="76"/>
  <c r="C114" i="76" s="1"/>
  <c r="B34" i="76"/>
  <c r="C34" i="76" s="1"/>
  <c r="B394" i="76"/>
  <c r="C394" i="76" s="1"/>
  <c r="B314" i="76"/>
  <c r="C314" i="76" s="1"/>
  <c r="B174" i="76"/>
  <c r="C174" i="76" s="1"/>
  <c r="B234" i="76"/>
  <c r="C234" i="76" s="1"/>
  <c r="B154" i="76"/>
  <c r="C154" i="76" s="1"/>
  <c r="B74" i="76"/>
  <c r="C74" i="76" s="1"/>
  <c r="B374" i="76"/>
  <c r="C374" i="76" s="1"/>
  <c r="B294" i="76"/>
  <c r="C294" i="76" s="1"/>
  <c r="B214" i="76"/>
  <c r="C214" i="76" s="1"/>
  <c r="B354" i="76"/>
  <c r="C354" i="76" s="1"/>
  <c r="B274" i="76"/>
  <c r="C274" i="76" s="1"/>
  <c r="B194" i="76"/>
  <c r="C194" i="76" s="1"/>
  <c r="B94" i="76"/>
  <c r="C94" i="76" s="1"/>
  <c r="B134" i="76"/>
  <c r="C134" i="76" s="1"/>
  <c r="B14" i="76"/>
  <c r="C14" i="76" s="1"/>
  <c r="Y70" i="72"/>
  <c r="S50" i="72" s="1"/>
  <c r="B75" i="72"/>
  <c r="A70" i="72"/>
  <c r="AB70" i="72"/>
  <c r="AD70" i="72"/>
  <c r="E70" i="72"/>
  <c r="Y72" i="72"/>
  <c r="B77" i="72"/>
  <c r="A72" i="72"/>
  <c r="U70" i="72"/>
  <c r="Q45" i="72" s="1"/>
  <c r="R45" i="72" s="1"/>
  <c r="X70" i="72"/>
  <c r="S45" i="72" s="1"/>
  <c r="AL70" i="72"/>
  <c r="D100" i="72"/>
  <c r="P100" i="72" s="1"/>
  <c r="R93" i="72" s="1"/>
  <c r="AF23" i="79"/>
  <c r="O6" i="84"/>
  <c r="N13" i="84"/>
  <c r="AH63" i="79"/>
  <c r="AJ63" i="79" s="1"/>
  <c r="AB83" i="79" s="1"/>
  <c r="Z32" i="72"/>
  <c r="T32" i="72"/>
  <c r="Y32" i="72"/>
  <c r="S32" i="72"/>
  <c r="X32" i="72"/>
  <c r="AC32" i="72"/>
  <c r="W32" i="72"/>
  <c r="AB32" i="72"/>
  <c r="V32" i="72"/>
  <c r="AA32" i="72"/>
  <c r="U32" i="72"/>
  <c r="Z34" i="72"/>
  <c r="T34" i="72"/>
  <c r="Y34" i="72"/>
  <c r="S34" i="72"/>
  <c r="X34" i="72"/>
  <c r="AC34" i="72"/>
  <c r="W34" i="72"/>
  <c r="AB34" i="72"/>
  <c r="V34" i="72"/>
  <c r="AA34" i="72"/>
  <c r="U34" i="72"/>
  <c r="Z33" i="72"/>
  <c r="T33" i="72"/>
  <c r="Y33" i="72"/>
  <c r="S33" i="72"/>
  <c r="X33" i="72"/>
  <c r="AC33" i="72"/>
  <c r="W33" i="72"/>
  <c r="AB33" i="72"/>
  <c r="V33" i="72"/>
  <c r="AA33" i="72"/>
  <c r="U33" i="72"/>
  <c r="Z31" i="72"/>
  <c r="T31" i="72"/>
  <c r="Y31" i="72"/>
  <c r="S31" i="72"/>
  <c r="X31" i="72"/>
  <c r="AC31" i="72"/>
  <c r="W31" i="72"/>
  <c r="AB31" i="72"/>
  <c r="V31" i="72"/>
  <c r="AA31" i="72"/>
  <c r="U31" i="72"/>
  <c r="AG66" i="79"/>
  <c r="AB80" i="79" s="1"/>
  <c r="AA167" i="80"/>
  <c r="AB167" i="80" s="1"/>
  <c r="AA170" i="80"/>
  <c r="AB170" i="80" s="1"/>
  <c r="AF170" i="80"/>
  <c r="AG170" i="80" s="1"/>
  <c r="AF167" i="80"/>
  <c r="AG167" i="80" s="1"/>
  <c r="Y168" i="80"/>
  <c r="Z168" i="80" s="1"/>
  <c r="Y172" i="80"/>
  <c r="Z172" i="80" s="1"/>
  <c r="AD172" i="80"/>
  <c r="AE172" i="80" s="1"/>
  <c r="AD168" i="80"/>
  <c r="AE168" i="80" s="1"/>
  <c r="Y124" i="80"/>
  <c r="Y123" i="80"/>
  <c r="Y122" i="80"/>
  <c r="Y127" i="80"/>
  <c r="Y126" i="80"/>
  <c r="AQ125" i="80"/>
  <c r="AR125" i="80" s="1"/>
  <c r="AQ128" i="80"/>
  <c r="AR128" i="80" s="1"/>
  <c r="AN126" i="80"/>
  <c r="AO126" i="80" s="1"/>
  <c r="AN130" i="80"/>
  <c r="AO130" i="80" s="1"/>
  <c r="Y128" i="80"/>
  <c r="Y125" i="80"/>
  <c r="Z97" i="80"/>
  <c r="AP88" i="80"/>
  <c r="AQ88" i="80" s="1"/>
  <c r="AP91" i="80"/>
  <c r="AQ91" i="80" s="1"/>
  <c r="AM93" i="80"/>
  <c r="AN93" i="80" s="1"/>
  <c r="AM89" i="80"/>
  <c r="AN89" i="80" s="1"/>
  <c r="Y121" i="80"/>
  <c r="BH32" i="79"/>
  <c r="BF32" i="79"/>
  <c r="BD32" i="79"/>
  <c r="BG26" i="79"/>
  <c r="BE26" i="79"/>
  <c r="BC26" i="79"/>
  <c r="BD31" i="79"/>
  <c r="BH31" i="79"/>
  <c r="BF31" i="79"/>
  <c r="BD20" i="79"/>
  <c r="BH20" i="79"/>
  <c r="BF20" i="79"/>
  <c r="BE29" i="79"/>
  <c r="BC29" i="79"/>
  <c r="BG29" i="79"/>
  <c r="BH30" i="79"/>
  <c r="BF30" i="79"/>
  <c r="BH16" i="79" s="1"/>
  <c r="BD30" i="79"/>
  <c r="BG36" i="79"/>
  <c r="BE36" i="79"/>
  <c r="BC36" i="79"/>
  <c r="BG24" i="79"/>
  <c r="BE24" i="79"/>
  <c r="BC24" i="79"/>
  <c r="BD29" i="79"/>
  <c r="BH29" i="79"/>
  <c r="BF29" i="79"/>
  <c r="BE27" i="79"/>
  <c r="BC27" i="79"/>
  <c r="BG27" i="79"/>
  <c r="BH28" i="79"/>
  <c r="BF28" i="79"/>
  <c r="BD28" i="79"/>
  <c r="BG34" i="79"/>
  <c r="BE34" i="79"/>
  <c r="BC34" i="79"/>
  <c r="BG22" i="79"/>
  <c r="BE22" i="79"/>
  <c r="BC22" i="79"/>
  <c r="BD27" i="79"/>
  <c r="BH27" i="79"/>
  <c r="BF27" i="79"/>
  <c r="BE37" i="79"/>
  <c r="BC37" i="79"/>
  <c r="BG37" i="79"/>
  <c r="BE25" i="79"/>
  <c r="BC25" i="79"/>
  <c r="BG25" i="79"/>
  <c r="BH26" i="79"/>
  <c r="BF26" i="79"/>
  <c r="BD26" i="79"/>
  <c r="BG32" i="79"/>
  <c r="BE32" i="79"/>
  <c r="BC32" i="79"/>
  <c r="BD37" i="79"/>
  <c r="BH37" i="79"/>
  <c r="BF37" i="79"/>
  <c r="BD25" i="79"/>
  <c r="BH25" i="79"/>
  <c r="BF25" i="79"/>
  <c r="BE35" i="79"/>
  <c r="BC35" i="79"/>
  <c r="BG35" i="79"/>
  <c r="BE23" i="79"/>
  <c r="BC23" i="79"/>
  <c r="BG23" i="79"/>
  <c r="BH36" i="79"/>
  <c r="BF36" i="79"/>
  <c r="BD36" i="79"/>
  <c r="BH24" i="79"/>
  <c r="BF24" i="79"/>
  <c r="BD24" i="79"/>
  <c r="BG30" i="79"/>
  <c r="BE30" i="79"/>
  <c r="BC30" i="79"/>
  <c r="BD35" i="79"/>
  <c r="BH35" i="79"/>
  <c r="BF35" i="79"/>
  <c r="BD23" i="79"/>
  <c r="BH23" i="79"/>
  <c r="BF23" i="79"/>
  <c r="BE33" i="79"/>
  <c r="BC33" i="79"/>
  <c r="BG33" i="79"/>
  <c r="BE21" i="79"/>
  <c r="BC21" i="79"/>
  <c r="BG21" i="79"/>
  <c r="BH34" i="79"/>
  <c r="BF34" i="79"/>
  <c r="BD34" i="79"/>
  <c r="BH22" i="79"/>
  <c r="BF22" i="79"/>
  <c r="BD22" i="79"/>
  <c r="BG28" i="79"/>
  <c r="BE28" i="79"/>
  <c r="BC28" i="79"/>
  <c r="BD33" i="79"/>
  <c r="BH33" i="79"/>
  <c r="BF33" i="79"/>
  <c r="BD21" i="79"/>
  <c r="BH21" i="79"/>
  <c r="BF21" i="79"/>
  <c r="BE31" i="79"/>
  <c r="BC31" i="79"/>
  <c r="BG31" i="79"/>
  <c r="BE20" i="79"/>
  <c r="BC20" i="79"/>
  <c r="BG20" i="79"/>
  <c r="AG63" i="79"/>
  <c r="AF63" i="79"/>
  <c r="AE63" i="79"/>
  <c r="AB78" i="79" s="1"/>
  <c r="J73" i="75"/>
  <c r="G73" i="75"/>
  <c r="H73" i="75" s="1"/>
  <c r="AY34" i="79"/>
  <c r="AW34" i="79"/>
  <c r="AV34" i="79"/>
  <c r="AX34" i="79"/>
  <c r="AW22" i="79"/>
  <c r="AY22" i="79"/>
  <c r="AY35" i="79"/>
  <c r="AW35" i="79"/>
  <c r="AX37" i="79"/>
  <c r="AV37" i="79"/>
  <c r="AY25" i="79"/>
  <c r="AW25" i="79"/>
  <c r="AY32" i="79"/>
  <c r="AW32" i="79"/>
  <c r="AV32" i="79"/>
  <c r="AX32" i="79"/>
  <c r="AV28" i="79"/>
  <c r="AX28" i="79"/>
  <c r="AY33" i="79"/>
  <c r="AW33" i="79"/>
  <c r="AX35" i="79"/>
  <c r="AV35" i="79"/>
  <c r="AY23" i="79"/>
  <c r="AW23" i="79"/>
  <c r="AY30" i="79"/>
  <c r="AW30" i="79"/>
  <c r="AV14" i="79" s="1"/>
  <c r="AW14" i="79" s="1"/>
  <c r="AV30" i="79"/>
  <c r="AX30" i="79"/>
  <c r="AV10" i="79" s="1"/>
  <c r="AV26" i="79"/>
  <c r="AX26" i="79"/>
  <c r="AY31" i="79"/>
  <c r="AW31" i="79"/>
  <c r="AX33" i="79"/>
  <c r="AV33" i="79"/>
  <c r="AX21" i="79"/>
  <c r="AV21" i="79"/>
  <c r="AX25" i="79"/>
  <c r="AV25" i="79"/>
  <c r="AX23" i="79"/>
  <c r="AV23" i="79"/>
  <c r="AW28" i="79"/>
  <c r="AY28" i="79"/>
  <c r="AV24" i="79"/>
  <c r="AX24" i="79"/>
  <c r="AY29" i="79"/>
  <c r="AW29" i="79"/>
  <c r="AX31" i="79"/>
  <c r="AV31" i="79"/>
  <c r="AX20" i="79"/>
  <c r="AV20" i="79"/>
  <c r="AW26" i="79"/>
  <c r="AY26" i="79"/>
  <c r="AV22" i="79"/>
  <c r="AX22" i="79"/>
  <c r="AY21" i="79"/>
  <c r="AW21" i="79"/>
  <c r="AX29" i="79"/>
  <c r="AV29" i="79"/>
  <c r="AY36" i="79"/>
  <c r="AW36" i="79"/>
  <c r="AV36" i="79"/>
  <c r="AX36" i="79"/>
  <c r="AW24" i="79"/>
  <c r="AY24" i="79"/>
  <c r="AY37" i="79"/>
  <c r="AW37" i="79"/>
  <c r="AY20" i="79"/>
  <c r="AV16" i="79" s="1"/>
  <c r="AW20" i="79"/>
  <c r="AY27" i="79"/>
  <c r="AW27" i="79"/>
  <c r="AX27" i="79"/>
  <c r="X124" i="80"/>
  <c r="X128" i="80"/>
  <c r="U105" i="80"/>
  <c r="X126" i="80"/>
  <c r="R136" i="80"/>
  <c r="X123" i="80"/>
  <c r="X122" i="80"/>
  <c r="X127" i="80"/>
  <c r="X121" i="80"/>
  <c r="X125" i="80"/>
  <c r="V105" i="80"/>
  <c r="U79" i="80"/>
  <c r="T52" i="80"/>
  <c r="T17" i="80"/>
  <c r="T22" i="80"/>
  <c r="T21" i="80"/>
  <c r="T47" i="80"/>
  <c r="T20" i="80"/>
  <c r="T18" i="80"/>
  <c r="T45" i="80"/>
  <c r="P45" i="80" s="1"/>
  <c r="T16" i="80"/>
  <c r="T19" i="80"/>
  <c r="T49" i="80"/>
  <c r="AR29" i="79"/>
  <c r="AP34" i="79"/>
  <c r="AR34" i="79"/>
  <c r="AR37" i="79"/>
  <c r="AR25" i="79"/>
  <c r="AP25" i="79"/>
  <c r="AO23" i="79"/>
  <c r="AQ23" i="79"/>
  <c r="AP30" i="79"/>
  <c r="AR30" i="79"/>
  <c r="AP33" i="79"/>
  <c r="AP26" i="79"/>
  <c r="AR26" i="79"/>
  <c r="AQ26" i="79"/>
  <c r="AO26" i="79"/>
  <c r="AQ29" i="79"/>
  <c r="AO29" i="79"/>
  <c r="AR33" i="79"/>
  <c r="AQ35" i="79"/>
  <c r="AO35" i="79"/>
  <c r="AR23" i="79"/>
  <c r="AP23" i="79"/>
  <c r="AO32" i="79"/>
  <c r="AQ32" i="79"/>
  <c r="AP24" i="79"/>
  <c r="AR24" i="79"/>
  <c r="AQ24" i="79"/>
  <c r="AO24" i="79"/>
  <c r="AQ33" i="79"/>
  <c r="AO33" i="79"/>
  <c r="AQ21" i="79"/>
  <c r="AO21" i="79"/>
  <c r="AP37" i="79"/>
  <c r="AI15" i="79" s="1"/>
  <c r="AJ15" i="79" s="1"/>
  <c r="AP31" i="79"/>
  <c r="AP22" i="79"/>
  <c r="AR22" i="79"/>
  <c r="AQ22" i="79"/>
  <c r="AO22" i="79"/>
  <c r="AQ37" i="79"/>
  <c r="AQ31" i="79"/>
  <c r="AO31" i="79"/>
  <c r="AQ20" i="79"/>
  <c r="AP36" i="79"/>
  <c r="AR36" i="79"/>
  <c r="AO36" i="79"/>
  <c r="AQ36" i="79"/>
  <c r="AO30" i="79"/>
  <c r="AQ30" i="79"/>
  <c r="AP21" i="79"/>
  <c r="AR35" i="79"/>
  <c r="AR21" i="79"/>
  <c r="AO27" i="79"/>
  <c r="AQ27" i="79"/>
  <c r="AP35" i="79"/>
  <c r="AP29" i="79"/>
  <c r="AR27" i="79"/>
  <c r="AP27" i="79"/>
  <c r="AO25" i="79"/>
  <c r="AQ25" i="79"/>
  <c r="AP32" i="79"/>
  <c r="AR32" i="79"/>
  <c r="AO34" i="79"/>
  <c r="AQ34" i="79"/>
  <c r="AP28" i="79"/>
  <c r="AR28" i="79"/>
  <c r="AQ28" i="79"/>
  <c r="AO28" i="79"/>
  <c r="AR31" i="79"/>
  <c r="AR20" i="79"/>
  <c r="AJ23" i="79"/>
  <c r="AB43" i="79" s="1"/>
  <c r="AG23" i="79"/>
  <c r="AF103" i="79"/>
  <c r="AB118" i="79"/>
  <c r="AG106" i="79"/>
  <c r="AB120" i="79" s="1"/>
  <c r="AH103" i="79"/>
  <c r="AG103" i="79"/>
  <c r="AI63" i="79"/>
  <c r="AB82" i="79" s="1"/>
  <c r="BH12" i="79"/>
  <c r="BI12" i="79" s="1"/>
  <c r="AI7" i="79"/>
  <c r="AJ7" i="79" s="1"/>
  <c r="AI13" i="79"/>
  <c r="AJ13" i="79" s="1"/>
  <c r="AV12" i="79"/>
  <c r="AW12" i="79" s="1"/>
  <c r="BH6" i="79"/>
  <c r="BI6" i="79" s="1"/>
  <c r="AV8" i="79"/>
  <c r="AW8" i="79" s="1"/>
  <c r="AV6" i="79"/>
  <c r="AW6" i="79" s="1"/>
  <c r="AH62" i="79"/>
  <c r="AG65" i="79"/>
  <c r="AB73" i="79" s="1"/>
  <c r="AG62" i="79"/>
  <c r="AE62" i="79"/>
  <c r="AF62" i="79"/>
  <c r="AH22" i="79"/>
  <c r="AG25" i="79"/>
  <c r="AB33" i="79" s="1"/>
  <c r="AG22" i="79"/>
  <c r="AE22" i="79"/>
  <c r="AF22" i="79"/>
  <c r="AF102" i="79"/>
  <c r="AH102" i="79"/>
  <c r="AG105" i="79"/>
  <c r="AB113" i="79" s="1"/>
  <c r="AG102" i="79"/>
  <c r="AG26" i="79"/>
  <c r="AB40" i="79" s="1"/>
  <c r="T51" i="80"/>
  <c r="T53" i="80"/>
  <c r="T50" i="80"/>
  <c r="P50" i="80" s="1"/>
  <c r="W64" i="80" s="1"/>
  <c r="T48" i="80"/>
  <c r="P48" i="80" s="1"/>
  <c r="T46" i="80"/>
  <c r="P46" i="80" s="1"/>
  <c r="T23" i="80"/>
  <c r="X4" i="80" s="1"/>
  <c r="AI17" i="79" l="1"/>
  <c r="R56" i="74"/>
  <c r="BQ24" i="75"/>
  <c r="BR22" i="75"/>
  <c r="BR23" i="75"/>
  <c r="BU57" i="75" s="1"/>
  <c r="BQ22" i="75"/>
  <c r="S52" i="72"/>
  <c r="T46" i="72"/>
  <c r="R56" i="72" s="1"/>
  <c r="R62" i="72" s="1"/>
  <c r="P115" i="72"/>
  <c r="W93" i="72" s="1"/>
  <c r="BQ21" i="75"/>
  <c r="R59" i="74"/>
  <c r="W84" i="84"/>
  <c r="W83" i="84"/>
  <c r="U87" i="80"/>
  <c r="W86" i="80" s="1"/>
  <c r="W68" i="84"/>
  <c r="W67" i="84"/>
  <c r="H38" i="82"/>
  <c r="U48" i="84"/>
  <c r="U49" i="84" s="1"/>
  <c r="V48" i="84" s="1"/>
  <c r="V62" i="84"/>
  <c r="V78" i="84"/>
  <c r="V51" i="84"/>
  <c r="V52" i="84"/>
  <c r="V53" i="84" s="1"/>
  <c r="W52" i="84" s="1"/>
  <c r="U52" i="80"/>
  <c r="U49" i="80"/>
  <c r="U47" i="80"/>
  <c r="R24" i="80"/>
  <c r="P49" i="80"/>
  <c r="W62" i="80" s="1"/>
  <c r="U51" i="80"/>
  <c r="U48" i="80"/>
  <c r="S24" i="80"/>
  <c r="X8" i="80" s="1"/>
  <c r="U45" i="80"/>
  <c r="U46" i="80"/>
  <c r="U50" i="80"/>
  <c r="P51" i="80"/>
  <c r="P52" i="80"/>
  <c r="P47" i="80"/>
  <c r="U51" i="74"/>
  <c r="V51" i="74" s="1"/>
  <c r="Z80" i="74"/>
  <c r="Z79" i="74"/>
  <c r="U50" i="74"/>
  <c r="V50" i="74" s="1"/>
  <c r="P112" i="74"/>
  <c r="P111" i="74"/>
  <c r="Y93" i="74" s="1"/>
  <c r="AD93" i="74"/>
  <c r="AB93" i="74"/>
  <c r="T44" i="74"/>
  <c r="S49" i="74"/>
  <c r="R62" i="74"/>
  <c r="T49" i="74"/>
  <c r="S44" i="74"/>
  <c r="W49" i="74"/>
  <c r="X44" i="74"/>
  <c r="X49" i="74"/>
  <c r="W44" i="74"/>
  <c r="P99" i="74"/>
  <c r="Q99" i="74" s="1"/>
  <c r="T93" i="74"/>
  <c r="P98" i="74"/>
  <c r="V93" i="74"/>
  <c r="Z71" i="74"/>
  <c r="Q51" i="74"/>
  <c r="R51" i="74" s="1"/>
  <c r="Z70" i="74"/>
  <c r="Q50" i="74"/>
  <c r="R50" i="74" s="1"/>
  <c r="R107" i="72"/>
  <c r="Z79" i="72"/>
  <c r="U50" i="72"/>
  <c r="V50" i="72" s="1"/>
  <c r="U52" i="72"/>
  <c r="V52" i="72" s="1"/>
  <c r="Z81" i="72"/>
  <c r="BH14" i="79"/>
  <c r="BI14" i="79" s="1"/>
  <c r="D94" i="75"/>
  <c r="D84" i="75"/>
  <c r="AA33" i="82"/>
  <c r="Q52" i="72"/>
  <c r="R52" i="72" s="1"/>
  <c r="Z72" i="72"/>
  <c r="Z71" i="72"/>
  <c r="Q51" i="72"/>
  <c r="R51" i="72" s="1"/>
  <c r="R104" i="72"/>
  <c r="R110" i="72" s="1"/>
  <c r="R59" i="72"/>
  <c r="W44" i="72"/>
  <c r="O100" i="72"/>
  <c r="T49" i="72"/>
  <c r="S44" i="72"/>
  <c r="S49" i="72"/>
  <c r="T44" i="72"/>
  <c r="Z70" i="72"/>
  <c r="Q50" i="72"/>
  <c r="R50" i="72" s="1"/>
  <c r="AY2" i="79"/>
  <c r="AS128" i="80"/>
  <c r="AT128" i="80" s="1"/>
  <c r="AD174" i="80"/>
  <c r="Y174" i="80"/>
  <c r="Y170" i="80"/>
  <c r="AD170" i="80"/>
  <c r="BH10" i="79"/>
  <c r="BH8" i="79"/>
  <c r="AI11" i="79"/>
  <c r="AI9" i="79"/>
  <c r="AS125" i="80"/>
  <c r="AT125" i="80" s="1"/>
  <c r="AN132" i="80"/>
  <c r="AN128" i="80"/>
  <c r="AR91" i="80"/>
  <c r="AS91" i="80" s="1"/>
  <c r="AR88" i="80"/>
  <c r="AS88" i="80" s="1"/>
  <c r="AU128" i="80"/>
  <c r="AV128" i="80" s="1"/>
  <c r="AU125" i="80"/>
  <c r="AV125" i="80" s="1"/>
  <c r="AT91" i="80"/>
  <c r="AU91" i="80" s="1"/>
  <c r="AT88" i="80"/>
  <c r="AU88" i="80" s="1"/>
  <c r="AM95" i="80"/>
  <c r="AM91" i="80"/>
  <c r="U23" i="80"/>
  <c r="U19" i="80" s="1"/>
  <c r="AB31" i="79"/>
  <c r="AJ103" i="79"/>
  <c r="AB123" i="79" s="1"/>
  <c r="AI103" i="79"/>
  <c r="AB122" i="79" s="1"/>
  <c r="AJ102" i="79"/>
  <c r="AB116" i="79" s="1"/>
  <c r="AI102" i="79"/>
  <c r="AB115" i="79" s="1"/>
  <c r="AJ62" i="79"/>
  <c r="AB76" i="79" s="1"/>
  <c r="AI62" i="79"/>
  <c r="AB75" i="79" s="1"/>
  <c r="AB111" i="79"/>
  <c r="AJ22" i="79"/>
  <c r="AB36" i="79" s="1"/>
  <c r="AI22" i="79"/>
  <c r="AB35" i="79" s="1"/>
  <c r="AB71" i="79"/>
  <c r="BU59" i="75" l="1"/>
  <c r="BV57" i="75"/>
  <c r="R107" i="74"/>
  <c r="Z45" i="84"/>
  <c r="BU53" i="75"/>
  <c r="BU46" i="75"/>
  <c r="BU42" i="75"/>
  <c r="AA177" i="80"/>
  <c r="U18" i="80"/>
  <c r="V18" i="80" s="1"/>
  <c r="X6" i="80" s="1"/>
  <c r="Z1" i="80" s="1"/>
  <c r="AN135" i="80"/>
  <c r="U79" i="84"/>
  <c r="V79" i="84" s="1"/>
  <c r="Z80" i="84" s="1"/>
  <c r="U63" i="84"/>
  <c r="V63" i="84" s="1"/>
  <c r="Z63" i="84" s="1"/>
  <c r="Q98" i="74"/>
  <c r="R93" i="74"/>
  <c r="R104" i="74" s="1"/>
  <c r="R110" i="74" s="1"/>
  <c r="BI8" i="79"/>
  <c r="BL2" i="79" s="1"/>
  <c r="AX86" i="80"/>
  <c r="AJ9" i="79"/>
  <c r="AL4" i="79" s="1"/>
  <c r="AG177" i="80"/>
  <c r="AS130" i="80"/>
  <c r="AU130" i="80"/>
  <c r="AR90" i="80"/>
  <c r="AS127" i="80"/>
  <c r="AT90" i="80"/>
  <c r="AR93" i="80"/>
  <c r="AU127" i="80"/>
  <c r="AT93" i="80"/>
  <c r="AE29" i="79"/>
  <c r="AE109" i="79"/>
  <c r="AE69" i="79"/>
  <c r="V49" i="80"/>
  <c r="BU48" i="75" l="1"/>
  <c r="BV46" i="75"/>
  <c r="BU55" i="75"/>
  <c r="BV53" i="75"/>
  <c r="BV42" i="75"/>
  <c r="BU44" i="75"/>
  <c r="BS41" i="75"/>
  <c r="AN137" i="80"/>
  <c r="W59" i="80"/>
  <c r="Y57" i="80" s="1"/>
  <c r="AX92" i="80"/>
  <c r="BZ37" i="75" l="1"/>
</calcChain>
</file>

<file path=xl/sharedStrings.xml><?xml version="1.0" encoding="utf-8"?>
<sst xmlns="http://schemas.openxmlformats.org/spreadsheetml/2006/main" count="3935" uniqueCount="730">
  <si>
    <t xml:space="preserve">13 - Fabricação de têxteis </t>
  </si>
  <si>
    <t>CAE-Rev. 3</t>
  </si>
  <si>
    <r>
      <t>CAE-Rev. 3</t>
    </r>
    <r>
      <rPr>
        <b/>
        <vertAlign val="superscript"/>
        <sz val="8"/>
        <rFont val="Arial"/>
        <family val="2"/>
      </rPr>
      <t xml:space="preserve"> </t>
    </r>
  </si>
  <si>
    <r>
      <t xml:space="preserve">     </t>
    </r>
    <r>
      <rPr>
        <b/>
        <sz val="8"/>
        <rFont val="Arial"/>
        <family val="2"/>
      </rPr>
      <t xml:space="preserve">   (1) </t>
    </r>
    <r>
      <rPr>
        <sz val="8"/>
        <rFont val="Arial"/>
        <family val="2"/>
      </rPr>
      <t>dos trabalhadores por conta de outrem a tempo completo, que auferiram remuneração completa no período de referência.</t>
    </r>
  </si>
  <si>
    <r>
      <t xml:space="preserve">(1) </t>
    </r>
    <r>
      <rPr>
        <sz val="8"/>
        <rFont val="Arial"/>
        <family val="2"/>
      </rPr>
      <t>dos trabalhadores por conta de outrem a tempo completo, que auferiram remuneração completa no período de referência.</t>
    </r>
  </si>
  <si>
    <r>
      <t xml:space="preserve">        </t>
    </r>
    <r>
      <rPr>
        <b/>
        <sz val="8"/>
        <rFont val="Arial"/>
        <family val="2"/>
      </rPr>
      <t xml:space="preserve">(1) </t>
    </r>
    <r>
      <rPr>
        <sz val="8"/>
        <rFont val="Arial"/>
        <family val="2"/>
      </rPr>
      <t xml:space="preserve">dos trabalhadores por conta de outrem a tempo completo, que auferiram remuneração completa no período de referência. </t>
    </r>
  </si>
  <si>
    <r>
      <t xml:space="preserve">        </t>
    </r>
    <r>
      <rPr>
        <b/>
        <sz val="8"/>
        <rFont val="Arial"/>
        <family val="2"/>
      </rPr>
      <t xml:space="preserve">(1) </t>
    </r>
    <r>
      <rPr>
        <sz val="8"/>
        <rFont val="Arial"/>
        <family val="2"/>
      </rPr>
      <t>dos trabalhadores por conta de outrem a tempo completo, que auferiram remuneração completa no período de referência.</t>
    </r>
  </si>
  <si>
    <r>
      <t xml:space="preserve">    </t>
    </r>
    <r>
      <rPr>
        <b/>
        <sz val="8"/>
        <rFont val="Arial"/>
        <family val="2"/>
      </rPr>
      <t xml:space="preserve">   (1) </t>
    </r>
    <r>
      <rPr>
        <sz val="8"/>
        <rFont val="Arial"/>
        <family val="2"/>
      </rPr>
      <t>dos trabalhadores por conta de outrem a tempo completo, que auferiram remuneração completa no período de referência.</t>
    </r>
  </si>
  <si>
    <r>
      <t xml:space="preserve">    </t>
    </r>
    <r>
      <rPr>
        <b/>
        <sz val="8"/>
        <rFont val="Arial"/>
        <family val="2"/>
      </rPr>
      <t xml:space="preserve">    (1) </t>
    </r>
    <r>
      <rPr>
        <sz val="8"/>
        <rFont val="Arial"/>
        <family val="2"/>
      </rPr>
      <t>dos trabalhadores por conta de outrem a tempo completo, que auferiram remuneração completa no período de referência.</t>
    </r>
  </si>
  <si>
    <r>
      <t xml:space="preserve">      </t>
    </r>
    <r>
      <rPr>
        <b/>
        <sz val="8"/>
        <rFont val="Arial"/>
        <family val="2"/>
      </rPr>
      <t xml:space="preserve">  (2) </t>
    </r>
    <r>
      <rPr>
        <sz val="8"/>
        <rFont val="Arial"/>
        <family val="2"/>
      </rPr>
      <t xml:space="preserve">intrumentos em vigor, classificados de acordo com a sua natureza inicial.  </t>
    </r>
  </si>
  <si>
    <t>I</t>
  </si>
  <si>
    <t>ÍNDICE DE QUADROS</t>
  </si>
  <si>
    <t>Total</t>
  </si>
  <si>
    <t>Ignorado</t>
  </si>
  <si>
    <t>Continente</t>
  </si>
  <si>
    <t>Aveiro</t>
  </si>
  <si>
    <t>Beja</t>
  </si>
  <si>
    <t>Bragança</t>
  </si>
  <si>
    <t>Castelo Branco</t>
  </si>
  <si>
    <t>Coimbra</t>
  </si>
  <si>
    <t>Évora</t>
  </si>
  <si>
    <t>Faro</t>
  </si>
  <si>
    <t>Guarda</t>
  </si>
  <si>
    <t>Leiria</t>
  </si>
  <si>
    <t>Lisboa</t>
  </si>
  <si>
    <t>Portalegre</t>
  </si>
  <si>
    <t>Porto</t>
  </si>
  <si>
    <t>Santarém</t>
  </si>
  <si>
    <t>Setúbal</t>
  </si>
  <si>
    <t>Viana do Castelo</t>
  </si>
  <si>
    <t>Vila Real</t>
  </si>
  <si>
    <t>Viseu</t>
  </si>
  <si>
    <t>1-4 pessoas</t>
  </si>
  <si>
    <t>5-9 pessoas</t>
  </si>
  <si>
    <t>10-19 pessoas</t>
  </si>
  <si>
    <t>20-49 pessoas</t>
  </si>
  <si>
    <t>50-99 pessoas</t>
  </si>
  <si>
    <t>100-149 pessoas</t>
  </si>
  <si>
    <t>150-199 pessoas</t>
  </si>
  <si>
    <t>200-249 pessoas</t>
  </si>
  <si>
    <t>250-499 pessoas</t>
  </si>
  <si>
    <t>500-999 pessoas</t>
  </si>
  <si>
    <r>
      <t xml:space="preserve">Continente </t>
    </r>
    <r>
      <rPr>
        <sz val="8"/>
        <rFont val="Arial"/>
        <family val="2"/>
      </rPr>
      <t xml:space="preserve"> </t>
    </r>
  </si>
  <si>
    <r>
      <t xml:space="preserve"> </t>
    </r>
    <r>
      <rPr>
        <b/>
        <sz val="8"/>
        <color indexed="8"/>
        <rFont val="Arial"/>
        <family val="2"/>
      </rPr>
      <t xml:space="preserve">Total </t>
    </r>
    <r>
      <rPr>
        <sz val="8"/>
        <rFont val="Arial"/>
        <family val="2"/>
      </rPr>
      <t xml:space="preserve"> </t>
    </r>
  </si>
  <si>
    <t>Acordo de Empresa (AE)</t>
  </si>
  <si>
    <t>T</t>
  </si>
  <si>
    <t xml:space="preserve">H </t>
  </si>
  <si>
    <t xml:space="preserve">M </t>
  </si>
  <si>
    <t>Quadros superiores</t>
  </si>
  <si>
    <t>Quadros médios</t>
  </si>
  <si>
    <t>Profissionais qualificados</t>
  </si>
  <si>
    <t>Profissionais não qualificados</t>
  </si>
  <si>
    <t>Praticantes e aprendizes</t>
  </si>
  <si>
    <t>H</t>
  </si>
  <si>
    <t>M</t>
  </si>
  <si>
    <t>&lt; 18 anos</t>
  </si>
  <si>
    <t>18-24 anos</t>
  </si>
  <si>
    <t>25-29 anos</t>
  </si>
  <si>
    <t>30-34 anos</t>
  </si>
  <si>
    <t>35-39 anos</t>
  </si>
  <si>
    <t>40-44 anos</t>
  </si>
  <si>
    <t>45-49 anos</t>
  </si>
  <si>
    <t>50-54 anos</t>
  </si>
  <si>
    <t>55-59 anos</t>
  </si>
  <si>
    <t>60-64 anos</t>
  </si>
  <si>
    <t>65 e + anos</t>
  </si>
  <si>
    <t>Braga</t>
  </si>
  <si>
    <t>65 e mais anos</t>
  </si>
  <si>
    <t>Euros</t>
  </si>
  <si>
    <t>Profis. altam. qualificados</t>
  </si>
  <si>
    <t>Encar. contram. mest.e chefes</t>
  </si>
  <si>
    <t>Profis. semi-qualificados</t>
  </si>
  <si>
    <t>1 000 e + pessoas</t>
  </si>
  <si>
    <t>A</t>
  </si>
  <si>
    <t>B</t>
  </si>
  <si>
    <t>C</t>
  </si>
  <si>
    <t>D</t>
  </si>
  <si>
    <t>E</t>
  </si>
  <si>
    <t>F</t>
  </si>
  <si>
    <t>Construção</t>
  </si>
  <si>
    <t>G</t>
  </si>
  <si>
    <t>J</t>
  </si>
  <si>
    <t>K</t>
  </si>
  <si>
    <t>L</t>
  </si>
  <si>
    <t>Educação</t>
  </si>
  <si>
    <t>N</t>
  </si>
  <si>
    <t>O</t>
  </si>
  <si>
    <t>Q</t>
  </si>
  <si>
    <t>10 - Indústrias alimentares</t>
  </si>
  <si>
    <t>11 - Indústria das bebidas</t>
  </si>
  <si>
    <t>12 - Indústria do tabaco</t>
  </si>
  <si>
    <t>14 - Indústria do vestuário</t>
  </si>
  <si>
    <t>24 - Indústrias metalúrgicas de base</t>
  </si>
  <si>
    <t>Transportes e armazenagem</t>
  </si>
  <si>
    <t>P</t>
  </si>
  <si>
    <t>R</t>
  </si>
  <si>
    <t>S</t>
  </si>
  <si>
    <t>U</t>
  </si>
  <si>
    <r>
      <t xml:space="preserve"> </t>
    </r>
    <r>
      <rPr>
        <b/>
        <sz val="8"/>
        <rFont val="Arial"/>
        <family val="2"/>
      </rPr>
      <t xml:space="preserve">         (1)</t>
    </r>
    <r>
      <rPr>
        <sz val="8"/>
        <rFont val="Arial"/>
        <family val="2"/>
      </rPr>
      <t xml:space="preserve"> Instrumentos em vigor, classificados de acordo com a sua natureza inicial.  </t>
    </r>
  </si>
  <si>
    <r>
      <t xml:space="preserve">      </t>
    </r>
    <r>
      <rPr>
        <b/>
        <sz val="8"/>
        <rFont val="Arial"/>
        <family val="2"/>
      </rPr>
      <t xml:space="preserve">  (1)</t>
    </r>
    <r>
      <rPr>
        <sz val="8"/>
        <rFont val="Arial"/>
        <family val="2"/>
      </rPr>
      <t xml:space="preserve"> dos trabalhadores por conta de outrem a tempo completo, que auferiram remuneração completa no período de referência.</t>
    </r>
  </si>
  <si>
    <r>
      <t xml:space="preserve">      </t>
    </r>
    <r>
      <rPr>
        <b/>
        <sz val="8"/>
        <rFont val="Arial"/>
        <family val="2"/>
      </rPr>
      <t xml:space="preserve"> (1)</t>
    </r>
    <r>
      <rPr>
        <sz val="8"/>
        <rFont val="Arial"/>
        <family val="2"/>
      </rPr>
      <t xml:space="preserve"> dos trabalhadores por conta de outrem a tempo completo, que auferiram remuneração completa no período de referência.</t>
    </r>
  </si>
  <si>
    <t>Indústrias transformadoras</t>
  </si>
  <si>
    <t>Indústrias extrativas</t>
  </si>
  <si>
    <t>Atividades imobiliárias</t>
  </si>
  <si>
    <t>Outras atividades de serviços</t>
  </si>
  <si>
    <t xml:space="preserve">Quadro 1 - Empresas por atividade económica </t>
  </si>
  <si>
    <t>1.º decil</t>
  </si>
  <si>
    <t>2.º decil</t>
  </si>
  <si>
    <t>3.º decil</t>
  </si>
  <si>
    <t>4.º decil</t>
  </si>
  <si>
    <t>5.º decil</t>
  </si>
  <si>
    <t>6.º decil</t>
  </si>
  <si>
    <t>7.º decil</t>
  </si>
  <si>
    <t>8.º decil</t>
  </si>
  <si>
    <t>9.º decil</t>
  </si>
  <si>
    <t>10.º decil</t>
  </si>
  <si>
    <t>Homens</t>
  </si>
  <si>
    <t>Mulheres</t>
  </si>
  <si>
    <t>&lt; RMMG</t>
  </si>
  <si>
    <t xml:space="preserve"> = RMMG</t>
  </si>
  <si>
    <t>percentagem</t>
  </si>
  <si>
    <r>
      <t>Ganho mensal mediano</t>
    </r>
    <r>
      <rPr>
        <sz val="7"/>
        <rFont val="Arial"/>
        <family val="2"/>
      </rPr>
      <t xml:space="preserve"> (euros)</t>
    </r>
  </si>
  <si>
    <r>
      <t>Ganho mensal - média por decil</t>
    </r>
    <r>
      <rPr>
        <sz val="7"/>
        <rFont val="Arial"/>
        <family val="2"/>
      </rPr>
      <t xml:space="preserve"> (euros)</t>
    </r>
  </si>
  <si>
    <r>
      <t xml:space="preserve">   Incidência de baixos salários</t>
    </r>
    <r>
      <rPr>
        <sz val="7"/>
        <rFont val="Arial"/>
        <family val="2"/>
      </rPr>
      <t xml:space="preserve"> (%)</t>
    </r>
  </si>
  <si>
    <t>Trabalhadores por conta de outrem</t>
  </si>
  <si>
    <r>
      <t>Limiar de baixos salários</t>
    </r>
    <r>
      <rPr>
        <b/>
        <vertAlign val="superscript"/>
        <sz val="8"/>
        <rFont val="Arial"/>
        <family val="2"/>
      </rPr>
      <t xml:space="preserve"> (2) </t>
    </r>
    <r>
      <rPr>
        <sz val="7"/>
        <rFont val="Arial"/>
        <family val="2"/>
      </rPr>
      <t>(euros)</t>
    </r>
  </si>
  <si>
    <t>Contrato Colectivo de Trabalho (CCT)</t>
  </si>
  <si>
    <t>Acordo Colectivo de Trabalho (ACT)</t>
  </si>
  <si>
    <r>
      <t xml:space="preserve">    (1)</t>
    </r>
    <r>
      <rPr>
        <sz val="8"/>
        <rFont val="Arial"/>
        <family val="2"/>
      </rPr>
      <t xml:space="preserve"> trabalhadores por conta de outrem a tempo completo, que auferiram remuneração completa no período de referência.</t>
    </r>
  </si>
  <si>
    <r>
      <t xml:space="preserve">    (1) </t>
    </r>
    <r>
      <rPr>
        <sz val="8"/>
        <rFont val="Arial"/>
        <family val="2"/>
      </rPr>
      <t>trabalhadores por conta de outrem a tempo completo, que auferiram remuneração completa no período de referência.</t>
    </r>
  </si>
  <si>
    <r>
      <t xml:space="preserve">      (1) </t>
    </r>
    <r>
      <rPr>
        <sz val="8"/>
        <rFont val="Arial"/>
        <family val="2"/>
      </rPr>
      <t>dos trabalhadores por conta de outrem a tempo completo, que auferiram remuneração completa no período de referência.</t>
    </r>
  </si>
  <si>
    <r>
      <t xml:space="preserve">      </t>
    </r>
    <r>
      <rPr>
        <b/>
        <sz val="8"/>
        <rFont val="Arial"/>
        <family val="2"/>
      </rPr>
      <t>(1)</t>
    </r>
    <r>
      <rPr>
        <sz val="8"/>
        <rFont val="Arial"/>
        <family val="2"/>
      </rPr>
      <t xml:space="preserve"> dos trabalhadores por conta de outrem a tempo completo, que auferiram remuneração completa no período de referência.</t>
    </r>
  </si>
  <si>
    <r>
      <rPr>
        <b/>
        <sz val="8"/>
        <rFont val="Arial"/>
        <family val="2"/>
      </rPr>
      <t xml:space="preserve"> (1)</t>
    </r>
    <r>
      <rPr>
        <sz val="8"/>
        <rFont val="Arial"/>
        <family val="2"/>
      </rPr>
      <t xml:space="preserve"> dos trabalhadores por conta de outrem a tempo completo, que auferiram remuneração completa no período de referência.</t>
    </r>
  </si>
  <si>
    <r>
      <t xml:space="preserve">    </t>
    </r>
    <r>
      <rPr>
        <b/>
        <sz val="8"/>
        <rFont val="Arial"/>
        <family val="2"/>
      </rPr>
      <t xml:space="preserve"> (1)</t>
    </r>
    <r>
      <rPr>
        <sz val="8"/>
        <rFont val="Arial"/>
        <family val="2"/>
      </rPr>
      <t xml:space="preserve"> dos trabalhadores por conta de outrem a tempo completo, que auferiram remuneração completa no período de referência.</t>
    </r>
  </si>
  <si>
    <r>
      <t xml:space="preserve">    </t>
    </r>
    <r>
      <rPr>
        <b/>
        <sz val="8"/>
        <rFont val="Arial"/>
        <family val="2"/>
      </rPr>
      <t xml:space="preserve"> (2) </t>
    </r>
    <r>
      <rPr>
        <sz val="8"/>
        <rFont val="Arial"/>
        <family val="2"/>
      </rPr>
      <t xml:space="preserve">instrumentos em vigor, classificados de acordo com a sua natureza inicial.  </t>
    </r>
  </si>
  <si>
    <t>Introdução</t>
  </si>
  <si>
    <t>Conceitos</t>
  </si>
  <si>
    <t>Nomenclaturas</t>
  </si>
  <si>
    <r>
      <t xml:space="preserve">Fonte: </t>
    </r>
    <r>
      <rPr>
        <sz val="8"/>
        <rFont val="Arial"/>
        <family val="2"/>
      </rPr>
      <t>GEP/MTSSS, Quadros de Pessoal.</t>
    </r>
  </si>
  <si>
    <r>
      <t>Fonte:</t>
    </r>
    <r>
      <rPr>
        <sz val="8"/>
        <rFont val="Arial"/>
        <family val="2"/>
      </rPr>
      <t xml:space="preserve"> GEP/MTSSS, Quadros de Pessoal.</t>
    </r>
  </si>
  <si>
    <r>
      <t xml:space="preserve">Fonte: </t>
    </r>
    <r>
      <rPr>
        <sz val="8"/>
        <rFont val="Arial"/>
        <family val="2"/>
      </rPr>
      <t>GEP/MTSSS, Quadros de Pessoal</t>
    </r>
    <r>
      <rPr>
        <b/>
        <sz val="8"/>
        <rFont val="Arial"/>
        <family val="2"/>
      </rPr>
      <t>.</t>
    </r>
  </si>
  <si>
    <t>Ativ. saúde humana e apoio social</t>
  </si>
  <si>
    <t>1000 e + pessoas</t>
  </si>
  <si>
    <r>
      <t xml:space="preserve">      </t>
    </r>
    <r>
      <rPr>
        <b/>
        <sz val="8"/>
        <rFont val="Arial"/>
        <family val="2"/>
      </rPr>
      <t xml:space="preserve"> (2)</t>
    </r>
    <r>
      <rPr>
        <sz val="8"/>
        <rFont val="Arial"/>
        <family val="2"/>
      </rPr>
      <t xml:space="preserve"> considerado como sendo 2/3 da mediana do ganho mensal do Continente, neste exercício.</t>
    </r>
  </si>
  <si>
    <r>
      <t>Portaria de Cond. de Trabalho (PCT)</t>
    </r>
    <r>
      <rPr>
        <b/>
        <vertAlign val="superscript"/>
        <sz val="8"/>
        <rFont val="Arial"/>
        <family val="2"/>
      </rPr>
      <t>(2)</t>
    </r>
  </si>
  <si>
    <r>
      <t>Portaria de Cond. de Trabalho (PCT)</t>
    </r>
    <r>
      <rPr>
        <b/>
        <vertAlign val="superscript"/>
        <sz val="8"/>
        <rFont val="Arial"/>
        <family val="2"/>
      </rPr>
      <t>(3)</t>
    </r>
  </si>
  <si>
    <t>15 - Ind. couro e produtos do couro</t>
  </si>
  <si>
    <t>16 - Ind. madeira. e cortiça. e s. obras</t>
  </si>
  <si>
    <t>17 - Fab. pasta, papel, cartão e s. art.</t>
  </si>
  <si>
    <t>18 - Impressão e rep. sup. gravados</t>
  </si>
  <si>
    <t xml:space="preserve">19 - Fabr. coque, pr. petr. refinados </t>
  </si>
  <si>
    <t>20 - Fab. pr. quím. e fibras sint./artif.</t>
  </si>
  <si>
    <t>22 - Fabr. art. borracha e mat. plásticas</t>
  </si>
  <si>
    <t>27 - Fab. equipamento elétrico</t>
  </si>
  <si>
    <t xml:space="preserve">29 - Fab. veíc. autom., reb., s.-reb. </t>
  </si>
  <si>
    <t>31 - Fabr. mobiliário e de colchões</t>
  </si>
  <si>
    <t>32 - Outras ind. transformadoras</t>
  </si>
  <si>
    <t>25 - Fabr. pr. metál., exc. máq. e eq.</t>
  </si>
  <si>
    <t xml:space="preserve">26 - Fab. equip. inf., equip. p/ com. </t>
  </si>
  <si>
    <t xml:space="preserve">23 - Fabr.outros pr.min. n/ metálicos </t>
  </si>
  <si>
    <t>21 - Fab. pr. farm.  base e  prep. farm.</t>
  </si>
  <si>
    <t>28 - Fab. máq. e equipamentos, n.e.</t>
  </si>
  <si>
    <t>30 - Fabr. outro equip. transporte</t>
  </si>
  <si>
    <t>33 - Repar., manut. inst. máq. e equip.</t>
  </si>
  <si>
    <t>Eletr., gás, ág. quente/fria e ar frio</t>
  </si>
  <si>
    <t>Alojamento, restauração e sim.</t>
  </si>
  <si>
    <t>Ativ. financeiras e de seguros</t>
  </si>
  <si>
    <t>Ativ. artíst., espet., desp. e recr.</t>
  </si>
  <si>
    <t>Ativ. org. int. e o. inst. extra-territ.</t>
  </si>
  <si>
    <t>Ativ. Adm. e serviços de apoio</t>
  </si>
  <si>
    <t xml:space="preserve">Adm. Púb. e defesa; seg. social </t>
  </si>
  <si>
    <t xml:space="preserve">Ativ. Inform. e de comunicação </t>
  </si>
  <si>
    <t>Agr., pr. animal, caça, flor. pesca</t>
  </si>
  <si>
    <t>Capt., trat. e d. água; san., resíd.</t>
  </si>
  <si>
    <t>Com. grosso e ret.; r.v.aut./moto.</t>
  </si>
  <si>
    <t>Ativ. consultoria, cient.,téc. e sim.</t>
  </si>
  <si>
    <t>750,00 - 999,99  €</t>
  </si>
  <si>
    <t>1 000,00 - 1 499,99  €</t>
  </si>
  <si>
    <t>1 500,00 - 2 499,99  €</t>
  </si>
  <si>
    <t>2 500,00 - 3 749,99  €</t>
  </si>
  <si>
    <t>3 750,00 - 4 999,99 €</t>
  </si>
  <si>
    <t>5 000,00 e +  Euros</t>
  </si>
  <si>
    <t>média</t>
  </si>
  <si>
    <t>mediana</t>
  </si>
  <si>
    <t>médio</t>
  </si>
  <si>
    <t>mediano</t>
  </si>
  <si>
    <t>TCO</t>
  </si>
  <si>
    <t>Remuneração base (euros)</t>
  </si>
  <si>
    <t>Remuneração ganho (euros)</t>
  </si>
  <si>
    <r>
      <t xml:space="preserve">Remuneração </t>
    </r>
    <r>
      <rPr>
        <b/>
        <sz val="8"/>
        <color indexed="8"/>
        <rFont val="Arial"/>
        <family val="2"/>
      </rPr>
      <t>base</t>
    </r>
    <r>
      <rPr>
        <sz val="8"/>
        <color indexed="8"/>
        <rFont val="Arial"/>
        <family val="2"/>
      </rPr>
      <t xml:space="preserve"> (euros)</t>
    </r>
  </si>
  <si>
    <r>
      <t>Remuneração</t>
    </r>
    <r>
      <rPr>
        <b/>
        <sz val="8"/>
        <color indexed="8"/>
        <rFont val="Arial"/>
        <family val="2"/>
      </rPr>
      <t xml:space="preserve"> ganho</t>
    </r>
    <r>
      <rPr>
        <sz val="8"/>
        <color indexed="8"/>
        <rFont val="Arial"/>
        <family val="2"/>
      </rPr>
      <t xml:space="preserve"> (euros)</t>
    </r>
  </si>
  <si>
    <t>&lt;1.º ciclo do ensino básico</t>
  </si>
  <si>
    <t>Ensino básico</t>
  </si>
  <si>
    <t>Quadro 2 - Empresas por dimensão</t>
  </si>
  <si>
    <r>
      <t>Quadro 3 -</t>
    </r>
    <r>
      <rPr>
        <sz val="9"/>
        <rFont val="Arial"/>
        <family val="2"/>
      </rPr>
      <t xml:space="preserve"> </t>
    </r>
    <r>
      <rPr>
        <b/>
        <sz val="9"/>
        <color indexed="8"/>
        <rFont val="Arial"/>
        <family val="2"/>
      </rPr>
      <t>Empresas por distrito</t>
    </r>
  </si>
  <si>
    <t>Quadro 4 - Estabelecimentos por atividade económica</t>
  </si>
  <si>
    <t>Quadro 5 - Estabelecimentos por dimensão</t>
  </si>
  <si>
    <t>Quadro 6- Estabelecimentos por distrito</t>
  </si>
  <si>
    <t>Quadro 7 - Pessoas ao serviço nos estabelecimentos por atividade económica</t>
  </si>
  <si>
    <t>Quadro 8 - Pessoas ao serviço nos estabelecimentos por dimensão</t>
  </si>
  <si>
    <t>Quadro 9 - Pessoas ao serviço nos estabelecimentos por distrito</t>
  </si>
  <si>
    <t>Quadro 10 - Trabalhadores por conta de outrem ao serviço nos estabelecimentos por atividade económica</t>
  </si>
  <si>
    <t>Quadro 11 - Trabalhadores por conta de outrem ao serviço nos estabelecimentos por dimensão e sexo</t>
  </si>
  <si>
    <t>Quadro 12 - Trabalhadores por conta de outrem ao serviço nos estabelecimentos por distrito</t>
  </si>
  <si>
    <t>Quadro 13 - Trabalhadores por conta de outrem ao serviço nos estabelecimentos por grupo etário e sexo</t>
  </si>
  <si>
    <t>Quadro 14 - Trabalhadores por conta de outrem ao serviço nos estabelecimentos por nível de qualificação e sexo</t>
  </si>
  <si>
    <r>
      <t xml:space="preserve">Quadro 16 - Trabalhadores por conta de outrem </t>
    </r>
    <r>
      <rPr>
        <b/>
        <vertAlign val="superscript"/>
        <sz val="9"/>
        <rFont val="Arial"/>
        <family val="2"/>
      </rPr>
      <t xml:space="preserve">(1) </t>
    </r>
    <r>
      <rPr>
        <b/>
        <sz val="9"/>
        <rFont val="Arial"/>
        <family val="2"/>
      </rPr>
      <t xml:space="preserve">ao serviço nos estabelecimentos por escalão de remuneração mensal </t>
    </r>
    <r>
      <rPr>
        <b/>
        <u/>
        <sz val="9"/>
        <rFont val="Arial"/>
        <family val="2"/>
      </rPr>
      <t>base</t>
    </r>
    <r>
      <rPr>
        <b/>
        <sz val="9"/>
        <rFont val="Arial"/>
        <family val="2"/>
      </rPr>
      <t xml:space="preserve">
</t>
    </r>
  </si>
  <si>
    <r>
      <t xml:space="preserve">Quadro 17 - Remuneração média mensal </t>
    </r>
    <r>
      <rPr>
        <b/>
        <u/>
        <sz val="9"/>
        <rFont val="Arial"/>
        <family val="2"/>
      </rPr>
      <t>base</t>
    </r>
    <r>
      <rPr>
        <b/>
        <vertAlign val="superscript"/>
        <sz val="9"/>
        <rFont val="Arial"/>
        <family val="2"/>
      </rPr>
      <t>(1)</t>
    </r>
    <r>
      <rPr>
        <b/>
        <sz val="9"/>
        <rFont val="Arial"/>
        <family val="2"/>
      </rPr>
      <t xml:space="preserve"> por atividade económica do estabelecimento</t>
    </r>
  </si>
  <si>
    <r>
      <t>Quadro 18- Remuneração média mensal</t>
    </r>
    <r>
      <rPr>
        <b/>
        <u/>
        <sz val="9"/>
        <rFont val="Arial"/>
        <family val="2"/>
      </rPr>
      <t xml:space="preserve"> base</t>
    </r>
    <r>
      <rPr>
        <b/>
        <vertAlign val="superscript"/>
        <sz val="9"/>
        <rFont val="Arial"/>
        <family val="2"/>
      </rPr>
      <t>(1)</t>
    </r>
    <r>
      <rPr>
        <b/>
        <sz val="9"/>
        <rFont val="Arial"/>
        <family val="2"/>
      </rPr>
      <t xml:space="preserve"> por dimensão do estabelecimento e sexo</t>
    </r>
  </si>
  <si>
    <r>
      <t xml:space="preserve">Quadro 19 - Remuneração média mensal </t>
    </r>
    <r>
      <rPr>
        <b/>
        <u/>
        <sz val="9"/>
        <rFont val="Arial"/>
        <family val="2"/>
      </rPr>
      <t>base</t>
    </r>
    <r>
      <rPr>
        <b/>
        <vertAlign val="superscript"/>
        <sz val="9"/>
        <rFont val="Arial"/>
        <family val="2"/>
      </rPr>
      <t>(1)</t>
    </r>
    <r>
      <rPr>
        <b/>
        <sz val="9"/>
        <rFont val="Arial"/>
        <family val="2"/>
      </rPr>
      <t xml:space="preserve"> por distrito do estabelecimento</t>
    </r>
  </si>
  <si>
    <r>
      <t xml:space="preserve">Quadro 20 - Remuneração média mensal </t>
    </r>
    <r>
      <rPr>
        <b/>
        <u/>
        <sz val="9"/>
        <rFont val="Arial"/>
        <family val="2"/>
      </rPr>
      <t>base</t>
    </r>
    <r>
      <rPr>
        <b/>
        <vertAlign val="superscript"/>
        <sz val="9"/>
        <rFont val="Arial"/>
        <family val="2"/>
      </rPr>
      <t>(1)</t>
    </r>
    <r>
      <rPr>
        <b/>
        <sz val="9"/>
        <rFont val="Arial"/>
        <family val="2"/>
      </rPr>
      <t xml:space="preserve"> por grupo etário e sexo</t>
    </r>
  </si>
  <si>
    <r>
      <t xml:space="preserve">Quadro 21 - Remuneração média mensal </t>
    </r>
    <r>
      <rPr>
        <b/>
        <u/>
        <sz val="9"/>
        <rFont val="Arial"/>
        <family val="2"/>
      </rPr>
      <t>base</t>
    </r>
    <r>
      <rPr>
        <b/>
        <vertAlign val="superscript"/>
        <sz val="9"/>
        <rFont val="Arial"/>
        <family val="2"/>
      </rPr>
      <t>(1)</t>
    </r>
    <r>
      <rPr>
        <b/>
        <sz val="9"/>
        <rFont val="Arial"/>
        <family val="2"/>
      </rPr>
      <t xml:space="preserve"> por nível de qualificação e sexo</t>
    </r>
  </si>
  <si>
    <r>
      <t xml:space="preserve">Quadro 23 - Trabalhadores por conta de outrem </t>
    </r>
    <r>
      <rPr>
        <b/>
        <vertAlign val="superscript"/>
        <sz val="9"/>
        <rFont val="Arial"/>
        <family val="2"/>
      </rPr>
      <t>(1)</t>
    </r>
    <r>
      <rPr>
        <b/>
        <sz val="9"/>
        <rFont val="Arial"/>
        <family val="2"/>
      </rPr>
      <t xml:space="preserve"> ao serviço nos estabelecimentos por escalão de remuneração mensal </t>
    </r>
    <r>
      <rPr>
        <b/>
        <u/>
        <sz val="9"/>
        <rFont val="Arial"/>
        <family val="2"/>
      </rPr>
      <t>ganho</t>
    </r>
  </si>
  <si>
    <r>
      <t xml:space="preserve">Quadro 26 - Remuneração média mensal </t>
    </r>
    <r>
      <rPr>
        <b/>
        <u/>
        <sz val="9"/>
        <rFont val="Arial"/>
        <family val="2"/>
      </rPr>
      <t>ganho</t>
    </r>
    <r>
      <rPr>
        <b/>
        <vertAlign val="superscript"/>
        <sz val="9"/>
        <rFont val="Arial"/>
        <family val="2"/>
      </rPr>
      <t>(1)</t>
    </r>
    <r>
      <rPr>
        <b/>
        <sz val="9"/>
        <rFont val="Arial"/>
        <family val="2"/>
      </rPr>
      <t xml:space="preserve"> por dimensão do estabelecimento e sexo</t>
    </r>
  </si>
  <si>
    <r>
      <t xml:space="preserve">Quadro 27 - Remuneração média mensal </t>
    </r>
    <r>
      <rPr>
        <b/>
        <u/>
        <sz val="9"/>
        <rFont val="Arial"/>
        <family val="2"/>
      </rPr>
      <t>ganho</t>
    </r>
    <r>
      <rPr>
        <b/>
        <vertAlign val="superscript"/>
        <sz val="9"/>
        <rFont val="Arial"/>
        <family val="2"/>
      </rPr>
      <t xml:space="preserve">(1) </t>
    </r>
    <r>
      <rPr>
        <b/>
        <sz val="9"/>
        <rFont val="Arial"/>
        <family val="2"/>
      </rPr>
      <t xml:space="preserve">por distrito do estabelecimento </t>
    </r>
  </si>
  <si>
    <r>
      <t xml:space="preserve">Quadro 28 - Remuneração média mensal </t>
    </r>
    <r>
      <rPr>
        <b/>
        <u/>
        <sz val="9"/>
        <rFont val="Arial"/>
        <family val="2"/>
      </rPr>
      <t>ganho</t>
    </r>
    <r>
      <rPr>
        <b/>
        <vertAlign val="superscript"/>
        <sz val="9"/>
        <rFont val="Arial"/>
        <family val="2"/>
      </rPr>
      <t>(1)</t>
    </r>
    <r>
      <rPr>
        <b/>
        <sz val="9"/>
        <rFont val="Arial"/>
        <family val="2"/>
      </rPr>
      <t xml:space="preserve"> por grupo etário e sexo</t>
    </r>
  </si>
  <si>
    <r>
      <t xml:space="preserve">Quadro 29 - Remuneração média mensal </t>
    </r>
    <r>
      <rPr>
        <b/>
        <u/>
        <sz val="9"/>
        <rFont val="Arial"/>
        <family val="2"/>
      </rPr>
      <t>ganho</t>
    </r>
    <r>
      <rPr>
        <b/>
        <vertAlign val="superscript"/>
        <sz val="9"/>
        <rFont val="Arial"/>
        <family val="2"/>
      </rPr>
      <t>(1)</t>
    </r>
    <r>
      <rPr>
        <b/>
        <sz val="9"/>
        <rFont val="Arial"/>
        <family val="2"/>
      </rPr>
      <t xml:space="preserve"> por nível de qualificação e sexo</t>
    </r>
  </si>
  <si>
    <t xml:space="preserve">Quadro 1 - Empresas por atividade económica (CAE-Rev. 3) </t>
  </si>
  <si>
    <t>Quadro 3 - Empresas por distrito</t>
  </si>
  <si>
    <t xml:space="preserve">Quadro 4 - Estabelecimentos por atividade económica (CAE-Rev. 3) </t>
  </si>
  <si>
    <t>Quadro 6 - Estabelecimentos por distrito</t>
  </si>
  <si>
    <t>Quadro 7 - Pessoas ao serviço nos estabelecimentos por atividade económica (CAE-Rev. 3)</t>
  </si>
  <si>
    <t>Quadro 10 - Trabalhadores por conta de outrem ao serviço nos estabelecimentos por atividade económica (CAE-Rev. 3)</t>
  </si>
  <si>
    <t xml:space="preserve">Quadro 16 - Trabalhadores por conta de outrem ao serviço nos estabelecimentos por escalão de remuneração mensal base </t>
  </si>
  <si>
    <t>Quadro 17 - Remuneração média mensal base por atividade económica do estabelecimento (CAE-Rev. 3)</t>
  </si>
  <si>
    <t>Quadro 18- Remuneração média mensal base por dimensão do estabelecimento e sexo</t>
  </si>
  <si>
    <t>Quadro 19 - Remuneração média mensal base por distrito do estabelecimento</t>
  </si>
  <si>
    <t>Quadro 20 - Remuneração média mensal base por grupo etário e sexo</t>
  </si>
  <si>
    <t>Quadro 21 - Remuneração média mensal base por nível de qualificação e sexo</t>
  </si>
  <si>
    <t>Quadro 23 - Trabalhadores por conta de outrem ao serviço nos estabelecimentos por escalão de remuneração mensal ganho</t>
  </si>
  <si>
    <t>Quadro 25 - Remuneração média mensal ganho por atividade económica do estabelecimento (CAE-Rev. 3)</t>
  </si>
  <si>
    <t>Quadro 26 - Remuneração média mensal ganho por dimensão do estabelecimento e sexo</t>
  </si>
  <si>
    <t xml:space="preserve">Quadro 27 - Remuneração média mensal ganho por distrito do estabelecimento </t>
  </si>
  <si>
    <t>Quadro 28- Remuneração média mensal ganho por grupo etário e sexo</t>
  </si>
  <si>
    <t>Quadro 29 - Remuneração média mensal ganho por nível de qualificação e sexo</t>
  </si>
  <si>
    <t>Quadro 30 - Indicadores de remuneração base e ganho e respetivos trabalhadores por conta de outrem (TCO) por nível de habilitação</t>
  </si>
  <si>
    <t>&gt;RMMG e &lt;= 749,99 €</t>
  </si>
  <si>
    <t>Ensino secundário + pós sec. não superior nível IV</t>
  </si>
  <si>
    <r>
      <t xml:space="preserve">Ensino superior </t>
    </r>
    <r>
      <rPr>
        <b/>
        <vertAlign val="superscript"/>
        <sz val="8"/>
        <color indexed="8"/>
        <rFont val="Arial"/>
        <family val="2"/>
      </rPr>
      <t>(2)</t>
    </r>
  </si>
  <si>
    <r>
      <t>Quadro 30 - Indicadores de remuneração base e ganho e respetivos trabalhadores por conta de outrem (TCO)</t>
    </r>
    <r>
      <rPr>
        <b/>
        <vertAlign val="superscript"/>
        <sz val="8"/>
        <rFont val="Arial"/>
        <family val="2"/>
      </rPr>
      <t>(1)</t>
    </r>
    <r>
      <rPr>
        <b/>
        <sz val="9"/>
        <rFont val="Arial"/>
        <family val="2"/>
      </rPr>
      <t xml:space="preserve"> por nível de habilitação</t>
    </r>
  </si>
  <si>
    <r>
      <t xml:space="preserve">      </t>
    </r>
    <r>
      <rPr>
        <b/>
        <sz val="8"/>
        <rFont val="Arial"/>
        <family val="2"/>
      </rPr>
      <t xml:space="preserve"> (2)</t>
    </r>
    <r>
      <rPr>
        <sz val="8"/>
        <rFont val="Arial"/>
        <family val="2"/>
      </rPr>
      <t xml:space="preserve"> No Ensino superior consideraram-se: Curso técnico superior profissional, Bacharelato, Licenciatura, Mestrado e Doutoramento.</t>
    </r>
  </si>
  <si>
    <r>
      <t>Nota:</t>
    </r>
    <r>
      <rPr>
        <sz val="8"/>
        <rFont val="Arial"/>
        <family val="2"/>
      </rPr>
      <t xml:space="preserve"> O Total inclui informação de empresas que não tinham pessoas ao serviço a 31 de outubro.</t>
    </r>
  </si>
  <si>
    <r>
      <t xml:space="preserve">Nota: </t>
    </r>
    <r>
      <rPr>
        <sz val="8"/>
        <rFont val="Arial"/>
        <family val="2"/>
      </rPr>
      <t>O Total inclui informação de estabelecimentos que não tinham pessoas ao serviço a 31 de outubro.</t>
    </r>
  </si>
  <si>
    <r>
      <t xml:space="preserve">Nota: </t>
    </r>
    <r>
      <rPr>
        <sz val="8"/>
        <rFont val="Arial"/>
        <family val="2"/>
      </rPr>
      <t>O Total inclui informação de empresas que não tinham pessoas ao serviço a 31 de outubro.</t>
    </r>
  </si>
  <si>
    <r>
      <t xml:space="preserve">      </t>
    </r>
    <r>
      <rPr>
        <b/>
        <sz val="8"/>
        <rFont val="Arial"/>
        <family val="2"/>
      </rPr>
      <t xml:space="preserve"> (1)</t>
    </r>
    <r>
      <rPr>
        <sz val="8"/>
        <rFont val="Arial"/>
        <family val="2"/>
      </rPr>
      <t xml:space="preserve"> dos trabalhadores por conta de outrem a tempo completo, que auferiram remuneração completa no período de referência (outubro).</t>
    </r>
  </si>
  <si>
    <r>
      <t>Quadro 15 - Trabalhadores por conta de outrem ao serviço nos estabelecimentos abrangidos e não abrangidos por Instrumentos de Regulamentação Coletiva de Trabalho</t>
    </r>
    <r>
      <rPr>
        <b/>
        <vertAlign val="superscript"/>
        <sz val="9"/>
        <rFont val="Arial"/>
        <family val="2"/>
      </rPr>
      <t>(1)</t>
    </r>
    <r>
      <rPr>
        <b/>
        <sz val="9"/>
        <rFont val="Arial"/>
        <family val="2"/>
      </rPr>
      <t xml:space="preserve"> (IRCT)</t>
    </r>
  </si>
  <si>
    <t>Contrato Coletivo de Trabalho (CCT)</t>
  </si>
  <si>
    <t>Acordo Coletivo de Trabalho (ACT)</t>
  </si>
  <si>
    <t>Não Abrangidos por Reg. Coletiva</t>
  </si>
  <si>
    <r>
      <t xml:space="preserve">Quadro 22 - Remuneração média mensal </t>
    </r>
    <r>
      <rPr>
        <b/>
        <u/>
        <sz val="9"/>
        <rFont val="Arial"/>
        <family val="2"/>
      </rPr>
      <t xml:space="preserve">base </t>
    </r>
    <r>
      <rPr>
        <b/>
        <vertAlign val="superscript"/>
        <sz val="9"/>
        <rFont val="Arial"/>
        <family val="2"/>
      </rPr>
      <t>(1)</t>
    </r>
    <r>
      <rPr>
        <b/>
        <sz val="9"/>
        <rFont val="Arial"/>
        <family val="2"/>
      </rPr>
      <t xml:space="preserve"> dos Trabalhadores por Conta de Outrem abrangidos e não abrangidos por Instrumento de Regulamentação Coletiva de Trabalho </t>
    </r>
    <r>
      <rPr>
        <b/>
        <vertAlign val="superscript"/>
        <sz val="9"/>
        <rFont val="Arial"/>
        <family val="2"/>
      </rPr>
      <t>(2)</t>
    </r>
    <r>
      <rPr>
        <b/>
        <sz val="9"/>
        <rFont val="Arial"/>
        <family val="2"/>
      </rPr>
      <t xml:space="preserve"> (IRCT)</t>
    </r>
  </si>
  <si>
    <r>
      <t xml:space="preserve">Quadro 31 - Remuneração média mensal </t>
    </r>
    <r>
      <rPr>
        <b/>
        <u/>
        <sz val="9"/>
        <rFont val="Arial"/>
        <family val="2"/>
      </rPr>
      <t>ganho</t>
    </r>
    <r>
      <rPr>
        <b/>
        <vertAlign val="superscript"/>
        <sz val="9"/>
        <rFont val="Arial"/>
        <family val="2"/>
      </rPr>
      <t>(1)</t>
    </r>
    <r>
      <rPr>
        <b/>
        <sz val="9"/>
        <rFont val="Arial"/>
        <family val="2"/>
      </rPr>
      <t xml:space="preserve"> dos Trabalhadores por Conta de Outrem abrangidos e não abrangidos por Instrumento de Regulamentação Coletiva de Trabalho</t>
    </r>
    <r>
      <rPr>
        <b/>
        <vertAlign val="superscript"/>
        <sz val="9"/>
        <rFont val="Arial"/>
        <family val="2"/>
      </rPr>
      <t>(2)</t>
    </r>
    <r>
      <rPr>
        <b/>
        <sz val="9"/>
        <rFont val="Arial"/>
        <family val="2"/>
      </rPr>
      <t xml:space="preserve"> (IRCT)</t>
    </r>
  </si>
  <si>
    <t>Quadro 31 - Remuneração média mensal ganho dos Trabalhadores por Conta de Outrem abrangidos e não abrangidos por Instrumento de Regulamentação Coletiva de Trabalho (IRCT)</t>
  </si>
  <si>
    <t>Quadro 22 - Remuneração média mensal base dos Trabalhadores por Conta de Outrem abrangidos e não abrangidos por Instrumento de Regulamentação Coletiva de Trabalho (IRCT)</t>
  </si>
  <si>
    <t>Quadro 15 - Trabalhadores por conta de outrem ao serviço nos estabelecimentos abrangidos e não abrangidos por Instrumentos de Regulamentação Coletiva de Trabalho (IRCT)</t>
  </si>
  <si>
    <r>
      <t xml:space="preserve">Quadro 25 - Remuneração média mensal </t>
    </r>
    <r>
      <rPr>
        <b/>
        <u/>
        <sz val="9"/>
        <rFont val="Arial"/>
        <family val="2"/>
      </rPr>
      <t>ganho</t>
    </r>
    <r>
      <rPr>
        <b/>
        <vertAlign val="superscript"/>
        <sz val="9"/>
        <rFont val="Arial"/>
        <family val="2"/>
      </rPr>
      <t xml:space="preserve">(1) </t>
    </r>
    <r>
      <rPr>
        <b/>
        <sz val="9"/>
        <rFont val="Arial"/>
        <family val="2"/>
      </rPr>
      <t>por atividade económica do estabelecimento</t>
    </r>
  </si>
  <si>
    <r>
      <t xml:space="preserve">Nota: </t>
    </r>
    <r>
      <rPr>
        <sz val="8"/>
        <rFont val="Arial"/>
        <family val="2"/>
      </rPr>
      <t>Retribuição Mínima Mensal Garantida (RMMG) - Continente 2011=485,00 euros; 2012=485,00 euros; 2013=485,00 euros; 2014=505,00 euros; 2015=505,00 euros; 2016=530,00 euros; 2017=557,00 euros; 2018=580,00 euros; 2019=600,00 euros; 2020=635,00 euros e 2021 = 665,00 euros.</t>
    </r>
  </si>
  <si>
    <r>
      <rPr>
        <b/>
        <sz val="8"/>
        <rFont val="Arial"/>
        <family val="2"/>
      </rPr>
      <t>Nota:</t>
    </r>
    <r>
      <rPr>
        <sz val="8"/>
        <rFont val="Arial"/>
        <family val="2"/>
      </rPr>
      <t xml:space="preserve"> Retribuição Mínima Mensal Garantida (RMMG) - Continente 2011=485,00 euros; 2012=485,00 euros; 2013=485,00 euros; 2014=505,00 euros; 2015=505,00 euros; 2016=530,00 euros; 2017=557,00 euros; 2018=580,00 euros; 2019=600,00 euros; 2020=635,00 euros e 2021 = 665,00 euros.</t>
    </r>
  </si>
  <si>
    <r>
      <t xml:space="preserve">       </t>
    </r>
    <r>
      <rPr>
        <b/>
        <sz val="8"/>
        <rFont val="Arial"/>
        <family val="2"/>
      </rPr>
      <t xml:space="preserve"> (3)</t>
    </r>
    <r>
      <rPr>
        <sz val="8"/>
        <rFont val="Arial"/>
        <family val="2"/>
      </rPr>
      <t xml:space="preserve"> Portaria de Condições de Trabalho (PCT) cuja denominação foi estabelecida pelo Código do Trabalho, a partir de 2009 (Capítulo VI, art. 517.º,  Lei n.º 7/2009, de 12 de fevereiro), anteriormente denominada Portaria de Regulamentação do Trabalho (PRT).</t>
    </r>
  </si>
  <si>
    <r>
      <t xml:space="preserve"> </t>
    </r>
    <r>
      <rPr>
        <b/>
        <sz val="8"/>
        <rFont val="Arial"/>
        <family val="2"/>
      </rPr>
      <t xml:space="preserve">    (3) </t>
    </r>
    <r>
      <rPr>
        <sz val="8"/>
        <rFont val="Arial"/>
        <family val="2"/>
      </rPr>
      <t xml:space="preserve"> Portaria de Condições de Trabalho (PCT) cuja denominação foi estabelecida pelo Código do Trabalho, a partir de 2009 (Capítulo VI, art. 517.º,  Lei n.º 7/2009, de 12 de fevereiro), anteriormente denominada Portaria de Regulamentação do Trabalho (PRT).</t>
    </r>
  </si>
  <si>
    <r>
      <t xml:space="preserve">         </t>
    </r>
    <r>
      <rPr>
        <b/>
        <sz val="8"/>
        <rFont val="Arial"/>
        <family val="2"/>
      </rPr>
      <t xml:space="preserve"> (2)</t>
    </r>
    <r>
      <rPr>
        <sz val="8"/>
        <rFont val="Arial"/>
        <family val="2"/>
      </rPr>
      <t xml:space="preserve"> Portaria de Condições de Trabalho (PCT) cuja denominação foi estabelecida pelo Código do Trabalho, a partir de 2009 (Capítulo VI, art. 517.º,  Lei n.º 7/2009, de 12 de fevereiro), anteriormente denominada Portaria de Regulamentação do Trabalho (PRT).</t>
    </r>
  </si>
  <si>
    <t>Quadro 24 - Ganho mensal mediano, médio por decil e limiar de baixos salários</t>
  </si>
  <si>
    <r>
      <t xml:space="preserve">Quadro 24 - </t>
    </r>
    <r>
      <rPr>
        <b/>
        <u/>
        <sz val="9"/>
        <rFont val="Arial"/>
        <family val="2"/>
      </rPr>
      <t>Ganho</t>
    </r>
    <r>
      <rPr>
        <b/>
        <sz val="9"/>
        <rFont val="Arial"/>
        <family val="2"/>
      </rPr>
      <t xml:space="preserve"> mensal </t>
    </r>
    <r>
      <rPr>
        <b/>
        <vertAlign val="superscript"/>
        <sz val="9"/>
        <rFont val="Arial"/>
        <family val="2"/>
      </rPr>
      <t xml:space="preserve">(1) </t>
    </r>
    <r>
      <rPr>
        <b/>
        <sz val="9"/>
        <rFont val="Arial"/>
        <family val="2"/>
      </rPr>
      <t>mediano, médio por decil e limiar de baixos salários</t>
    </r>
  </si>
  <si>
    <t>Ano</t>
  </si>
  <si>
    <t>CAE</t>
  </si>
  <si>
    <t>Estabelecimentos</t>
  </si>
  <si>
    <t>Pessoas ao serviço</t>
  </si>
  <si>
    <t xml:space="preserve">Agricultura, produção animal, caça, floresta e pesca </t>
  </si>
  <si>
    <t>Eletricidade, gás, vapor, água quente e fria e ar frio</t>
  </si>
  <si>
    <t>Captação, trat. e dist. água; saneam., gest. resíduos e desp.</t>
  </si>
  <si>
    <t>Atividades de informação e de comunicação</t>
  </si>
  <si>
    <t>Atividades financeiras e de seguros</t>
  </si>
  <si>
    <t>Atividades de consultoria, científicas, técnicas e similares</t>
  </si>
  <si>
    <t>Atividades administrativas e dos serviços de apoio</t>
  </si>
  <si>
    <t>Administração pública e defesa; segurança social obrigatória</t>
  </si>
  <si>
    <t>Atividades artísticas, de espectáculos, desp. e recreativas</t>
  </si>
  <si>
    <t>Ativ. org. interna. e outras instituições extra-territoriais</t>
  </si>
  <si>
    <t>empresas</t>
  </si>
  <si>
    <t>estabelecimentos</t>
  </si>
  <si>
    <t>pessoas ao serviço</t>
  </si>
  <si>
    <t>Totais</t>
  </si>
  <si>
    <t>Empresas</t>
  </si>
  <si>
    <t>Empresas por dimensão</t>
  </si>
  <si>
    <t>Pessoal ao serviço (Nº)</t>
  </si>
  <si>
    <t>Micro (1-9 pessoas)</t>
  </si>
  <si>
    <t>Grandes</t>
  </si>
  <si>
    <t>&gt; 250</t>
  </si>
  <si>
    <t>Pequenas (10 - 49 pessoas)</t>
  </si>
  <si>
    <t>PME</t>
  </si>
  <si>
    <t>&lt; 250</t>
  </si>
  <si>
    <t>Médias (50 - 249 pessoas)</t>
  </si>
  <si>
    <t>Pequena</t>
  </si>
  <si>
    <t>&lt; 50</t>
  </si>
  <si>
    <t>Grandes (250 ou + pessoas)</t>
  </si>
  <si>
    <t>Microempresas</t>
  </si>
  <si>
    <t>&lt; 10</t>
  </si>
  <si>
    <t>Desconhecida</t>
  </si>
  <si>
    <t>Distrito</t>
  </si>
  <si>
    <t>variação 2021/2020</t>
  </si>
  <si>
    <t>variação 2021/2011</t>
  </si>
  <si>
    <t>https://ninjadoexcel.com.br/grafico-com-caixa-de-combinacao-no-excel/</t>
  </si>
  <si>
    <r>
      <t>Vá agora na </t>
    </r>
    <r>
      <rPr>
        <b/>
        <sz val="15"/>
        <color rgb="FF556367"/>
        <rFont val="Arial"/>
        <family val="2"/>
      </rPr>
      <t>Guia Desenvolvedor. </t>
    </r>
    <r>
      <rPr>
        <sz val="15"/>
        <color rgb="FF556367"/>
        <rFont val="Arial"/>
        <family val="2"/>
      </rPr>
      <t>No </t>
    </r>
    <r>
      <rPr>
        <b/>
        <sz val="15"/>
        <color rgb="FF556367"/>
        <rFont val="Arial"/>
        <family val="2"/>
      </rPr>
      <t>grupo Controles</t>
    </r>
    <r>
      <rPr>
        <sz val="15"/>
        <color rgb="FF556367"/>
        <rFont val="Arial"/>
        <family val="2"/>
      </rPr>
      <t>, clique em </t>
    </r>
    <r>
      <rPr>
        <b/>
        <sz val="15"/>
        <color rgb="FF556367"/>
        <rFont val="Arial"/>
        <family val="2"/>
      </rPr>
      <t>Inserir</t>
    </r>
    <r>
      <rPr>
        <sz val="15"/>
        <color rgb="FF556367"/>
        <rFont val="Arial"/>
        <family val="2"/>
      </rPr>
      <t> e escolha o botão: </t>
    </r>
    <r>
      <rPr>
        <b/>
        <sz val="15"/>
        <color rgb="FF556367"/>
        <rFont val="Arial"/>
        <family val="2"/>
      </rPr>
      <t>caixa de combinação:</t>
    </r>
  </si>
  <si>
    <t>Como habilitar a guia Desenvolvedor no Excel</t>
  </si>
  <si>
    <r>
      <t>Clique e </t>
    </r>
    <r>
      <rPr>
        <b/>
        <sz val="15"/>
        <color rgb="FF556367"/>
        <rFont val="Arial"/>
        <family val="2"/>
      </rPr>
      <t>arraste para desenhar a caixa</t>
    </r>
  </si>
  <si>
    <r>
      <t>Clique com o </t>
    </r>
    <r>
      <rPr>
        <b/>
        <sz val="15"/>
        <color rgb="FF556367"/>
        <rFont val="Arial"/>
        <family val="2"/>
      </rPr>
      <t>botão direito sobre a caixa e escolha a opção Formatar Controles:</t>
    </r>
  </si>
  <si>
    <r>
      <t>Na janela que se abre selecione o intervalo correspondente aos </t>
    </r>
    <r>
      <rPr>
        <b/>
        <sz val="15"/>
        <color rgb="FF556367"/>
        <rFont val="Arial"/>
        <family val="2"/>
      </rPr>
      <t>nomes dos vendedores</t>
    </r>
    <r>
      <rPr>
        <sz val="15"/>
        <color rgb="FF556367"/>
        <rFont val="Arial"/>
        <family val="2"/>
      </rPr>
      <t> para </t>
    </r>
    <r>
      <rPr>
        <b/>
        <sz val="15"/>
        <color rgb="FF556367"/>
        <rFont val="Arial"/>
        <family val="2"/>
      </rPr>
      <t>Intervalo de Entrada</t>
    </r>
    <r>
      <rPr>
        <sz val="15"/>
        <color rgb="FF556367"/>
        <rFont val="Arial"/>
        <family val="2"/>
      </rPr>
      <t>:</t>
    </r>
  </si>
  <si>
    <r>
      <t>Para </t>
    </r>
    <r>
      <rPr>
        <b/>
        <sz val="10"/>
        <rFont val="Arial"/>
        <family val="2"/>
      </rPr>
      <t>Vínculo da Célula</t>
    </r>
    <r>
      <rPr>
        <sz val="10"/>
        <rFont val="Arial"/>
        <family val="2"/>
      </rPr>
      <t> podemos escolher uma célula qualquer, mas para trabalharmos de maneira organizada deixamos a </t>
    </r>
    <r>
      <rPr>
        <b/>
        <sz val="10"/>
        <rFont val="Arial"/>
        <family val="2"/>
      </rPr>
      <t>célula Controle (K3) par receber está informarção</t>
    </r>
    <r>
      <rPr>
        <sz val="10"/>
        <rFont val="Arial"/>
        <family val="2"/>
      </rPr>
      <t>:</t>
    </r>
  </si>
  <si>
    <r>
      <t>Para </t>
    </r>
    <r>
      <rPr>
        <b/>
        <sz val="10"/>
        <rFont val="Arial"/>
        <family val="2"/>
      </rPr>
      <t>Linhas Suspensas</t>
    </r>
    <r>
      <rPr>
        <sz val="10"/>
        <rFont val="Arial"/>
        <family val="2"/>
      </rPr>
      <t> </t>
    </r>
    <r>
      <rPr>
        <b/>
        <sz val="10"/>
        <rFont val="Arial"/>
        <family val="2"/>
      </rPr>
      <t>digite a quantidade de funcionários</t>
    </r>
    <r>
      <rPr>
        <sz val="10"/>
        <rFont val="Arial"/>
        <family val="2"/>
      </rPr>
      <t> que temos em nossa planilha. </t>
    </r>
    <r>
      <rPr>
        <b/>
        <sz val="10"/>
        <rFont val="Arial"/>
        <family val="2"/>
      </rPr>
      <t>Em nosso caso, 4</t>
    </r>
    <r>
      <rPr>
        <sz val="10"/>
        <rFont val="Arial"/>
        <family val="2"/>
      </rPr>
      <t>:</t>
    </r>
  </si>
  <si>
    <t>Marque, se quiser o Sombreamento 3D, isso dará um retoque no visual de sua caixa de combinação.</t>
  </si>
  <si>
    <t>Pressione Ok</t>
  </si>
  <si>
    <r>
      <t>Clique na caixa</t>
    </r>
    <r>
      <rPr>
        <sz val="10"/>
        <rFont val="Arial"/>
        <family val="2"/>
      </rPr>
      <t> e veja que os nomes foram adicionados a ela:</t>
    </r>
  </si>
  <si>
    <t>Escolha um nome qualquer e perceba que de acordo com sua ordem é gerado um número na célula vinculo:</t>
  </si>
  <si>
    <t>Se trocar o nome o número mudará automaticamente.</t>
  </si>
  <si>
    <r>
      <t>Clique na célula onde queremos que apareça o nome do funcionário e digite um </t>
    </r>
    <r>
      <rPr>
        <b/>
        <sz val="10"/>
        <rFont val="Arial"/>
        <family val="2"/>
      </rPr>
      <t>=ÍNDICE</t>
    </r>
    <r>
      <rPr>
        <sz val="10"/>
        <rFont val="Arial"/>
        <family val="2"/>
      </rPr>
      <t>:</t>
    </r>
  </si>
  <si>
    <r>
      <t>Para </t>
    </r>
    <r>
      <rPr>
        <b/>
        <sz val="10"/>
        <rFont val="Arial"/>
        <family val="2"/>
      </rPr>
      <t>Matriz</t>
    </r>
    <r>
      <rPr>
        <sz val="10"/>
        <rFont val="Arial"/>
        <family val="2"/>
      </rPr>
      <t> selecione o </t>
    </r>
    <r>
      <rPr>
        <b/>
        <sz val="10"/>
        <rFont val="Arial"/>
        <family val="2"/>
      </rPr>
      <t>nome dos Funcionários</t>
    </r>
    <r>
      <rPr>
        <sz val="10"/>
        <rFont val="Arial"/>
        <family val="2"/>
      </rPr>
      <t>:</t>
    </r>
  </si>
  <si>
    <r>
      <t>Para </t>
    </r>
    <r>
      <rPr>
        <b/>
        <sz val="10"/>
        <rFont val="Arial"/>
        <family val="2"/>
      </rPr>
      <t>núm_linha</t>
    </r>
    <r>
      <rPr>
        <sz val="10"/>
        <rFont val="Arial"/>
        <family val="2"/>
      </rPr>
      <t> selecione a </t>
    </r>
    <r>
      <rPr>
        <b/>
        <sz val="10"/>
        <rFont val="Arial"/>
        <family val="2"/>
      </rPr>
      <t>célula vinculo</t>
    </r>
    <r>
      <rPr>
        <sz val="10"/>
        <rFont val="Arial"/>
        <family val="2"/>
      </rPr>
      <t>:</t>
    </r>
  </si>
  <si>
    <r>
      <t>Pressione </t>
    </r>
    <r>
      <rPr>
        <b/>
        <sz val="10"/>
        <rFont val="Arial"/>
        <family val="2"/>
      </rPr>
      <t>Enter </t>
    </r>
    <r>
      <rPr>
        <sz val="10"/>
        <rFont val="Arial"/>
        <family val="2"/>
      </rPr>
      <t>e verifique se o nome que se encontra em sua caixa de combinação é o mesmo que apareceu ao concluir sua função:</t>
    </r>
  </si>
  <si>
    <t>Troque o nome da caixa de combinação para ver o resultado. Modificou o nome e o número da célula vinculo?</t>
  </si>
  <si>
    <r>
      <t>Clique </t>
    </r>
    <r>
      <rPr>
        <b/>
        <sz val="10"/>
        <rFont val="Arial"/>
        <family val="2"/>
      </rPr>
      <t>abaixo de Janeiro</t>
    </r>
    <r>
      <rPr>
        <sz val="10"/>
        <rFont val="Arial"/>
        <family val="2"/>
      </rPr>
      <t> para continuarmos. Digite </t>
    </r>
    <r>
      <rPr>
        <b/>
        <sz val="10"/>
        <rFont val="Arial"/>
        <family val="2"/>
      </rPr>
      <t>=PROCV(</t>
    </r>
  </si>
  <si>
    <t>Clique aqui para aprender sobre a função PROCV no Excel</t>
  </si>
  <si>
    <t>Siga o Gif abaixo para completar a tarefa:</t>
  </si>
  <si>
    <t>Troque mais uma vez o nome do funcionário na caixa de combinação e veja que todos os resultados mudam automaticamente:</t>
  </si>
  <si>
    <t>Agora sim vamos finalmente criar nosso gráfico com caixa de combinação no Excel. É simples. Basta selecionar nossa nova planilha:</t>
  </si>
  <si>
    <r>
      <t>Ir na </t>
    </r>
    <r>
      <rPr>
        <b/>
        <sz val="10"/>
        <rFont val="Arial"/>
        <family val="2"/>
      </rPr>
      <t>Guia Inserir</t>
    </r>
    <r>
      <rPr>
        <sz val="10"/>
        <rFont val="Arial"/>
        <family val="2"/>
      </rPr>
      <t> e em Gráficos e</t>
    </r>
    <r>
      <rPr>
        <b/>
        <sz val="10"/>
        <rFont val="Arial"/>
        <family val="2"/>
      </rPr>
      <t>scolher o gráfico que desejar</t>
    </r>
    <r>
      <rPr>
        <sz val="10"/>
        <rFont val="Arial"/>
        <family val="2"/>
      </rPr>
      <t>:</t>
    </r>
  </si>
  <si>
    <t>Organize-o de modo que o mesmo fique em cima de nossa nova planilha para que ninguém a perceba (esse é nosso segredo, mas não deixe de espalha-lo com seus amigos):</t>
  </si>
  <si>
    <t>Agora chame seus funcionários e faça sua reunião.</t>
  </si>
  <si>
    <t>Faça uma Busca</t>
  </si>
  <si>
    <t>Ranking 5 mais</t>
  </si>
  <si>
    <t>Dimensão</t>
  </si>
  <si>
    <t>Rótulos de Linha</t>
  </si>
  <si>
    <t>Total Geral</t>
  </si>
  <si>
    <t>Rótulos de Coluna</t>
  </si>
  <si>
    <t xml:space="preserve">Micro </t>
  </si>
  <si>
    <t>Médias</t>
  </si>
  <si>
    <t xml:space="preserve"> Remuneração média mensal base</t>
  </si>
  <si>
    <t>Remuneração média mensal ganho</t>
  </si>
  <si>
    <t>Auxiliar para determinar remuneração média agrupada em micro, pequenas, médias e grandes empresas</t>
  </si>
  <si>
    <t xml:space="preserve">1) Multiplicar o número de TCO das remunerações (q11) pelo valor da remuneração média (q18);2) Agregar somando os TCO e as remunerações pela dimensão. Posteriormente, dividir a remuneração total pelo número de TCO da dimensão </t>
  </si>
  <si>
    <t>Remuneração base mensal total = N.º TCO (q11)* remuneração média mensal base (q18)</t>
  </si>
  <si>
    <t>Remuneração ganho mensal total = N.º TCO (q11)* remuneração média mensal ganho (q26)</t>
  </si>
  <si>
    <t xml:space="preserve">1) Multiplicar o número de TCO das remunerações (q11) pelo valor da remuneração média (q26);2) Agregar somando os TCO e as remunerações pela dimensão. Posteriormente, dividir a remuneração total pelo número de TCO da dimensão </t>
  </si>
  <si>
    <t>Remuneração base</t>
  </si>
  <si>
    <t>Remuneração ganho</t>
  </si>
  <si>
    <t>Remuneração base, Remuneração ganho, Média mensal, CAE</t>
  </si>
  <si>
    <t>Selecionar CAE</t>
  </si>
  <si>
    <t>Tipo Remuneração</t>
  </si>
  <si>
    <t>Valor</t>
  </si>
  <si>
    <t>Remuneração Base</t>
  </si>
  <si>
    <t>Remuneração Ganho</t>
  </si>
  <si>
    <t>Soma de Valor</t>
  </si>
  <si>
    <t>Sexo</t>
  </si>
  <si>
    <t>Pequenas</t>
  </si>
  <si>
    <r>
      <rPr>
        <sz val="10"/>
        <color rgb="FFFF0000"/>
        <rFont val="Arial"/>
        <family val="2"/>
      </rPr>
      <t xml:space="preserve">APOIO - COMO TER 2 CAIXAS DE SEGMENTAÇÃO EM QUE 2 DELAS CONTROLAM SÓ 1 GRÁFICO, E 1 DELAS CONTROLA OS 2 GRÁFICOS </t>
    </r>
    <r>
      <rPr>
        <sz val="10"/>
        <rFont val="Arial"/>
        <family val="2"/>
      </rPr>
      <t>: 1º fazer listagem; 2º fazer tab. Dinâmica (ano linha, CAE coluna e Soma); 3º inserir segmentação Tipo e CAE; 4º copiar tabela dinamica e alterar condições para ano em linha e soma; 5º selecionar segmentação 'Tipo' e botão lado direito 'ligação relatórios' (ligar só à 1ª tab dinamica, a segmentação 'CAE' ligar às 2 tabelas dinamicas; 6º clicar na 1ª tab dinamica e construir gráfico e clicar na 2ª tab dinamica e construir grafico</t>
    </r>
  </si>
  <si>
    <t>Base</t>
  </si>
  <si>
    <t>Ganho</t>
  </si>
  <si>
    <t>Distritos</t>
  </si>
  <si>
    <t>Anos</t>
  </si>
  <si>
    <t>Estabele-
cimentos</t>
  </si>
  <si>
    <t xml:space="preserve">Variação </t>
  </si>
  <si>
    <t>Rem base</t>
  </si>
  <si>
    <t>Rem ganho</t>
  </si>
  <si>
    <t>Maior</t>
  </si>
  <si>
    <t>Menor</t>
  </si>
  <si>
    <t>BASE</t>
  </si>
  <si>
    <t>GANHO</t>
  </si>
  <si>
    <t>S20</t>
  </si>
  <si>
    <t>AI22</t>
  </si>
  <si>
    <t>AI23</t>
  </si>
  <si>
    <t>AJ22</t>
  </si>
  <si>
    <t>AJ23</t>
  </si>
  <si>
    <t>Análise automática =&gt; muda o distrito</t>
  </si>
  <si>
    <t xml:space="preserve"> empresas (</t>
  </si>
  <si>
    <t xml:space="preserve"> estabelecimentos (</t>
  </si>
  <si>
    <t>AE22</t>
  </si>
  <si>
    <t>AG25</t>
  </si>
  <si>
    <t>%, ou seja</t>
  </si>
  <si>
    <t>AG26</t>
  </si>
  <si>
    <t>%</t>
  </si>
  <si>
    <t>AE23</t>
  </si>
  <si>
    <t>S60</t>
  </si>
  <si>
    <t>AE62</t>
  </si>
  <si>
    <t xml:space="preserve"> pessoas (</t>
  </si>
  <si>
    <t>AG65</t>
  </si>
  <si>
    <t>AI62</t>
  </si>
  <si>
    <t>AJ62</t>
  </si>
  <si>
    <t>AE63</t>
  </si>
  <si>
    <t>AG66</t>
  </si>
  <si>
    <t>AI63</t>
  </si>
  <si>
    <t>AJ63</t>
  </si>
  <si>
    <t xml:space="preserve"> tinham ao seu serviço </t>
  </si>
  <si>
    <t>AE102</t>
  </si>
  <si>
    <t>S100</t>
  </si>
  <si>
    <t xml:space="preserve"> euros (</t>
  </si>
  <si>
    <t>AG105</t>
  </si>
  <si>
    <t>AI102</t>
  </si>
  <si>
    <t>AJ102</t>
  </si>
  <si>
    <t xml:space="preserve"> a remuneração média mensal base era de </t>
  </si>
  <si>
    <t>AE103</t>
  </si>
  <si>
    <t>AG106</t>
  </si>
  <si>
    <t>AI103</t>
  </si>
  <si>
    <t>AJ103</t>
  </si>
  <si>
    <t xml:space="preserve"> euros a remuneração média mensal ganho (</t>
  </si>
  <si>
    <t>Análise automática a variar com distrito e ano</t>
  </si>
  <si>
    <t>AL18</t>
  </si>
  <si>
    <t xml:space="preserve">Ranking Empresas </t>
  </si>
  <si>
    <t>Ranking Estabelecimentos</t>
  </si>
  <si>
    <t>% empresas</t>
  </si>
  <si>
    <t>% estabelecimentos</t>
  </si>
  <si>
    <t>º de 18 distritos).</t>
  </si>
  <si>
    <t xml:space="preserve">% do Continente, sendo o </t>
  </si>
  <si>
    <t>AS18</t>
  </si>
  <si>
    <t>% pessoas</t>
  </si>
  <si>
    <t>% TCO</t>
  </si>
  <si>
    <t xml:space="preserve">Ranking Pessoas </t>
  </si>
  <si>
    <t>Ranking TCO</t>
  </si>
  <si>
    <t xml:space="preserve"> estabelecimentos (constituindo </t>
  </si>
  <si>
    <t xml:space="preserve">% do Continente, ocupando a </t>
  </si>
  <si>
    <t xml:space="preserve">º posição entre 18 distritos) e  </t>
  </si>
  <si>
    <t>% var. base</t>
  </si>
  <si>
    <t>% var ganho</t>
  </si>
  <si>
    <t xml:space="preserve">Ranking base </t>
  </si>
  <si>
    <t>Ranking ganho</t>
  </si>
  <si>
    <t>AZ18</t>
  </si>
  <si>
    <t>dif base face continente</t>
  </si>
  <si>
    <t>dif ganho face continente</t>
  </si>
  <si>
    <t xml:space="preserve">% que no Continente, sendo o </t>
  </si>
  <si>
    <t>As caixas de texto com fórmulas têm limitação de caracteres (255), cuidado ao alterar texto, se ultrapassar os 255 caracteres o texto não aparece todo</t>
  </si>
  <si>
    <t xml:space="preserve">º de 18 distritos) e  </t>
  </si>
  <si>
    <t xml:space="preserve"> empresas (equivalendo a </t>
  </si>
  <si>
    <t>Grupo etário</t>
  </si>
  <si>
    <t>18 - 24 anos</t>
  </si>
  <si>
    <t>25 - 34 anos</t>
  </si>
  <si>
    <t>35 - 44 anos</t>
  </si>
  <si>
    <t>45 - 54 anos</t>
  </si>
  <si>
    <t>55 - 64 anos</t>
  </si>
  <si>
    <t>Quadro 28 - Remuneração média mensal ganho por grupo etário e sexo</t>
  </si>
  <si>
    <t>Rem Base</t>
  </si>
  <si>
    <t xml:space="preserve">1) Multiplicar o número de TCO por grupo etário (q13) pelo valor da remuneração média (q20);2) Agregar somando os TCO e as remunerações pelos grupos etários. Posteriormente, dividir a remuneração total pelo número de TCO. </t>
  </si>
  <si>
    <t>Remuneração base mensal total = N.º TCO (q13)* remuneração média mensal base (q20)</t>
  </si>
  <si>
    <t xml:space="preserve">1) Multiplicar o número de TCO por grupo etário (q13) pelo valor da remuneração média (q28);2) Agregar somando os TCO e as remunerações pelos grupos etários. Posteriormente, dividir a remuneração total pelo número de TCO. </t>
  </si>
  <si>
    <t>Auxiliar para determinar remuneração média agrupada em diferentes grupos etários (agrupar em 25-34, 35-44, 45-54 e 55-64, mantendo os restantes)</t>
  </si>
  <si>
    <t>Rem Ganho</t>
  </si>
  <si>
    <t>Nível qualificação</t>
  </si>
  <si>
    <t>Profissionais altamente qualificados</t>
  </si>
  <si>
    <t>Profissionais semi-qualificados</t>
  </si>
  <si>
    <t>Encarregados, contramestres e chefes de equipa</t>
  </si>
  <si>
    <t>ÍNDICE($B$16:$M$24;CORRESP($Q$16:$Q$23;$B$16:$B$24;0);CORRESP($P$14;$B$16:$M$16;0))</t>
  </si>
  <si>
    <t>Tipo de remuneração</t>
  </si>
  <si>
    <t>Nível habilitação</t>
  </si>
  <si>
    <t>&lt; 1.º ciclo do ensino básico</t>
  </si>
  <si>
    <t>Ensino superior</t>
  </si>
  <si>
    <t>Q30</t>
  </si>
  <si>
    <t>Remuneração</t>
  </si>
  <si>
    <t>Ensino superior**</t>
  </si>
  <si>
    <t>Gráficos das remunerações alterando apenas com o ano</t>
  </si>
  <si>
    <t>Média</t>
  </si>
  <si>
    <t>Mediana</t>
  </si>
  <si>
    <t>Base - H</t>
  </si>
  <si>
    <t>Base - M</t>
  </si>
  <si>
    <t>Base - T</t>
  </si>
  <si>
    <t>Ganho - T</t>
  </si>
  <si>
    <t>Ganho - H</t>
  </si>
  <si>
    <t>Ganho - M</t>
  </si>
  <si>
    <t xml:space="preserve">Base </t>
  </si>
  <si>
    <t>Quadro 16 - Trabalhadores por conta de outrem ao serviço nos estabelecimentos por escalão de remuneração mensal base</t>
  </si>
  <si>
    <t>Escalão de remuneração</t>
  </si>
  <si>
    <t>Ganho - TCO</t>
  </si>
  <si>
    <t>Base - %TCO</t>
  </si>
  <si>
    <t>*Retribuição Mínima Mensal Garantida (RMMG) - Continente 2011=485,00 euros; 2012=485,00 euros; 2013=485,00 euros; 2014=505,00 euros; 2015=505,00 euros; 2016=530,00 euros; 2017=557,00 euros; 2018=580,00 euros; 2019=600,00 euros; 2020=635,00 euros e 2021 = 665,00 euros.</t>
  </si>
  <si>
    <t>** trabalhadores por conta de outrem a tempo completo, que auferiram remuneração completa no período de referência.</t>
  </si>
  <si>
    <t>&lt; RMMG**</t>
  </si>
  <si>
    <t>Quadro 15 - Trabalhadores por conta de outrem ao serviço nos estabelecimentos abrangidos e não abrangidos por Instrumentos de Regulamentação Coletiva de Trabalho(1) (IRCT)</t>
  </si>
  <si>
    <t>Quadro 22 - Remuneração média mensal base (1) dos Trabalhadores por Conta de Outrem abrangidos e não abrangidos por Instrumento de Regulamentação Coletiva de Trabalho (2) (IRCT)</t>
  </si>
  <si>
    <t>Quadro 31 - Remuneração média mensal ganho(1) dos Trabalhadores por Conta de Outrem abrangidos e não abrangidos por Instrumento de Regulamentação Coletiva de Trabalho(2) (IRCT)</t>
  </si>
  <si>
    <t>Portaria de Cond. de Trabalho (PCT)</t>
  </si>
  <si>
    <t xml:space="preserve">TCO </t>
  </si>
  <si>
    <t>Não Abrangidos por Regulamentação Coletiva</t>
  </si>
  <si>
    <t>Quadro 24 - Ganho mensal (1) mediano, médio por decil e limiar de baixos salários</t>
  </si>
  <si>
    <t>Ganho mensal mediano (euros)</t>
  </si>
  <si>
    <t>Ganho mensal - média por decil (euros)</t>
  </si>
  <si>
    <t>Limiar de baixos salários (2) (euros)</t>
  </si>
  <si>
    <t xml:space="preserve">   Incidência de baixos salários (%)</t>
  </si>
  <si>
    <t>Limiar de baixos salários (euros)</t>
  </si>
  <si>
    <t>Incidência de baixos salários (%) - Total</t>
  </si>
  <si>
    <t>Incidência de baixos salários (%) - Homens</t>
  </si>
  <si>
    <t>Incidência de baixos salários (%) - Mulheres</t>
  </si>
  <si>
    <t>S90/S10</t>
  </si>
  <si>
    <t>S80/S20</t>
  </si>
  <si>
    <t>Desigualdade</t>
  </si>
  <si>
    <t>Nota: Retribuição Mínima Mensal Garantida (RMMG) - Continente 2011=485,00 euros; 2012=485,00 euros; 2013=485,00 euros; 2014=505,00 euros; 2015=505,00 euros; 2016=530,00 euros; 2017=557,00 euros; 2018=580,00 euros; 2019=600,00 euros; 2020=635,00 euros e 2021 = 665,00 euros.</t>
  </si>
  <si>
    <t>Retribuição Mínima Mensal Garantida (RMMG)</t>
  </si>
  <si>
    <t>D10</t>
  </si>
  <si>
    <t>D1</t>
  </si>
  <si>
    <t>D2</t>
  </si>
  <si>
    <t>D5</t>
  </si>
  <si>
    <t>D9</t>
  </si>
  <si>
    <t xml:space="preserve"> TCO, dos quais </t>
  </si>
  <si>
    <t xml:space="preserve"> onde a taxa de feminização era de </t>
  </si>
  <si>
    <t>var M/H</t>
  </si>
  <si>
    <t>Remuneração base, Remuneração ganho, Média mensal, Sexo</t>
  </si>
  <si>
    <t>Dimensão da empresa</t>
  </si>
  <si>
    <t>Análise</t>
  </si>
  <si>
    <t>M/H %base</t>
  </si>
  <si>
    <t>M/H %ganho</t>
  </si>
  <si>
    <t>Caso se acrescente colunas</t>
  </si>
  <si>
    <t>) e</t>
  </si>
  <si>
    <t>).</t>
  </si>
  <si>
    <t>:</t>
  </si>
  <si>
    <t xml:space="preserve">% da dos Homens (H), entre </t>
  </si>
  <si>
    <t>% da dos H (</t>
  </si>
  <si>
    <t xml:space="preserve">% da dos H, entre </t>
  </si>
  <si>
    <t>Base Mulheres =</t>
  </si>
  <si>
    <t>Ganho Mulheres =</t>
  </si>
  <si>
    <t xml:space="preserve">O distrito de </t>
  </si>
  <si>
    <t xml:space="preserve"> era a sede de </t>
  </si>
  <si>
    <t xml:space="preserve">As empresas do distrito de </t>
  </si>
  <si>
    <t>TCO (</t>
  </si>
  <si>
    <t>No distrito de</t>
  </si>
  <si>
    <t xml:space="preserve">era a sede de </t>
  </si>
  <si>
    <t xml:space="preserve">Era também a localização de </t>
  </si>
  <si>
    <t>º de 18 distritos);</t>
  </si>
  <si>
    <t xml:space="preserve">TCO ( </t>
  </si>
  <si>
    <t xml:space="preserve">No distrito de </t>
  </si>
  <si>
    <t xml:space="preserve">Existiam </t>
  </si>
  <si>
    <t xml:space="preserve">A taxa de feminização era de </t>
  </si>
  <si>
    <t>Continente:</t>
  </si>
  <si>
    <t>Base:</t>
  </si>
  <si>
    <t>B/G</t>
  </si>
  <si>
    <t xml:space="preserve">) e </t>
  </si>
  <si>
    <t>Ganho:</t>
  </si>
  <si>
    <t>Entre</t>
  </si>
  <si>
    <t>e</t>
  </si>
  <si>
    <t>B M/H</t>
  </si>
  <si>
    <t>G M/H</t>
  </si>
  <si>
    <t>Base média:</t>
  </si>
  <si>
    <t>Ganho médio:</t>
  </si>
  <si>
    <t>Base mediana:</t>
  </si>
  <si>
    <t>Ganho mediano:</t>
  </si>
  <si>
    <t>ABRTANGIDOS</t>
  </si>
  <si>
    <t>confirmados os cálculos, estão corretos</t>
  </si>
  <si>
    <t>Micro</t>
  </si>
  <si>
    <t>Pequenos</t>
  </si>
  <si>
    <t>Médios</t>
  </si>
  <si>
    <r>
      <rPr>
        <b/>
        <u/>
        <sz val="11"/>
        <rFont val="Calibri"/>
        <family val="2"/>
        <scheme val="minor"/>
      </rPr>
      <t>Alguns conceitos</t>
    </r>
    <r>
      <rPr>
        <b/>
        <sz val="11"/>
        <rFont val="Calibri"/>
        <family val="2"/>
        <scheme val="minor"/>
      </rPr>
      <t xml:space="preserve">
Empresa</t>
    </r>
    <r>
      <rPr>
        <sz val="11"/>
        <rFont val="Calibri"/>
        <family val="2"/>
        <scheme val="minor"/>
      </rPr>
      <t xml:space="preserve"> - unidade organizacional de produção de bens e/ou serviços, usufruindo de uma certa autonomia de decisão, nomeadamente, quanto à afetação dos seus recursos correntes. Uma empresa exerce uma ou mais atividades em um ou vários locais. A informação recolhida das empresas passa pela descrição de algumas características da empresa sede, nomeadamente a sua localização e n.º de pessoas ao serviço.
</t>
    </r>
    <r>
      <rPr>
        <b/>
        <sz val="11"/>
        <rFont val="Calibri"/>
        <family val="2"/>
        <scheme val="minor"/>
      </rPr>
      <t>Atividade Principal da Empresa</t>
    </r>
    <r>
      <rPr>
        <sz val="11"/>
        <rFont val="Calibri"/>
        <family val="2"/>
        <scheme val="minor"/>
      </rPr>
      <t xml:space="preserve"> - atividade de acordo com a Classificação Portuguesa das Atividades Económicas (CAE) em vigor. É considerada a atividade de maior importância, no conjunto das atividades exercidas pela empresa, medida pelo valor a preços de venda dos produtos vendidos ou fabricados ou dos serviços prestados. Na impossibilidade da sua determinação por este critério, considera-se como principal a que ocupa, com carácter de permanência, o maior número de pessoas ao serviço.
</t>
    </r>
    <r>
      <rPr>
        <b/>
        <sz val="11"/>
        <rFont val="Calibri"/>
        <family val="2"/>
        <scheme val="minor"/>
      </rPr>
      <t>Estabelecimento</t>
    </r>
    <r>
      <rPr>
        <sz val="11"/>
        <rFont val="Calibri"/>
        <family val="2"/>
        <scheme val="minor"/>
      </rPr>
      <t xml:space="preserve"> - unidade económica que, sob um único regime de propriedade ou de controlo (quer dizer, sob a autoridade de uma só entidade jurídica), exerce, exclusiva ou principalmente, um só tipo de atividade económica, num só local. Unidade local ou estabelecimento corresponde a uma empresa ou parte de empresa situada num local topograficamente identificado. Nesse local, ou a partir dele exerce-se uma ou várias atividades económicas. A informação recolhida dos estabelecimentos, é fornecida ao GEP pela empresa sede e passa pela descrição de algumas características do estabelecimento, nomeadamente a sua localização e n.º de pessoas ao serviço.
</t>
    </r>
    <r>
      <rPr>
        <b/>
        <sz val="11"/>
        <rFont val="Calibri"/>
        <family val="2"/>
        <scheme val="minor"/>
      </rPr>
      <t>Instrumento de regulamentação coletiva de trabalho (IRCT)</t>
    </r>
    <r>
      <rPr>
        <sz val="11"/>
        <rFont val="Calibri"/>
        <family val="2"/>
        <scheme val="minor"/>
      </rPr>
      <t xml:space="preserve"> - conjunto de normas reguladoras das relações de trabalho de natureza convencional, arbitral ou regulamentar. Pode ser: Contrato coletivo de trabalho (CCT): conjunto de normas reguladoras das relações de trabalho resultante de acordo entre uma ou mais associações de empregadores e uma ou mais associações sindicais; Acordo coletivo de trabalho (ACT): conjunto de normas reguladoras das relações de trabalho resultante de acordo entre uma pluralidade de empregadores para diferentes empresas e uma ou mais associações sindicais; Acordo de empresa (AE): conjunto de normas reguladoras das relações de trabalho resultante de acordo entre um empregador para uma empresa ou estabelecimento e uma ou mais associações sindicais; Portaria de condições de trabalho (PCT) - portaria que contém as normas reguladoras das condições de trabalho no seu âmbito de aplicação. 
</t>
    </r>
    <r>
      <rPr>
        <b/>
        <sz val="11"/>
        <rFont val="Calibri"/>
        <family val="2"/>
        <scheme val="minor"/>
      </rPr>
      <t xml:space="preserve">Pessoas ao serviço </t>
    </r>
    <r>
      <rPr>
        <sz val="11"/>
        <rFont val="Calibri"/>
        <family val="2"/>
        <scheme val="minor"/>
      </rPr>
      <t xml:space="preserve">– número de pessoas ao serviço, independentemente do tipo de vínculo que possuem. As pessoas ao serviço englobam para além dos trabalhadores por conta de outrem, os empregadores desde que exerçam funções na empresa, os trabalhadores familiares não remunerados e os membros ativos de cooperativa de produção. A informação das pessoas ao serviço é recolhida por estabelecimento, sendo fornecida ao GEP pela empresa sede, inclui dados sobre remunerações e passa pela descrição de algumas características, nomeadamente a data de nascimento, o sexo, o nível de qualificação e o nível de habilitação. 
</t>
    </r>
    <r>
      <rPr>
        <b/>
        <sz val="11"/>
        <rFont val="Calibri"/>
        <family val="2"/>
        <scheme val="minor"/>
      </rPr>
      <t>Trabalhador por conta de outrem (TCO)</t>
    </r>
    <r>
      <rPr>
        <sz val="11"/>
        <rFont val="Calibri"/>
        <family val="2"/>
        <scheme val="minor"/>
      </rPr>
      <t xml:space="preserve"> - indivíduo que exerce uma atividade sob a autoridade e direção de outrem, nos termos de um contrato de trabalho, sujeito ou não a uma forma escrita e que lhe confere o direito a uma remuneração, a qual não depende dos resultados da unidade económica para a qual trabalha. </t>
    </r>
  </si>
  <si>
    <t>Pequenos (10 - 49 pessoas)</t>
  </si>
  <si>
    <t>Médios (50 - 249 pessoas)</t>
  </si>
  <si>
    <t>legenda comum aos 3 gráficos</t>
  </si>
  <si>
    <t>3+</t>
  </si>
  <si>
    <t>Exceção</t>
  </si>
  <si>
    <t xml:space="preserve">NOTA: </t>
  </si>
  <si>
    <t xml:space="preserve">NOTAS: </t>
  </si>
  <si>
    <t>1 - Ver se o texto é coerente, a ideia é apresentar as 3 CAE mais relevantes no último ano da série (% face ao total) versus a sua situação no primeiro ano da série. Consoante as CAE se alterem ou não, poderá ser necessário adaptar a(s) fórmula(s).</t>
  </si>
  <si>
    <t>2 - Atenção ao limite de caracteres das caixas de texto com fórmula. Se necessário, pode-se reduzir a denominação das CAE na folha "Aux".</t>
  </si>
  <si>
    <t>;</t>
  </si>
  <si>
    <t xml:space="preserve"> das estruturas;</t>
  </si>
  <si>
    <t xml:space="preserve"> e </t>
  </si>
  <si>
    <t xml:space="preserve">Atenção ao limite de caracteres das caixas de texto com fórmula. </t>
  </si>
  <si>
    <t>NOTA:  Por uma questão de visualização, optou-se por colocar rótulos de dados no gráfico das 5 CAE com maior expressão, uma vez que são sempre as mesmas (apenas se alterando a ordem) ao longo de toda a série (ver ranking células A70 a V74 e A79 a V83)</t>
  </si>
  <si>
    <t>NOTA:  Por uma questão de visualização, optou-se por colocar rótulos de dados no gráfico das 5 CAE com maior expressão (ver ranking células A70 a V74 e A79 a V83)</t>
  </si>
  <si>
    <t>Ativ. de saúde humana e apoio social</t>
  </si>
  <si>
    <t xml:space="preserve"> das pessoas (entre </t>
  </si>
  <si>
    <t xml:space="preserve"> dos TCO (entre </t>
  </si>
  <si>
    <t xml:space="preserve">NOTA: Sempre que exista nova série, atualizar a tabela dinâmica (linhas 80 a 93) - Ferramentas de Tabela Dinâmica - Analisar - Atualizar - Verificar se é necessário ajustar o eixo do gráfico e se todos os rótulos estão visíveis (terão de ser novamente formatados). </t>
  </si>
  <si>
    <t>Na folha "Estrutura Empresarial_Rem" as caixas de segmentação de dados poderão deixar de funcionar, pelo que terá de se copiar as caixas da presente folha e substituir as constantes na folha "Estrutura Empresarial_Rem".</t>
  </si>
  <si>
    <t>(Itens múltiplos)</t>
  </si>
  <si>
    <t xml:space="preserve">NOTA: Sempre que exista nova série, atualizar as tabelas dinâmicas (linhas 5 a 19, 25 a 38 e 41 a 43) - Ferramentas de Tabela Dinâmica - Analisar - Atualizar - Verificar se é necessário ajustar o eixo do gráfico e se todos os rótulos estão visíveis (terão de ser novamente formatados). </t>
  </si>
  <si>
    <t>ATENÇÃO: são dois gráficos independentes que foram agrupados, estando apenas visível o eixo de um gráfico. Ao atualizar para uma nova série, confirmar que os dois gráficos têm eixos iguais e, se necessário, ajustar os valores do eixo.</t>
  </si>
  <si>
    <t>Análise remuneração base</t>
  </si>
  <si>
    <t>Análise remuneração ganho</t>
  </si>
  <si>
    <t>Texto automático</t>
  </si>
  <si>
    <t>Atualizar manualmente, ou caso se prescinda do sublinhado e do bold, usar o texto automático linhas 84 e 94</t>
  </si>
  <si>
    <t>Empresas/Estabelecimentos</t>
  </si>
  <si>
    <t>Pessoas ao serviço/TCO</t>
  </si>
  <si>
    <t>Rem base/ganho</t>
  </si>
  <si>
    <t xml:space="preserve"> tinham entre 25 e 44 anos; </t>
  </si>
  <si>
    <t xml:space="preserve"> do Ganho, entre</t>
  </si>
  <si>
    <t xml:space="preserve"> (</t>
  </si>
  <si>
    <t xml:space="preserve">  (</t>
  </si>
  <si>
    <t>, nos mesmos grupos etários, respetivamente.</t>
  </si>
  <si>
    <t xml:space="preserve"> da dos Homens (H), entre </t>
  </si>
  <si>
    <t xml:space="preserve"> da dos H, entre </t>
  </si>
  <si>
    <t xml:space="preserve"> da dos H (</t>
  </si>
  <si>
    <t xml:space="preserve"> dos TCO eram profissionais qualificados e semi-qualificados,</t>
  </si>
  <si>
    <t xml:space="preserve"> e de</t>
  </si>
  <si>
    <t>, respetivamente.</t>
  </si>
  <si>
    <t>, nos mesmos níveis de qualificação, respetivamente.</t>
  </si>
  <si>
    <t xml:space="preserve"> dos TCO tinham os Ensinos Secundário e Superior completos.</t>
  </si>
  <si>
    <t>, nos mesmos níveis de habilitação, respetivamente.</t>
  </si>
  <si>
    <t>Análise:</t>
  </si>
  <si>
    <t>Proporção de TCO com remuneração Base:</t>
  </si>
  <si>
    <t>face a</t>
  </si>
  <si>
    <t>NOTA: o valor -8,2p.p. está errado (o correto é +8,2 p.p), foi enviado errado, entretanto corrigido em 15/12/2023</t>
  </si>
  <si>
    <t>Atualizar manualmente, ou caso se prescinda do sublinhado e do bold, usar o texto automático linhas 38 a 41</t>
  </si>
  <si>
    <t>Proporção de TCO com remuneração Ganho:</t>
  </si>
  <si>
    <t>Atualizar manualmente, ou caso se prescinda do sublinhado e do bold, usar o texto automático linhas 33 a 36.</t>
  </si>
  <si>
    <t>Atualizar manualmente</t>
  </si>
  <si>
    <t>&gt; limiar</t>
  </si>
  <si>
    <t>incidência %</t>
  </si>
  <si>
    <r>
      <t>D</t>
    </r>
    <r>
      <rPr>
        <vertAlign val="subscript"/>
        <sz val="10"/>
        <color rgb="FF7F7F7F"/>
        <rFont val="Calibri"/>
        <family val="2"/>
      </rPr>
      <t>k</t>
    </r>
    <r>
      <rPr>
        <sz val="10"/>
        <color rgb="FF7F7F7F"/>
        <rFont val="Calibri"/>
        <family val="2"/>
      </rPr>
      <t xml:space="preserve"> representa a média do ganho recebido pelos 10% da população no decil k, por exemplo, D1 representa a média do ganho recebido pelos 10% da população com menor remuneração ganho. </t>
    </r>
  </si>
  <si>
    <t>atualizar manualmente</t>
  </si>
  <si>
    <t xml:space="preserve">TCO abrangidos por </t>
  </si>
  <si>
    <t>TCO não abrangidos por IRCT</t>
  </si>
  <si>
    <t>Análises</t>
  </si>
  <si>
    <t>Remuneração média mensal Base:</t>
  </si>
  <si>
    <t>Atualizar manualmente, ou caso se prescinda do sublinhado e do bold, e se mantenha o tipo de análise, usar os textos automáticosem Z45, Z63 e .</t>
  </si>
  <si>
    <t>Remuneração média mensal Ganho:</t>
  </si>
  <si>
    <t>Com. por grosso e a ret.; rep. de veíc. autom. e mot.</t>
  </si>
  <si>
    <t>Ind. transformadoras</t>
  </si>
  <si>
    <t>Alojamento, rest. e sim.</t>
  </si>
  <si>
    <r>
      <rPr>
        <b/>
        <sz val="11"/>
        <rFont val="Calibri"/>
        <family val="2"/>
        <scheme val="minor"/>
      </rPr>
      <t>Remuneração Base</t>
    </r>
    <r>
      <rPr>
        <sz val="11"/>
        <rFont val="Calibri"/>
        <family val="2"/>
        <scheme val="minor"/>
      </rPr>
      <t xml:space="preserve"> - montante ilíquido (antes da dedução de quaisquer descontos) em dinheiro e/ou géneros pago aos trabalhadores, com carácter regular mensal, referente ao mês de outubro e correspondente às horas normais de trabalho.
</t>
    </r>
    <r>
      <rPr>
        <b/>
        <sz val="11"/>
        <rFont val="Calibri"/>
        <family val="2"/>
        <scheme val="minor"/>
      </rPr>
      <t>Remuneração Ganho</t>
    </r>
    <r>
      <rPr>
        <sz val="11"/>
        <rFont val="Calibri"/>
        <family val="2"/>
        <scheme val="minor"/>
      </rPr>
      <t xml:space="preserve"> - montante ilíquido em dinheiro e/ou géneros, pago ao trabalhador com carácter regular em relação ao período de referência por tempo trabalhado ou trabalho fornecido no período normal e extraordinário. Inclui, ainda, o pagamento de horas remuneradas mas não efetuadas (férias, feriados, e outras ausências pagas). Remuneração Ganho = Remuneração Base + Subsídio de refeição + subsídio por turnos + Outros Prémios e Subsídios Regulares + Remuneração de horas suplementares efetuadas em outubro.
</t>
    </r>
    <r>
      <rPr>
        <b/>
        <sz val="11"/>
        <rFont val="Calibri"/>
        <family val="2"/>
        <scheme val="minor"/>
      </rPr>
      <t>Prémios e subsídios regulares</t>
    </r>
    <r>
      <rPr>
        <sz val="11"/>
        <rFont val="Calibri"/>
        <family val="2"/>
        <scheme val="minor"/>
      </rPr>
      <t xml:space="preserve"> -  montante ilíquido pago às pessoas ao serviço, com carácter regular mensal, por subsídio de alimentação, de função, de alojamento ou transporte, diuturnidades ou prémios de antiguidade, de produtividade, de assiduidade, subsídios por trabalhos penosos, perigosos ou sujos, subsídios por trabalho de turnos e noturnos. Exclui os montantes relativos a retroativos, indemnizações, subsídios de Natal ou férias.
</t>
    </r>
    <r>
      <rPr>
        <b/>
        <u/>
        <sz val="11"/>
        <rFont val="Calibri"/>
        <family val="2"/>
        <scheme val="minor"/>
      </rPr>
      <t>Nota:</t>
    </r>
    <r>
      <rPr>
        <b/>
        <sz val="11"/>
        <rFont val="Calibri"/>
        <family val="2"/>
        <scheme val="minor"/>
      </rPr>
      <t xml:space="preserve"> </t>
    </r>
    <r>
      <rPr>
        <sz val="11"/>
        <rFont val="Calibri"/>
        <family val="2"/>
        <scheme val="minor"/>
      </rPr>
      <t xml:space="preserve">As </t>
    </r>
    <r>
      <rPr>
        <b/>
        <sz val="11"/>
        <rFont val="Calibri"/>
        <family val="2"/>
        <scheme val="minor"/>
      </rPr>
      <t>remunerações médias</t>
    </r>
    <r>
      <rPr>
        <sz val="11"/>
        <rFont val="Calibri"/>
        <family val="2"/>
        <scheme val="minor"/>
      </rPr>
      <t xml:space="preserve"> mensais são calculadas para os</t>
    </r>
    <r>
      <rPr>
        <b/>
        <sz val="11"/>
        <rFont val="Calibri"/>
        <family val="2"/>
        <scheme val="minor"/>
      </rPr>
      <t xml:space="preserve"> TCO a tempo completo com remuneração completa</t>
    </r>
    <r>
      <rPr>
        <sz val="11"/>
        <rFont val="Calibri"/>
        <family val="2"/>
        <scheme val="minor"/>
      </rPr>
      <t xml:space="preserve">.
</t>
    </r>
    <r>
      <rPr>
        <b/>
        <u/>
        <sz val="11"/>
        <rFont val="Calibri"/>
        <family val="2"/>
        <scheme val="minor"/>
      </rPr>
      <t>Nomenclaturas</t>
    </r>
    <r>
      <rPr>
        <sz val="11"/>
        <rFont val="Calibri"/>
        <family val="2"/>
        <scheme val="minor"/>
      </rPr>
      <t xml:space="preserve">
Classificação Portuguesa das Atividades Económicas (CAE) Rev. 3 - </t>
    </r>
    <r>
      <rPr>
        <b/>
        <sz val="11"/>
        <rFont val="Calibri"/>
        <family val="2"/>
        <scheme val="minor"/>
      </rPr>
      <t>Secção da Atividade Económica:</t>
    </r>
    <r>
      <rPr>
        <sz val="11"/>
        <rFont val="Calibri"/>
        <family val="2"/>
        <scheme val="minor"/>
      </rPr>
      <t xml:space="preserve"> </t>
    </r>
    <r>
      <rPr>
        <b/>
        <sz val="11"/>
        <rFont val="Calibri"/>
        <family val="2"/>
        <scheme val="minor"/>
      </rPr>
      <t xml:space="preserve">A </t>
    </r>
    <r>
      <rPr>
        <sz val="11"/>
        <rFont val="Calibri"/>
        <family val="2"/>
        <scheme val="minor"/>
      </rPr>
      <t>- Agricultura, produção animal, caça, floresta e pesca;</t>
    </r>
    <r>
      <rPr>
        <b/>
        <sz val="11"/>
        <rFont val="Calibri"/>
        <family val="2"/>
        <scheme val="minor"/>
      </rPr>
      <t xml:space="preserve"> B</t>
    </r>
    <r>
      <rPr>
        <sz val="11"/>
        <rFont val="Calibri"/>
        <family val="2"/>
        <scheme val="minor"/>
      </rPr>
      <t xml:space="preserve"> - Indústrias extractivas; </t>
    </r>
    <r>
      <rPr>
        <b/>
        <sz val="11"/>
        <rFont val="Calibri"/>
        <family val="2"/>
        <scheme val="minor"/>
      </rPr>
      <t>C</t>
    </r>
    <r>
      <rPr>
        <sz val="11"/>
        <rFont val="Calibri"/>
        <family val="2"/>
        <scheme val="minor"/>
      </rPr>
      <t xml:space="preserve"> - Indústrias transformadoras; </t>
    </r>
    <r>
      <rPr>
        <b/>
        <sz val="11"/>
        <rFont val="Calibri"/>
        <family val="2"/>
        <scheme val="minor"/>
      </rPr>
      <t>D</t>
    </r>
    <r>
      <rPr>
        <sz val="11"/>
        <rFont val="Calibri"/>
        <family val="2"/>
        <scheme val="minor"/>
      </rPr>
      <t xml:space="preserve"> - Electricidade, gás, vapor, água quente e fria e ar frio; </t>
    </r>
    <r>
      <rPr>
        <b/>
        <sz val="11"/>
        <rFont val="Calibri"/>
        <family val="2"/>
        <scheme val="minor"/>
      </rPr>
      <t>E</t>
    </r>
    <r>
      <rPr>
        <sz val="11"/>
        <rFont val="Calibri"/>
        <family val="2"/>
        <scheme val="minor"/>
      </rPr>
      <t xml:space="preserve"> - Captação, tratamento e distribuição de água; saneamento, gestão de resíduos e despoluição; </t>
    </r>
    <r>
      <rPr>
        <b/>
        <sz val="11"/>
        <rFont val="Calibri"/>
        <family val="2"/>
        <scheme val="minor"/>
      </rPr>
      <t>F</t>
    </r>
    <r>
      <rPr>
        <sz val="11"/>
        <rFont val="Calibri"/>
        <family val="2"/>
        <scheme val="minor"/>
      </rPr>
      <t xml:space="preserve"> - Construção; </t>
    </r>
    <r>
      <rPr>
        <b/>
        <sz val="11"/>
        <rFont val="Calibri"/>
        <family val="2"/>
        <scheme val="minor"/>
      </rPr>
      <t>G</t>
    </r>
    <r>
      <rPr>
        <sz val="11"/>
        <rFont val="Calibri"/>
        <family val="2"/>
        <scheme val="minor"/>
      </rPr>
      <t xml:space="preserve"> - Comércio por grosso e a retalho; reparação de veículos automóveis e motociclos;</t>
    </r>
    <r>
      <rPr>
        <b/>
        <sz val="11"/>
        <rFont val="Calibri"/>
        <family val="2"/>
        <scheme val="minor"/>
      </rPr>
      <t xml:space="preserve"> H </t>
    </r>
    <r>
      <rPr>
        <sz val="11"/>
        <rFont val="Calibri"/>
        <family val="2"/>
        <scheme val="minor"/>
      </rPr>
      <t xml:space="preserve">- Transportes e armazenagem; </t>
    </r>
    <r>
      <rPr>
        <b/>
        <sz val="11"/>
        <rFont val="Calibri"/>
        <family val="2"/>
        <scheme val="minor"/>
      </rPr>
      <t>I</t>
    </r>
    <r>
      <rPr>
        <sz val="11"/>
        <rFont val="Calibri"/>
        <family val="2"/>
        <scheme val="minor"/>
      </rPr>
      <t xml:space="preserve"> - Alojamento, restauração e similares;</t>
    </r>
    <r>
      <rPr>
        <b/>
        <sz val="11"/>
        <rFont val="Calibri"/>
        <family val="2"/>
        <scheme val="minor"/>
      </rPr>
      <t xml:space="preserve"> J </t>
    </r>
    <r>
      <rPr>
        <sz val="11"/>
        <rFont val="Calibri"/>
        <family val="2"/>
        <scheme val="minor"/>
      </rPr>
      <t xml:space="preserve">- Actividades de informação e de comunicação ; </t>
    </r>
    <r>
      <rPr>
        <b/>
        <sz val="11"/>
        <rFont val="Calibri"/>
        <family val="2"/>
        <scheme val="minor"/>
      </rPr>
      <t>K</t>
    </r>
    <r>
      <rPr>
        <sz val="11"/>
        <rFont val="Calibri"/>
        <family val="2"/>
        <scheme val="minor"/>
      </rPr>
      <t xml:space="preserve"> - Actividades financeiras e de seguros; </t>
    </r>
    <r>
      <rPr>
        <b/>
        <sz val="11"/>
        <rFont val="Calibri"/>
        <family val="2"/>
        <scheme val="minor"/>
      </rPr>
      <t xml:space="preserve">L </t>
    </r>
    <r>
      <rPr>
        <sz val="11"/>
        <rFont val="Calibri"/>
        <family val="2"/>
        <scheme val="minor"/>
      </rPr>
      <t xml:space="preserve">- Actividades imobiliárias; </t>
    </r>
    <r>
      <rPr>
        <b/>
        <sz val="11"/>
        <rFont val="Calibri"/>
        <family val="2"/>
        <scheme val="minor"/>
      </rPr>
      <t>M</t>
    </r>
    <r>
      <rPr>
        <sz val="11"/>
        <rFont val="Calibri"/>
        <family val="2"/>
        <scheme val="minor"/>
      </rPr>
      <t xml:space="preserve"> - Actividades de consultoria, científicas, técnicas e similares; </t>
    </r>
    <r>
      <rPr>
        <b/>
        <sz val="11"/>
        <rFont val="Calibri"/>
        <family val="2"/>
        <scheme val="minor"/>
      </rPr>
      <t>N</t>
    </r>
    <r>
      <rPr>
        <sz val="11"/>
        <rFont val="Calibri"/>
        <family val="2"/>
        <scheme val="minor"/>
      </rPr>
      <t xml:space="preserve"> - Actividades administrativas e dos serviços de apoio; </t>
    </r>
    <r>
      <rPr>
        <b/>
        <sz val="11"/>
        <rFont val="Calibri"/>
        <family val="2"/>
        <scheme val="minor"/>
      </rPr>
      <t>O</t>
    </r>
    <r>
      <rPr>
        <sz val="11"/>
        <rFont val="Calibri"/>
        <family val="2"/>
        <scheme val="minor"/>
      </rPr>
      <t xml:space="preserve"> - Administração Pública e Defesa; Segurança Social Obrigatória; </t>
    </r>
    <r>
      <rPr>
        <b/>
        <sz val="11"/>
        <rFont val="Calibri"/>
        <family val="2"/>
        <scheme val="minor"/>
      </rPr>
      <t xml:space="preserve">P </t>
    </r>
    <r>
      <rPr>
        <sz val="11"/>
        <rFont val="Calibri"/>
        <family val="2"/>
        <scheme val="minor"/>
      </rPr>
      <t xml:space="preserve">- Educação; </t>
    </r>
    <r>
      <rPr>
        <b/>
        <sz val="11"/>
        <rFont val="Calibri"/>
        <family val="2"/>
        <scheme val="minor"/>
      </rPr>
      <t>Q</t>
    </r>
    <r>
      <rPr>
        <sz val="11"/>
        <rFont val="Calibri"/>
        <family val="2"/>
        <scheme val="minor"/>
      </rPr>
      <t xml:space="preserve"> - Actividades de saúde humana e apoio social; </t>
    </r>
    <r>
      <rPr>
        <b/>
        <sz val="11"/>
        <rFont val="Calibri"/>
        <family val="2"/>
        <scheme val="minor"/>
      </rPr>
      <t>R</t>
    </r>
    <r>
      <rPr>
        <sz val="11"/>
        <rFont val="Calibri"/>
        <family val="2"/>
        <scheme val="minor"/>
      </rPr>
      <t xml:space="preserve"> - Actividades artísticas, de espectáculos, desportivas e recreativas; </t>
    </r>
    <r>
      <rPr>
        <b/>
        <sz val="11"/>
        <rFont val="Calibri"/>
        <family val="2"/>
        <scheme val="minor"/>
      </rPr>
      <t>S</t>
    </r>
    <r>
      <rPr>
        <sz val="11"/>
        <rFont val="Calibri"/>
        <family val="2"/>
        <scheme val="minor"/>
      </rPr>
      <t xml:space="preserve"> - Outras actividades de serviços; </t>
    </r>
    <r>
      <rPr>
        <b/>
        <sz val="11"/>
        <rFont val="Calibri"/>
        <family val="2"/>
        <scheme val="minor"/>
      </rPr>
      <t>T</t>
    </r>
    <r>
      <rPr>
        <sz val="11"/>
        <rFont val="Calibri"/>
        <family val="2"/>
        <scheme val="minor"/>
      </rPr>
      <t xml:space="preserve"> - Actividades das famílias empregadoras de pessoal doméstico e actividades de produção das famílias para uso próprio; </t>
    </r>
    <r>
      <rPr>
        <b/>
        <sz val="11"/>
        <rFont val="Calibri"/>
        <family val="2"/>
        <scheme val="minor"/>
      </rPr>
      <t xml:space="preserve">U </t>
    </r>
    <r>
      <rPr>
        <sz val="11"/>
        <rFont val="Calibri"/>
        <family val="2"/>
        <scheme val="minor"/>
      </rPr>
      <t>- Actividades dos organismos internacionais e outras instituições extra-territoriais.</t>
    </r>
  </si>
  <si>
    <t xml:space="preserve">Adaptar o texto </t>
  </si>
  <si>
    <t>Quadro 13a - Trabalhadores por conta de outrem ao serviço nos estabelecimentos por grupo etário e sexo (TCO Rem - a tempo completo com remuneração completa)</t>
  </si>
  <si>
    <t>Este quadro não é publicado nas séries. Houve necessidade de o extrair do SISED para determinar as remunerações médias dos grupos etários agregados. No SISED, extrai-se o CADERNO "TERESA FELICIANO Series Cronologicas - EMPREGO - Serie2010" e nas folhas Q15, Q15a e Q17 =&gt; Editar folha =&gt; nas variáveis selecionadas, substituir "Qte TPCO" por "TPCO Mensal (REM)"</t>
  </si>
  <si>
    <t>Guardar as 3 folhas no ficheiro "Series Cronologicas - EMPREGO - Serie2010_TCO_REM.xlsx" em P:\G_EME_INFOESTAT\4_produtos\4_series\1_Quadros de Pessoal\2011_2021\dados_apoio\2-EMPREGO, mantendo o nome das folhas (Q15a, Q15 e Q17) para facilitar a criação dos quadros finais.</t>
  </si>
  <si>
    <t>No ficheiro "05_Quadros Apoio_TCO_Rem_Q11_Q13.xlsx" em P:\G_EME_INFOESTAT\4_produtos\4_series\1_Quadros de Pessoal\2011_2021\Dashboard, os quadros Q11a (TCO das Rem por dimensão e sexo) e Q13a (TCO das Rem por grupo etário e sexo) ficam automaticamente atualizados.</t>
  </si>
  <si>
    <t>Fazer copiar - colar especial valores para a folha q11a e q13a do ficheiro "03_seriesqp_2011_2021_Dashboard.xlsx"</t>
  </si>
  <si>
    <t>Quadro 11 - Trabalhadores por conta de outrem ao serviço nos estabelecimentos por dimensão e sexo (TCO Rem - a tempo completo com remuneração completa)</t>
  </si>
  <si>
    <t>VALID</t>
  </si>
  <si>
    <t>Valid</t>
  </si>
  <si>
    <t>Entre 2011 e 2013, as remunerações dos 20% de TCO que mais ganhavam, era 4,5 vezes o valor das remunerações dos 20% que menos auferiam. O mesmo rácio era 3,7 em 2021.</t>
  </si>
  <si>
    <t xml:space="preserve">Entre RMMG e &lt; 750 €: </t>
  </si>
  <si>
    <t xml:space="preserve">Igual à RMMG: </t>
  </si>
  <si>
    <t xml:space="preserve">Igual à RMMG e &lt; 750 €: </t>
  </si>
  <si>
    <t xml:space="preserve">Igual à RMMG e &lt; 750 €:  </t>
  </si>
  <si>
    <t>ATENÇÃO - Confirmar sempre o texto na caixa de texto automática com a estática</t>
  </si>
  <si>
    <t xml:space="preserve">       (2) considerado como sendo 2/3 da mediana do ganho mensal do Continente, neste exercício.</t>
  </si>
  <si>
    <t>ver pedido 90/2023 e "QUADRO24.xlsx"</t>
  </si>
  <si>
    <t>No futuro alterar gráfico de modo a que constem os valoes S10 = D1, S20 = (D1+D2)/2, S80 = (D10+D9)/2, S90 = D10, substituindo D2 por S20 e D9 por S80 e retirando D5.</t>
  </si>
  <si>
    <r>
      <rPr>
        <b/>
        <sz val="10"/>
        <rFont val="Calibri"/>
        <family val="2"/>
        <scheme val="minor"/>
      </rPr>
      <t xml:space="preserve">De: Lina.G.Rafael &lt;Lina.G.Rafael@gep.mtsss.pt&gt; 
Enviada: 8 de abril de 2024 15:57
Para: Elsa Oliveira &lt;Elsa.Oliveira@gep.mtsss.pt&gt;; Andreia José &lt;andreia.jose@gep.mtsss.pt&gt;
Cc: Vitor Hugo Teixeira &lt;Vitor.Hugo.Teixeira@gep.mtsss.pt&gt;
Assunto: RE: Dashboard / Excel Interativo Séries QP 2011-2021
NOTA: S80 e S20? </t>
    </r>
    <r>
      <rPr>
        <sz val="10"/>
        <rFont val="Calibri"/>
        <family val="2"/>
        <scheme val="minor"/>
      </rPr>
      <t xml:space="preserve"> - optou-se por não colocar o rácio S80/S20 (ou seja S80 é xxxx vezes S20), porque as setas, à semelhança das que EO tinha no gráfico da infografia dos 100 anos, sobrecarregavam este gráfico; mas equacionou-se colocar o valor do S80 e do S20, no entanto para a construção do gráfico tem de se ter 5 valores e, por exemplo, o S80 corresponde ao (D9+D10)/2, o qual ainda seria passível de colocar (artificialmente) no gráfico, mas seria problemático para o S20 = (D1+D2)/2  (e já nem me recordo muito bem como fiz o gráfco, mas tinha de construir uma coluna e definir uma linha de máximo e mínimo que dividia essa coluna ao meio e tinha de retirar o preenchimento a partes da coluna de modo a ficar com o aspeto de uma caixa de bigodes….) 
Os valores S90/S10 não parecem coincidir com D9/D1 - não devia ser isso? – não, S90/S10 = D10/D1= 5,1 =&gt; a proporção do rendimento total recebido pelos 10% da população com maiores rendimentos (D10) e a parte do rendimento auferido pelos 10% de menores rendimentos (D1). (cf definição do INE em https://www.ine.pt/bddXplorer/htdocs/minfo.jsp?var_cd=0004214&amp;lingua=PT – documento “Indicadores desigualdade distribuição rendimentos.docx” em P:\G_EME_INFOESTAT\4_produtos\4_series\1_Quadros de Pessoal\2011_2021\Dashboard) –
porquê D10 e não S90? - Esta foi uma dúvida que se levantou na altura e não alterámos por apesar de se poder dizer que S90 = D10, no gráfico iria surgir S10 (em vez de D1), D2, D5, D9 e S90 (em vez de D10), misturando-se as “designações”.</t>
    </r>
  </si>
  <si>
    <r>
      <t>Quadro 3.1 -</t>
    </r>
    <r>
      <rPr>
        <sz val="9"/>
        <rFont val="Arial"/>
        <family val="2"/>
      </rPr>
      <t xml:space="preserve"> </t>
    </r>
    <r>
      <rPr>
        <b/>
        <sz val="9"/>
        <color indexed="8"/>
        <rFont val="Arial"/>
        <family val="2"/>
      </rPr>
      <t>Empresas por Região NUTS II e Sub Região NUTS III (2024)</t>
    </r>
  </si>
  <si>
    <t>Norte</t>
  </si>
  <si>
    <t>Alto Minho</t>
  </si>
  <si>
    <t>Cávado</t>
  </si>
  <si>
    <t>Ave</t>
  </si>
  <si>
    <t>Área Metropolitana do Porto</t>
  </si>
  <si>
    <t>Alto Tâmega e Barroso</t>
  </si>
  <si>
    <t>Tâmega e Sousa</t>
  </si>
  <si>
    <t>Douro</t>
  </si>
  <si>
    <t>Terras de Trás-os-Montes</t>
  </si>
  <si>
    <t>Centro</t>
  </si>
  <si>
    <t>Região de Aveiro</t>
  </si>
  <si>
    <t>Região de Coimbra</t>
  </si>
  <si>
    <t>Região de Leiria</t>
  </si>
  <si>
    <t>Viseu Dão Lafões</t>
  </si>
  <si>
    <t>Beira Baixa</t>
  </si>
  <si>
    <t>Beiras e Serra da Estrela</t>
  </si>
  <si>
    <t>Oeste e Vale do Tejo</t>
  </si>
  <si>
    <t>Oeste</t>
  </si>
  <si>
    <t>Médio Tejo</t>
  </si>
  <si>
    <t>Lezíria do Tejo</t>
  </si>
  <si>
    <t>Grande Lisboa</t>
  </si>
  <si>
    <t>Península de Setúbal</t>
  </si>
  <si>
    <t>Alentejo</t>
  </si>
  <si>
    <t>Alentejo Litoral</t>
  </si>
  <si>
    <t>Baixo Alentejo</t>
  </si>
  <si>
    <t>Alto Alentejo</t>
  </si>
  <si>
    <t>Alentejo Central</t>
  </si>
  <si>
    <t>Algarve</t>
  </si>
  <si>
    <r>
      <t>Quadro 6.1 -</t>
    </r>
    <r>
      <rPr>
        <sz val="9"/>
        <rFont val="Arial"/>
        <family val="2"/>
      </rPr>
      <t xml:space="preserve"> </t>
    </r>
    <r>
      <rPr>
        <b/>
        <sz val="9"/>
        <color indexed="8"/>
        <rFont val="Arial"/>
        <family val="2"/>
      </rPr>
      <t>Estabelecimentos por Região NUTS II e Sub Região NUTS III (2024)</t>
    </r>
  </si>
  <si>
    <t>Quadro 9.1 - Pessoas ao serviço nos estabelecimentos por Região NUTS II e Sub Região NUTS III (2024)</t>
  </si>
  <si>
    <t>Quadro 12.1 - Trabalhadores por conta de outrem ao serviço nos estabelecimentos por Região NUTS II e Sub Região NUTS III (2024)</t>
  </si>
  <si>
    <t>Quadro 19.1 - Remuneração média mensal base por Região NUTS II e Sub Região NUTS III (2024) do estabelecimento</t>
  </si>
  <si>
    <t xml:space="preserve">Quadro 27.1 - Remuneração média mensal ganho por Região NUTS II e Sub Região NUTS III (2024) do estabelecimento </t>
  </si>
  <si>
    <t>Quadro 3.1 - Empresas por Região NUTS II e Sub Região NUTS III (2024)</t>
  </si>
  <si>
    <t>Quadro 6.1 - Estabelecimentos por Região NUTS II e Sub Região NUTS III (2024)</t>
  </si>
  <si>
    <t>variação 2022/2021</t>
  </si>
  <si>
    <t>variação 2022/2012</t>
  </si>
  <si>
    <t>2022 - % do total</t>
  </si>
  <si>
    <t>em 2012</t>
  </si>
  <si>
    <t xml:space="preserve"> que em 2012) e tinham</t>
  </si>
  <si>
    <t>que em 2012).</t>
  </si>
  <si>
    <t xml:space="preserve"> euros que em 2012) e de </t>
  </si>
  <si>
    <t>euros em 2012).</t>
  </si>
  <si>
    <t xml:space="preserve"> que em 2012) e era a localização de </t>
  </si>
  <si>
    <t>2012 - 2016</t>
  </si>
  <si>
    <t>2012 - 2015</t>
  </si>
  <si>
    <t>2015 - 2022</t>
  </si>
  <si>
    <t>2017 - 2022</t>
  </si>
  <si>
    <t>NUTS II</t>
  </si>
  <si>
    <t>NUTS III</t>
  </si>
  <si>
    <t>CC0 1.0 DEED</t>
  </si>
  <si>
    <t>No Copyright</t>
  </si>
  <si>
    <r>
      <t>1. The person who associated a work with this deed has </t>
    </r>
    <r>
      <rPr>
        <b/>
        <sz val="11"/>
        <color rgb="FF000000"/>
        <rFont val="Source Sans Pro"/>
        <family val="2"/>
      </rPr>
      <t>dedicated </t>
    </r>
    <r>
      <rPr>
        <sz val="11"/>
        <color rgb="FF000000"/>
        <rFont val="Source Sans Pro"/>
        <family val="2"/>
      </rPr>
      <t>the work to the public domain by waiving all of his or her rights to the work worldwide under copyright law, including all related and neighboring rights, to the extent allowed by law.</t>
    </r>
  </si>
  <si>
    <r>
      <t>2. You can copy, modify, distribute and perform the work, even for commercial purposes, all without asking permission. See </t>
    </r>
    <r>
      <rPr>
        <b/>
        <sz val="11"/>
        <color rgb="FF000000"/>
        <rFont val="Source Sans Pro"/>
        <family val="2"/>
      </rPr>
      <t>Other Information </t>
    </r>
    <r>
      <rPr>
        <sz val="11"/>
        <color rgb="FF000000"/>
        <rFont val="Source Sans Pro"/>
        <family val="2"/>
      </rPr>
      <t>below.</t>
    </r>
  </si>
  <si>
    <t>Other Information</t>
  </si>
  <si>
    <t>1. In no way are the patent or trademark rights of any person affected by CC0, nor are the rights that other persons may have in the work or in how the work is used, such as publicity or privacy rights.</t>
  </si>
  <si>
    <t>2. Unless expressly stated otherwise, the person who associated a work with this deed makes no warranties about the work, and disclaims liability for all uses of the work, to the fullest extent permitted by applicable law.</t>
  </si>
  <si>
    <t>3. When using or citing the work, you should not imply endorsement by the author or the affirmer.</t>
  </si>
  <si>
    <t xml:space="preserve">Empresas </t>
  </si>
  <si>
    <t>q3.1</t>
  </si>
  <si>
    <t>q6.1</t>
  </si>
  <si>
    <t>q9.1</t>
  </si>
  <si>
    <t>q12.1</t>
  </si>
  <si>
    <t>q19.1</t>
  </si>
  <si>
    <t>q27.1</t>
  </si>
  <si>
    <t>Selecionar NUTS II</t>
  </si>
  <si>
    <t>Análise automática =&gt; muda a NUTS II</t>
  </si>
  <si>
    <t xml:space="preserve">A região </t>
  </si>
  <si>
    <t xml:space="preserve">As empresas da região </t>
  </si>
  <si>
    <t>Na região</t>
  </si>
  <si>
    <t>Análise automática a variar com a região (NUTS II) e ano</t>
  </si>
  <si>
    <t>AR6</t>
  </si>
  <si>
    <t>Oeste e Vale do tejo</t>
  </si>
  <si>
    <t>EMPRESAS</t>
  </si>
  <si>
    <t>ª região de 7)</t>
  </si>
  <si>
    <t xml:space="preserve">Sub-regiões NUTS III: Máx. da NUTS II - </t>
  </si>
  <si>
    <t>Máximo valor</t>
  </si>
  <si>
    <t>Máximo desig</t>
  </si>
  <si>
    <t>Mínimo valor</t>
  </si>
  <si>
    <t>Mínimo desig</t>
  </si>
  <si>
    <t>Min. da NUTS II</t>
  </si>
  <si>
    <t>ESTABELECIMENTOS</t>
  </si>
  <si>
    <t xml:space="preserve">NUTS II </t>
  </si>
  <si>
    <t xml:space="preserve">: </t>
  </si>
  <si>
    <t xml:space="preserve">); </t>
  </si>
  <si>
    <t xml:space="preserve"> - </t>
  </si>
  <si>
    <t xml:space="preserve">% do </t>
  </si>
  <si>
    <t xml:space="preserve">% do Continente; </t>
  </si>
  <si>
    <t>Se Norte, Centro, Oeste e Vale do Tejo ou Alentejo</t>
  </si>
  <si>
    <t>Se Grande Lisboa, Península de Setúbal ou Algarve</t>
  </si>
  <si>
    <t>PESSOAS AO SERVIÇO</t>
  </si>
  <si>
    <t>BM6</t>
  </si>
  <si>
    <t>REMUNERAÇÃO BASE</t>
  </si>
  <si>
    <t>CG6</t>
  </si>
  <si>
    <t xml:space="preserve">% que no Continente; </t>
  </si>
  <si>
    <t>REMUNERAÇÃO GANHO</t>
  </si>
  <si>
    <t xml:space="preserve">% da </t>
  </si>
  <si>
    <t>euros que em 2012).</t>
  </si>
  <si>
    <t>C Total</t>
  </si>
  <si>
    <t>C - Ind. transformadoras</t>
  </si>
  <si>
    <r>
      <t xml:space="preserve">O </t>
    </r>
    <r>
      <rPr>
        <b/>
        <i/>
        <u/>
        <sz val="11"/>
        <rFont val="Calibri"/>
        <family val="2"/>
      </rPr>
      <t>dashboard</t>
    </r>
    <r>
      <rPr>
        <b/>
        <u/>
        <sz val="11"/>
        <rFont val="Calibri"/>
        <family val="2"/>
      </rPr>
      <t xml:space="preserve"> / Excel interativo - Séries Cronológicas: Quadros de Pessoal 2012-2022</t>
    </r>
    <r>
      <rPr>
        <sz val="11"/>
        <rFont val="Calibri"/>
        <family val="2"/>
      </rPr>
      <t xml:space="preserve"> apresenta </t>
    </r>
    <r>
      <rPr>
        <b/>
        <sz val="11"/>
        <rFont val="Calibri"/>
        <family val="2"/>
      </rPr>
      <t>visualmente</t>
    </r>
    <r>
      <rPr>
        <sz val="11"/>
        <rFont val="Calibri"/>
        <family val="2"/>
      </rPr>
      <t xml:space="preserve">, com representações em diversos tipos de gráfico, os </t>
    </r>
    <r>
      <rPr>
        <b/>
        <sz val="11"/>
        <rFont val="Calibri"/>
        <family val="2"/>
      </rPr>
      <t>dados</t>
    </r>
    <r>
      <rPr>
        <sz val="11"/>
        <rFont val="Calibri"/>
        <family val="2"/>
      </rPr>
      <t xml:space="preserve"> constantes dos quadros da </t>
    </r>
    <r>
      <rPr>
        <b/>
        <sz val="11"/>
        <rFont val="Calibri"/>
        <family val="2"/>
      </rPr>
      <t>publicação</t>
    </r>
    <r>
      <rPr>
        <sz val="11"/>
        <rFont val="Calibri"/>
        <family val="2"/>
      </rPr>
      <t xml:space="preserve"> GEP/MTSSS, Séries Cronológicas: Quadros de Pessoal 2012-2022 (disponível em formato .pdf e Excel em </t>
    </r>
    <r>
      <rPr>
        <u/>
        <sz val="11"/>
        <color rgb="FF0070C0"/>
        <rFont val="Calibri"/>
        <family val="2"/>
      </rPr>
      <t>www.gep.mtsss.pt</t>
    </r>
    <r>
      <rPr>
        <sz val="11"/>
        <rFont val="Calibri"/>
        <family val="2"/>
      </rPr>
      <t xml:space="preserve">) e permite ao </t>
    </r>
    <r>
      <rPr>
        <b/>
        <sz val="11"/>
        <rFont val="Calibri"/>
        <family val="2"/>
      </rPr>
      <t>utilizador selecionar</t>
    </r>
    <r>
      <rPr>
        <sz val="11"/>
        <rFont val="Calibri"/>
        <family val="2"/>
      </rPr>
      <t xml:space="preserve">, nalguns casos, as </t>
    </r>
    <r>
      <rPr>
        <b/>
        <sz val="11"/>
        <rFont val="Calibri"/>
        <family val="2"/>
      </rPr>
      <t xml:space="preserve">variáveis / anos / desagregações </t>
    </r>
    <r>
      <rPr>
        <sz val="11"/>
        <rFont val="Calibri"/>
        <family val="2"/>
      </rPr>
      <t>que desejar. Contém (cf. folha "</t>
    </r>
    <r>
      <rPr>
        <b/>
        <sz val="11"/>
        <rFont val="Calibri"/>
        <family val="2"/>
      </rPr>
      <t>Capa_Indice</t>
    </r>
    <r>
      <rPr>
        <sz val="11"/>
        <rFont val="Calibri"/>
        <family val="2"/>
      </rPr>
      <t>"), portanto, informação sobre</t>
    </r>
    <r>
      <rPr>
        <b/>
        <sz val="11"/>
        <rFont val="Calibri"/>
        <family val="2"/>
      </rPr>
      <t xml:space="preserve"> </t>
    </r>
    <r>
      <rPr>
        <b/>
        <u/>
        <sz val="11"/>
        <rFont val="Calibri"/>
        <family val="2"/>
      </rPr>
      <t>empresas</t>
    </r>
    <r>
      <rPr>
        <sz val="11"/>
        <rFont val="Calibri"/>
        <family val="2"/>
      </rPr>
      <t xml:space="preserve">; </t>
    </r>
    <r>
      <rPr>
        <b/>
        <u/>
        <sz val="11"/>
        <rFont val="Calibri"/>
        <family val="2"/>
      </rPr>
      <t>estabelecimentos</t>
    </r>
    <r>
      <rPr>
        <sz val="11"/>
        <rFont val="Calibri"/>
        <family val="2"/>
      </rPr>
      <t xml:space="preserve">; </t>
    </r>
    <r>
      <rPr>
        <b/>
        <u/>
        <sz val="11"/>
        <rFont val="Calibri"/>
        <family val="2"/>
      </rPr>
      <t>pessoas ao serviço</t>
    </r>
    <r>
      <rPr>
        <sz val="11"/>
        <rFont val="Calibri"/>
        <family val="2"/>
      </rPr>
      <t>;</t>
    </r>
    <r>
      <rPr>
        <b/>
        <sz val="11"/>
        <rFont val="Calibri"/>
        <family val="2"/>
      </rPr>
      <t xml:space="preserve"> </t>
    </r>
    <r>
      <rPr>
        <b/>
        <u/>
        <sz val="11"/>
        <rFont val="Calibri"/>
        <family val="2"/>
      </rPr>
      <t>TCO</t>
    </r>
    <r>
      <rPr>
        <sz val="11"/>
        <rFont val="Calibri"/>
        <family val="2"/>
      </rPr>
      <t xml:space="preserve">; </t>
    </r>
    <r>
      <rPr>
        <u/>
        <sz val="11"/>
        <rFont val="Calibri"/>
        <family val="2"/>
      </rPr>
      <t>r</t>
    </r>
    <r>
      <rPr>
        <b/>
        <u/>
        <sz val="11"/>
        <rFont val="Calibri"/>
        <family val="2"/>
      </rPr>
      <t>emuneração mensal base</t>
    </r>
    <r>
      <rPr>
        <sz val="11"/>
        <rFont val="Calibri"/>
        <family val="2"/>
      </rPr>
      <t xml:space="preserve"> e </t>
    </r>
    <r>
      <rPr>
        <b/>
        <u/>
        <sz val="11"/>
        <rFont val="Calibri"/>
        <family val="2"/>
      </rPr>
      <t>ganho</t>
    </r>
    <r>
      <rPr>
        <sz val="11"/>
        <rFont val="Calibri"/>
        <family val="2"/>
      </rPr>
      <t>, desagregada por:
- Características das empresas (folhas "</t>
    </r>
    <r>
      <rPr>
        <b/>
        <sz val="11"/>
        <rFont val="Calibri"/>
        <family val="2"/>
      </rPr>
      <t>Estrutura Empresarial</t>
    </r>
    <r>
      <rPr>
        <sz val="11"/>
        <rFont val="Calibri"/>
        <family val="2"/>
      </rPr>
      <t>"); 
- Distritos (folha "</t>
    </r>
    <r>
      <rPr>
        <b/>
        <sz val="11"/>
        <rFont val="Calibri"/>
        <family val="2"/>
      </rPr>
      <t>Distritos</t>
    </r>
    <r>
      <rPr>
        <sz val="11"/>
        <rFont val="Calibri"/>
        <family val="2"/>
      </rPr>
      <t>"), permitindo um retrato do distrito que se selecionar;
- Características dos TCO (folha "</t>
    </r>
    <r>
      <rPr>
        <b/>
        <sz val="11"/>
        <rFont val="Calibri"/>
        <family val="2"/>
      </rPr>
      <t>Caracteristicas TCO</t>
    </r>
    <r>
      <rPr>
        <sz val="11"/>
        <rFont val="Calibri"/>
        <family val="2"/>
      </rPr>
      <t>").
Apresentam-se ainda alguns indicadores de desigualdade e dados sobre contratação coletiva de trabalho (incluindo remunerações efetivas por tipo de Instrumento de Regulamentação Coletiva de Trabalho - IRCT - na folha "</t>
    </r>
    <r>
      <rPr>
        <b/>
        <sz val="11"/>
        <rFont val="Calibri"/>
        <family val="2"/>
      </rPr>
      <t>Desigualdade_Contratacao</t>
    </r>
    <r>
      <rPr>
        <sz val="11"/>
        <rFont val="Calibri"/>
        <family val="2"/>
      </rPr>
      <t>").
O "</t>
    </r>
    <r>
      <rPr>
        <b/>
        <sz val="11"/>
        <rFont val="Calibri"/>
        <family val="2"/>
      </rPr>
      <t>Dashboard_seriesqp_2012_2022.pdf</t>
    </r>
    <r>
      <rPr>
        <sz val="11"/>
        <rFont val="Calibri"/>
        <family val="2"/>
      </rPr>
      <t xml:space="preserve">" constitui um exemplo de uma </t>
    </r>
    <r>
      <rPr>
        <b/>
        <sz val="11"/>
        <rFont val="Calibri"/>
        <family val="2"/>
      </rPr>
      <t xml:space="preserve">versão estática do presente </t>
    </r>
    <r>
      <rPr>
        <b/>
        <i/>
        <sz val="11"/>
        <rFont val="Calibri"/>
        <family val="2"/>
      </rPr>
      <t>dashboard</t>
    </r>
    <r>
      <rPr>
        <sz val="11"/>
        <rFont val="Calibri"/>
        <family val="2"/>
      </rPr>
      <t xml:space="preserve">, sem prejuízo de que o </t>
    </r>
    <r>
      <rPr>
        <b/>
        <sz val="11"/>
        <rFont val="Calibri"/>
        <family val="2"/>
      </rPr>
      <t>utilizador</t>
    </r>
    <r>
      <rPr>
        <sz val="11"/>
        <rFont val="Calibri"/>
        <family val="2"/>
      </rPr>
      <t xml:space="preserve"> possa </t>
    </r>
    <r>
      <rPr>
        <b/>
        <sz val="11"/>
        <rFont val="Calibri"/>
        <family val="2"/>
      </rPr>
      <t>imprimir uma ou várias folhas</t>
    </r>
    <r>
      <rPr>
        <sz val="11"/>
        <rFont val="Calibri"/>
        <family val="2"/>
      </rPr>
      <t xml:space="preserve">, com estas ou outras seleções que pretender.
Os </t>
    </r>
    <r>
      <rPr>
        <b/>
        <sz val="11"/>
        <rFont val="Calibri"/>
        <family val="2"/>
      </rPr>
      <t>Quadros de Pessoal</t>
    </r>
    <r>
      <rPr>
        <sz val="11"/>
        <rFont val="Calibri"/>
        <family val="2"/>
      </rPr>
      <t xml:space="preserve"> constituem o </t>
    </r>
    <r>
      <rPr>
        <b/>
        <sz val="11"/>
        <rFont val="Calibri"/>
        <family val="2"/>
      </rPr>
      <t>anexo A do Relatório Único</t>
    </r>
    <r>
      <rPr>
        <sz val="11"/>
        <rFont val="Calibri"/>
        <family val="2"/>
      </rPr>
      <t xml:space="preserve"> (RU). A obrigatoriedade de resposta ao RU foi definida para os </t>
    </r>
    <r>
      <rPr>
        <b/>
        <sz val="11"/>
        <rFont val="Calibri"/>
        <family val="2"/>
      </rPr>
      <t>empregadores abrangidos pelo Código do Trabalho</t>
    </r>
    <r>
      <rPr>
        <sz val="11"/>
        <rFont val="Calibri"/>
        <family val="2"/>
      </rPr>
      <t xml:space="preserve"> e pela legislação específica dele decorrente, ficando excluídos desta obrigação os serviços e órgãos que apenas tenham trabalhadores abrangidos pelo Regime do Contrato de Trabalho em Funções Públicas, uma vez que têm legislação especial.
</t>
    </r>
    <r>
      <rPr>
        <b/>
        <u/>
        <sz val="11"/>
        <rFont val="Calibri"/>
        <family val="2"/>
      </rPr>
      <t>Mais informações</t>
    </r>
    <r>
      <rPr>
        <sz val="11"/>
        <rFont val="Calibri"/>
        <family val="2"/>
      </rPr>
      <t xml:space="preserve">: GEP/MTSSS, Quadros de Pessoal 2022 - Síntese e Publicação. GEP/MTSSS, Séries Cronológicas: Quadros de Pessoal 2012-2022 (disponíveis em </t>
    </r>
    <r>
      <rPr>
        <u/>
        <sz val="11"/>
        <color rgb="FF0070C0"/>
        <rFont val="Calibri"/>
        <family val="2"/>
      </rPr>
      <t>www.gep.mtsss.pt</t>
    </r>
    <r>
      <rPr>
        <sz val="11"/>
        <rFont val="Calibri"/>
        <family val="2"/>
      </rPr>
      <t xml:space="preserve">). </t>
    </r>
    <r>
      <rPr>
        <u/>
        <sz val="11"/>
        <color rgb="FF0070C0"/>
        <rFont val="Calibri"/>
        <family val="2"/>
      </rPr>
      <t>https://www.relatoriounico.pt/ru/documents.seam</t>
    </r>
    <r>
      <rPr>
        <sz val="11"/>
        <rFont val="Calibri"/>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</si>
</sst>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4" formatCode="_-* #,##0.00\ &quot;€&quot;_-;\-* #,##0.00\ &quot;€&quot;_-;_-* &quot;-&quot;??\ &quot;€&quot;_-;_-@_-"/>
    <numFmt numFmtId="164" formatCode="#,##0;[Red]#,##0"/>
    <numFmt numFmtId="165" formatCode="#,##0.0"/>
    <numFmt numFmtId="166" formatCode="#,##0.0;[Red]#,##0.0"/>
    <numFmt numFmtId="167" formatCode="0.0"/>
    <numFmt numFmtId="168" formatCode="#\ ###\ ##0"/>
    <numFmt numFmtId="169" formatCode="#\ ##0.0"/>
    <numFmt numFmtId="170" formatCode="0.0%"/>
    <numFmt numFmtId="171" formatCode=".\ \ ##;0000000000000000000000000000000000000000000000000000000000000000000000000000000000000000000000000000000000000000000000000000000000000000000000000000000000000000000000000000"/>
    <numFmt numFmtId="172" formatCode=".\ \ ##;0000000000000000000000000000000000000000000000000000000000000000000000000000000000000000000000000000000000000000000000000000000000000000000000000000000000000000000000000000000000000000000000000000000000000000000000000000000000000000000000000000"/>
    <numFmt numFmtId="173" formatCode="#,##0\ &quot;€&quot;"/>
    <numFmt numFmtId="174" formatCode="#,##0.0\ &quot;€&quot;"/>
    <numFmt numFmtId="175" formatCode="#,##0.00\ &quot;€&quot;"/>
    <numFmt numFmtId="176" formatCode="\ \ ;0000000000000000000000000000000000000000000000000000000000000000000000000000000000000000000000000000000000000000000000000000000000000000000000000000000000000000000000000000"/>
    <numFmt numFmtId="177" formatCode="\ \ ;0000000000000000000000000000000000000000000000000000000000000000000000000000000000000000000000000000000000000000000000000000000000000000000000000000000000000000000000000000000000000000000000000000000000000000000000000000000000000000000000000000.00"/>
    <numFmt numFmtId="178" formatCode="0.000"/>
    <numFmt numFmtId="179" formatCode="#,##0.000"/>
    <numFmt numFmtId="180" formatCode="0.0000"/>
    <numFmt numFmtId="181" formatCode="0.000000"/>
  </numFmts>
  <fonts count="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color indexed="63"/>
      <name val="Arial"/>
      <family val="2"/>
    </font>
    <font>
      <sz val="10"/>
      <color indexed="62"/>
      <name val="Arial"/>
      <family val="2"/>
    </font>
    <font>
      <u/>
      <sz val="10"/>
      <color indexed="12"/>
      <name val="Arial"/>
      <family val="2"/>
    </font>
    <font>
      <b/>
      <sz val="9"/>
      <name val="Arial"/>
      <family val="2"/>
    </font>
    <font>
      <sz val="9"/>
      <name val="Arial"/>
      <family val="2"/>
    </font>
    <font>
      <sz val="8"/>
      <name val="Arial"/>
      <family val="2"/>
    </font>
    <font>
      <b/>
      <sz val="8"/>
      <name val="Arial"/>
      <family val="2"/>
    </font>
    <font>
      <b/>
      <sz val="8"/>
      <color indexed="8"/>
      <name val="Arial"/>
      <family val="2"/>
    </font>
    <font>
      <sz val="10"/>
      <name val="MS Sans Serif"/>
      <family val="2"/>
    </font>
    <font>
      <sz val="8"/>
      <color indexed="8"/>
      <name val="Arial"/>
      <family val="2"/>
    </font>
    <font>
      <sz val="10"/>
      <name val="Arial"/>
      <family val="2"/>
    </font>
    <font>
      <sz val="7"/>
      <name val="Arial"/>
      <family val="2"/>
    </font>
    <font>
      <b/>
      <vertAlign val="superscript"/>
      <sz val="8"/>
      <name val="Arial"/>
      <family val="2"/>
    </font>
    <font>
      <sz val="8"/>
      <name val="Arial"/>
      <family val="2"/>
    </font>
    <font>
      <sz val="10"/>
      <color indexed="9"/>
      <name val="Arial"/>
      <family val="2"/>
    </font>
    <font>
      <b/>
      <sz val="9"/>
      <color indexed="8"/>
      <name val="Arial"/>
      <family val="2"/>
    </font>
    <font>
      <b/>
      <u/>
      <sz val="9"/>
      <name val="Arial"/>
      <family val="2"/>
    </font>
    <font>
      <b/>
      <vertAlign val="superscript"/>
      <sz val="9"/>
      <name val="Arial"/>
      <family val="2"/>
    </font>
    <font>
      <b/>
      <sz val="8"/>
      <color indexed="63"/>
      <name val="Arial"/>
      <family val="2"/>
    </font>
    <font>
      <u/>
      <sz val="10"/>
      <color theme="0"/>
      <name val="Arial"/>
      <family val="2"/>
    </font>
    <font>
      <sz val="10"/>
      <color theme="0"/>
      <name val="Arial"/>
      <family val="2"/>
    </font>
    <font>
      <sz val="8"/>
      <color indexed="63"/>
      <name val="Arial"/>
      <family val="2"/>
    </font>
    <font>
      <sz val="11"/>
      <color theme="1"/>
      <name val="Calibri"/>
      <family val="2"/>
      <scheme val="minor"/>
    </font>
    <font>
      <sz val="8"/>
      <color theme="1" tint="0.499984740745262"/>
      <name val="Arial"/>
      <family val="2"/>
    </font>
    <font>
      <u/>
      <sz val="10"/>
      <color theme="3"/>
      <name val="Arial"/>
      <family val="2"/>
    </font>
    <font>
      <sz val="8"/>
      <name val="Times New Roman"/>
      <family val="1"/>
    </font>
    <font>
      <sz val="8"/>
      <color rgb="FFFF0000"/>
      <name val="Arial"/>
      <family val="2"/>
    </font>
    <font>
      <sz val="10"/>
      <name val="Segoe UI"/>
      <family val="2"/>
    </font>
    <font>
      <sz val="10"/>
      <color theme="3"/>
      <name val="Arial"/>
      <family val="2"/>
    </font>
    <font>
      <b/>
      <sz val="10"/>
      <name val="Segoe UI"/>
      <family val="2"/>
    </font>
    <font>
      <sz val="7"/>
      <color indexed="8"/>
      <name val="Arial"/>
      <family val="2"/>
    </font>
    <font>
      <sz val="11"/>
      <name val="Calibri"/>
      <family val="2"/>
    </font>
    <font>
      <b/>
      <vertAlign val="superscript"/>
      <sz val="8"/>
      <color indexed="8"/>
      <name val="Arial"/>
      <family val="2"/>
    </font>
    <font>
      <sz val="11"/>
      <color rgb="FF415263"/>
      <name val="Arial"/>
      <family val="2"/>
    </font>
    <font>
      <b/>
      <sz val="10"/>
      <name val="Arial"/>
      <family val="2"/>
    </font>
    <font>
      <b/>
      <sz val="11"/>
      <color theme="1"/>
      <name val="Calibri"/>
      <family val="2"/>
      <scheme val="minor"/>
    </font>
    <font>
      <b/>
      <sz val="10"/>
      <color theme="1"/>
      <name val="Calibri"/>
      <family val="2"/>
      <scheme val="minor"/>
    </font>
    <font>
      <b/>
      <sz val="8"/>
      <color rgb="FF000000"/>
      <name val="Arial"/>
      <family val="2"/>
    </font>
    <font>
      <b/>
      <sz val="11"/>
      <color theme="1"/>
      <name val="Arial"/>
      <family val="2"/>
    </font>
    <font>
      <sz val="9"/>
      <color theme="1"/>
      <name val="Arial"/>
      <family val="2"/>
    </font>
    <font>
      <sz val="8"/>
      <color theme="1"/>
      <name val="Calibri"/>
      <family val="2"/>
      <scheme val="minor"/>
    </font>
    <font>
      <sz val="10"/>
      <name val="Arial"/>
      <family val="2"/>
    </font>
    <font>
      <b/>
      <sz val="8"/>
      <name val="Calibri"/>
      <family val="2"/>
      <scheme val="minor"/>
    </font>
    <font>
      <b/>
      <sz val="9"/>
      <name val="Calibri"/>
      <family val="2"/>
      <scheme val="minor"/>
    </font>
    <font>
      <sz val="15"/>
      <color rgb="FF556367"/>
      <name val="Arial"/>
      <family val="2"/>
    </font>
    <font>
      <b/>
      <sz val="15"/>
      <color rgb="FF556367"/>
      <name val="Arial"/>
      <family val="2"/>
    </font>
    <font>
      <sz val="13.5"/>
      <name val="Segoe UI"/>
      <family val="2"/>
    </font>
    <font>
      <sz val="8"/>
      <name val="Calibri"/>
      <family val="2"/>
      <scheme val="minor"/>
    </font>
    <font>
      <sz val="9"/>
      <color rgb="FF000000"/>
      <name val="Calibri"/>
      <family val="2"/>
    </font>
    <font>
      <sz val="8"/>
      <color rgb="FF000000"/>
      <name val="Calibri"/>
      <family val="2"/>
    </font>
    <font>
      <sz val="10"/>
      <color rgb="FFFF0000"/>
      <name val="Arial"/>
      <family val="2"/>
    </font>
    <font>
      <sz val="10"/>
      <name val="Calibri"/>
      <family val="2"/>
      <scheme val="minor"/>
    </font>
    <font>
      <b/>
      <sz val="10"/>
      <name val="Calibri"/>
      <family val="2"/>
      <scheme val="minor"/>
    </font>
    <font>
      <sz val="8"/>
      <color rgb="FF1E1E1E"/>
      <name val="Segoe UI"/>
      <family val="2"/>
    </font>
    <font>
      <sz val="6"/>
      <name val="Calibri"/>
      <family val="2"/>
      <scheme val="minor"/>
    </font>
    <font>
      <sz val="10"/>
      <color rgb="FFFF0000"/>
      <name val="Calibri"/>
      <family val="2"/>
      <scheme val="minor"/>
    </font>
    <font>
      <sz val="9"/>
      <name val="Calibri"/>
      <family val="2"/>
      <scheme val="minor"/>
    </font>
    <font>
      <sz val="8"/>
      <color rgb="FF333333"/>
      <name val="Arial"/>
      <family val="2"/>
    </font>
    <font>
      <b/>
      <u/>
      <sz val="9"/>
      <color rgb="FF000000"/>
      <name val="Calibri"/>
      <family val="2"/>
    </font>
    <font>
      <u/>
      <sz val="9"/>
      <name val="Calibri"/>
      <family val="2"/>
      <scheme val="minor"/>
    </font>
    <font>
      <b/>
      <i/>
      <u/>
      <sz val="11"/>
      <name val="Calibri"/>
      <family val="2"/>
    </font>
    <font>
      <b/>
      <u/>
      <sz val="11"/>
      <name val="Calibri"/>
      <family val="2"/>
    </font>
    <font>
      <b/>
      <sz val="11"/>
      <name val="Calibri"/>
      <family val="2"/>
    </font>
    <font>
      <u/>
      <sz val="11"/>
      <name val="Calibri"/>
      <family val="2"/>
    </font>
    <font>
      <sz val="11"/>
      <name val="Calibri"/>
      <family val="2"/>
      <scheme val="minor"/>
    </font>
    <font>
      <b/>
      <u/>
      <sz val="11"/>
      <name val="Calibri"/>
      <family val="2"/>
      <scheme val="minor"/>
    </font>
    <font>
      <b/>
      <sz val="11"/>
      <name val="Calibri"/>
      <family val="2"/>
      <scheme val="minor"/>
    </font>
    <font>
      <u/>
      <sz val="11"/>
      <color rgb="FF0070C0"/>
      <name val="Calibri"/>
      <family val="2"/>
    </font>
    <font>
      <b/>
      <u/>
      <sz val="9"/>
      <name val="Calibri"/>
      <family val="2"/>
      <scheme val="minor"/>
    </font>
    <font>
      <b/>
      <u/>
      <sz val="10"/>
      <name val="Calibri"/>
      <family val="2"/>
      <scheme val="minor"/>
    </font>
    <font>
      <sz val="9"/>
      <color rgb="FF000000"/>
      <name val="Arial"/>
      <family val="2"/>
    </font>
    <font>
      <sz val="10"/>
      <color rgb="FF7F7F7F"/>
      <name val="Calibri"/>
      <family val="2"/>
    </font>
    <font>
      <vertAlign val="subscript"/>
      <sz val="10"/>
      <color rgb="FF7F7F7F"/>
      <name val="Calibri"/>
      <family val="2"/>
    </font>
    <font>
      <sz val="8"/>
      <color rgb="FF00B050"/>
      <name val="Arial"/>
      <family val="2"/>
    </font>
    <font>
      <sz val="10"/>
      <name val="Serif"/>
    </font>
    <font>
      <b/>
      <sz val="9"/>
      <color rgb="FF000000"/>
      <name val="Roboto condensed"/>
    </font>
    <font>
      <sz val="11"/>
      <color rgb="FF000000"/>
      <name val="Source Sans Pro"/>
      <family val="2"/>
    </font>
    <font>
      <b/>
      <sz val="11"/>
      <color rgb="FF000000"/>
      <name val="Source Sans Pro"/>
      <family val="2"/>
    </font>
    <font>
      <u/>
      <sz val="11"/>
      <color theme="10"/>
      <name val="Calibri"/>
      <family val="2"/>
      <scheme val="minor"/>
    </font>
    <font>
      <b/>
      <i/>
      <sz val="11"/>
      <name val="Calibri"/>
      <family val="2"/>
    </font>
  </fonts>
  <fills count="18">
    <fill>
      <patternFill patternType="none"/>
    </fill>
    <fill>
      <patternFill patternType="gray125"/>
    </fill>
    <fill>
      <patternFill patternType="solid">
        <fgColor indexed="9"/>
        <bgColor indexed="64"/>
      </patternFill>
    </fill>
    <fill>
      <patternFill patternType="solid">
        <fgColor indexed="25"/>
        <bgColor indexed="64"/>
      </patternFill>
    </fill>
    <fill>
      <patternFill patternType="solid">
        <fgColor indexed="26"/>
        <bgColor indexed="64"/>
      </patternFill>
    </fill>
    <fill>
      <patternFill patternType="solid">
        <fgColor indexed="24"/>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A50021"/>
        <bgColor indexed="64"/>
      </patternFill>
    </fill>
    <fill>
      <patternFill patternType="solid">
        <fgColor rgb="FF0070C0"/>
        <bgColor indexed="64"/>
      </patternFill>
    </fill>
    <fill>
      <patternFill patternType="solid">
        <fgColor rgb="FFFFFF00"/>
        <bgColor indexed="64"/>
      </patternFill>
    </fill>
    <fill>
      <patternFill patternType="solid">
        <fgColor rgb="FFD9D9D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indexed="55"/>
      </patternFill>
    </fill>
    <fill>
      <patternFill patternType="solid">
        <fgColor theme="5" tint="0.79998168889431442"/>
        <bgColor indexed="64"/>
      </patternFill>
    </fill>
    <fill>
      <patternFill patternType="solid">
        <fgColor theme="4" tint="0.79998168889431442"/>
        <bgColor indexed="64"/>
      </patternFill>
    </fill>
  </fills>
  <borders count="17">
    <border>
      <left/>
      <right/>
      <top/>
      <bottom/>
      <diagonal/>
    </border>
    <border>
      <left/>
      <right/>
      <top style="thin">
        <color indexed="64"/>
      </top>
      <bottom style="double">
        <color indexed="64"/>
      </bottom>
      <diagonal/>
    </border>
    <border>
      <left/>
      <right/>
      <top/>
      <bottom style="thin">
        <color indexed="64"/>
      </bottom>
      <diagonal/>
    </border>
    <border>
      <left/>
      <right/>
      <top style="double">
        <color indexed="64"/>
      </top>
      <bottom/>
      <diagonal/>
    </border>
    <border>
      <left/>
      <right/>
      <top style="thin">
        <color indexed="64"/>
      </top>
      <bottom/>
      <diagonal/>
    </border>
    <border>
      <left/>
      <right/>
      <top style="double">
        <color indexed="64"/>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499984740745262"/>
      </bottom>
      <diagonal/>
    </border>
    <border>
      <left style="thin">
        <color indexed="64"/>
      </left>
      <right style="thin">
        <color indexed="64"/>
      </right>
      <top style="thin">
        <color indexed="64"/>
      </top>
      <bottom style="thin">
        <color indexed="64"/>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s>
  <cellStyleXfs count="86">
    <xf numFmtId="0" fontId="0" fillId="0" borderId="0"/>
    <xf numFmtId="44" fontId="11" fillId="0" borderId="0" applyFont="0" applyFill="0" applyBorder="0" applyAlignment="0" applyProtection="0"/>
    <xf numFmtId="0" fontId="14" fillId="0" borderId="0" applyNumberFormat="0" applyFill="0" applyBorder="0" applyAlignment="0" applyProtection="0">
      <alignment vertical="top"/>
      <protection locked="0"/>
    </xf>
    <xf numFmtId="0" fontId="20" fillId="0" borderId="0"/>
    <xf numFmtId="0" fontId="11" fillId="0" borderId="0"/>
    <xf numFmtId="0" fontId="22" fillId="0" borderId="0"/>
    <xf numFmtId="0" fontId="11" fillId="0" borderId="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0" fillId="0" borderId="0"/>
    <xf numFmtId="0" fontId="9" fillId="0" borderId="0"/>
    <xf numFmtId="0" fontId="8" fillId="0" borderId="0"/>
    <xf numFmtId="9" fontId="53" fillId="0" borderId="0" applyFont="0" applyFill="0" applyBorder="0" applyAlignment="0" applyProtection="0"/>
    <xf numFmtId="0" fontId="11" fillId="0" borderId="0"/>
    <xf numFmtId="0" fontId="11" fillId="0" borderId="0"/>
    <xf numFmtId="0" fontId="3" fillId="0" borderId="0"/>
    <xf numFmtId="0" fontId="1" fillId="0" borderId="0"/>
    <xf numFmtId="0" fontId="90" fillId="0" borderId="0" applyNumberFormat="0" applyFill="0" applyBorder="0" applyAlignment="0" applyProtection="0"/>
  </cellStyleXfs>
  <cellXfs count="644">
    <xf numFmtId="0" fontId="0" fillId="0" borderId="0" xfId="0"/>
    <xf numFmtId="0" fontId="12" fillId="0" borderId="0" xfId="0" applyFont="1"/>
    <xf numFmtId="0" fontId="13" fillId="0" borderId="0" xfId="0" applyFont="1"/>
    <xf numFmtId="0" fontId="16" fillId="0" borderId="0" xfId="4" applyFont="1"/>
    <xf numFmtId="0" fontId="17" fillId="0" borderId="0" xfId="4" applyFont="1"/>
    <xf numFmtId="0" fontId="18" fillId="2" borderId="0" xfId="4" applyFont="1" applyFill="1" applyAlignment="1">
      <alignment horizontal="center" vertical="center" wrapText="1"/>
    </xf>
    <xf numFmtId="0" fontId="18" fillId="2" borderId="1" xfId="3" applyFont="1" applyFill="1" applyBorder="1" applyAlignment="1">
      <alignment horizontal="right" vertical="center"/>
    </xf>
    <xf numFmtId="3" fontId="18" fillId="2" borderId="0" xfId="4" applyNumberFormat="1" applyFont="1" applyFill="1" applyAlignment="1">
      <alignment horizontal="right"/>
    </xf>
    <xf numFmtId="0" fontId="17" fillId="0" borderId="0" xfId="0" applyFont="1"/>
    <xf numFmtId="0" fontId="18" fillId="2" borderId="2" xfId="0" applyFont="1" applyFill="1" applyBorder="1" applyAlignment="1">
      <alignment horizontal="left"/>
    </xf>
    <xf numFmtId="0" fontId="17" fillId="2" borderId="0" xfId="4" applyFont="1" applyFill="1"/>
    <xf numFmtId="0" fontId="18" fillId="2" borderId="0" xfId="4" applyFont="1" applyFill="1" applyAlignment="1">
      <alignment horizontal="center"/>
    </xf>
    <xf numFmtId="0" fontId="17" fillId="2" borderId="0" xfId="4" applyFont="1" applyFill="1" applyAlignment="1">
      <alignment horizontal="center"/>
    </xf>
    <xf numFmtId="0" fontId="19" fillId="2" borderId="0" xfId="4" applyFont="1" applyFill="1" applyAlignment="1">
      <alignment horizontal="left"/>
    </xf>
    <xf numFmtId="0" fontId="18" fillId="2" borderId="1" xfId="3" applyFont="1" applyFill="1" applyBorder="1" applyAlignment="1">
      <alignment horizontal="center" vertical="center"/>
    </xf>
    <xf numFmtId="0" fontId="18" fillId="2" borderId="1" xfId="3" applyFont="1" applyFill="1" applyBorder="1" applyAlignment="1">
      <alignment vertical="center"/>
    </xf>
    <xf numFmtId="164" fontId="18" fillId="2" borderId="0" xfId="4" applyNumberFormat="1" applyFont="1" applyFill="1" applyAlignment="1">
      <alignment horizontal="left"/>
    </xf>
    <xf numFmtId="164" fontId="18" fillId="2" borderId="0" xfId="4" applyNumberFormat="1" applyFont="1" applyFill="1"/>
    <xf numFmtId="164" fontId="18" fillId="2" borderId="2" xfId="4" applyNumberFormat="1" applyFont="1" applyFill="1" applyBorder="1" applyAlignment="1">
      <alignment horizontal="left"/>
    </xf>
    <xf numFmtId="0" fontId="17" fillId="0" borderId="0" xfId="4" applyFont="1" applyAlignment="1">
      <alignment vertical="center"/>
    </xf>
    <xf numFmtId="0" fontId="18" fillId="2" borderId="0" xfId="4" applyFont="1" applyFill="1"/>
    <xf numFmtId="0" fontId="16" fillId="0" borderId="0" xfId="0" applyFont="1"/>
    <xf numFmtId="0" fontId="17" fillId="2" borderId="0" xfId="0" applyFont="1" applyFill="1"/>
    <xf numFmtId="0" fontId="18" fillId="2" borderId="0" xfId="0" applyFont="1" applyFill="1"/>
    <xf numFmtId="1" fontId="18" fillId="2" borderId="1" xfId="0" applyNumberFormat="1" applyFont="1" applyFill="1" applyBorder="1" applyAlignment="1">
      <alignment vertical="center"/>
    </xf>
    <xf numFmtId="3" fontId="18" fillId="2" borderId="0" xfId="0" applyNumberFormat="1" applyFont="1" applyFill="1"/>
    <xf numFmtId="0" fontId="18" fillId="2" borderId="2" xfId="0" applyFont="1" applyFill="1" applyBorder="1"/>
    <xf numFmtId="0" fontId="19" fillId="2" borderId="0" xfId="3" applyFont="1" applyFill="1" applyAlignment="1">
      <alignment horizontal="left"/>
    </xf>
    <xf numFmtId="0" fontId="18" fillId="2" borderId="0" xfId="4" applyFont="1" applyFill="1" applyAlignment="1">
      <alignment horizontal="right"/>
    </xf>
    <xf numFmtId="3" fontId="18" fillId="2" borderId="0" xfId="3" applyNumberFormat="1" applyFont="1" applyFill="1" applyAlignment="1">
      <alignment horizontal="right"/>
    </xf>
    <xf numFmtId="0" fontId="18" fillId="2" borderId="0" xfId="4" applyFont="1" applyFill="1" applyAlignment="1">
      <alignment horizontal="left"/>
    </xf>
    <xf numFmtId="0" fontId="17" fillId="2" borderId="0" xfId="4" applyFont="1" applyFill="1" applyAlignment="1">
      <alignment horizontal="left"/>
    </xf>
    <xf numFmtId="0" fontId="18" fillId="2" borderId="2" xfId="4" applyFont="1" applyFill="1" applyBorder="1" applyAlignment="1">
      <alignment horizontal="center"/>
    </xf>
    <xf numFmtId="0" fontId="18" fillId="2" borderId="2" xfId="4" applyFont="1" applyFill="1" applyBorder="1" applyAlignment="1">
      <alignment horizontal="left"/>
    </xf>
    <xf numFmtId="0" fontId="15" fillId="0" borderId="0" xfId="5" applyFont="1"/>
    <xf numFmtId="0" fontId="18" fillId="2" borderId="0" xfId="5" applyFont="1" applyFill="1"/>
    <xf numFmtId="0" fontId="18" fillId="0" borderId="0" xfId="5" applyFont="1"/>
    <xf numFmtId="0" fontId="17" fillId="2" borderId="0" xfId="5" applyFont="1" applyFill="1" applyAlignment="1">
      <alignment horizontal="center"/>
    </xf>
    <xf numFmtId="0" fontId="18" fillId="2" borderId="1" xfId="5" applyFont="1" applyFill="1" applyBorder="1" applyAlignment="1">
      <alignment vertical="center"/>
    </xf>
    <xf numFmtId="0" fontId="18" fillId="0" borderId="0" xfId="5" applyFont="1" applyAlignment="1">
      <alignment vertical="center"/>
    </xf>
    <xf numFmtId="164" fontId="23" fillId="2" borderId="0" xfId="5" applyNumberFormat="1" applyFont="1" applyFill="1"/>
    <xf numFmtId="0" fontId="17" fillId="0" borderId="0" xfId="5" applyFont="1"/>
    <xf numFmtId="0" fontId="17" fillId="0" borderId="0" xfId="5" applyFont="1" applyAlignment="1">
      <alignment horizontal="center"/>
    </xf>
    <xf numFmtId="164" fontId="18" fillId="2" borderId="0" xfId="5" applyNumberFormat="1" applyFont="1" applyFill="1" applyAlignment="1">
      <alignment horizontal="center"/>
    </xf>
    <xf numFmtId="0" fontId="18" fillId="2" borderId="0" xfId="0" applyFont="1" applyFill="1" applyAlignment="1">
      <alignment horizontal="center"/>
    </xf>
    <xf numFmtId="3" fontId="19" fillId="2" borderId="0" xfId="0" applyNumberFormat="1" applyFont="1" applyFill="1" applyAlignment="1">
      <alignment horizontal="right"/>
    </xf>
    <xf numFmtId="0" fontId="18" fillId="2" borderId="0" xfId="0" applyFont="1" applyFill="1" applyAlignment="1">
      <alignment horizontal="left"/>
    </xf>
    <xf numFmtId="0" fontId="17" fillId="2" borderId="0" xfId="0" applyFont="1" applyFill="1" applyAlignment="1">
      <alignment horizontal="left"/>
    </xf>
    <xf numFmtId="0" fontId="17" fillId="2" borderId="0" xfId="0" applyFont="1" applyFill="1" applyAlignment="1">
      <alignment horizontal="center"/>
    </xf>
    <xf numFmtId="0" fontId="17" fillId="2" borderId="2" xfId="0" applyFont="1" applyFill="1" applyBorder="1" applyAlignment="1">
      <alignment horizontal="center"/>
    </xf>
    <xf numFmtId="0" fontId="17" fillId="2" borderId="0" xfId="5" applyFont="1" applyFill="1"/>
    <xf numFmtId="0" fontId="16" fillId="0" borderId="0" xfId="5" applyFont="1"/>
    <xf numFmtId="0" fontId="18" fillId="2" borderId="0" xfId="5" applyFont="1" applyFill="1" applyAlignment="1">
      <alignment horizontal="center"/>
    </xf>
    <xf numFmtId="0" fontId="18" fillId="2" borderId="0" xfId="5" applyFont="1" applyFill="1" applyAlignment="1">
      <alignment horizontal="right"/>
    </xf>
    <xf numFmtId="0" fontId="18" fillId="2" borderId="1" xfId="5" applyFont="1" applyFill="1" applyBorder="1" applyAlignment="1">
      <alignment horizontal="right" vertical="center"/>
    </xf>
    <xf numFmtId="3" fontId="18" fillId="2" borderId="0" xfId="5" applyNumberFormat="1" applyFont="1" applyFill="1"/>
    <xf numFmtId="0" fontId="18" fillId="2" borderId="0" xfId="5" applyFont="1" applyFill="1" applyAlignment="1">
      <alignment horizontal="left"/>
    </xf>
    <xf numFmtId="0" fontId="17" fillId="2" borderId="0" xfId="5" applyFont="1" applyFill="1" applyAlignment="1">
      <alignment horizontal="right"/>
    </xf>
    <xf numFmtId="0" fontId="21" fillId="2" borderId="0" xfId="5" applyFont="1" applyFill="1" applyAlignment="1">
      <alignment horizontal="left"/>
    </xf>
    <xf numFmtId="0" fontId="21" fillId="2" borderId="2" xfId="5" applyFont="1" applyFill="1" applyBorder="1" applyAlignment="1">
      <alignment horizontal="left"/>
    </xf>
    <xf numFmtId="0" fontId="17" fillId="2" borderId="2" xfId="5" applyFont="1" applyFill="1" applyBorder="1" applyAlignment="1">
      <alignment horizontal="right"/>
    </xf>
    <xf numFmtId="0" fontId="17" fillId="0" borderId="0" xfId="0" applyFont="1" applyAlignment="1">
      <alignment vertical="center" wrapText="1"/>
    </xf>
    <xf numFmtId="0" fontId="17" fillId="0" borderId="0" xfId="0" applyFont="1" applyAlignment="1">
      <alignment vertical="center"/>
    </xf>
    <xf numFmtId="0" fontId="17" fillId="2" borderId="1" xfId="5" applyFont="1" applyFill="1" applyBorder="1" applyAlignment="1">
      <alignment horizontal="center" vertical="center"/>
    </xf>
    <xf numFmtId="165" fontId="18" fillId="2" borderId="0" xfId="5" applyNumberFormat="1" applyFont="1" applyFill="1" applyAlignment="1">
      <alignment horizontal="right"/>
    </xf>
    <xf numFmtId="0" fontId="17" fillId="2" borderId="2" xfId="5" applyFont="1" applyFill="1" applyBorder="1"/>
    <xf numFmtId="0" fontId="17" fillId="2" borderId="2" xfId="5" applyFont="1" applyFill="1" applyBorder="1" applyAlignment="1">
      <alignment horizontal="center"/>
    </xf>
    <xf numFmtId="0" fontId="17" fillId="0" borderId="0" xfId="0" applyFont="1" applyAlignment="1">
      <alignment horizontal="right" vertical="center"/>
    </xf>
    <xf numFmtId="165" fontId="19" fillId="2" borderId="0" xfId="0" applyNumberFormat="1" applyFont="1" applyFill="1" applyAlignment="1">
      <alignment horizontal="right"/>
    </xf>
    <xf numFmtId="0" fontId="16" fillId="0" borderId="0" xfId="0" applyFont="1" applyAlignment="1">
      <alignment vertical="center"/>
    </xf>
    <xf numFmtId="165" fontId="18" fillId="2" borderId="0" xfId="4" applyNumberFormat="1" applyFont="1" applyFill="1"/>
    <xf numFmtId="0" fontId="17" fillId="2" borderId="0" xfId="0" applyFont="1" applyFill="1" applyAlignment="1">
      <alignment vertical="top"/>
    </xf>
    <xf numFmtId="0" fontId="17" fillId="2" borderId="0" xfId="0" applyFont="1" applyFill="1" applyAlignment="1">
      <alignment vertical="center" wrapText="1"/>
    </xf>
    <xf numFmtId="165" fontId="18" fillId="2" borderId="0" xfId="5" applyNumberFormat="1" applyFont="1" applyFill="1"/>
    <xf numFmtId="165" fontId="17" fillId="2" borderId="0" xfId="5" applyNumberFormat="1" applyFont="1" applyFill="1"/>
    <xf numFmtId="0" fontId="17" fillId="2" borderId="0" xfId="0" applyFont="1" applyFill="1" applyAlignment="1">
      <alignment horizontal="left" vertical="top"/>
    </xf>
    <xf numFmtId="0" fontId="17" fillId="2" borderId="0" xfId="4" applyFont="1" applyFill="1" applyAlignment="1">
      <alignment horizontal="right"/>
    </xf>
    <xf numFmtId="165" fontId="18" fillId="2" borderId="0" xfId="4" applyNumberFormat="1" applyFont="1" applyFill="1" applyAlignment="1">
      <alignment horizontal="right"/>
    </xf>
    <xf numFmtId="0" fontId="16" fillId="0" borderId="0" xfId="0" applyFont="1" applyAlignment="1">
      <alignment vertical="center" wrapText="1"/>
    </xf>
    <xf numFmtId="0" fontId="17" fillId="0" borderId="0" xfId="0" applyFont="1" applyAlignment="1">
      <alignment wrapText="1"/>
    </xf>
    <xf numFmtId="3" fontId="18" fillId="2" borderId="0" xfId="0" applyNumberFormat="1" applyFont="1" applyFill="1" applyAlignment="1">
      <alignment horizontal="right" vertical="center"/>
    </xf>
    <xf numFmtId="0" fontId="18" fillId="2" borderId="0" xfId="0" applyFont="1" applyFill="1" applyAlignment="1">
      <alignment horizontal="center" vertical="top" wrapText="1"/>
    </xf>
    <xf numFmtId="0" fontId="26" fillId="0" borderId="0" xfId="0" applyFont="1"/>
    <xf numFmtId="0" fontId="0" fillId="2" borderId="0" xfId="0" applyFill="1" applyAlignment="1">
      <alignment horizontal="left" vertical="top"/>
    </xf>
    <xf numFmtId="0" fontId="18" fillId="2" borderId="1" xfId="3" applyFont="1" applyFill="1" applyBorder="1" applyAlignment="1">
      <alignment horizontal="left"/>
    </xf>
    <xf numFmtId="1" fontId="16" fillId="0" borderId="0" xfId="0" applyNumberFormat="1" applyFont="1" applyAlignment="1">
      <alignment horizontal="right" vertical="top"/>
    </xf>
    <xf numFmtId="0" fontId="18" fillId="2" borderId="0" xfId="0" applyFont="1" applyFill="1" applyAlignment="1">
      <alignment horizontal="left" wrapText="1"/>
    </xf>
    <xf numFmtId="0" fontId="18" fillId="2" borderId="0" xfId="0" applyFont="1" applyFill="1" applyAlignment="1">
      <alignment vertical="top" wrapText="1"/>
    </xf>
    <xf numFmtId="0" fontId="18" fillId="2" borderId="2" xfId="0" applyFont="1" applyFill="1" applyBorder="1" applyAlignment="1">
      <alignment horizontal="center" wrapText="1"/>
    </xf>
    <xf numFmtId="0" fontId="17" fillId="2" borderId="1" xfId="0" applyFont="1" applyFill="1" applyBorder="1" applyAlignment="1">
      <alignment horizontal="left" vertical="center"/>
    </xf>
    <xf numFmtId="1" fontId="18" fillId="2" borderId="1" xfId="0" applyNumberFormat="1" applyFont="1" applyFill="1" applyBorder="1" applyAlignment="1">
      <alignment horizontal="right" vertical="center"/>
    </xf>
    <xf numFmtId="0" fontId="17" fillId="0" borderId="0" xfId="0" applyFont="1" applyAlignment="1">
      <alignment vertical="top"/>
    </xf>
    <xf numFmtId="164" fontId="18" fillId="2" borderId="0" xfId="4" applyNumberFormat="1" applyFont="1" applyFill="1" applyAlignment="1">
      <alignment horizontal="center"/>
    </xf>
    <xf numFmtId="0" fontId="18" fillId="0" borderId="0" xfId="5" applyFont="1" applyAlignment="1">
      <alignment horizontal="right" vertical="center"/>
    </xf>
    <xf numFmtId="0" fontId="17" fillId="0" borderId="0" xfId="5" applyFont="1" applyAlignment="1">
      <alignment horizontal="right"/>
    </xf>
    <xf numFmtId="0" fontId="17" fillId="0" borderId="0" xfId="4" applyFont="1" applyAlignment="1">
      <alignment horizontal="right"/>
    </xf>
    <xf numFmtId="0" fontId="18" fillId="0" borderId="0" xfId="0" applyFont="1" applyAlignment="1">
      <alignment horizontal="left" vertical="top" wrapText="1"/>
    </xf>
    <xf numFmtId="0" fontId="17" fillId="0" borderId="0" xfId="0" applyFont="1" applyAlignment="1">
      <alignment horizontal="center" vertical="center"/>
    </xf>
    <xf numFmtId="0" fontId="17" fillId="6" borderId="0" xfId="4" applyFont="1" applyFill="1"/>
    <xf numFmtId="0" fontId="18" fillId="2" borderId="2" xfId="0" applyFont="1" applyFill="1" applyBorder="1" applyAlignment="1">
      <alignment horizontal="right" wrapText="1"/>
    </xf>
    <xf numFmtId="0" fontId="17" fillId="6" borderId="0" xfId="5" applyFont="1" applyFill="1"/>
    <xf numFmtId="3" fontId="19" fillId="6" borderId="0" xfId="0" applyNumberFormat="1" applyFont="1" applyFill="1" applyAlignment="1">
      <alignment horizontal="right"/>
    </xf>
    <xf numFmtId="0" fontId="30" fillId="0" borderId="0" xfId="0" applyFont="1" applyAlignment="1">
      <alignment horizontal="center" vertical="center" wrapText="1"/>
    </xf>
    <xf numFmtId="0" fontId="18" fillId="6" borderId="0" xfId="5" applyFont="1" applyFill="1"/>
    <xf numFmtId="0" fontId="18" fillId="2" borderId="1" xfId="5" applyFont="1" applyFill="1" applyBorder="1" applyAlignment="1">
      <alignment horizontal="left" vertical="center"/>
    </xf>
    <xf numFmtId="165" fontId="17" fillId="2" borderId="0" xfId="0" applyNumberFormat="1" applyFont="1" applyFill="1" applyAlignment="1">
      <alignment horizontal="right"/>
    </xf>
    <xf numFmtId="0" fontId="18" fillId="7" borderId="0" xfId="5" applyFont="1" applyFill="1" applyAlignment="1">
      <alignment horizontal="left" vertical="center"/>
    </xf>
    <xf numFmtId="0" fontId="17" fillId="7" borderId="0" xfId="0" applyFont="1" applyFill="1" applyAlignment="1">
      <alignment wrapText="1"/>
    </xf>
    <xf numFmtId="0" fontId="18" fillId="2" borderId="0" xfId="5" applyFont="1" applyFill="1" applyAlignment="1">
      <alignment vertical="center"/>
    </xf>
    <xf numFmtId="0" fontId="18" fillId="2" borderId="0" xfId="5" applyFont="1" applyFill="1" applyAlignment="1">
      <alignment horizontal="left" vertical="top"/>
    </xf>
    <xf numFmtId="0" fontId="17" fillId="6" borderId="0" xfId="0" applyFont="1" applyFill="1"/>
    <xf numFmtId="0" fontId="18" fillId="6" borderId="0" xfId="4" applyFont="1" applyFill="1" applyAlignment="1">
      <alignment horizontal="left"/>
    </xf>
    <xf numFmtId="0" fontId="18" fillId="6" borderId="0" xfId="0" applyFont="1" applyFill="1" applyAlignment="1">
      <alignment horizontal="left"/>
    </xf>
    <xf numFmtId="0" fontId="18" fillId="6" borderId="1" xfId="5" applyFont="1" applyFill="1" applyBorder="1" applyAlignment="1">
      <alignment vertical="center"/>
    </xf>
    <xf numFmtId="165" fontId="17" fillId="6" borderId="0" xfId="0" applyNumberFormat="1" applyFont="1" applyFill="1"/>
    <xf numFmtId="165" fontId="17" fillId="6" borderId="2" xfId="0" applyNumberFormat="1" applyFont="1" applyFill="1" applyBorder="1"/>
    <xf numFmtId="0" fontId="18" fillId="6" borderId="1" xfId="5" applyFont="1" applyFill="1" applyBorder="1" applyAlignment="1">
      <alignment horizontal="right" vertical="center"/>
    </xf>
    <xf numFmtId="0" fontId="32" fillId="0" borderId="0" xfId="0" applyFont="1"/>
    <xf numFmtId="165" fontId="18" fillId="6" borderId="0" xfId="4" applyNumberFormat="1" applyFont="1" applyFill="1" applyAlignment="1">
      <alignment horizontal="right"/>
    </xf>
    <xf numFmtId="0" fontId="17" fillId="6" borderId="0" xfId="4" applyFont="1" applyFill="1" applyAlignment="1">
      <alignment horizontal="right"/>
    </xf>
    <xf numFmtId="0" fontId="18" fillId="6" borderId="0" xfId="0" applyFont="1" applyFill="1"/>
    <xf numFmtId="0" fontId="18" fillId="6" borderId="1" xfId="3" applyFont="1" applyFill="1" applyBorder="1" applyAlignment="1">
      <alignment horizontal="right" vertical="center"/>
    </xf>
    <xf numFmtId="1" fontId="18" fillId="6" borderId="1" xfId="0" applyNumberFormat="1" applyFont="1" applyFill="1" applyBorder="1" applyAlignment="1">
      <alignment vertical="center"/>
    </xf>
    <xf numFmtId="3" fontId="18" fillId="6" borderId="0" xfId="0" applyNumberFormat="1" applyFont="1" applyFill="1"/>
    <xf numFmtId="0" fontId="19" fillId="6" borderId="0" xfId="3" applyFont="1" applyFill="1" applyAlignment="1">
      <alignment horizontal="left"/>
    </xf>
    <xf numFmtId="0" fontId="18" fillId="6" borderId="0" xfId="4" applyFont="1" applyFill="1" applyAlignment="1">
      <alignment horizontal="center" vertical="center" wrapText="1"/>
    </xf>
    <xf numFmtId="0" fontId="18" fillId="6" borderId="0" xfId="4" applyFont="1" applyFill="1"/>
    <xf numFmtId="3" fontId="0" fillId="0" borderId="0" xfId="0" applyNumberFormat="1"/>
    <xf numFmtId="3" fontId="17" fillId="0" borderId="0" xfId="4" applyNumberFormat="1" applyFont="1"/>
    <xf numFmtId="0" fontId="18" fillId="6" borderId="0" xfId="4" applyFont="1" applyFill="1" applyAlignment="1">
      <alignment horizontal="center"/>
    </xf>
    <xf numFmtId="0" fontId="17" fillId="6" borderId="0" xfId="4" applyFont="1" applyFill="1" applyAlignment="1">
      <alignment horizontal="center"/>
    </xf>
    <xf numFmtId="0" fontId="19" fillId="6" borderId="0" xfId="4" applyFont="1" applyFill="1" applyAlignment="1">
      <alignment horizontal="left"/>
    </xf>
    <xf numFmtId="0" fontId="18" fillId="6" borderId="0" xfId="5" applyFont="1" applyFill="1" applyAlignment="1">
      <alignment horizontal="right"/>
    </xf>
    <xf numFmtId="164" fontId="18" fillId="6" borderId="0" xfId="5" applyNumberFormat="1" applyFont="1" applyFill="1" applyAlignment="1">
      <alignment horizontal="center"/>
    </xf>
    <xf numFmtId="0" fontId="18" fillId="6" borderId="2" xfId="5" applyFont="1" applyFill="1" applyBorder="1"/>
    <xf numFmtId="164" fontId="17" fillId="6" borderId="0" xfId="5" applyNumberFormat="1" applyFont="1" applyFill="1"/>
    <xf numFmtId="4" fontId="18" fillId="6" borderId="0" xfId="4" applyNumberFormat="1" applyFont="1" applyFill="1" applyAlignment="1">
      <alignment horizontal="left"/>
    </xf>
    <xf numFmtId="0" fontId="18" fillId="2" borderId="0" xfId="0" applyFont="1" applyFill="1" applyAlignment="1">
      <alignment wrapText="1"/>
    </xf>
    <xf numFmtId="3" fontId="17" fillId="0" borderId="0" xfId="5" applyNumberFormat="1" applyFont="1"/>
    <xf numFmtId="3" fontId="17" fillId="0" borderId="0" xfId="0" applyNumberFormat="1" applyFont="1"/>
    <xf numFmtId="165" fontId="17" fillId="0" borderId="0" xfId="4" applyNumberFormat="1" applyFont="1"/>
    <xf numFmtId="0" fontId="18" fillId="2" borderId="4" xfId="3" applyFont="1" applyFill="1" applyBorder="1" applyAlignment="1">
      <alignment horizontal="right" vertical="center"/>
    </xf>
    <xf numFmtId="0" fontId="0" fillId="6" borderId="0" xfId="0" applyFill="1"/>
    <xf numFmtId="0" fontId="16" fillId="6" borderId="0" xfId="0" applyFont="1" applyFill="1"/>
    <xf numFmtId="0" fontId="35" fillId="6" borderId="0" xfId="0" applyFont="1" applyFill="1" applyAlignment="1">
      <alignment horizontal="center" vertical="center" wrapText="1"/>
    </xf>
    <xf numFmtId="0" fontId="18" fillId="0" borderId="0" xfId="4" applyFont="1" applyAlignment="1">
      <alignment horizontal="left" wrapText="1"/>
    </xf>
    <xf numFmtId="0" fontId="18" fillId="2" borderId="1" xfId="3" applyFont="1" applyFill="1" applyBorder="1" applyAlignment="1">
      <alignment horizontal="left" vertical="center"/>
    </xf>
    <xf numFmtId="0" fontId="18" fillId="0" borderId="0" xfId="4" applyFont="1" applyAlignment="1">
      <alignment wrapText="1"/>
    </xf>
    <xf numFmtId="0" fontId="36" fillId="7" borderId="0" xfId="2" applyFont="1" applyFill="1" applyAlignment="1" applyProtection="1">
      <alignment vertical="center" wrapText="1"/>
    </xf>
    <xf numFmtId="0" fontId="36" fillId="0" borderId="0" xfId="2" applyFont="1" applyFill="1" applyAlignment="1" applyProtection="1">
      <alignment vertical="center" wrapText="1"/>
    </xf>
    <xf numFmtId="0" fontId="37" fillId="0" borderId="0" xfId="0" applyFont="1"/>
    <xf numFmtId="0" fontId="36" fillId="8" borderId="0" xfId="2" applyFont="1" applyFill="1" applyAlignment="1" applyProtection="1">
      <alignment vertical="center" wrapText="1"/>
    </xf>
    <xf numFmtId="0" fontId="14" fillId="0" borderId="0" xfId="2" applyFill="1" applyAlignment="1" applyProtection="1">
      <alignment vertical="center" wrapText="1"/>
    </xf>
    <xf numFmtId="0" fontId="18" fillId="6" borderId="2" xfId="0" applyFont="1" applyFill="1" applyBorder="1"/>
    <xf numFmtId="3" fontId="17" fillId="6" borderId="0" xfId="0" applyNumberFormat="1" applyFont="1" applyFill="1"/>
    <xf numFmtId="165" fontId="17" fillId="2" borderId="2" xfId="0" applyNumberFormat="1" applyFont="1" applyFill="1" applyBorder="1" applyAlignment="1">
      <alignment horizontal="right"/>
    </xf>
    <xf numFmtId="0" fontId="18" fillId="6" borderId="0" xfId="0" applyFont="1" applyFill="1" applyAlignment="1">
      <alignment horizontal="center"/>
    </xf>
    <xf numFmtId="0" fontId="16" fillId="6" borderId="0" xfId="0" applyFont="1" applyFill="1" applyAlignment="1">
      <alignment vertical="center" wrapText="1"/>
    </xf>
    <xf numFmtId="0" fontId="38" fillId="6" borderId="0" xfId="0" applyFont="1" applyFill="1"/>
    <xf numFmtId="0" fontId="17" fillId="6" borderId="0" xfId="0" applyFont="1" applyFill="1" applyAlignment="1">
      <alignment vertical="center"/>
    </xf>
    <xf numFmtId="4" fontId="19" fillId="2" borderId="0" xfId="0" applyNumberFormat="1" applyFont="1" applyFill="1" applyAlignment="1">
      <alignment horizontal="right"/>
    </xf>
    <xf numFmtId="0" fontId="39" fillId="0" borderId="0" xfId="0" applyFont="1"/>
    <xf numFmtId="0" fontId="15" fillId="0" borderId="0" xfId="74" applyFont="1"/>
    <xf numFmtId="0" fontId="18" fillId="6" borderId="0" xfId="74" applyFont="1" applyFill="1"/>
    <xf numFmtId="0" fontId="18" fillId="2" borderId="0" xfId="74" applyFont="1" applyFill="1"/>
    <xf numFmtId="0" fontId="18" fillId="0" borderId="0" xfId="74" applyFont="1"/>
    <xf numFmtId="0" fontId="18" fillId="2" borderId="1" xfId="74" applyFont="1" applyFill="1" applyBorder="1" applyAlignment="1">
      <alignment horizontal="left" vertical="center"/>
    </xf>
    <xf numFmtId="0" fontId="18" fillId="2" borderId="1" xfId="74" applyFont="1" applyFill="1" applyBorder="1" applyAlignment="1">
      <alignment vertical="center"/>
    </xf>
    <xf numFmtId="0" fontId="18" fillId="0" borderId="0" xfId="74" applyFont="1" applyAlignment="1">
      <alignment vertical="center"/>
    </xf>
    <xf numFmtId="0" fontId="18" fillId="7" borderId="0" xfId="74" applyFont="1" applyFill="1" applyAlignment="1">
      <alignment horizontal="left" vertical="center"/>
    </xf>
    <xf numFmtId="0" fontId="17" fillId="0" borderId="0" xfId="74" applyFont="1"/>
    <xf numFmtId="0" fontId="18" fillId="2" borderId="0" xfId="74" applyFont="1" applyFill="1" applyAlignment="1">
      <alignment horizontal="left" vertical="top"/>
    </xf>
    <xf numFmtId="0" fontId="18" fillId="2" borderId="0" xfId="74" applyFont="1" applyFill="1" applyAlignment="1">
      <alignment vertical="center"/>
    </xf>
    <xf numFmtId="0" fontId="16" fillId="0" borderId="0" xfId="74" applyFont="1"/>
    <xf numFmtId="0" fontId="18" fillId="2" borderId="0" xfId="74" applyFont="1" applyFill="1" applyAlignment="1">
      <alignment horizontal="center"/>
    </xf>
    <xf numFmtId="167" fontId="39" fillId="0" borderId="0" xfId="0" applyNumberFormat="1" applyFont="1"/>
    <xf numFmtId="0" fontId="18" fillId="2" borderId="0" xfId="74" applyFont="1" applyFill="1" applyAlignment="1">
      <alignment horizontal="right"/>
    </xf>
    <xf numFmtId="0" fontId="17" fillId="2" borderId="0" xfId="74" applyFont="1" applyFill="1"/>
    <xf numFmtId="0" fontId="18" fillId="2" borderId="1" xfId="74" applyFont="1" applyFill="1" applyBorder="1" applyAlignment="1">
      <alignment horizontal="right" vertical="center"/>
    </xf>
    <xf numFmtId="0" fontId="18" fillId="0" borderId="0" xfId="74" applyFont="1" applyAlignment="1">
      <alignment horizontal="right" vertical="center"/>
    </xf>
    <xf numFmtId="165" fontId="18" fillId="2" borderId="0" xfId="74" applyNumberFormat="1" applyFont="1" applyFill="1"/>
    <xf numFmtId="0" fontId="18" fillId="2" borderId="0" xfId="74" applyFont="1" applyFill="1" applyAlignment="1">
      <alignment horizontal="left"/>
    </xf>
    <xf numFmtId="0" fontId="21" fillId="2" borderId="0" xfId="74" applyFont="1" applyFill="1" applyAlignment="1">
      <alignment horizontal="left"/>
    </xf>
    <xf numFmtId="0" fontId="21" fillId="2" borderId="2" xfId="74" applyFont="1" applyFill="1" applyBorder="1" applyAlignment="1">
      <alignment horizontal="left"/>
    </xf>
    <xf numFmtId="0" fontId="17" fillId="2" borderId="2" xfId="74" applyFont="1" applyFill="1" applyBorder="1" applyAlignment="1">
      <alignment horizontal="right"/>
    </xf>
    <xf numFmtId="0" fontId="17" fillId="2" borderId="0" xfId="74" applyFont="1" applyFill="1" applyAlignment="1">
      <alignment horizontal="right"/>
    </xf>
    <xf numFmtId="0" fontId="18" fillId="6" borderId="0" xfId="74" applyFont="1" applyFill="1" applyAlignment="1">
      <alignment horizontal="right" vertical="center"/>
    </xf>
    <xf numFmtId="0" fontId="17" fillId="6" borderId="0" xfId="74" applyFont="1" applyFill="1"/>
    <xf numFmtId="0" fontId="17" fillId="2" borderId="0" xfId="74" applyFont="1" applyFill="1" applyAlignment="1">
      <alignment horizontal="center"/>
    </xf>
    <xf numFmtId="0" fontId="17" fillId="2" borderId="1" xfId="74" applyFont="1" applyFill="1" applyBorder="1" applyAlignment="1">
      <alignment horizontal="center" vertical="center"/>
    </xf>
    <xf numFmtId="165" fontId="18" fillId="2" borderId="0" xfId="74" applyNumberFormat="1" applyFont="1" applyFill="1" applyAlignment="1">
      <alignment horizontal="right"/>
    </xf>
    <xf numFmtId="0" fontId="17" fillId="2" borderId="2" xfId="74" applyFont="1" applyFill="1" applyBorder="1"/>
    <xf numFmtId="0" fontId="17" fillId="2" borderId="2" xfId="74" applyFont="1" applyFill="1" applyBorder="1" applyAlignment="1">
      <alignment horizontal="center"/>
    </xf>
    <xf numFmtId="0" fontId="18" fillId="2" borderId="2" xfId="74" applyFont="1" applyFill="1" applyBorder="1"/>
    <xf numFmtId="0" fontId="17" fillId="6" borderId="0" xfId="0" applyFont="1" applyFill="1" applyAlignment="1">
      <alignment vertical="top"/>
    </xf>
    <xf numFmtId="0" fontId="17" fillId="6" borderId="0" xfId="0" applyFont="1" applyFill="1" applyAlignment="1">
      <alignment vertical="center" wrapText="1"/>
    </xf>
    <xf numFmtId="0" fontId="18" fillId="6" borderId="0" xfId="74" applyFont="1" applyFill="1" applyAlignment="1">
      <alignment horizontal="center"/>
    </xf>
    <xf numFmtId="0" fontId="17" fillId="6" borderId="0" xfId="0" applyFont="1" applyFill="1" applyAlignment="1">
      <alignment wrapText="1"/>
    </xf>
    <xf numFmtId="166" fontId="17" fillId="6" borderId="0" xfId="74" applyNumberFormat="1" applyFont="1" applyFill="1"/>
    <xf numFmtId="3" fontId="39" fillId="0" borderId="0" xfId="0" applyNumberFormat="1" applyFont="1"/>
    <xf numFmtId="165" fontId="17" fillId="0" borderId="0" xfId="74" applyNumberFormat="1" applyFont="1"/>
    <xf numFmtId="165" fontId="18" fillId="0" borderId="0" xfId="74" applyNumberFormat="1" applyFont="1"/>
    <xf numFmtId="0" fontId="18" fillId="2" borderId="0" xfId="4" applyFont="1" applyFill="1" applyAlignment="1">
      <alignment horizontal="justify" vertical="center"/>
    </xf>
    <xf numFmtId="0" fontId="18" fillId="2" borderId="0" xfId="0" applyFont="1" applyFill="1" applyAlignment="1">
      <alignment horizontal="justify" vertical="center"/>
    </xf>
    <xf numFmtId="3" fontId="18" fillId="6" borderId="0" xfId="0" applyNumberFormat="1" applyFont="1" applyFill="1" applyAlignment="1">
      <alignment horizontal="right" vertical="center"/>
    </xf>
    <xf numFmtId="0" fontId="18" fillId="6" borderId="0" xfId="0" applyFont="1" applyFill="1" applyAlignment="1">
      <alignment horizontal="justify" vertical="center"/>
    </xf>
    <xf numFmtId="165" fontId="18" fillId="6" borderId="0" xfId="0" applyNumberFormat="1" applyFont="1" applyFill="1" applyAlignment="1">
      <alignment vertical="center"/>
    </xf>
    <xf numFmtId="0" fontId="18" fillId="6" borderId="2" xfId="0" applyFont="1" applyFill="1" applyBorder="1" applyAlignment="1">
      <alignment horizontal="left" wrapText="1"/>
    </xf>
    <xf numFmtId="0" fontId="18" fillId="2" borderId="0" xfId="0" applyFont="1" applyFill="1" applyAlignment="1">
      <alignment horizontal="left" vertical="center" wrapText="1"/>
    </xf>
    <xf numFmtId="165" fontId="18" fillId="6" borderId="0" xfId="4" applyNumberFormat="1" applyFont="1" applyFill="1"/>
    <xf numFmtId="167" fontId="17" fillId="6" borderId="0" xfId="0" applyNumberFormat="1" applyFont="1" applyFill="1"/>
    <xf numFmtId="0" fontId="31" fillId="9" borderId="0" xfId="2" applyFont="1" applyFill="1" applyAlignment="1" applyProtection="1"/>
    <xf numFmtId="0" fontId="18" fillId="6" borderId="2" xfId="0" applyFont="1" applyFill="1" applyBorder="1" applyAlignment="1">
      <alignment horizontal="right" wrapText="1"/>
    </xf>
    <xf numFmtId="0" fontId="18" fillId="6" borderId="4" xfId="4" applyFont="1" applyFill="1" applyBorder="1"/>
    <xf numFmtId="0" fontId="33" fillId="0" borderId="0" xfId="0" applyFont="1" applyAlignment="1">
      <alignment horizontal="right" vertical="center" wrapText="1"/>
    </xf>
    <xf numFmtId="165" fontId="18" fillId="0" borderId="0" xfId="0" applyNumberFormat="1" applyFont="1" applyAlignment="1">
      <alignment horizontal="right"/>
    </xf>
    <xf numFmtId="167" fontId="17" fillId="0" borderId="0" xfId="0" applyNumberFormat="1" applyFont="1"/>
    <xf numFmtId="0" fontId="31" fillId="5" borderId="0" xfId="2" applyFont="1" applyFill="1" applyAlignment="1" applyProtection="1"/>
    <xf numFmtId="0" fontId="36" fillId="3" borderId="0" xfId="2" applyFont="1" applyFill="1" applyAlignment="1" applyProtection="1"/>
    <xf numFmtId="0" fontId="40" fillId="0" borderId="0" xfId="0" applyFont="1"/>
    <xf numFmtId="0" fontId="36" fillId="4" borderId="0" xfId="2" applyFont="1" applyFill="1" applyAlignment="1" applyProtection="1"/>
    <xf numFmtId="0" fontId="36" fillId="6" borderId="0" xfId="2" applyFont="1" applyFill="1" applyAlignment="1" applyProtection="1"/>
    <xf numFmtId="0" fontId="18" fillId="0" borderId="0" xfId="0" applyFont="1" applyAlignment="1">
      <alignment horizontal="center" vertical="center" wrapText="1"/>
    </xf>
    <xf numFmtId="0" fontId="18" fillId="0" borderId="0" xfId="0" applyFont="1" applyAlignment="1">
      <alignment horizontal="center" wrapText="1"/>
    </xf>
    <xf numFmtId="0" fontId="18" fillId="6" borderId="0" xfId="0" applyFont="1" applyFill="1" applyAlignment="1">
      <alignment horizontal="center" wrapText="1"/>
    </xf>
    <xf numFmtId="0" fontId="18" fillId="2" borderId="2" xfId="0" applyFont="1" applyFill="1" applyBorder="1" applyAlignment="1">
      <alignment wrapText="1"/>
    </xf>
    <xf numFmtId="0" fontId="18" fillId="2" borderId="4" xfId="4" applyFont="1" applyFill="1" applyBorder="1"/>
    <xf numFmtId="0" fontId="30" fillId="6" borderId="0" xfId="0" applyFont="1" applyFill="1" applyAlignment="1">
      <alignment horizontal="center" vertical="center" wrapText="1"/>
    </xf>
    <xf numFmtId="0" fontId="18" fillId="0" borderId="0" xfId="0" applyFont="1"/>
    <xf numFmtId="165" fontId="18" fillId="2" borderId="0" xfId="0" applyNumberFormat="1" applyFont="1" applyFill="1" applyAlignment="1">
      <alignment horizontal="right"/>
    </xf>
    <xf numFmtId="0" fontId="41" fillId="0" borderId="0" xfId="0" applyFont="1"/>
    <xf numFmtId="168" fontId="18" fillId="2" borderId="3" xfId="3" applyNumberFormat="1" applyFont="1" applyFill="1" applyBorder="1" applyAlignment="1">
      <alignment horizontal="right"/>
    </xf>
    <xf numFmtId="168" fontId="18" fillId="2" borderId="0" xfId="3" applyNumberFormat="1" applyFont="1" applyFill="1" applyAlignment="1">
      <alignment horizontal="right"/>
    </xf>
    <xf numFmtId="168" fontId="17" fillId="2" borderId="0" xfId="3" applyNumberFormat="1" applyFont="1" applyFill="1" applyAlignment="1">
      <alignment horizontal="right"/>
    </xf>
    <xf numFmtId="168" fontId="18" fillId="2" borderId="2" xfId="3" applyNumberFormat="1" applyFont="1" applyFill="1" applyBorder="1" applyAlignment="1">
      <alignment horizontal="right"/>
    </xf>
    <xf numFmtId="168" fontId="18" fillId="6" borderId="3" xfId="0" applyNumberFormat="1" applyFont="1" applyFill="1" applyBorder="1"/>
    <xf numFmtId="168" fontId="17" fillId="6" borderId="0" xfId="0" applyNumberFormat="1" applyFont="1" applyFill="1"/>
    <xf numFmtId="168" fontId="17" fillId="6" borderId="2" xfId="0" applyNumberFormat="1" applyFont="1" applyFill="1" applyBorder="1"/>
    <xf numFmtId="168" fontId="18" fillId="2" borderId="0" xfId="4" applyNumberFormat="1" applyFont="1" applyFill="1"/>
    <xf numFmtId="168" fontId="17" fillId="2" borderId="0" xfId="4" applyNumberFormat="1" applyFont="1" applyFill="1"/>
    <xf numFmtId="168" fontId="17" fillId="2" borderId="2" xfId="4" applyNumberFormat="1" applyFont="1" applyFill="1" applyBorder="1"/>
    <xf numFmtId="168" fontId="18" fillId="2" borderId="3" xfId="0" applyNumberFormat="1" applyFont="1" applyFill="1" applyBorder="1"/>
    <xf numFmtId="168" fontId="17" fillId="2" borderId="0" xfId="0" applyNumberFormat="1" applyFont="1" applyFill="1"/>
    <xf numFmtId="168" fontId="17" fillId="2" borderId="2" xfId="0" applyNumberFormat="1" applyFont="1" applyFill="1" applyBorder="1"/>
    <xf numFmtId="168" fontId="18" fillId="2" borderId="3" xfId="4" applyNumberFormat="1" applyFont="1" applyFill="1" applyBorder="1"/>
    <xf numFmtId="168" fontId="18" fillId="2" borderId="0" xfId="4" applyNumberFormat="1" applyFont="1" applyFill="1" applyAlignment="1">
      <alignment horizontal="right"/>
    </xf>
    <xf numFmtId="168" fontId="17" fillId="2" borderId="0" xfId="4" applyNumberFormat="1" applyFont="1" applyFill="1" applyAlignment="1">
      <alignment horizontal="right"/>
    </xf>
    <xf numFmtId="168" fontId="18" fillId="2" borderId="2" xfId="4" applyNumberFormat="1" applyFont="1" applyFill="1" applyBorder="1" applyAlignment="1">
      <alignment horizontal="right"/>
    </xf>
    <xf numFmtId="168" fontId="18" fillId="2" borderId="0" xfId="5" applyNumberFormat="1" applyFont="1" applyFill="1"/>
    <xf numFmtId="168" fontId="18" fillId="2" borderId="3" xfId="5" applyNumberFormat="1" applyFont="1" applyFill="1" applyBorder="1"/>
    <xf numFmtId="168" fontId="17" fillId="2" borderId="0" xfId="5" applyNumberFormat="1" applyFont="1" applyFill="1"/>
    <xf numFmtId="168" fontId="17" fillId="2" borderId="2" xfId="5" applyNumberFormat="1" applyFont="1" applyFill="1" applyBorder="1"/>
    <xf numFmtId="168" fontId="19" fillId="2" borderId="0" xfId="0" applyNumberFormat="1" applyFont="1" applyFill="1" applyAlignment="1">
      <alignment horizontal="right"/>
    </xf>
    <xf numFmtId="168" fontId="19" fillId="2" borderId="3" xfId="0" applyNumberFormat="1" applyFont="1" applyFill="1" applyBorder="1" applyAlignment="1">
      <alignment horizontal="right"/>
    </xf>
    <xf numFmtId="168" fontId="21" fillId="2" borderId="0" xfId="0" applyNumberFormat="1" applyFont="1" applyFill="1" applyAlignment="1">
      <alignment horizontal="right"/>
    </xf>
    <xf numFmtId="168" fontId="21" fillId="2" borderId="2" xfId="0" applyNumberFormat="1" applyFont="1" applyFill="1" applyBorder="1" applyAlignment="1">
      <alignment horizontal="right"/>
    </xf>
    <xf numFmtId="168" fontId="23" fillId="6" borderId="0" xfId="5" applyNumberFormat="1" applyFont="1" applyFill="1"/>
    <xf numFmtId="168" fontId="23" fillId="6" borderId="2" xfId="5" applyNumberFormat="1" applyFont="1" applyFill="1" applyBorder="1"/>
    <xf numFmtId="168" fontId="18" fillId="6" borderId="0" xfId="0" applyNumberFormat="1" applyFont="1" applyFill="1" applyAlignment="1">
      <alignment horizontal="right"/>
    </xf>
    <xf numFmtId="168" fontId="17" fillId="2" borderId="0" xfId="0" applyNumberFormat="1" applyFont="1" applyFill="1" applyAlignment="1">
      <alignment horizontal="right"/>
    </xf>
    <xf numFmtId="168" fontId="17" fillId="6" borderId="0" xfId="0" applyNumberFormat="1" applyFont="1" applyFill="1" applyAlignment="1">
      <alignment horizontal="right"/>
    </xf>
    <xf numFmtId="169" fontId="18" fillId="2" borderId="0" xfId="4" applyNumberFormat="1" applyFont="1" applyFill="1" applyAlignment="1">
      <alignment horizontal="right"/>
    </xf>
    <xf numFmtId="169" fontId="18" fillId="6" borderId="0" xfId="4" applyNumberFormat="1" applyFont="1" applyFill="1" applyAlignment="1">
      <alignment horizontal="right"/>
    </xf>
    <xf numFmtId="169" fontId="17" fillId="2" borderId="0" xfId="4" applyNumberFormat="1" applyFont="1" applyFill="1" applyAlignment="1">
      <alignment horizontal="right"/>
    </xf>
    <xf numFmtId="169" fontId="17" fillId="6" borderId="0" xfId="4" applyNumberFormat="1" applyFont="1" applyFill="1" applyAlignment="1">
      <alignment horizontal="right"/>
    </xf>
    <xf numFmtId="169" fontId="18" fillId="2" borderId="2" xfId="4" applyNumberFormat="1" applyFont="1" applyFill="1" applyBorder="1" applyAlignment="1">
      <alignment horizontal="right"/>
    </xf>
    <xf numFmtId="169" fontId="18" fillId="6" borderId="2" xfId="4" applyNumberFormat="1" applyFont="1" applyFill="1" applyBorder="1" applyAlignment="1">
      <alignment horizontal="right"/>
    </xf>
    <xf numFmtId="169" fontId="18" fillId="6" borderId="3" xfId="74" applyNumberFormat="1" applyFont="1" applyFill="1" applyBorder="1"/>
    <xf numFmtId="169" fontId="18" fillId="6" borderId="0" xfId="74" applyNumberFormat="1" applyFont="1" applyFill="1"/>
    <xf numFmtId="169" fontId="17" fillId="6" borderId="0" xfId="74" applyNumberFormat="1" applyFont="1" applyFill="1"/>
    <xf numFmtId="169" fontId="17" fillId="6" borderId="2" xfId="74" applyNumberFormat="1" applyFont="1" applyFill="1" applyBorder="1"/>
    <xf numFmtId="169" fontId="18" fillId="6" borderId="3" xfId="4" applyNumberFormat="1" applyFont="1" applyFill="1" applyBorder="1"/>
    <xf numFmtId="169" fontId="17" fillId="2" borderId="0" xfId="4" applyNumberFormat="1" applyFont="1" applyFill="1"/>
    <xf numFmtId="169" fontId="17" fillId="6" borderId="0" xfId="4" applyNumberFormat="1" applyFont="1" applyFill="1"/>
    <xf numFmtId="169" fontId="17" fillId="2" borderId="2" xfId="4" applyNumberFormat="1" applyFont="1" applyFill="1" applyBorder="1"/>
    <xf numFmtId="169" fontId="17" fillId="6" borderId="2" xfId="4" applyNumberFormat="1" applyFont="1" applyFill="1" applyBorder="1"/>
    <xf numFmtId="169" fontId="19" fillId="2" borderId="0" xfId="0" applyNumberFormat="1" applyFont="1" applyFill="1" applyAlignment="1">
      <alignment horizontal="right"/>
    </xf>
    <xf numFmtId="169" fontId="19" fillId="6" borderId="0" xfId="0" applyNumberFormat="1" applyFont="1" applyFill="1" applyAlignment="1">
      <alignment horizontal="right"/>
    </xf>
    <xf numFmtId="169" fontId="21" fillId="2" borderId="0" xfId="0" applyNumberFormat="1" applyFont="1" applyFill="1" applyAlignment="1">
      <alignment horizontal="right"/>
    </xf>
    <xf numFmtId="169" fontId="21" fillId="6" borderId="0" xfId="0" applyNumberFormat="1" applyFont="1" applyFill="1" applyAlignment="1">
      <alignment horizontal="right"/>
    </xf>
    <xf numFmtId="169" fontId="19" fillId="6" borderId="3" xfId="74" applyNumberFormat="1" applyFont="1" applyFill="1" applyBorder="1" applyAlignment="1">
      <alignment horizontal="right"/>
    </xf>
    <xf numFmtId="169" fontId="19" fillId="6" borderId="0" xfId="74" applyNumberFormat="1" applyFont="1" applyFill="1" applyAlignment="1">
      <alignment horizontal="right"/>
    </xf>
    <xf numFmtId="169" fontId="18" fillId="6" borderId="0" xfId="74" applyNumberFormat="1" applyFont="1" applyFill="1" applyAlignment="1">
      <alignment horizontal="right"/>
    </xf>
    <xf numFmtId="169" fontId="17" fillId="6" borderId="0" xfId="74" applyNumberFormat="1" applyFont="1" applyFill="1" applyAlignment="1">
      <alignment horizontal="right"/>
    </xf>
    <xf numFmtId="169" fontId="17" fillId="6" borderId="2" xfId="74" applyNumberFormat="1" applyFont="1" applyFill="1" applyBorder="1" applyAlignment="1">
      <alignment horizontal="right"/>
    </xf>
    <xf numFmtId="168" fontId="18" fillId="2" borderId="0" xfId="0" applyNumberFormat="1" applyFont="1" applyFill="1" applyAlignment="1">
      <alignment horizontal="right" vertical="center"/>
    </xf>
    <xf numFmtId="168" fontId="18" fillId="6" borderId="0" xfId="0" applyNumberFormat="1" applyFont="1" applyFill="1" applyAlignment="1">
      <alignment horizontal="right" vertical="center"/>
    </xf>
    <xf numFmtId="169" fontId="18" fillId="2" borderId="3" xfId="4" applyNumberFormat="1" applyFont="1" applyFill="1" applyBorder="1" applyAlignment="1">
      <alignment horizontal="right"/>
    </xf>
    <xf numFmtId="169" fontId="18" fillId="2" borderId="0" xfId="5" applyNumberFormat="1" applyFont="1" applyFill="1"/>
    <xf numFmtId="169" fontId="18" fillId="2" borderId="3" xfId="5" applyNumberFormat="1" applyFont="1" applyFill="1" applyBorder="1"/>
    <xf numFmtId="169" fontId="17" fillId="2" borderId="0" xfId="5" applyNumberFormat="1" applyFont="1" applyFill="1"/>
    <xf numFmtId="169" fontId="17" fillId="2" borderId="2" xfId="5" applyNumberFormat="1" applyFont="1" applyFill="1" applyBorder="1"/>
    <xf numFmtId="169" fontId="18" fillId="2" borderId="3" xfId="4" applyNumberFormat="1" applyFont="1" applyFill="1" applyBorder="1"/>
    <xf numFmtId="169" fontId="21" fillId="2" borderId="2" xfId="0" applyNumberFormat="1" applyFont="1" applyFill="1" applyBorder="1" applyAlignment="1">
      <alignment horizontal="right"/>
    </xf>
    <xf numFmtId="169" fontId="19" fillId="2" borderId="0" xfId="5" applyNumberFormat="1" applyFont="1" applyFill="1" applyAlignment="1">
      <alignment horizontal="right"/>
    </xf>
    <xf numFmtId="169" fontId="18" fillId="2" borderId="0" xfId="5" applyNumberFormat="1" applyFont="1" applyFill="1" applyAlignment="1">
      <alignment horizontal="right"/>
    </xf>
    <xf numFmtId="169" fontId="17" fillId="2" borderId="0" xfId="5" applyNumberFormat="1" applyFont="1" applyFill="1" applyAlignment="1">
      <alignment horizontal="right"/>
    </xf>
    <xf numFmtId="169" fontId="17" fillId="2" borderId="2" xfId="5" applyNumberFormat="1" applyFont="1" applyFill="1" applyBorder="1" applyAlignment="1">
      <alignment horizontal="right"/>
    </xf>
    <xf numFmtId="169" fontId="21" fillId="6" borderId="5" xfId="75" applyNumberFormat="1" applyFont="1" applyFill="1" applyBorder="1" applyAlignment="1">
      <alignment horizontal="right" vertical="center" wrapText="1"/>
    </xf>
    <xf numFmtId="169" fontId="21" fillId="6" borderId="5" xfId="75" applyNumberFormat="1" applyFont="1" applyFill="1" applyBorder="1" applyAlignment="1">
      <alignment horizontal="right" vertical="center"/>
    </xf>
    <xf numFmtId="169" fontId="17" fillId="6" borderId="5" xfId="75" applyNumberFormat="1" applyFont="1" applyFill="1" applyBorder="1" applyAlignment="1">
      <alignment horizontal="right" vertical="center"/>
    </xf>
    <xf numFmtId="169" fontId="21" fillId="6" borderId="6" xfId="75" applyNumberFormat="1" applyFont="1" applyFill="1" applyBorder="1" applyAlignment="1">
      <alignment horizontal="right" vertical="center" wrapText="1"/>
    </xf>
    <xf numFmtId="169" fontId="21" fillId="6" borderId="6" xfId="75" applyNumberFormat="1" applyFont="1" applyFill="1" applyBorder="1" applyAlignment="1">
      <alignment horizontal="right" vertical="center"/>
    </xf>
    <xf numFmtId="169" fontId="17" fillId="6" borderId="6" xfId="75" applyNumberFormat="1" applyFont="1" applyFill="1" applyBorder="1" applyAlignment="1">
      <alignment horizontal="right" vertical="center"/>
    </xf>
    <xf numFmtId="169" fontId="21" fillId="6" borderId="8" xfId="75" applyNumberFormat="1" applyFont="1" applyFill="1" applyBorder="1" applyAlignment="1">
      <alignment horizontal="right" vertical="center" wrapText="1"/>
    </xf>
    <xf numFmtId="169" fontId="21" fillId="6" borderId="8" xfId="75" applyNumberFormat="1" applyFont="1" applyFill="1" applyBorder="1" applyAlignment="1">
      <alignment horizontal="right" vertical="center"/>
    </xf>
    <xf numFmtId="169" fontId="17" fillId="6" borderId="8" xfId="75" applyNumberFormat="1" applyFont="1" applyFill="1" applyBorder="1" applyAlignment="1">
      <alignment horizontal="right" vertical="center"/>
    </xf>
    <xf numFmtId="168" fontId="42" fillId="6" borderId="9" xfId="75" applyNumberFormat="1" applyFont="1" applyFill="1" applyBorder="1" applyAlignment="1">
      <alignment horizontal="right" vertical="center" wrapText="1"/>
    </xf>
    <xf numFmtId="168" fontId="42" fillId="6" borderId="9" xfId="75" applyNumberFormat="1" applyFont="1" applyFill="1" applyBorder="1" applyAlignment="1">
      <alignment horizontal="right" vertical="center"/>
    </xf>
    <xf numFmtId="168" fontId="23" fillId="6" borderId="9" xfId="75" applyNumberFormat="1" applyFont="1" applyFill="1" applyBorder="1" applyAlignment="1">
      <alignment horizontal="right" vertical="center"/>
    </xf>
    <xf numFmtId="168" fontId="42" fillId="6" borderId="7" xfId="75" applyNumberFormat="1" applyFont="1" applyFill="1" applyBorder="1" applyAlignment="1">
      <alignment horizontal="right" vertical="center" wrapText="1"/>
    </xf>
    <xf numFmtId="168" fontId="42" fillId="6" borderId="7" xfId="75" applyNumberFormat="1" applyFont="1" applyFill="1" applyBorder="1" applyAlignment="1">
      <alignment horizontal="right" vertical="center"/>
    </xf>
    <xf numFmtId="168" fontId="23" fillId="6" borderId="7" xfId="75" applyNumberFormat="1" applyFont="1" applyFill="1" applyBorder="1" applyAlignment="1">
      <alignment horizontal="right" vertical="center"/>
    </xf>
    <xf numFmtId="169" fontId="17" fillId="2" borderId="0" xfId="0" applyNumberFormat="1" applyFont="1" applyFill="1"/>
    <xf numFmtId="169" fontId="17" fillId="2" borderId="2" xfId="0" applyNumberFormat="1" applyFont="1" applyFill="1" applyBorder="1"/>
    <xf numFmtId="0" fontId="18" fillId="2" borderId="2" xfId="4" applyFont="1" applyFill="1" applyBorder="1"/>
    <xf numFmtId="169" fontId="18" fillId="0" borderId="0" xfId="5" applyNumberFormat="1" applyFont="1" applyAlignment="1">
      <alignment horizontal="right" vertical="center"/>
    </xf>
    <xf numFmtId="168" fontId="14" fillId="0" borderId="0" xfId="2" applyNumberFormat="1" applyFill="1" applyAlignment="1" applyProtection="1"/>
    <xf numFmtId="0" fontId="21" fillId="6" borderId="8" xfId="75" applyFont="1" applyFill="1" applyBorder="1" applyAlignment="1">
      <alignment horizontal="left" vertical="center" wrapText="1"/>
    </xf>
    <xf numFmtId="0" fontId="21" fillId="6" borderId="6" xfId="75" applyFont="1" applyFill="1" applyBorder="1" applyAlignment="1">
      <alignment horizontal="left" vertical="center" wrapText="1"/>
    </xf>
    <xf numFmtId="0" fontId="21" fillId="6" borderId="5" xfId="75" applyFont="1" applyFill="1" applyBorder="1" applyAlignment="1">
      <alignment horizontal="left" vertical="center" wrapText="1"/>
    </xf>
    <xf numFmtId="168" fontId="18" fillId="0" borderId="0" xfId="5" applyNumberFormat="1" applyFont="1" applyAlignment="1">
      <alignment horizontal="right" vertical="center"/>
    </xf>
    <xf numFmtId="168" fontId="18" fillId="6" borderId="0" xfId="5" applyNumberFormat="1" applyFont="1" applyFill="1"/>
    <xf numFmtId="0" fontId="18" fillId="2" borderId="0" xfId="3" applyFont="1" applyFill="1" applyAlignment="1">
      <alignment horizontal="left"/>
    </xf>
    <xf numFmtId="167" fontId="18" fillId="2" borderId="3" xfId="74" applyNumberFormat="1" applyFont="1" applyFill="1" applyBorder="1" applyAlignment="1">
      <alignment vertical="center"/>
    </xf>
    <xf numFmtId="169" fontId="18" fillId="2" borderId="0" xfId="0" applyNumberFormat="1" applyFont="1" applyFill="1"/>
    <xf numFmtId="0" fontId="10" fillId="0" borderId="0" xfId="77"/>
    <xf numFmtId="0" fontId="43" fillId="0" borderId="0" xfId="0" applyFont="1" applyAlignment="1">
      <alignment vertical="center"/>
    </xf>
    <xf numFmtId="0" fontId="9" fillId="10" borderId="0" xfId="78" applyFill="1"/>
    <xf numFmtId="0" fontId="9" fillId="0" borderId="0" xfId="78"/>
    <xf numFmtId="168" fontId="15" fillId="0" borderId="0" xfId="5" applyNumberFormat="1" applyFont="1"/>
    <xf numFmtId="0" fontId="45" fillId="0" borderId="0" xfId="0" applyFont="1"/>
    <xf numFmtId="0" fontId="11" fillId="0" borderId="0" xfId="0" applyFont="1" applyAlignment="1">
      <alignment wrapText="1"/>
    </xf>
    <xf numFmtId="0" fontId="11" fillId="0" borderId="0" xfId="0" applyFont="1" applyAlignment="1">
      <alignment vertical="center"/>
    </xf>
    <xf numFmtId="0" fontId="11" fillId="0" borderId="0" xfId="0" applyFont="1"/>
    <xf numFmtId="0" fontId="46" fillId="0" borderId="0" xfId="0" applyFont="1"/>
    <xf numFmtId="0" fontId="47" fillId="0" borderId="10" xfId="0" applyFont="1" applyBorder="1" applyAlignment="1">
      <alignment horizontal="center" vertical="center" wrapText="1"/>
    </xf>
    <xf numFmtId="0" fontId="11" fillId="0" borderId="0" xfId="81"/>
    <xf numFmtId="0" fontId="0" fillId="0" borderId="10" xfId="0" applyBorder="1" applyAlignment="1">
      <alignment vertical="center"/>
    </xf>
    <xf numFmtId="0" fontId="0" fillId="0" borderId="10" xfId="0" applyBorder="1" applyAlignment="1">
      <alignment horizontal="center" vertical="center"/>
    </xf>
    <xf numFmtId="0" fontId="0" fillId="0" borderId="10" xfId="0" applyBorder="1" applyAlignment="1">
      <alignment horizontal="left" vertical="center" indent="1"/>
    </xf>
    <xf numFmtId="0" fontId="46" fillId="0" borderId="0" xfId="81" applyFont="1"/>
    <xf numFmtId="0" fontId="11" fillId="7" borderId="10" xfId="81" applyFill="1" applyBorder="1" applyAlignment="1">
      <alignment horizontal="right"/>
    </xf>
    <xf numFmtId="3" fontId="11" fillId="0" borderId="0" xfId="81" applyNumberFormat="1"/>
    <xf numFmtId="168" fontId="17" fillId="0" borderId="0" xfId="4" applyNumberFormat="1" applyFont="1"/>
    <xf numFmtId="0" fontId="18" fillId="0" borderId="0" xfId="4" applyFont="1"/>
    <xf numFmtId="168" fontId="17" fillId="2" borderId="3" xfId="3" applyNumberFormat="1" applyFont="1" applyFill="1" applyBorder="1" applyAlignment="1">
      <alignment horizontal="right"/>
    </xf>
    <xf numFmtId="170" fontId="0" fillId="0" borderId="0" xfId="80" applyNumberFormat="1" applyFont="1"/>
    <xf numFmtId="0" fontId="54" fillId="0" borderId="0" xfId="0" applyFont="1" applyAlignment="1">
      <alignment vertical="center"/>
    </xf>
    <xf numFmtId="0" fontId="55" fillId="0" borderId="0" xfId="4" applyFont="1" applyAlignment="1">
      <alignment vertical="center" wrapText="1"/>
    </xf>
    <xf numFmtId="0" fontId="55" fillId="0" borderId="0" xfId="4" applyFont="1" applyAlignment="1">
      <alignment vertical="center"/>
    </xf>
    <xf numFmtId="0" fontId="14" fillId="0" borderId="0" xfId="2" applyAlignment="1" applyProtection="1"/>
    <xf numFmtId="0" fontId="56" fillId="0" borderId="0" xfId="0" applyFont="1" applyAlignment="1">
      <alignment vertical="center"/>
    </xf>
    <xf numFmtId="0" fontId="14" fillId="0" borderId="0" xfId="2" applyAlignment="1" applyProtection="1">
      <alignment vertical="center"/>
    </xf>
    <xf numFmtId="0" fontId="0" fillId="0" borderId="0" xfId="0" applyAlignment="1">
      <alignment vertical="center"/>
    </xf>
    <xf numFmtId="0" fontId="58" fillId="0" borderId="0" xfId="0" applyFont="1" applyAlignment="1">
      <alignment vertical="center"/>
    </xf>
    <xf numFmtId="0" fontId="18" fillId="2" borderId="0" xfId="3" applyFont="1" applyFill="1" applyAlignment="1">
      <alignment horizontal="right" vertical="center"/>
    </xf>
    <xf numFmtId="0" fontId="0" fillId="0" borderId="0" xfId="0" pivotButton="1"/>
    <xf numFmtId="0" fontId="0" fillId="0" borderId="0" xfId="0" applyAlignment="1">
      <alignment horizontal="left"/>
    </xf>
    <xf numFmtId="2" fontId="0" fillId="0" borderId="0" xfId="0" applyNumberFormat="1"/>
    <xf numFmtId="0" fontId="18" fillId="0" borderId="0" xfId="0" applyFont="1" applyAlignment="1">
      <alignment vertical="center"/>
    </xf>
    <xf numFmtId="2" fontId="17" fillId="0" borderId="0" xfId="74" applyNumberFormat="1" applyFont="1"/>
    <xf numFmtId="171" fontId="17" fillId="2" borderId="3" xfId="3" applyNumberFormat="1" applyFont="1" applyFill="1" applyBorder="1" applyAlignment="1">
      <alignment horizontal="right"/>
    </xf>
    <xf numFmtId="172" fontId="17" fillId="0" borderId="0" xfId="4" applyNumberFormat="1" applyFont="1"/>
    <xf numFmtId="0" fontId="59" fillId="0" borderId="0" xfId="0" applyFont="1"/>
    <xf numFmtId="9" fontId="0" fillId="0" borderId="0" xfId="80" applyFont="1"/>
    <xf numFmtId="2" fontId="0" fillId="0" borderId="0" xfId="80" applyNumberFormat="1" applyFont="1"/>
    <xf numFmtId="0" fontId="60" fillId="0" borderId="0" xfId="0" applyFont="1" applyAlignment="1">
      <alignment horizontal="left" vertical="center"/>
    </xf>
    <xf numFmtId="167" fontId="0" fillId="0" borderId="0" xfId="0" applyNumberFormat="1"/>
    <xf numFmtId="170" fontId="0" fillId="0" borderId="0" xfId="0" applyNumberFormat="1"/>
    <xf numFmtId="167" fontId="0" fillId="0" borderId="0" xfId="80" applyNumberFormat="1" applyFont="1"/>
    <xf numFmtId="0" fontId="61" fillId="0" borderId="0" xfId="0" applyFont="1" applyAlignment="1">
      <alignment horizontal="left" vertical="center"/>
    </xf>
    <xf numFmtId="0" fontId="11" fillId="11" borderId="0" xfId="0" applyFont="1" applyFill="1"/>
    <xf numFmtId="0" fontId="63" fillId="0" borderId="0" xfId="0" applyFont="1"/>
    <xf numFmtId="0" fontId="64" fillId="0" borderId="0" xfId="0" applyFont="1"/>
    <xf numFmtId="0" fontId="55" fillId="0" borderId="0" xfId="0" applyFont="1"/>
    <xf numFmtId="0" fontId="55" fillId="12" borderId="0" xfId="0" applyFont="1" applyFill="1"/>
    <xf numFmtId="1" fontId="55" fillId="0" borderId="0" xfId="0" applyNumberFormat="1" applyFont="1"/>
    <xf numFmtId="2" fontId="63" fillId="0" borderId="0" xfId="0" applyNumberFormat="1" applyFont="1"/>
    <xf numFmtId="4" fontId="17" fillId="2" borderId="3" xfId="3" applyNumberFormat="1" applyFont="1" applyFill="1" applyBorder="1" applyAlignment="1">
      <alignment horizontal="right"/>
    </xf>
    <xf numFmtId="4" fontId="17" fillId="0" borderId="0" xfId="4" applyNumberFormat="1" applyFont="1"/>
    <xf numFmtId="0" fontId="65" fillId="0" borderId="0" xfId="0" applyFont="1"/>
    <xf numFmtId="0" fontId="64" fillId="12" borderId="0" xfId="0" applyFont="1" applyFill="1"/>
    <xf numFmtId="0" fontId="55" fillId="0" borderId="0" xfId="0" applyFont="1" applyAlignment="1">
      <alignment horizontal="left"/>
    </xf>
    <xf numFmtId="0" fontId="63" fillId="0" borderId="0" xfId="0" applyFont="1" applyAlignment="1">
      <alignment horizontal="left"/>
    </xf>
    <xf numFmtId="3" fontId="63" fillId="0" borderId="0" xfId="0" applyNumberFormat="1" applyFont="1"/>
    <xf numFmtId="173" fontId="63" fillId="0" borderId="0" xfId="0" applyNumberFormat="1" applyFont="1"/>
    <xf numFmtId="1" fontId="63" fillId="0" borderId="0" xfId="0" applyNumberFormat="1" applyFont="1"/>
    <xf numFmtId="0" fontId="55" fillId="0" borderId="0" xfId="0" applyFont="1" applyAlignment="1">
      <alignment wrapText="1"/>
    </xf>
    <xf numFmtId="0" fontId="66" fillId="0" borderId="0" xfId="0" applyFont="1"/>
    <xf numFmtId="174" fontId="0" fillId="0" borderId="0" xfId="0" applyNumberFormat="1"/>
    <xf numFmtId="167" fontId="18" fillId="6" borderId="0" xfId="4" applyNumberFormat="1" applyFont="1" applyFill="1" applyAlignment="1">
      <alignment horizontal="right"/>
    </xf>
    <xf numFmtId="0" fontId="0" fillId="11" borderId="0" xfId="0" applyFill="1"/>
    <xf numFmtId="0" fontId="63" fillId="11" borderId="0" xfId="0" applyFont="1" applyFill="1"/>
    <xf numFmtId="168" fontId="63" fillId="0" borderId="0" xfId="0" applyNumberFormat="1" applyFont="1"/>
    <xf numFmtId="49" fontId="63" fillId="0" borderId="0" xfId="0" applyNumberFormat="1" applyFont="1"/>
    <xf numFmtId="3" fontId="17" fillId="2" borderId="3" xfId="3" applyNumberFormat="1" applyFont="1" applyFill="1" applyBorder="1" applyAlignment="1">
      <alignment horizontal="right"/>
    </xf>
    <xf numFmtId="167" fontId="63" fillId="0" borderId="0" xfId="0" applyNumberFormat="1" applyFont="1"/>
    <xf numFmtId="0" fontId="63" fillId="0" borderId="0" xfId="0" applyFont="1" applyAlignment="1">
      <alignment vertical="center" wrapText="1"/>
    </xf>
    <xf numFmtId="165" fontId="63" fillId="0" borderId="0" xfId="0" applyNumberFormat="1" applyFont="1"/>
    <xf numFmtId="0" fontId="54" fillId="0" borderId="0" xfId="0" applyFont="1" applyAlignment="1">
      <alignment vertical="center" wrapText="1"/>
    </xf>
    <xf numFmtId="0" fontId="54" fillId="11" borderId="0" xfId="0" applyFont="1" applyFill="1" applyAlignment="1">
      <alignment vertical="center" wrapText="1"/>
    </xf>
    <xf numFmtId="0" fontId="67" fillId="0" borderId="0" xfId="0" applyFont="1"/>
    <xf numFmtId="49" fontId="63" fillId="0" borderId="0" xfId="0" applyNumberFormat="1" applyFont="1" applyAlignment="1">
      <alignment vertical="center" wrapText="1"/>
    </xf>
    <xf numFmtId="0" fontId="68" fillId="0" borderId="0" xfId="0" applyFont="1"/>
    <xf numFmtId="0" fontId="68" fillId="11" borderId="0" xfId="0" applyFont="1" applyFill="1"/>
    <xf numFmtId="0" fontId="55" fillId="11" borderId="0" xfId="0" applyFont="1" applyFill="1"/>
    <xf numFmtId="168" fontId="17" fillId="0" borderId="0" xfId="0" applyNumberFormat="1" applyFont="1"/>
    <xf numFmtId="169" fontId="17" fillId="0" borderId="0" xfId="0" applyNumberFormat="1" applyFont="1"/>
    <xf numFmtId="2" fontId="68" fillId="0" borderId="0" xfId="0" applyNumberFormat="1" applyFont="1"/>
    <xf numFmtId="10" fontId="68" fillId="0" borderId="0" xfId="0" applyNumberFormat="1" applyFont="1"/>
    <xf numFmtId="0" fontId="68" fillId="13" borderId="0" xfId="0" applyFont="1" applyFill="1"/>
    <xf numFmtId="0" fontId="68" fillId="14" borderId="0" xfId="0" applyFont="1" applyFill="1"/>
    <xf numFmtId="3" fontId="68" fillId="0" borderId="0" xfId="0" applyNumberFormat="1" applyFont="1"/>
    <xf numFmtId="175" fontId="68" fillId="0" borderId="0" xfId="0" applyNumberFormat="1" applyFont="1"/>
    <xf numFmtId="0" fontId="68" fillId="0" borderId="0" xfId="0" applyFont="1" applyAlignment="1">
      <alignment horizontal="center"/>
    </xf>
    <xf numFmtId="0" fontId="68" fillId="0" borderId="0" xfId="0" applyFont="1" applyAlignment="1">
      <alignment horizontal="center" vertical="center"/>
    </xf>
    <xf numFmtId="0" fontId="54" fillId="0" borderId="0" xfId="0" applyFont="1"/>
    <xf numFmtId="0" fontId="55" fillId="13" borderId="0" xfId="0" applyFont="1" applyFill="1"/>
    <xf numFmtId="0" fontId="55" fillId="14" borderId="0" xfId="0" applyFont="1" applyFill="1"/>
    <xf numFmtId="168" fontId="33" fillId="0" borderId="0" xfId="0" applyNumberFormat="1" applyFont="1" applyAlignment="1">
      <alignment horizontal="right" vertical="center" wrapText="1"/>
    </xf>
    <xf numFmtId="4" fontId="68" fillId="0" borderId="0" xfId="0" applyNumberFormat="1" applyFont="1"/>
    <xf numFmtId="0" fontId="68" fillId="0" borderId="0" xfId="0" applyFont="1" applyAlignment="1">
      <alignment vertical="center"/>
    </xf>
    <xf numFmtId="4" fontId="0" fillId="0" borderId="0" xfId="0" applyNumberFormat="1"/>
    <xf numFmtId="167" fontId="68" fillId="0" borderId="0" xfId="0" applyNumberFormat="1" applyFont="1"/>
    <xf numFmtId="3" fontId="55" fillId="0" borderId="0" xfId="0" applyNumberFormat="1" applyFont="1"/>
    <xf numFmtId="170" fontId="68" fillId="0" borderId="0" xfId="80" applyNumberFormat="1" applyFont="1"/>
    <xf numFmtId="0" fontId="18" fillId="6" borderId="0" xfId="5" applyFont="1" applyFill="1" applyAlignment="1">
      <alignment vertical="center"/>
    </xf>
    <xf numFmtId="170" fontId="17" fillId="0" borderId="0" xfId="80" applyNumberFormat="1" applyFont="1" applyBorder="1" applyAlignment="1"/>
    <xf numFmtId="165" fontId="69" fillId="15" borderId="0" xfId="82" applyNumberFormat="1" applyFont="1" applyFill="1" applyAlignment="1">
      <alignment horizontal="left" vertical="center" indent="2"/>
    </xf>
    <xf numFmtId="0" fontId="63" fillId="0" borderId="0" xfId="0" applyFont="1" applyAlignment="1">
      <alignment horizontal="center"/>
    </xf>
    <xf numFmtId="0" fontId="64" fillId="0" borderId="0" xfId="0" applyFont="1" applyAlignment="1">
      <alignment horizontal="center"/>
    </xf>
    <xf numFmtId="0" fontId="18" fillId="6" borderId="0" xfId="5" applyFont="1" applyFill="1" applyAlignment="1">
      <alignment horizontal="right" vertical="center"/>
    </xf>
    <xf numFmtId="9" fontId="68" fillId="0" borderId="0" xfId="80" applyFont="1"/>
    <xf numFmtId="167" fontId="68" fillId="0" borderId="0" xfId="80" applyNumberFormat="1" applyFont="1"/>
    <xf numFmtId="165" fontId="68" fillId="0" borderId="0" xfId="0" applyNumberFormat="1" applyFont="1"/>
    <xf numFmtId="170" fontId="68" fillId="0" borderId="0" xfId="0" applyNumberFormat="1" applyFont="1"/>
    <xf numFmtId="9" fontId="68" fillId="0" borderId="0" xfId="0" applyNumberFormat="1" applyFont="1"/>
    <xf numFmtId="165" fontId="0" fillId="0" borderId="0" xfId="0" applyNumberFormat="1"/>
    <xf numFmtId="174" fontId="0" fillId="11" borderId="0" xfId="0" applyNumberFormat="1" applyFill="1"/>
    <xf numFmtId="176" fontId="17" fillId="2" borderId="3" xfId="3" applyNumberFormat="1" applyFont="1" applyFill="1" applyBorder="1" applyAlignment="1">
      <alignment horizontal="right"/>
    </xf>
    <xf numFmtId="177" fontId="17" fillId="0" borderId="0" xfId="4" applyNumberFormat="1" applyFont="1"/>
    <xf numFmtId="1" fontId="0" fillId="0" borderId="0" xfId="0" applyNumberFormat="1"/>
    <xf numFmtId="0" fontId="11" fillId="17" borderId="0" xfId="0" applyFont="1" applyFill="1"/>
    <xf numFmtId="0" fontId="11" fillId="16" borderId="0" xfId="0" applyFont="1" applyFill="1"/>
    <xf numFmtId="0" fontId="68" fillId="0" borderId="0" xfId="0" applyFont="1" applyAlignment="1">
      <alignment horizontal="left" vertical="center" wrapText="1"/>
    </xf>
    <xf numFmtId="0" fontId="70" fillId="0" borderId="0" xfId="0" applyFont="1"/>
    <xf numFmtId="0" fontId="60" fillId="0" borderId="0" xfId="0" applyFont="1"/>
    <xf numFmtId="0" fontId="71" fillId="0" borderId="0" xfId="0" applyFont="1"/>
    <xf numFmtId="0" fontId="70" fillId="0" borderId="0" xfId="0" quotePrefix="1" applyFont="1"/>
    <xf numFmtId="167" fontId="11" fillId="0" borderId="0" xfId="0" applyNumberFormat="1" applyFont="1"/>
    <xf numFmtId="0" fontId="55" fillId="0" borderId="0" xfId="0" applyFont="1" applyAlignment="1">
      <alignment vertical="center"/>
    </xf>
    <xf numFmtId="0" fontId="68" fillId="0" borderId="0" xfId="0" applyFont="1" applyAlignment="1">
      <alignment vertical="center" wrapText="1"/>
    </xf>
    <xf numFmtId="0" fontId="68" fillId="0" borderId="0" xfId="0" applyFont="1" applyAlignment="1">
      <alignment wrapText="1"/>
    </xf>
    <xf numFmtId="170" fontId="0" fillId="11" borderId="0" xfId="80" applyNumberFormat="1" applyFont="1" applyFill="1"/>
    <xf numFmtId="0" fontId="18" fillId="0" borderId="1" xfId="3" applyFont="1" applyBorder="1" applyAlignment="1">
      <alignment horizontal="right" vertical="center"/>
    </xf>
    <xf numFmtId="0" fontId="60" fillId="0" borderId="0" xfId="0" applyFont="1" applyAlignment="1">
      <alignment vertical="center"/>
    </xf>
    <xf numFmtId="0" fontId="11" fillId="11" borderId="10" xfId="81" applyFill="1" applyBorder="1" applyAlignment="1">
      <alignment horizontal="right"/>
    </xf>
    <xf numFmtId="0" fontId="80" fillId="0" borderId="0" xfId="0" applyFont="1" applyAlignment="1">
      <alignment horizontal="left"/>
    </xf>
    <xf numFmtId="0" fontId="11" fillId="0" borderId="0" xfId="0" applyFont="1" applyAlignment="1">
      <alignment horizontal="center" vertical="center"/>
    </xf>
    <xf numFmtId="170" fontId="0" fillId="11" borderId="13" xfId="80" applyNumberFormat="1" applyFont="1" applyFill="1" applyBorder="1"/>
    <xf numFmtId="9" fontId="0" fillId="11" borderId="14" xfId="80" applyFont="1" applyFill="1" applyBorder="1"/>
    <xf numFmtId="170" fontId="0" fillId="0" borderId="13" xfId="80" applyNumberFormat="1" applyFont="1" applyBorder="1"/>
    <xf numFmtId="9" fontId="0" fillId="0" borderId="14" xfId="80" applyFont="1" applyFill="1" applyBorder="1"/>
    <xf numFmtId="170" fontId="0" fillId="0" borderId="15" xfId="80" applyNumberFormat="1" applyFont="1" applyBorder="1"/>
    <xf numFmtId="9" fontId="0" fillId="0" borderId="16" xfId="80" applyFont="1" applyBorder="1"/>
    <xf numFmtId="9" fontId="0" fillId="0" borderId="14" xfId="80" applyFont="1" applyBorder="1"/>
    <xf numFmtId="0" fontId="62" fillId="0" borderId="0" xfId="0" applyFont="1"/>
    <xf numFmtId="9" fontId="0" fillId="11" borderId="0" xfId="0" applyNumberFormat="1" applyFill="1"/>
    <xf numFmtId="0" fontId="0" fillId="0" borderId="0" xfId="0" applyAlignment="1">
      <alignment wrapText="1"/>
    </xf>
    <xf numFmtId="168" fontId="17" fillId="11" borderId="3" xfId="3" applyNumberFormat="1" applyFont="1" applyFill="1" applyBorder="1" applyAlignment="1">
      <alignment horizontal="right"/>
    </xf>
    <xf numFmtId="168" fontId="17" fillId="11" borderId="0" xfId="4" applyNumberFormat="1" applyFont="1" applyFill="1"/>
    <xf numFmtId="168" fontId="0" fillId="11" borderId="0" xfId="0" applyNumberFormat="1" applyFill="1"/>
    <xf numFmtId="171" fontId="17" fillId="11" borderId="3" xfId="3" applyNumberFormat="1" applyFont="1" applyFill="1" applyBorder="1" applyAlignment="1">
      <alignment horizontal="right"/>
    </xf>
    <xf numFmtId="172" fontId="17" fillId="11" borderId="0" xfId="4" applyNumberFormat="1" applyFont="1" applyFill="1"/>
    <xf numFmtId="1" fontId="0" fillId="11" borderId="0" xfId="0" applyNumberFormat="1" applyFill="1" applyAlignment="1">
      <alignment horizontal="left" indent="2"/>
    </xf>
    <xf numFmtId="0" fontId="62" fillId="11" borderId="0" xfId="0" applyFont="1" applyFill="1"/>
    <xf numFmtId="173" fontId="0" fillId="0" borderId="0" xfId="0" applyNumberFormat="1"/>
    <xf numFmtId="178" fontId="0" fillId="11" borderId="0" xfId="0" applyNumberFormat="1" applyFill="1"/>
    <xf numFmtId="178" fontId="0" fillId="0" borderId="0" xfId="0" applyNumberFormat="1"/>
    <xf numFmtId="0" fontId="81" fillId="0" borderId="0" xfId="0" applyFont="1"/>
    <xf numFmtId="2" fontId="68" fillId="0" borderId="0" xfId="80" applyNumberFormat="1" applyFont="1"/>
    <xf numFmtId="179" fontId="68" fillId="0" borderId="0" xfId="0" applyNumberFormat="1" applyFont="1"/>
    <xf numFmtId="178" fontId="68" fillId="0" borderId="0" xfId="0" applyNumberFormat="1" applyFont="1"/>
    <xf numFmtId="0" fontId="55" fillId="0" borderId="0" xfId="0" applyFont="1" applyAlignment="1">
      <alignment vertical="center" wrapText="1"/>
    </xf>
    <xf numFmtId="178" fontId="68" fillId="0" borderId="0" xfId="80" applyNumberFormat="1" applyFont="1"/>
    <xf numFmtId="180" fontId="68" fillId="0" borderId="0" xfId="80" applyNumberFormat="1" applyFont="1"/>
    <xf numFmtId="170" fontId="68" fillId="11" borderId="0" xfId="0" applyNumberFormat="1" applyFont="1" applyFill="1"/>
    <xf numFmtId="0" fontId="67" fillId="11" borderId="0" xfId="0" applyFont="1" applyFill="1"/>
    <xf numFmtId="167" fontId="63" fillId="11" borderId="0" xfId="0" applyNumberFormat="1" applyFont="1" applyFill="1" applyAlignment="1">
      <alignment horizontal="right"/>
    </xf>
    <xf numFmtId="0" fontId="64" fillId="11" borderId="0" xfId="0" applyFont="1" applyFill="1"/>
    <xf numFmtId="173" fontId="63" fillId="11" borderId="0" xfId="0" applyNumberFormat="1" applyFont="1" applyFill="1"/>
    <xf numFmtId="2" fontId="63" fillId="11" borderId="0" xfId="0" applyNumberFormat="1" applyFont="1" applyFill="1"/>
    <xf numFmtId="0" fontId="83" fillId="0" borderId="0" xfId="0" applyFont="1"/>
    <xf numFmtId="173" fontId="64" fillId="0" borderId="0" xfId="0" applyNumberFormat="1" applyFont="1"/>
    <xf numFmtId="173" fontId="64" fillId="11" borderId="0" xfId="0" applyNumberFormat="1" applyFont="1" applyFill="1"/>
    <xf numFmtId="0" fontId="46" fillId="0" borderId="0" xfId="0" applyFont="1" applyAlignment="1">
      <alignment horizontal="right"/>
    </xf>
    <xf numFmtId="179" fontId="0" fillId="0" borderId="0" xfId="0" applyNumberFormat="1"/>
    <xf numFmtId="181" fontId="17" fillId="0" borderId="0" xfId="0" applyNumberFormat="1" applyFont="1"/>
    <xf numFmtId="167" fontId="17" fillId="0" borderId="0" xfId="4" applyNumberFormat="1" applyFont="1"/>
    <xf numFmtId="170" fontId="0" fillId="11" borderId="0" xfId="0" applyNumberFormat="1" applyFill="1"/>
    <xf numFmtId="169" fontId="17" fillId="0" borderId="0" xfId="4" applyNumberFormat="1" applyFont="1"/>
    <xf numFmtId="167" fontId="18" fillId="0" borderId="0" xfId="5" applyNumberFormat="1" applyFont="1"/>
    <xf numFmtId="2" fontId="18" fillId="0" borderId="0" xfId="5" applyNumberFormat="1" applyFont="1"/>
    <xf numFmtId="2" fontId="30" fillId="0" borderId="0" xfId="0" applyNumberFormat="1" applyFont="1" applyAlignment="1">
      <alignment horizontal="center" vertical="center" wrapText="1"/>
    </xf>
    <xf numFmtId="165" fontId="18" fillId="0" borderId="0" xfId="0" applyNumberFormat="1" applyFont="1" applyAlignment="1">
      <alignment horizontal="center" wrapText="1"/>
    </xf>
    <xf numFmtId="179" fontId="18" fillId="0" borderId="0" xfId="0" applyNumberFormat="1" applyFont="1" applyAlignment="1">
      <alignment horizontal="center" wrapText="1"/>
    </xf>
    <xf numFmtId="179" fontId="18" fillId="6" borderId="0" xfId="0" applyNumberFormat="1" applyFont="1" applyFill="1" applyAlignment="1">
      <alignment horizontal="center" wrapText="1"/>
    </xf>
    <xf numFmtId="167" fontId="15" fillId="0" borderId="0" xfId="5" applyNumberFormat="1" applyFont="1"/>
    <xf numFmtId="167" fontId="18" fillId="0" borderId="0" xfId="74" applyNumberFormat="1" applyFont="1"/>
    <xf numFmtId="2" fontId="85" fillId="0" borderId="0" xfId="74" applyNumberFormat="1" applyFont="1"/>
    <xf numFmtId="0" fontId="18" fillId="11" borderId="0" xfId="74" applyFont="1" applyFill="1"/>
    <xf numFmtId="167" fontId="85" fillId="0" borderId="0" xfId="74" applyNumberFormat="1" applyFont="1"/>
    <xf numFmtId="0" fontId="17" fillId="11" borderId="0" xfId="74" applyFont="1" applyFill="1"/>
    <xf numFmtId="164" fontId="18" fillId="2" borderId="0" xfId="4" applyNumberFormat="1" applyFont="1" applyFill="1" applyAlignment="1">
      <alignment horizontal="left" indent="1"/>
    </xf>
    <xf numFmtId="168" fontId="18" fillId="2" borderId="2" xfId="4" applyNumberFormat="1" applyFont="1" applyFill="1" applyBorder="1"/>
    <xf numFmtId="0" fontId="16" fillId="0" borderId="0" xfId="81" applyFont="1" applyAlignment="1">
      <alignment vertical="center"/>
    </xf>
    <xf numFmtId="0" fontId="18" fillId="2" borderId="2" xfId="81" applyFont="1" applyFill="1" applyBorder="1" applyAlignment="1">
      <alignment horizontal="right" wrapText="1"/>
    </xf>
    <xf numFmtId="0" fontId="18" fillId="2" borderId="2" xfId="81" applyFont="1" applyFill="1" applyBorder="1" applyAlignment="1">
      <alignment wrapText="1"/>
    </xf>
    <xf numFmtId="169" fontId="18" fillId="6" borderId="0" xfId="4" applyNumberFormat="1" applyFont="1" applyFill="1"/>
    <xf numFmtId="169" fontId="18" fillId="6" borderId="2" xfId="4" applyNumberFormat="1" applyFont="1" applyFill="1" applyBorder="1"/>
    <xf numFmtId="0" fontId="17" fillId="0" borderId="0" xfId="81" applyFont="1" applyAlignment="1">
      <alignment vertical="center"/>
    </xf>
    <xf numFmtId="0" fontId="17" fillId="0" borderId="0" xfId="81" applyFont="1" applyAlignment="1">
      <alignment horizontal="right" vertical="center"/>
    </xf>
    <xf numFmtId="0" fontId="17" fillId="0" borderId="0" xfId="81" applyFont="1"/>
    <xf numFmtId="170" fontId="0" fillId="0" borderId="13" xfId="80" applyNumberFormat="1" applyFont="1" applyFill="1" applyBorder="1"/>
    <xf numFmtId="0" fontId="86" fillId="0" borderId="0" xfId="0" applyFont="1"/>
    <xf numFmtId="0" fontId="87" fillId="0" borderId="0" xfId="84" applyFont="1" applyAlignment="1">
      <alignment horizontal="left" vertical="center"/>
    </xf>
    <xf numFmtId="0" fontId="1" fillId="0" borderId="0" xfId="84"/>
    <xf numFmtId="0" fontId="87" fillId="0" borderId="0" xfId="84" applyFont="1" applyAlignment="1">
      <alignment vertical="center"/>
    </xf>
    <xf numFmtId="0" fontId="1" fillId="0" borderId="0" xfId="84" applyAlignment="1">
      <alignment horizontal="left" vertical="center"/>
    </xf>
    <xf numFmtId="0" fontId="88" fillId="0" borderId="0" xfId="84" applyFont="1" applyAlignment="1">
      <alignment horizontal="left" vertical="center"/>
    </xf>
    <xf numFmtId="0" fontId="90" fillId="0" borderId="0" xfId="85" applyAlignment="1">
      <alignment horizontal="left" vertical="center"/>
    </xf>
    <xf numFmtId="4" fontId="63" fillId="0" borderId="0" xfId="0" applyNumberFormat="1" applyFont="1"/>
    <xf numFmtId="0" fontId="54" fillId="11" borderId="0" xfId="0" applyFont="1" applyFill="1" applyAlignment="1">
      <alignment vertical="center"/>
    </xf>
    <xf numFmtId="0" fontId="64" fillId="0" borderId="0" xfId="0" applyFont="1" applyAlignment="1">
      <alignment vertical="center" wrapText="1"/>
    </xf>
    <xf numFmtId="0" fontId="64" fillId="0" borderId="0" xfId="0" applyFont="1" applyAlignment="1">
      <alignment horizontal="center" vertical="center" wrapText="1"/>
    </xf>
    <xf numFmtId="3" fontId="63" fillId="11" borderId="0" xfId="0" applyNumberFormat="1" applyFont="1" applyFill="1"/>
    <xf numFmtId="3" fontId="63" fillId="17" borderId="0" xfId="0" applyNumberFormat="1" applyFont="1" applyFill="1"/>
    <xf numFmtId="1" fontId="63" fillId="0" borderId="0" xfId="0" applyNumberFormat="1" applyFont="1" applyAlignment="1">
      <alignment vertical="center" wrapText="1"/>
    </xf>
    <xf numFmtId="165" fontId="17" fillId="0" borderId="0" xfId="0" applyNumberFormat="1" applyFont="1"/>
    <xf numFmtId="1" fontId="63" fillId="11" borderId="0" xfId="0" applyNumberFormat="1" applyFont="1" applyFill="1" applyAlignment="1">
      <alignment vertical="center"/>
    </xf>
    <xf numFmtId="0" fontId="3" fillId="0" borderId="0" xfId="83" applyProtection="1">
      <protection hidden="1"/>
    </xf>
    <xf numFmtId="0" fontId="8" fillId="0" borderId="0" xfId="79" applyProtection="1">
      <protection hidden="1"/>
    </xf>
    <xf numFmtId="0" fontId="50" fillId="0" borderId="0" xfId="79" applyFont="1" applyProtection="1">
      <protection hidden="1"/>
    </xf>
    <xf numFmtId="0" fontId="8" fillId="6" borderId="0" xfId="79" applyFill="1" applyProtection="1">
      <protection hidden="1"/>
    </xf>
    <xf numFmtId="0" fontId="6" fillId="0" borderId="0" xfId="79" applyFont="1" applyProtection="1">
      <protection hidden="1"/>
    </xf>
    <xf numFmtId="0" fontId="5" fillId="0" borderId="0" xfId="79" applyFont="1" applyProtection="1">
      <protection hidden="1"/>
    </xf>
    <xf numFmtId="0" fontId="7" fillId="0" borderId="0" xfId="79" applyFont="1" applyProtection="1">
      <protection hidden="1"/>
    </xf>
    <xf numFmtId="0" fontId="4" fillId="0" borderId="0" xfId="79" applyFont="1" applyProtection="1">
      <protection hidden="1"/>
    </xf>
    <xf numFmtId="0" fontId="43" fillId="0" borderId="0" xfId="0" applyFont="1" applyAlignment="1" applyProtection="1">
      <alignment horizontal="left" vertical="center" indent="1"/>
      <protection hidden="1"/>
    </xf>
    <xf numFmtId="0" fontId="3" fillId="0" borderId="0" xfId="79" applyFont="1" applyProtection="1">
      <protection hidden="1"/>
    </xf>
    <xf numFmtId="0" fontId="2" fillId="0" borderId="0" xfId="79" applyFont="1" applyProtection="1">
      <protection hidden="1"/>
    </xf>
    <xf numFmtId="4" fontId="82" fillId="0" borderId="0" xfId="0" applyNumberFormat="1" applyFont="1" applyProtection="1">
      <protection hidden="1"/>
    </xf>
    <xf numFmtId="4" fontId="8" fillId="0" borderId="0" xfId="79" applyNumberFormat="1" applyProtection="1">
      <protection hidden="1"/>
    </xf>
    <xf numFmtId="0" fontId="4" fillId="6" borderId="0" xfId="79" applyFont="1" applyFill="1" applyProtection="1">
      <protection hidden="1"/>
    </xf>
    <xf numFmtId="0" fontId="11" fillId="0" borderId="0" xfId="81" applyProtection="1">
      <protection hidden="1"/>
    </xf>
    <xf numFmtId="0" fontId="3" fillId="10" borderId="0" xfId="83" applyFill="1" applyProtection="1">
      <protection locked="0" hidden="1"/>
    </xf>
    <xf numFmtId="0" fontId="11" fillId="0" borderId="0" xfId="81" applyProtection="1">
      <protection locked="0" hidden="1"/>
    </xf>
    <xf numFmtId="0" fontId="8" fillId="0" borderId="0" xfId="79" applyProtection="1">
      <protection locked="0" hidden="1"/>
    </xf>
    <xf numFmtId="0" fontId="48" fillId="0" borderId="0" xfId="79" applyFont="1" applyProtection="1">
      <protection locked="0" hidden="1"/>
    </xf>
    <xf numFmtId="0" fontId="49" fillId="0" borderId="0" xfId="0" applyFont="1" applyProtection="1">
      <protection locked="0" hidden="1"/>
    </xf>
    <xf numFmtId="0" fontId="47" fillId="0" borderId="0" xfId="79" applyFont="1" applyProtection="1">
      <protection locked="0" hidden="1"/>
    </xf>
    <xf numFmtId="0" fontId="50" fillId="0" borderId="0" xfId="79" applyFont="1" applyProtection="1">
      <protection locked="0" hidden="1"/>
    </xf>
    <xf numFmtId="0" fontId="50" fillId="0" borderId="0" xfId="79" applyFont="1" applyAlignment="1" applyProtection="1">
      <alignment horizontal="center" wrapText="1"/>
      <protection locked="0" hidden="1"/>
    </xf>
    <xf numFmtId="0" fontId="8" fillId="6" borderId="0" xfId="79" applyFill="1" applyProtection="1">
      <protection locked="0" hidden="1"/>
    </xf>
    <xf numFmtId="0" fontId="51" fillId="6" borderId="0" xfId="79" applyFont="1" applyFill="1" applyAlignment="1" applyProtection="1">
      <alignment vertical="center"/>
      <protection locked="0" hidden="1"/>
    </xf>
    <xf numFmtId="0" fontId="52" fillId="0" borderId="0" xfId="79" applyFont="1" applyProtection="1">
      <protection locked="0" hidden="1"/>
    </xf>
    <xf numFmtId="0" fontId="52" fillId="0" borderId="0" xfId="79" applyFont="1" applyAlignment="1" applyProtection="1">
      <alignment horizontal="left"/>
      <protection locked="0" hidden="1"/>
    </xf>
    <xf numFmtId="0" fontId="47" fillId="0" borderId="0" xfId="79" applyFont="1" applyAlignment="1" applyProtection="1">
      <alignment horizontal="center"/>
      <protection locked="0" hidden="1"/>
    </xf>
    <xf numFmtId="0" fontId="8" fillId="0" borderId="0" xfId="79" applyAlignment="1" applyProtection="1">
      <alignment vertical="center"/>
      <protection locked="0" hidden="1"/>
    </xf>
    <xf numFmtId="0" fontId="6" fillId="0" borderId="0" xfId="79" applyFont="1" applyProtection="1">
      <protection locked="0" hidden="1"/>
    </xf>
    <xf numFmtId="0" fontId="68" fillId="0" borderId="0" xfId="0" applyFont="1" applyProtection="1">
      <protection locked="0" hidden="1"/>
    </xf>
    <xf numFmtId="0" fontId="43" fillId="0" borderId="0" xfId="81" applyFont="1" applyAlignment="1" applyProtection="1">
      <alignment horizontal="justify" vertical="center" wrapText="1"/>
      <protection locked="0" hidden="1"/>
    </xf>
    <xf numFmtId="0" fontId="76" fillId="0" borderId="0" xfId="81" applyFont="1" applyAlignment="1" applyProtection="1">
      <alignment horizontal="justify" vertical="top" wrapText="1"/>
      <protection locked="0" hidden="1"/>
    </xf>
    <xf numFmtId="0" fontId="49" fillId="0" borderId="0" xfId="0" applyFont="1" applyAlignment="1" applyProtection="1">
      <alignment horizontal="center"/>
      <protection locked="0" hidden="1"/>
    </xf>
    <xf numFmtId="0" fontId="47" fillId="0" borderId="0" xfId="79" applyFont="1" applyAlignment="1" applyProtection="1">
      <alignment horizontal="center"/>
      <protection locked="0" hidden="1"/>
    </xf>
    <xf numFmtId="0" fontId="46" fillId="0" borderId="11" xfId="0" applyFont="1" applyBorder="1" applyAlignment="1">
      <alignment horizontal="center"/>
    </xf>
    <xf numFmtId="0" fontId="46" fillId="0" borderId="12" xfId="0" applyFont="1" applyBorder="1" applyAlignment="1">
      <alignment horizontal="center"/>
    </xf>
    <xf numFmtId="0" fontId="11" fillId="0" borderId="0" xfId="0" applyFont="1" applyAlignment="1">
      <alignment horizontal="center"/>
    </xf>
    <xf numFmtId="0" fontId="0" fillId="0" borderId="0" xfId="0" applyAlignment="1">
      <alignment horizontal="center"/>
    </xf>
    <xf numFmtId="0" fontId="15" fillId="2" borderId="0" xfId="5" applyFont="1" applyFill="1" applyAlignment="1">
      <alignment horizontal="center" vertical="top" wrapText="1"/>
    </xf>
    <xf numFmtId="0" fontId="18" fillId="2" borderId="4" xfId="4" applyFont="1" applyFill="1" applyBorder="1" applyAlignment="1">
      <alignment horizontal="left" wrapText="1"/>
    </xf>
    <xf numFmtId="0" fontId="15" fillId="11" borderId="0" xfId="5" applyFont="1" applyFill="1" applyAlignment="1">
      <alignment horizontal="left" vertical="center" wrapText="1"/>
    </xf>
    <xf numFmtId="0" fontId="18" fillId="0" borderId="0" xfId="5" applyFont="1" applyAlignment="1">
      <alignment horizontal="left" vertical="center" wrapText="1"/>
    </xf>
    <xf numFmtId="0" fontId="18" fillId="0" borderId="0" xfId="5" applyFont="1" applyAlignment="1">
      <alignment horizontal="left" vertical="center"/>
    </xf>
    <xf numFmtId="0" fontId="15" fillId="6" borderId="0" xfId="0" applyFont="1" applyFill="1" applyAlignment="1">
      <alignment horizontal="center" vertical="top" wrapText="1"/>
    </xf>
    <xf numFmtId="0" fontId="17" fillId="2" borderId="0" xfId="4" applyFont="1" applyFill="1" applyAlignment="1">
      <alignment horizontal="left" vertical="top" wrapText="1"/>
    </xf>
    <xf numFmtId="0" fontId="15" fillId="2" borderId="0" xfId="0" applyFont="1" applyFill="1" applyAlignment="1">
      <alignment horizontal="center" vertical="top" wrapText="1"/>
    </xf>
    <xf numFmtId="0" fontId="17" fillId="2" borderId="0" xfId="4" applyFont="1" applyFill="1" applyAlignment="1">
      <alignment horizontal="left" vertical="center" wrapText="1"/>
    </xf>
    <xf numFmtId="2" fontId="63" fillId="0" borderId="0" xfId="0" applyNumberFormat="1" applyFont="1" applyAlignment="1">
      <alignment horizontal="left" vertical="center" wrapText="1"/>
    </xf>
    <xf numFmtId="0" fontId="63" fillId="0" borderId="0" xfId="0" applyFont="1" applyAlignment="1">
      <alignment horizontal="left" vertical="center" wrapText="1"/>
    </xf>
    <xf numFmtId="1" fontId="63" fillId="0" borderId="0" xfId="0" applyNumberFormat="1" applyFont="1" applyAlignment="1">
      <alignment horizontal="left" vertical="center" wrapText="1"/>
    </xf>
    <xf numFmtId="0" fontId="63" fillId="0" borderId="0" xfId="0" applyFont="1" applyAlignment="1">
      <alignment horizontal="left" wrapText="1"/>
    </xf>
    <xf numFmtId="0" fontId="63" fillId="0" borderId="0" xfId="0" applyFont="1" applyAlignment="1">
      <alignment horizontal="center"/>
    </xf>
    <xf numFmtId="0" fontId="64" fillId="0" borderId="0" xfId="0" applyFont="1" applyAlignment="1">
      <alignment horizontal="center" vertical="center" wrapText="1"/>
    </xf>
    <xf numFmtId="0" fontId="55" fillId="0" borderId="0" xfId="0" applyFont="1" applyAlignment="1">
      <alignment horizontal="center"/>
    </xf>
    <xf numFmtId="0" fontId="68" fillId="0" borderId="0" xfId="0" applyFont="1" applyAlignment="1">
      <alignment horizontal="left" wrapText="1"/>
    </xf>
    <xf numFmtId="0" fontId="68" fillId="0" borderId="0" xfId="0" applyFont="1" applyAlignment="1">
      <alignment horizontal="left" vertical="center" wrapText="1"/>
    </xf>
    <xf numFmtId="0" fontId="15" fillId="6" borderId="0" xfId="5" applyFont="1" applyFill="1" applyAlignment="1">
      <alignment horizontal="center" vertical="top" wrapText="1"/>
    </xf>
    <xf numFmtId="0" fontId="17" fillId="0" borderId="0" xfId="4" applyFont="1" applyAlignment="1">
      <alignment horizontal="left" vertical="center" wrapText="1"/>
    </xf>
    <xf numFmtId="0" fontId="17" fillId="0" borderId="0" xfId="4" applyFont="1" applyAlignment="1">
      <alignment horizontal="left" wrapText="1"/>
    </xf>
    <xf numFmtId="0" fontId="68" fillId="0" borderId="0" xfId="0" applyFont="1" applyAlignment="1">
      <alignment horizontal="center"/>
    </xf>
    <xf numFmtId="0" fontId="0" fillId="13" borderId="0" xfId="0" applyFill="1" applyAlignment="1">
      <alignment horizontal="left" vertical="center" wrapText="1"/>
    </xf>
    <xf numFmtId="0" fontId="0" fillId="13" borderId="0" xfId="0" applyFill="1" applyAlignment="1">
      <alignment horizontal="left" wrapText="1"/>
    </xf>
    <xf numFmtId="0" fontId="67" fillId="0" borderId="0" xfId="0" applyFont="1" applyAlignment="1">
      <alignment horizontal="center" wrapText="1"/>
    </xf>
    <xf numFmtId="0" fontId="63" fillId="0" borderId="0" xfId="0" applyFont="1" applyAlignment="1">
      <alignment horizontal="center" vertical="center" wrapText="1"/>
    </xf>
    <xf numFmtId="0" fontId="64" fillId="0" borderId="0" xfId="0" applyFont="1" applyAlignment="1">
      <alignment horizontal="center"/>
    </xf>
    <xf numFmtId="0" fontId="64" fillId="0" borderId="0" xfId="0" applyFont="1" applyAlignment="1">
      <alignment horizontal="center" vertical="center"/>
    </xf>
    <xf numFmtId="0" fontId="63" fillId="11" borderId="0" xfId="0" applyFont="1" applyFill="1" applyAlignment="1">
      <alignment horizontal="left" vertical="center" wrapText="1"/>
    </xf>
    <xf numFmtId="0" fontId="15" fillId="2" borderId="0" xfId="4" applyFont="1" applyFill="1" applyAlignment="1">
      <alignment horizontal="center" vertical="top" wrapText="1"/>
    </xf>
    <xf numFmtId="0" fontId="15" fillId="6" borderId="0" xfId="0" applyFont="1" applyFill="1" applyAlignment="1">
      <alignment horizontal="center" vertical="top"/>
    </xf>
    <xf numFmtId="0" fontId="15" fillId="2" borderId="0" xfId="4" applyFont="1" applyFill="1" applyAlignment="1">
      <alignment horizontal="center" vertical="top"/>
    </xf>
    <xf numFmtId="0" fontId="15" fillId="2" borderId="0" xfId="4" applyFont="1" applyFill="1" applyAlignment="1">
      <alignment horizontal="center" vertical="center"/>
    </xf>
    <xf numFmtId="0" fontId="15" fillId="6" borderId="0" xfId="4" applyFont="1" applyFill="1" applyAlignment="1">
      <alignment horizontal="center" vertical="top" wrapText="1"/>
    </xf>
    <xf numFmtId="0" fontId="15" fillId="2" borderId="0" xfId="0" applyFont="1" applyFill="1" applyAlignment="1">
      <alignment horizontal="center" vertical="top"/>
    </xf>
    <xf numFmtId="0" fontId="15" fillId="2" borderId="0" xfId="4" applyFont="1" applyFill="1" applyAlignment="1">
      <alignment horizontal="center" vertical="center" wrapText="1"/>
    </xf>
    <xf numFmtId="0" fontId="17" fillId="2" borderId="0" xfId="0" applyFont="1" applyFill="1" applyAlignment="1">
      <alignment horizontal="left" wrapText="1"/>
    </xf>
    <xf numFmtId="0" fontId="15" fillId="6" borderId="0" xfId="74" applyFont="1" applyFill="1" applyAlignment="1">
      <alignment horizontal="center" vertical="top" wrapText="1"/>
    </xf>
    <xf numFmtId="0" fontId="18" fillId="6" borderId="4" xfId="4" applyFont="1" applyFill="1" applyBorder="1" applyAlignment="1">
      <alignment horizontal="left" vertical="center" wrapText="1"/>
    </xf>
    <xf numFmtId="0" fontId="18" fillId="6" borderId="0" xfId="4" applyFont="1" applyFill="1" applyAlignment="1">
      <alignment horizontal="left" wrapText="1"/>
    </xf>
    <xf numFmtId="0" fontId="18" fillId="2" borderId="2" xfId="4" applyFont="1" applyFill="1" applyBorder="1" applyAlignment="1">
      <alignment horizontal="right"/>
    </xf>
    <xf numFmtId="0" fontId="18" fillId="6" borderId="0" xfId="4" applyFont="1" applyFill="1" applyAlignment="1">
      <alignment horizontal="left" vertical="top" wrapText="1"/>
    </xf>
    <xf numFmtId="0" fontId="15" fillId="6" borderId="0" xfId="81" applyFont="1" applyFill="1" applyAlignment="1">
      <alignment horizontal="center" vertical="center" wrapText="1"/>
    </xf>
    <xf numFmtId="0" fontId="15" fillId="2" borderId="0" xfId="74" applyFont="1" applyFill="1" applyAlignment="1">
      <alignment horizontal="center" vertical="top" wrapText="1"/>
    </xf>
    <xf numFmtId="0" fontId="17" fillId="6" borderId="0" xfId="0" applyFont="1" applyFill="1" applyAlignment="1">
      <alignment horizontal="left" vertical="top" wrapText="1"/>
    </xf>
    <xf numFmtId="0" fontId="17" fillId="6" borderId="4" xfId="4" applyFont="1" applyFill="1" applyBorder="1" applyAlignment="1">
      <alignment horizontal="left" vertical="center" wrapText="1"/>
    </xf>
    <xf numFmtId="0" fontId="18" fillId="6" borderId="0" xfId="4" applyFont="1" applyFill="1" applyAlignment="1">
      <alignment horizontal="left" vertical="center" wrapText="1"/>
    </xf>
    <xf numFmtId="0" fontId="18" fillId="0" borderId="0" xfId="4" applyFont="1" applyAlignment="1">
      <alignment horizontal="left" wrapText="1"/>
    </xf>
    <xf numFmtId="0" fontId="15" fillId="2" borderId="0" xfId="81" applyFont="1" applyFill="1" applyAlignment="1">
      <alignment horizontal="center" vertical="center" wrapText="1"/>
    </xf>
    <xf numFmtId="0" fontId="15" fillId="2" borderId="0" xfId="5" applyFont="1" applyFill="1" applyAlignment="1">
      <alignment horizontal="center" vertical="top"/>
    </xf>
    <xf numFmtId="0" fontId="17" fillId="2" borderId="0" xfId="4" applyFont="1" applyFill="1" applyAlignment="1">
      <alignment horizontal="left"/>
    </xf>
    <xf numFmtId="0" fontId="19" fillId="6" borderId="8" xfId="75" applyFont="1" applyFill="1" applyBorder="1" applyAlignment="1">
      <alignment horizontal="left" vertical="top" wrapText="1"/>
    </xf>
    <xf numFmtId="0" fontId="19" fillId="6" borderId="6" xfId="75" applyFont="1" applyFill="1" applyBorder="1" applyAlignment="1">
      <alignment horizontal="left" vertical="top" wrapText="1"/>
    </xf>
    <xf numFmtId="0" fontId="19" fillId="6" borderId="7" xfId="75" applyFont="1" applyFill="1" applyBorder="1" applyAlignment="1">
      <alignment horizontal="left" vertical="top" wrapText="1"/>
    </xf>
    <xf numFmtId="0" fontId="21" fillId="6" borderId="8" xfId="75" applyFont="1" applyFill="1" applyBorder="1" applyAlignment="1">
      <alignment horizontal="left" vertical="center" wrapText="1"/>
    </xf>
    <xf numFmtId="0" fontId="21" fillId="6" borderId="6" xfId="75" applyFont="1" applyFill="1" applyBorder="1" applyAlignment="1">
      <alignment horizontal="left" vertical="center" wrapText="1"/>
    </xf>
    <xf numFmtId="0" fontId="42" fillId="6" borderId="7" xfId="75" applyFont="1" applyFill="1" applyBorder="1" applyAlignment="1">
      <alignment horizontal="left" vertical="center" wrapText="1"/>
    </xf>
    <xf numFmtId="0" fontId="42" fillId="6" borderId="9" xfId="75" applyFont="1" applyFill="1" applyBorder="1" applyAlignment="1">
      <alignment horizontal="left" vertical="center" wrapText="1"/>
    </xf>
    <xf numFmtId="0" fontId="19" fillId="6" borderId="9" xfId="75" applyFont="1" applyFill="1" applyBorder="1" applyAlignment="1">
      <alignment horizontal="left" vertical="top" wrapText="1"/>
    </xf>
    <xf numFmtId="0" fontId="19" fillId="6" borderId="5" xfId="75" applyFont="1" applyFill="1" applyBorder="1" applyAlignment="1">
      <alignment horizontal="left" vertical="top" wrapText="1"/>
    </xf>
    <xf numFmtId="0" fontId="21" fillId="6" borderId="5" xfId="75" applyFont="1" applyFill="1" applyBorder="1" applyAlignment="1">
      <alignment horizontal="left" vertical="center" wrapText="1"/>
    </xf>
    <xf numFmtId="0" fontId="17" fillId="0" borderId="0" xfId="0" applyFont="1" applyAlignment="1">
      <alignment horizontal="left" vertical="center" wrapText="1"/>
    </xf>
    <xf numFmtId="0" fontId="17" fillId="2" borderId="0" xfId="0" applyFont="1" applyFill="1" applyAlignment="1">
      <alignment horizontal="left" vertical="top"/>
    </xf>
    <xf numFmtId="0" fontId="17" fillId="2" borderId="0" xfId="0" applyFont="1" applyFill="1" applyAlignment="1">
      <alignment horizontal="left" vertical="top" wrapText="1"/>
    </xf>
  </cellXfs>
  <cellStyles count="86">
    <cellStyle name="Euro" xfId="1" xr:uid="{00000000-0005-0000-0000-000000000000}"/>
    <cellStyle name="Hiperligação" xfId="2" builtinId="8"/>
    <cellStyle name="Hiperligação 2" xfId="85" xr:uid="{F8348110-3742-455F-B290-9BAB5B8E1DFA}"/>
    <cellStyle name="Normal" xfId="0" builtinId="0"/>
    <cellStyle name="Normal 2" xfId="81" xr:uid="{97D99C30-E5AC-42A3-B342-C3167DEC0243}"/>
    <cellStyle name="Normal 3" xfId="78" xr:uid="{00000000-0005-0000-0000-000003000000}"/>
    <cellStyle name="Normal 3 2" xfId="77" xr:uid="{00000000-0005-0000-0000-000004000000}"/>
    <cellStyle name="Normal 3 3" xfId="76" xr:uid="{00000000-0005-0000-0000-000005000000}"/>
    <cellStyle name="Normal 3 4" xfId="79" xr:uid="{E4E963E8-1A5A-4C0E-B11C-C32359D8104D}"/>
    <cellStyle name="Normal 3 5" xfId="83" xr:uid="{CE227745-C62E-4D1A-B619-756021D062BB}"/>
    <cellStyle name="Normal 4" xfId="84" xr:uid="{F11E1D6D-5B8C-4311-A5B6-EC5644621E66}"/>
    <cellStyle name="Normal 4 2" xfId="6" xr:uid="{00000000-0005-0000-0000-000006000000}"/>
    <cellStyle name="Normal_Book2 2" xfId="82" xr:uid="{B5F33122-7F7B-4B39-BD17-31EB1716E428}"/>
    <cellStyle name="Normal_caeremuna" xfId="3" xr:uid="{00000000-0005-0000-0000-000008000000}"/>
    <cellStyle name="Normal_ee05" xfId="4" xr:uid="{00000000-0005-0000-0000-000009000000}"/>
    <cellStyle name="Normal_Folha2" xfId="75" xr:uid="{00000000-0005-0000-0000-00000A000000}"/>
    <cellStyle name="Normal_qp_emprego06" xfId="5" xr:uid="{00000000-0005-0000-0000-00000B000000}"/>
    <cellStyle name="Normal_qp_emprego06 2" xfId="74" xr:uid="{00000000-0005-0000-0000-00000C000000}"/>
    <cellStyle name="Percentagem" xfId="80" builtinId="5"/>
    <cellStyle name="style1386169271439" xfId="11" xr:uid="{00000000-0005-0000-0000-00000D000000}"/>
    <cellStyle name="style1386169271439 2" xfId="55" xr:uid="{00000000-0005-0000-0000-00000E000000}"/>
    <cellStyle name="style1386169271674" xfId="12" xr:uid="{00000000-0005-0000-0000-00000F000000}"/>
    <cellStyle name="style1386169271674 2" xfId="56" xr:uid="{00000000-0005-0000-0000-000010000000}"/>
    <cellStyle name="style1386169271908" xfId="14" xr:uid="{00000000-0005-0000-0000-000011000000}"/>
    <cellStyle name="style1386169271908 2" xfId="58" xr:uid="{00000000-0005-0000-0000-000012000000}"/>
    <cellStyle name="style1386169272361" xfId="8" xr:uid="{00000000-0005-0000-0000-000013000000}"/>
    <cellStyle name="style1386169272361 2" xfId="52" xr:uid="{00000000-0005-0000-0000-000014000000}"/>
    <cellStyle name="style1386169272502" xfId="10" xr:uid="{00000000-0005-0000-0000-000015000000}"/>
    <cellStyle name="style1386169272502 2" xfId="54" xr:uid="{00000000-0005-0000-0000-000016000000}"/>
    <cellStyle name="style1386169273189" xfId="7" xr:uid="{00000000-0005-0000-0000-000017000000}"/>
    <cellStyle name="style1386169273189 2" xfId="51" xr:uid="{00000000-0005-0000-0000-000018000000}"/>
    <cellStyle name="style1386169273283" xfId="9" xr:uid="{00000000-0005-0000-0000-000019000000}"/>
    <cellStyle name="style1386169273283 2" xfId="53" xr:uid="{00000000-0005-0000-0000-00001A000000}"/>
    <cellStyle name="style1386169275549" xfId="13" xr:uid="{00000000-0005-0000-0000-00001B000000}"/>
    <cellStyle name="style1386169275549 2" xfId="57" xr:uid="{00000000-0005-0000-0000-00001C000000}"/>
    <cellStyle name="style1386170078719" xfId="19" xr:uid="{00000000-0005-0000-0000-00001D000000}"/>
    <cellStyle name="style1386170078719 2" xfId="63" xr:uid="{00000000-0005-0000-0000-00001E000000}"/>
    <cellStyle name="style1386170078922" xfId="20" xr:uid="{00000000-0005-0000-0000-00001F000000}"/>
    <cellStyle name="style1386170078922 2" xfId="64" xr:uid="{00000000-0005-0000-0000-000020000000}"/>
    <cellStyle name="style1386170079157" xfId="22" xr:uid="{00000000-0005-0000-0000-000021000000}"/>
    <cellStyle name="style1386170079157 2" xfId="66" xr:uid="{00000000-0005-0000-0000-000022000000}"/>
    <cellStyle name="style1386170079594" xfId="16" xr:uid="{00000000-0005-0000-0000-000023000000}"/>
    <cellStyle name="style1386170079594 2" xfId="60" xr:uid="{00000000-0005-0000-0000-000024000000}"/>
    <cellStyle name="style1386170079672" xfId="18" xr:uid="{00000000-0005-0000-0000-000025000000}"/>
    <cellStyle name="style1386170079672 2" xfId="62" xr:uid="{00000000-0005-0000-0000-000026000000}"/>
    <cellStyle name="style1386170080235" xfId="15" xr:uid="{00000000-0005-0000-0000-000027000000}"/>
    <cellStyle name="style1386170080235 2" xfId="59" xr:uid="{00000000-0005-0000-0000-000028000000}"/>
    <cellStyle name="style1386170080313" xfId="17" xr:uid="{00000000-0005-0000-0000-000029000000}"/>
    <cellStyle name="style1386170080313 2" xfId="61" xr:uid="{00000000-0005-0000-0000-00002A000000}"/>
    <cellStyle name="style1386170080735" xfId="23" xr:uid="{00000000-0005-0000-0000-00002B000000}"/>
    <cellStyle name="style1386170080735 2" xfId="67" xr:uid="{00000000-0005-0000-0000-00002C000000}"/>
    <cellStyle name="style1386170080829" xfId="24" xr:uid="{00000000-0005-0000-0000-00002D000000}"/>
    <cellStyle name="style1386170080829 2" xfId="68" xr:uid="{00000000-0005-0000-0000-00002E000000}"/>
    <cellStyle name="style1386170080938" xfId="25" xr:uid="{00000000-0005-0000-0000-00002F000000}"/>
    <cellStyle name="style1386170080938 2" xfId="69" xr:uid="{00000000-0005-0000-0000-000030000000}"/>
    <cellStyle name="style1386170082172" xfId="21" xr:uid="{00000000-0005-0000-0000-000031000000}"/>
    <cellStyle name="style1386170082172 2" xfId="65" xr:uid="{00000000-0005-0000-0000-000032000000}"/>
    <cellStyle name="style1386177057576" xfId="33" xr:uid="{00000000-0005-0000-0000-000033000000}"/>
    <cellStyle name="style1386177057826" xfId="36" xr:uid="{00000000-0005-0000-0000-000034000000}"/>
    <cellStyle name="style1386177058123" xfId="40" xr:uid="{00000000-0005-0000-0000-000035000000}"/>
    <cellStyle name="style1386177058638" xfId="37" xr:uid="{00000000-0005-0000-0000-000036000000}"/>
    <cellStyle name="style1386177059982" xfId="32" xr:uid="{00000000-0005-0000-0000-000037000000}"/>
    <cellStyle name="style1386177060076" xfId="35" xr:uid="{00000000-0005-0000-0000-000038000000}"/>
    <cellStyle name="style1386177060232" xfId="39" xr:uid="{00000000-0005-0000-0000-000039000000}"/>
    <cellStyle name="style1386177060310" xfId="38" xr:uid="{00000000-0005-0000-0000-00003A000000}"/>
    <cellStyle name="style1386177060404" xfId="34" xr:uid="{00000000-0005-0000-0000-00003B000000}"/>
    <cellStyle name="style1386177060529" xfId="41" xr:uid="{00000000-0005-0000-0000-00003C000000}"/>
    <cellStyle name="style1386178399538" xfId="26" xr:uid="{00000000-0005-0000-0000-00003D000000}"/>
    <cellStyle name="style1386178399538 2" xfId="70" xr:uid="{00000000-0005-0000-0000-00003E000000}"/>
    <cellStyle name="style1386178400116" xfId="27" xr:uid="{00000000-0005-0000-0000-00003F000000}"/>
    <cellStyle name="style1386178400116 2" xfId="71" xr:uid="{00000000-0005-0000-0000-000040000000}"/>
    <cellStyle name="style1386178799571" xfId="28" xr:uid="{00000000-0005-0000-0000-000041000000}"/>
    <cellStyle name="style1386178799571 2" xfId="72" xr:uid="{00000000-0005-0000-0000-000042000000}"/>
    <cellStyle name="style1386178799743" xfId="29" xr:uid="{00000000-0005-0000-0000-000043000000}"/>
    <cellStyle name="style1386178799743 2" xfId="73" xr:uid="{00000000-0005-0000-0000-000044000000}"/>
    <cellStyle name="style1386244786845" xfId="30" xr:uid="{00000000-0005-0000-0000-000045000000}"/>
    <cellStyle name="style1386245268236" xfId="31" xr:uid="{00000000-0005-0000-0000-000046000000}"/>
    <cellStyle name="style1386256697709" xfId="43" xr:uid="{00000000-0005-0000-0000-000047000000}"/>
    <cellStyle name="style1386256697959" xfId="46" xr:uid="{00000000-0005-0000-0000-000048000000}"/>
    <cellStyle name="style1386256698334" xfId="49" xr:uid="{00000000-0005-0000-0000-000049000000}"/>
    <cellStyle name="style1386256698693" xfId="47" xr:uid="{00000000-0005-0000-0000-00004A000000}"/>
    <cellStyle name="style1386256700272" xfId="42" xr:uid="{00000000-0005-0000-0000-00004B000000}"/>
    <cellStyle name="style1386256700365" xfId="45" xr:uid="{00000000-0005-0000-0000-00004C000000}"/>
    <cellStyle name="style1386256700522" xfId="48" xr:uid="{00000000-0005-0000-0000-00004D000000}"/>
    <cellStyle name="style1386256700615" xfId="44" xr:uid="{00000000-0005-0000-0000-00004E000000}"/>
    <cellStyle name="style1386256700709" xfId="50" xr:uid="{00000000-0005-0000-0000-00004F000000}"/>
  </cellStyles>
  <dxfs count="697">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font>
        <b/>
        <i val="0"/>
        <color rgb="FFFFFF00"/>
      </font>
      <fill>
        <patternFill>
          <bgColor rgb="FFFF0000"/>
        </patternFill>
      </fill>
    </dxf>
    <dxf>
      <numFmt numFmtId="182" formatCode="###0;###0;\-"/>
    </dxf>
    <dxf>
      <font>
        <b/>
        <i val="0"/>
        <color rgb="FFFFFF00"/>
      </font>
      <fill>
        <patternFill>
          <bgColor rgb="FFFF0000"/>
        </patternFill>
      </fill>
    </dxf>
    <dxf>
      <numFmt numFmtId="182" formatCode="###0;###0;\-"/>
    </dxf>
    <dxf>
      <numFmt numFmtId="182" formatCode="###0;###0;\-"/>
    </dxf>
    <dxf>
      <numFmt numFmtId="182" formatCode="###0;###0;\-"/>
    </dxf>
    <dxf>
      <numFmt numFmtId="182" formatCode="###0;###0;\-"/>
    </dxf>
    <dxf>
      <numFmt numFmtId="182" formatCode="###0;###0;\-"/>
    </dxf>
    <dxf>
      <font>
        <b/>
        <i val="0"/>
        <color rgb="FFFFFF00"/>
      </font>
      <fill>
        <patternFill>
          <bgColor rgb="FFFF0000"/>
        </patternFill>
      </fill>
    </dxf>
    <dxf>
      <numFmt numFmtId="182" formatCode="###0;###0;\-"/>
    </dxf>
    <dxf>
      <numFmt numFmtId="182" formatCode="###0;###0;\-"/>
    </dxf>
    <dxf>
      <font>
        <b/>
        <i val="0"/>
        <color rgb="FFFFFF00"/>
      </font>
      <fill>
        <patternFill>
          <bgColor rgb="FFFF0000"/>
        </patternFill>
      </fill>
    </dxf>
    <dxf>
      <numFmt numFmtId="182" formatCode="###0;###0;\-"/>
    </dxf>
    <dxf>
      <numFmt numFmtId="182" formatCode="###0;###0;\-"/>
    </dxf>
    <dxf>
      <font>
        <b/>
        <i val="0"/>
        <color rgb="FFFFFF00"/>
      </font>
      <fill>
        <patternFill>
          <bgColor rgb="FFFF0000"/>
        </patternFill>
      </fill>
    </dxf>
    <dxf>
      <numFmt numFmtId="182" formatCode="###0;###0;\-"/>
    </dxf>
    <dxf>
      <numFmt numFmtId="182" formatCode="###0;###0;\-"/>
    </dxf>
    <dxf>
      <font>
        <b/>
        <i val="0"/>
        <color rgb="FFFFFF00"/>
      </font>
      <fill>
        <patternFill>
          <bgColor rgb="FFFF0000"/>
        </patternFill>
      </fill>
    </dxf>
    <dxf>
      <numFmt numFmtId="182" formatCode="###0;###0;\-"/>
    </dxf>
    <dxf>
      <numFmt numFmtId="182" formatCode="###0;###0;\-"/>
    </dxf>
    <dxf>
      <numFmt numFmtId="182" formatCode="###0;###0;\-"/>
    </dxf>
    <dxf>
      <numFmt numFmtId="182" formatCode="###0;###0;\-"/>
    </dxf>
    <dxf>
      <numFmt numFmtId="182" formatCode="###0;###0;\-"/>
    </dxf>
    <dxf>
      <font>
        <b/>
        <i val="0"/>
        <color rgb="FFFFFF00"/>
      </font>
      <fill>
        <patternFill>
          <bgColor rgb="FFFF0000"/>
        </patternFill>
      </fill>
    </dxf>
    <dxf>
      <numFmt numFmtId="182" formatCode="###0;###0;\-"/>
    </dxf>
    <dxf>
      <numFmt numFmtId="182" formatCode="###0;###0;\-"/>
    </dxf>
    <dxf>
      <font>
        <b/>
        <i val="0"/>
        <color rgb="FFFFFF00"/>
      </font>
      <fill>
        <patternFill>
          <bgColor rgb="FFFF0000"/>
        </patternFill>
      </fill>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font>
        <b/>
        <i val="0"/>
        <color rgb="FFFFFF00"/>
      </font>
      <fill>
        <patternFill>
          <bgColor rgb="FFFF0000"/>
        </patternFill>
      </fill>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font>
        <b/>
        <i val="0"/>
        <color rgb="FFFFFF00"/>
      </font>
      <fill>
        <patternFill>
          <bgColor rgb="FFFF0000"/>
        </patternFill>
      </fill>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font>
        <b/>
        <i val="0"/>
        <color rgb="FFFFFF00"/>
      </font>
      <fill>
        <patternFill>
          <bgColor rgb="FFFF0000"/>
        </patternFill>
      </fill>
    </dxf>
    <dxf>
      <numFmt numFmtId="182" formatCode="###0;###0;\-"/>
    </dxf>
    <dxf>
      <font>
        <b/>
        <i val="0"/>
        <color rgb="FFFFFF00"/>
      </font>
      <fill>
        <patternFill>
          <bgColor rgb="FFFF0000"/>
        </patternFill>
      </fill>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82" formatCode="###0;###0;\-"/>
    </dxf>
    <dxf>
      <numFmt numFmtId="174" formatCode="#,##0.0\ &quot;€&quot;"/>
    </dxf>
    <dxf>
      <numFmt numFmtId="174" formatCode="#,##0.0\ &quot;€&quot;"/>
    </dxf>
    <dxf>
      <font>
        <b/>
        <color theme="1"/>
      </font>
      <border>
        <bottom style="thin">
          <color theme="4"/>
        </bottom>
        <vertical/>
        <horizontal/>
      </border>
    </dxf>
    <dxf>
      <font>
        <b val="0"/>
        <i val="0"/>
        <sz val="7"/>
        <color theme="1"/>
        <name val="Calibri"/>
        <family val="2"/>
        <scheme val="minor"/>
      </font>
      <border diagonalUp="0" diagonalDown="0">
        <left/>
        <right/>
        <top/>
        <bottom/>
        <vertical/>
        <horizontal/>
      </border>
    </dxf>
    <dxf>
      <font>
        <b/>
        <color theme="1"/>
      </font>
      <border>
        <bottom style="thin">
          <color theme="4"/>
        </bottom>
        <vertical/>
        <horizontal/>
      </border>
    </dxf>
    <dxf>
      <font>
        <b val="0"/>
        <i val="0"/>
        <sz val="7"/>
        <color theme="1"/>
        <name val="Calibri"/>
        <family val="2"/>
        <scheme val="minor"/>
      </font>
      <border>
        <left style="thin">
          <color theme="4"/>
        </left>
        <right style="thin">
          <color theme="4"/>
        </right>
        <top style="thin">
          <color theme="4"/>
        </top>
        <bottom style="thin">
          <color theme="4"/>
        </bottom>
        <vertical/>
        <horizontal/>
      </border>
    </dxf>
  </dxfs>
  <tableStyles count="2" defaultTableStyle="TableStyleMedium2" defaultPivotStyle="PivotStyleLight16">
    <tableStyle name="Ano" pivot="0" table="0" count="10" xr9:uid="{E959E7B6-D8DC-4A95-AAB4-6DA46CD13DD3}">
      <tableStyleElement type="wholeTable" dxfId="696"/>
      <tableStyleElement type="headerRow" dxfId="695"/>
    </tableStyle>
    <tableStyle name="Ano 2" pivot="0" table="0" count="10" xr9:uid="{70E5F699-A41B-41DA-8ED4-35F12B99345F}">
      <tableStyleElement type="wholeTable" dxfId="694"/>
      <tableStyleElement type="headerRow" dxfId="693"/>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556B81"/>
      <rgbColor rgb="00DBA9B3"/>
      <rgbColor rgb="00E1EAEF"/>
      <rgbColor rgb="00800000"/>
      <rgbColor rgb="00660066"/>
      <rgbColor rgb="00FF8080"/>
      <rgbColor rgb="000066CC"/>
      <rgbColor rgb="00CCCCFF"/>
      <rgbColor rgb="00DADAD8"/>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19375E"/>
      <color rgb="FFFFC000"/>
      <color rgb="FF17375E"/>
      <color rgb="FF4572A5"/>
      <color rgb="FF00467A"/>
      <color rgb="FFFFE600"/>
      <color rgb="FFFACBB4"/>
      <color rgb="FFF8AA79"/>
      <color rgb="FFE78C41"/>
      <color rgb="FFC27535"/>
    </mruColors>
  </colors>
  <extLst>
    <ext xmlns:x14="http://schemas.microsoft.com/office/spreadsheetml/2009/9/main" uri="{46F421CA-312F-682f-3DD2-61675219B42D}">
      <x14:dxfs count="16">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Ano">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Ano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pivotCacheDefinition" Target="pivotCache/pivotCacheDefinition2.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microsoft.com/office/2007/relationships/slicerCache" Target="slicerCaches/slicerCache1.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microsoft.com/office/2007/relationships/slicerCache" Target="slicerCaches/slicerCache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pivotCacheDefinition" Target="pivotCache/pivotCacheDefinition1.xml"/><Relationship Id="rId81" Type="http://schemas.microsoft.com/office/2007/relationships/slicerCache" Target="slicerCaches/slicerCache2.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microsoft.com/office/2007/relationships/slicerCache" Target="slicerCaches/slicerCache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1.xml"/></Relationships>
</file>

<file path=xl/charts/_rels/chart100.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01.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02.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03.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04.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05.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06.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7.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8.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9.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0.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11.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12.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13.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14.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15.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6.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7.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8.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2.xml.rels><?xml version="1.0" encoding="UTF-8" standalone="yes"?>
<Relationships xmlns="http://schemas.openxmlformats.org/package/2006/relationships"><Relationship Id="rId2" Type="http://schemas.openxmlformats.org/officeDocument/2006/relationships/chartUserShapes" Target="../drawings/drawing53.xml"/><Relationship Id="rId1" Type="http://schemas.openxmlformats.org/officeDocument/2006/relationships/themeOverride" Target="../theme/themeOverride22.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113.xml"/><Relationship Id="rId1" Type="http://schemas.microsoft.com/office/2011/relationships/chartStyle" Target="style113.xml"/></Relationships>
</file>

<file path=xl/charts/_rels/chart124.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125.xml.rels><?xml version="1.0" encoding="UTF-8" standalone="yes"?>
<Relationships xmlns="http://schemas.openxmlformats.org/package/2006/relationships"><Relationship Id="rId2" Type="http://schemas.openxmlformats.org/officeDocument/2006/relationships/chartUserShapes" Target="../drawings/drawing54.xml"/><Relationship Id="rId1" Type="http://schemas.openxmlformats.org/officeDocument/2006/relationships/themeOverride" Target="../theme/themeOverride25.xml"/></Relationships>
</file>

<file path=xl/charts/_rels/chart126.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26.xml"/></Relationships>
</file>

<file path=xl/charts/_rels/chart1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114.xml"/><Relationship Id="rId1" Type="http://schemas.microsoft.com/office/2011/relationships/chartStyle" Target="style114.xml"/></Relationships>
</file>

<file path=xl/charts/_rels/chart128.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129.xml.rels><?xml version="1.0" encoding="UTF-8" standalone="yes"?>
<Relationships xmlns="http://schemas.openxmlformats.org/package/2006/relationships"><Relationship Id="rId2" Type="http://schemas.openxmlformats.org/officeDocument/2006/relationships/chartUserShapes" Target="../drawings/drawing56.xml"/><Relationship Id="rId1" Type="http://schemas.openxmlformats.org/officeDocument/2006/relationships/themeOverride" Target="../theme/themeOverride29.xml"/></Relationships>
</file>

<file path=xl/charts/_rels/chart1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115.xml"/><Relationship Id="rId1" Type="http://schemas.microsoft.com/office/2011/relationships/chartStyle" Target="style115.xml"/></Relationships>
</file>

<file path=xl/charts/_rels/chart1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116.xml"/><Relationship Id="rId1" Type="http://schemas.microsoft.com/office/2011/relationships/chartStyle" Target="style116.xml"/></Relationships>
</file>

<file path=xl/charts/_rels/chart132.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133.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13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117.xml"/><Relationship Id="rId1" Type="http://schemas.microsoft.com/office/2011/relationships/chartStyle" Target="style117.xml"/></Relationships>
</file>

<file path=xl/charts/_rels/chart13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118.xml"/><Relationship Id="rId1" Type="http://schemas.microsoft.com/office/2011/relationships/chartStyle" Target="style118.xml"/></Relationships>
</file>

<file path=xl/charts/_rels/chart136.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119.xml"/><Relationship Id="rId1" Type="http://schemas.microsoft.com/office/2011/relationships/chartStyle" Target="style119.xml"/></Relationships>
</file>

<file path=xl/charts/_rels/chart137.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120.xml"/><Relationship Id="rId1" Type="http://schemas.microsoft.com/office/2011/relationships/chartStyle" Target="style120.xml"/></Relationships>
</file>

<file path=xl/charts/_rels/chart138.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121.xml"/><Relationship Id="rId1" Type="http://schemas.microsoft.com/office/2011/relationships/chartStyle" Target="style121.xml"/></Relationships>
</file>

<file path=xl/charts/_rels/chart139.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0.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141.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123.xml"/><Relationship Id="rId1" Type="http://schemas.microsoft.com/office/2011/relationships/chartStyle" Target="style123.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26.xml"/><Relationship Id="rId1" Type="http://schemas.microsoft.com/office/2011/relationships/chartStyle" Target="style26.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7.xml"/><Relationship Id="rId1" Type="http://schemas.microsoft.com/office/2011/relationships/chartStyle" Target="style27.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8.xml"/><Relationship Id="rId1" Type="http://schemas.microsoft.com/office/2011/relationships/chartStyle" Target="style28.xml"/></Relationships>
</file>

<file path=xl/charts/_rels/chart26.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2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2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2.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3.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4.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5.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6.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7.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8.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49.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4.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59.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themeOverride" Target="../theme/themeOverride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61.xml.rels><?xml version="1.0" encoding="UTF-8" standalone="yes"?>
<Relationships xmlns="http://schemas.openxmlformats.org/package/2006/relationships"><Relationship Id="rId2" Type="http://schemas.openxmlformats.org/officeDocument/2006/relationships/chartUserShapes" Target="../drawings/drawing27.xml"/><Relationship Id="rId1" Type="http://schemas.openxmlformats.org/officeDocument/2006/relationships/themeOverride" Target="../theme/themeOverride11.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57.xml"/><Relationship Id="rId1" Type="http://schemas.microsoft.com/office/2011/relationships/chartStyle" Target="style57.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58.xml"/><Relationship Id="rId1" Type="http://schemas.microsoft.com/office/2011/relationships/chartStyle" Target="style58.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59.xml"/><Relationship Id="rId1" Type="http://schemas.microsoft.com/office/2011/relationships/chartStyle" Target="style59.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60.xml"/><Relationship Id="rId1" Type="http://schemas.microsoft.com/office/2011/relationships/chartStyle" Target="style60.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61.xml"/><Relationship Id="rId1" Type="http://schemas.microsoft.com/office/2011/relationships/chartStyle" Target="style61.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62.xml"/><Relationship Id="rId1" Type="http://schemas.microsoft.com/office/2011/relationships/chartStyle" Target="style62.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63.xml"/><Relationship Id="rId1" Type="http://schemas.microsoft.com/office/2011/relationships/chartStyle" Target="style63.xml"/></Relationships>
</file>

<file path=xl/charts/_rels/chart72.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65.xml"/><Relationship Id="rId1" Type="http://schemas.microsoft.com/office/2011/relationships/chartStyle" Target="style65.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66.xml"/><Relationship Id="rId1" Type="http://schemas.microsoft.com/office/2011/relationships/chartStyle" Target="style66.xml"/></Relationships>
</file>

<file path=xl/charts/_rels/chart75.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68.xml"/><Relationship Id="rId1" Type="http://schemas.microsoft.com/office/2011/relationships/chartStyle" Target="style68.xml"/></Relationships>
</file>

<file path=xl/charts/_rels/chart77.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themeOverride" Target="../theme/themeOverride21.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69.xml"/><Relationship Id="rId1" Type="http://schemas.microsoft.com/office/2011/relationships/chartStyle" Target="style69.xml"/></Relationships>
</file>

<file path=xl/charts/_rels/chart79.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81.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82.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74.xml"/><Relationship Id="rId1" Type="http://schemas.microsoft.com/office/2011/relationships/chartStyle" Target="style74.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75.xml"/><Relationship Id="rId1" Type="http://schemas.microsoft.com/office/2011/relationships/chartStyle" Target="style75.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76.xml"/><Relationship Id="rId1" Type="http://schemas.microsoft.com/office/2011/relationships/chartStyle" Target="style76.xml"/></Relationships>
</file>

<file path=xl/charts/_rels/chart86.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87.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8.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86.xml"/><Relationship Id="rId1" Type="http://schemas.microsoft.com/office/2011/relationships/chartStyle" Target="style86.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87.xml"/><Relationship Id="rId1" Type="http://schemas.microsoft.com/office/2011/relationships/chartStyle" Target="style87.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88.xml"/><Relationship Id="rId1" Type="http://schemas.microsoft.com/office/2011/relationships/chartStyle" Target="style88.xml"/></Relationships>
</file>

<file path=xl/charts/_rels/chart95.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6.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7.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8.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9.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Ex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Ex10.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Ex11.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Ex12.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Ex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Ex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Ex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Ex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Ex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Ex7.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Ex8.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Ex9.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PT" sz="900" b="1">
                <a:solidFill>
                  <a:schemeClr val="tx2">
                    <a:lumMod val="75000"/>
                  </a:schemeClr>
                </a:solidFill>
              </a:rPr>
              <a:t>...por Secção de Atividade Económica*</a:t>
            </a:r>
          </a:p>
        </c:rich>
      </c:tx>
      <c:layout>
        <c:manualLayout>
          <c:xMode val="edge"/>
          <c:yMode val="edge"/>
          <c:x val="0.39621045751633988"/>
          <c:y val="5.163203957382039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PT"/>
        </a:p>
      </c:txPr>
    </c:title>
    <c:autoTitleDeleted val="0"/>
    <c:plotArea>
      <c:layout>
        <c:manualLayout>
          <c:layoutTarget val="inner"/>
          <c:xMode val="edge"/>
          <c:yMode val="edge"/>
          <c:x val="0.14150091351812158"/>
          <c:y val="0.12376265621471384"/>
          <c:w val="0.81533369443537229"/>
          <c:h val="0.53951055810791471"/>
        </c:manualLayout>
      </c:layout>
      <c:barChart>
        <c:barDir val="col"/>
        <c:grouping val="stacked"/>
        <c:varyColors val="0"/>
        <c:ser>
          <c:idx val="0"/>
          <c:order val="0"/>
          <c:tx>
            <c:strRef>
              <c:f>q1_q2_q4_q5_Fig!$R$7</c:f>
              <c:strCache>
                <c:ptCount val="1"/>
                <c:pt idx="0">
                  <c:v>A</c:v>
                </c:pt>
              </c:strCache>
            </c:strRef>
          </c:tx>
          <c:spPr>
            <a:solidFill>
              <a:schemeClr val="accent1"/>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q1_q2_q4_q5_Fig!$S$7:$AC$7</c:f>
              <c:numCache>
                <c:formatCode>General</c:formatCode>
                <c:ptCount val="11"/>
                <c:pt idx="0">
                  <c:v>11903</c:v>
                </c:pt>
                <c:pt idx="1">
                  <c:v>12395</c:v>
                </c:pt>
                <c:pt idx="2">
                  <c:v>13063</c:v>
                </c:pt>
                <c:pt idx="3">
                  <c:v>13445</c:v>
                </c:pt>
                <c:pt idx="4">
                  <c:v>13755</c:v>
                </c:pt>
                <c:pt idx="5">
                  <c:v>13847</c:v>
                </c:pt>
                <c:pt idx="6">
                  <c:v>13971</c:v>
                </c:pt>
                <c:pt idx="7">
                  <c:v>13547</c:v>
                </c:pt>
                <c:pt idx="8">
                  <c:v>13691</c:v>
                </c:pt>
                <c:pt idx="9">
                  <c:v>13199</c:v>
                </c:pt>
                <c:pt idx="10">
                  <c:v>13618</c:v>
                </c:pt>
              </c:numCache>
            </c:numRef>
          </c:val>
          <c:extLst xmlns:c15="http://schemas.microsoft.com/office/drawing/2012/chart">
            <c:ext xmlns:c16="http://schemas.microsoft.com/office/drawing/2014/chart" uri="{C3380CC4-5D6E-409C-BE32-E72D297353CC}">
              <c16:uniqueId val="{00000000-36A6-4DB9-ACAB-37F6B09D60FE}"/>
            </c:ext>
          </c:extLst>
        </c:ser>
        <c:ser>
          <c:idx val="1"/>
          <c:order val="1"/>
          <c:tx>
            <c:strRef>
              <c:f>q1_q2_q4_q5_Fig!$R$8</c:f>
              <c:strCache>
                <c:ptCount val="1"/>
                <c:pt idx="0">
                  <c:v>B</c:v>
                </c:pt>
              </c:strCache>
            </c:strRef>
          </c:tx>
          <c:spPr>
            <a:solidFill>
              <a:schemeClr val="accent3"/>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q1_q2_q4_q5_Fig!$S$8:$AC$8</c:f>
              <c:numCache>
                <c:formatCode>General</c:formatCode>
                <c:ptCount val="11"/>
                <c:pt idx="0">
                  <c:v>618</c:v>
                </c:pt>
                <c:pt idx="1">
                  <c:v>589</c:v>
                </c:pt>
                <c:pt idx="2">
                  <c:v>564</c:v>
                </c:pt>
                <c:pt idx="3">
                  <c:v>558</c:v>
                </c:pt>
                <c:pt idx="4">
                  <c:v>536</c:v>
                </c:pt>
                <c:pt idx="5">
                  <c:v>542</c:v>
                </c:pt>
                <c:pt idx="6">
                  <c:v>526</c:v>
                </c:pt>
                <c:pt idx="7">
                  <c:v>510</c:v>
                </c:pt>
                <c:pt idx="8">
                  <c:v>504</c:v>
                </c:pt>
                <c:pt idx="9">
                  <c:v>486</c:v>
                </c:pt>
                <c:pt idx="10">
                  <c:v>494</c:v>
                </c:pt>
              </c:numCache>
            </c:numRef>
          </c:val>
          <c:extLst>
            <c:ext xmlns:c16="http://schemas.microsoft.com/office/drawing/2014/chart" uri="{C3380CC4-5D6E-409C-BE32-E72D297353CC}">
              <c16:uniqueId val="{00000001-36A6-4DB9-ACAB-37F6B09D60FE}"/>
            </c:ext>
          </c:extLst>
        </c:ser>
        <c:ser>
          <c:idx val="2"/>
          <c:order val="2"/>
          <c:tx>
            <c:strRef>
              <c:f>q1_q2_q4_q5_Fig!$R$9</c:f>
              <c:strCache>
                <c:ptCount val="1"/>
                <c:pt idx="0">
                  <c:v>C</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q1_q2_q4_q5_Fig!$S$9:$AC$9</c:f>
              <c:numCache>
                <c:formatCode>General</c:formatCode>
                <c:ptCount val="11"/>
                <c:pt idx="0">
                  <c:v>32824</c:v>
                </c:pt>
                <c:pt idx="1">
                  <c:v>32643</c:v>
                </c:pt>
                <c:pt idx="2">
                  <c:v>32895</c:v>
                </c:pt>
                <c:pt idx="3">
                  <c:v>32998</c:v>
                </c:pt>
                <c:pt idx="4">
                  <c:v>33278</c:v>
                </c:pt>
                <c:pt idx="5">
                  <c:v>33315</c:v>
                </c:pt>
                <c:pt idx="6">
                  <c:v>33177</c:v>
                </c:pt>
                <c:pt idx="7">
                  <c:v>31905</c:v>
                </c:pt>
                <c:pt idx="8">
                  <c:v>31715</c:v>
                </c:pt>
                <c:pt idx="9">
                  <c:v>30818</c:v>
                </c:pt>
                <c:pt idx="10">
                  <c:v>31733</c:v>
                </c:pt>
              </c:numCache>
            </c:numRef>
          </c:val>
          <c:extLst>
            <c:ext xmlns:c16="http://schemas.microsoft.com/office/drawing/2014/chart" uri="{C3380CC4-5D6E-409C-BE32-E72D297353CC}">
              <c16:uniqueId val="{00000002-36A6-4DB9-ACAB-37F6B09D60FE}"/>
            </c:ext>
          </c:extLst>
        </c:ser>
        <c:ser>
          <c:idx val="3"/>
          <c:order val="3"/>
          <c:tx>
            <c:strRef>
              <c:f>q1_q2_q4_q5_Fig!$R$10</c:f>
              <c:strCache>
                <c:ptCount val="1"/>
                <c:pt idx="0">
                  <c:v>D</c:v>
                </c:pt>
              </c:strCache>
            </c:strRef>
          </c:tx>
          <c:spPr>
            <a:solidFill>
              <a:schemeClr val="accent1">
                <a:lumMod val="60000"/>
              </a:schemeClr>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q1_q2_q4_q5_Fig!$S$10:$AC$10</c:f>
              <c:numCache>
                <c:formatCode>General</c:formatCode>
                <c:ptCount val="11"/>
                <c:pt idx="0">
                  <c:v>184</c:v>
                </c:pt>
                <c:pt idx="1">
                  <c:v>189</c:v>
                </c:pt>
                <c:pt idx="2">
                  <c:v>193</c:v>
                </c:pt>
                <c:pt idx="3">
                  <c:v>211</c:v>
                </c:pt>
                <c:pt idx="4">
                  <c:v>204</c:v>
                </c:pt>
                <c:pt idx="5">
                  <c:v>194</c:v>
                </c:pt>
                <c:pt idx="6">
                  <c:v>183</c:v>
                </c:pt>
                <c:pt idx="7">
                  <c:v>185</c:v>
                </c:pt>
                <c:pt idx="8">
                  <c:v>198</c:v>
                </c:pt>
                <c:pt idx="9">
                  <c:v>192</c:v>
                </c:pt>
                <c:pt idx="10">
                  <c:v>209</c:v>
                </c:pt>
              </c:numCache>
            </c:numRef>
          </c:val>
          <c:extLst>
            <c:ext xmlns:c16="http://schemas.microsoft.com/office/drawing/2014/chart" uri="{C3380CC4-5D6E-409C-BE32-E72D297353CC}">
              <c16:uniqueId val="{00000003-36A6-4DB9-ACAB-37F6B09D60FE}"/>
            </c:ext>
          </c:extLst>
        </c:ser>
        <c:ser>
          <c:idx val="4"/>
          <c:order val="4"/>
          <c:tx>
            <c:strRef>
              <c:f>q1_q2_q4_q5_Fig!$R$11</c:f>
              <c:strCache>
                <c:ptCount val="1"/>
                <c:pt idx="0">
                  <c:v>E</c:v>
                </c:pt>
              </c:strCache>
            </c:strRef>
          </c:tx>
          <c:spPr>
            <a:solidFill>
              <a:schemeClr val="accent3">
                <a:lumMod val="60000"/>
              </a:schemeClr>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q1_q2_q4_q5_Fig!$S$11:$AC$11</c:f>
              <c:numCache>
                <c:formatCode>General</c:formatCode>
                <c:ptCount val="11"/>
                <c:pt idx="0">
                  <c:v>624</c:v>
                </c:pt>
                <c:pt idx="1">
                  <c:v>640</c:v>
                </c:pt>
                <c:pt idx="2">
                  <c:v>637</c:v>
                </c:pt>
                <c:pt idx="3">
                  <c:v>623</c:v>
                </c:pt>
                <c:pt idx="4">
                  <c:v>605</c:v>
                </c:pt>
                <c:pt idx="5">
                  <c:v>607</c:v>
                </c:pt>
                <c:pt idx="6">
                  <c:v>602</c:v>
                </c:pt>
                <c:pt idx="7">
                  <c:v>617</c:v>
                </c:pt>
                <c:pt idx="8">
                  <c:v>625</c:v>
                </c:pt>
                <c:pt idx="9">
                  <c:v>620</c:v>
                </c:pt>
                <c:pt idx="10">
                  <c:v>636</c:v>
                </c:pt>
              </c:numCache>
            </c:numRef>
          </c:val>
          <c:extLst>
            <c:ext xmlns:c16="http://schemas.microsoft.com/office/drawing/2014/chart" uri="{C3380CC4-5D6E-409C-BE32-E72D297353CC}">
              <c16:uniqueId val="{00000004-36A6-4DB9-ACAB-37F6B09D60FE}"/>
            </c:ext>
          </c:extLst>
        </c:ser>
        <c:ser>
          <c:idx val="5"/>
          <c:order val="5"/>
          <c:tx>
            <c:strRef>
              <c:f>q1_q2_q4_q5_Fig!$R$12</c:f>
              <c:strCache>
                <c:ptCount val="1"/>
                <c:pt idx="0">
                  <c:v>F</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q1_q2_q4_q5_Fig!$S$12:$AC$12</c:f>
              <c:numCache>
                <c:formatCode>General</c:formatCode>
                <c:ptCount val="11"/>
                <c:pt idx="0">
                  <c:v>29895</c:v>
                </c:pt>
                <c:pt idx="1">
                  <c:v>27952</c:v>
                </c:pt>
                <c:pt idx="2">
                  <c:v>27621</c:v>
                </c:pt>
                <c:pt idx="3">
                  <c:v>27400</c:v>
                </c:pt>
                <c:pt idx="4">
                  <c:v>27945</c:v>
                </c:pt>
                <c:pt idx="5">
                  <c:v>28669</c:v>
                </c:pt>
                <c:pt idx="6">
                  <c:v>29662</c:v>
                </c:pt>
                <c:pt idx="7">
                  <c:v>30134</c:v>
                </c:pt>
                <c:pt idx="8">
                  <c:v>31394</c:v>
                </c:pt>
                <c:pt idx="9">
                  <c:v>31375</c:v>
                </c:pt>
                <c:pt idx="10">
                  <c:v>33643</c:v>
                </c:pt>
              </c:numCache>
            </c:numRef>
          </c:val>
          <c:extLst>
            <c:ext xmlns:c16="http://schemas.microsoft.com/office/drawing/2014/chart" uri="{C3380CC4-5D6E-409C-BE32-E72D297353CC}">
              <c16:uniqueId val="{00000005-36A6-4DB9-ACAB-37F6B09D60FE}"/>
            </c:ext>
          </c:extLst>
        </c:ser>
        <c:ser>
          <c:idx val="6"/>
          <c:order val="6"/>
          <c:tx>
            <c:strRef>
              <c:f>q1_q2_q4_q5_Fig!$R$13</c:f>
              <c:strCache>
                <c:ptCount val="1"/>
                <c:pt idx="0">
                  <c:v>G</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q1_q2_q4_q5_Fig!$S$13:$AC$13</c:f>
              <c:numCache>
                <c:formatCode>General</c:formatCode>
                <c:ptCount val="11"/>
                <c:pt idx="0">
                  <c:v>74719</c:v>
                </c:pt>
                <c:pt idx="1">
                  <c:v>73629</c:v>
                </c:pt>
                <c:pt idx="2">
                  <c:v>74208</c:v>
                </c:pt>
                <c:pt idx="3">
                  <c:v>74441</c:v>
                </c:pt>
                <c:pt idx="4">
                  <c:v>74332</c:v>
                </c:pt>
                <c:pt idx="5">
                  <c:v>73637</c:v>
                </c:pt>
                <c:pt idx="6">
                  <c:v>73191</c:v>
                </c:pt>
                <c:pt idx="7">
                  <c:v>69985</c:v>
                </c:pt>
                <c:pt idx="8">
                  <c:v>69568</c:v>
                </c:pt>
                <c:pt idx="9">
                  <c:v>67802</c:v>
                </c:pt>
                <c:pt idx="10">
                  <c:v>69554</c:v>
                </c:pt>
              </c:numCache>
            </c:numRef>
          </c:val>
          <c:extLst>
            <c:ext xmlns:c16="http://schemas.microsoft.com/office/drawing/2014/chart" uri="{C3380CC4-5D6E-409C-BE32-E72D297353CC}">
              <c16:uniqueId val="{00000006-36A6-4DB9-ACAB-37F6B09D60FE}"/>
            </c:ext>
          </c:extLst>
        </c:ser>
        <c:ser>
          <c:idx val="7"/>
          <c:order val="7"/>
          <c:tx>
            <c:strRef>
              <c:f>q1_q2_q4_q5_Fig!$R$14</c:f>
              <c:strCache>
                <c:ptCount val="1"/>
                <c:pt idx="0">
                  <c:v>H</c:v>
                </c:pt>
              </c:strCache>
            </c:strRef>
          </c:tx>
          <c:spPr>
            <a:solidFill>
              <a:schemeClr val="accent3">
                <a:lumMod val="80000"/>
                <a:lumOff val="20000"/>
              </a:schemeClr>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q1_q2_q4_q5_Fig!$S$14:$AC$14</c:f>
              <c:numCache>
                <c:formatCode>General</c:formatCode>
                <c:ptCount val="11"/>
                <c:pt idx="0">
                  <c:v>10925</c:v>
                </c:pt>
                <c:pt idx="1">
                  <c:v>10641</c:v>
                </c:pt>
                <c:pt idx="2">
                  <c:v>10632</c:v>
                </c:pt>
                <c:pt idx="3">
                  <c:v>10537</c:v>
                </c:pt>
                <c:pt idx="4">
                  <c:v>10462</c:v>
                </c:pt>
                <c:pt idx="5">
                  <c:v>10490</c:v>
                </c:pt>
                <c:pt idx="6">
                  <c:v>10497</c:v>
                </c:pt>
                <c:pt idx="7">
                  <c:v>10339</c:v>
                </c:pt>
                <c:pt idx="8">
                  <c:v>10288</c:v>
                </c:pt>
                <c:pt idx="9">
                  <c:v>9821</c:v>
                </c:pt>
                <c:pt idx="10">
                  <c:v>10445</c:v>
                </c:pt>
              </c:numCache>
            </c:numRef>
          </c:val>
          <c:extLst>
            <c:ext xmlns:c16="http://schemas.microsoft.com/office/drawing/2014/chart" uri="{C3380CC4-5D6E-409C-BE32-E72D297353CC}">
              <c16:uniqueId val="{00000007-36A6-4DB9-ACAB-37F6B09D60FE}"/>
            </c:ext>
          </c:extLst>
        </c:ser>
        <c:ser>
          <c:idx val="8"/>
          <c:order val="8"/>
          <c:tx>
            <c:strRef>
              <c:f>q1_q2_q4_q5_Fig!$R$15</c:f>
              <c:strCache>
                <c:ptCount val="1"/>
                <c:pt idx="0">
                  <c:v>I</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q1_q2_q4_q5_Fig!$S$15:$AC$15</c:f>
              <c:numCache>
                <c:formatCode>General</c:formatCode>
                <c:ptCount val="11"/>
                <c:pt idx="0">
                  <c:v>30385</c:v>
                </c:pt>
                <c:pt idx="1">
                  <c:v>30313</c:v>
                </c:pt>
                <c:pt idx="2">
                  <c:v>31162</c:v>
                </c:pt>
                <c:pt idx="3">
                  <c:v>32218</c:v>
                </c:pt>
                <c:pt idx="4">
                  <c:v>33270</c:v>
                </c:pt>
                <c:pt idx="5">
                  <c:v>34159</c:v>
                </c:pt>
                <c:pt idx="6">
                  <c:v>34949</c:v>
                </c:pt>
                <c:pt idx="7">
                  <c:v>33798</c:v>
                </c:pt>
                <c:pt idx="8">
                  <c:v>33300</c:v>
                </c:pt>
                <c:pt idx="9">
                  <c:v>32645</c:v>
                </c:pt>
                <c:pt idx="10">
                  <c:v>34416</c:v>
                </c:pt>
              </c:numCache>
            </c:numRef>
          </c:val>
          <c:extLst>
            <c:ext xmlns:c16="http://schemas.microsoft.com/office/drawing/2014/chart" uri="{C3380CC4-5D6E-409C-BE32-E72D297353CC}">
              <c16:uniqueId val="{00000008-36A6-4DB9-ACAB-37F6B09D60FE}"/>
            </c:ext>
          </c:extLst>
        </c:ser>
        <c:ser>
          <c:idx val="9"/>
          <c:order val="9"/>
          <c:tx>
            <c:strRef>
              <c:f>q1_q2_q4_q5_Fig!$R$16</c:f>
              <c:strCache>
                <c:ptCount val="1"/>
                <c:pt idx="0">
                  <c:v>J</c:v>
                </c:pt>
              </c:strCache>
            </c:strRef>
          </c:tx>
          <c:spPr>
            <a:solidFill>
              <a:schemeClr val="accent1">
                <a:lumMod val="80000"/>
              </a:schemeClr>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q1_q2_q4_q5_Fig!$S$16:$AC$16</c:f>
              <c:numCache>
                <c:formatCode>General</c:formatCode>
                <c:ptCount val="11"/>
                <c:pt idx="0">
                  <c:v>4095</c:v>
                </c:pt>
                <c:pt idx="1">
                  <c:v>4362</c:v>
                </c:pt>
                <c:pt idx="2">
                  <c:v>4637</c:v>
                </c:pt>
                <c:pt idx="3">
                  <c:v>4749</c:v>
                </c:pt>
                <c:pt idx="4">
                  <c:v>4883</c:v>
                </c:pt>
                <c:pt idx="5">
                  <c:v>5130</c:v>
                </c:pt>
                <c:pt idx="6">
                  <c:v>5304</c:v>
                </c:pt>
                <c:pt idx="7">
                  <c:v>5356</c:v>
                </c:pt>
                <c:pt idx="8">
                  <c:v>5633</c:v>
                </c:pt>
                <c:pt idx="9">
                  <c:v>5723</c:v>
                </c:pt>
                <c:pt idx="10">
                  <c:v>6314</c:v>
                </c:pt>
              </c:numCache>
            </c:numRef>
          </c:val>
          <c:extLst>
            <c:ext xmlns:c16="http://schemas.microsoft.com/office/drawing/2014/chart" uri="{C3380CC4-5D6E-409C-BE32-E72D297353CC}">
              <c16:uniqueId val="{00000009-36A6-4DB9-ACAB-37F6B09D60FE}"/>
            </c:ext>
          </c:extLst>
        </c:ser>
        <c:ser>
          <c:idx val="10"/>
          <c:order val="10"/>
          <c:tx>
            <c:strRef>
              <c:f>q1_q2_q4_q5_Fig!$R$17</c:f>
              <c:strCache>
                <c:ptCount val="1"/>
                <c:pt idx="0">
                  <c:v>K</c:v>
                </c:pt>
              </c:strCache>
            </c:strRef>
          </c:tx>
          <c:spPr>
            <a:solidFill>
              <a:schemeClr val="accent3">
                <a:lumMod val="80000"/>
              </a:schemeClr>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q1_q2_q4_q5_Fig!$S$17:$AC$17</c:f>
              <c:numCache>
                <c:formatCode>General</c:formatCode>
                <c:ptCount val="11"/>
                <c:pt idx="0">
                  <c:v>3456</c:v>
                </c:pt>
                <c:pt idx="1">
                  <c:v>3582</c:v>
                </c:pt>
                <c:pt idx="2">
                  <c:v>3675</c:v>
                </c:pt>
                <c:pt idx="3">
                  <c:v>3674</c:v>
                </c:pt>
                <c:pt idx="4">
                  <c:v>3659</c:v>
                </c:pt>
                <c:pt idx="5">
                  <c:v>3692</c:v>
                </c:pt>
                <c:pt idx="6">
                  <c:v>3685</c:v>
                </c:pt>
                <c:pt idx="7">
                  <c:v>3647</c:v>
                </c:pt>
                <c:pt idx="8">
                  <c:v>3710</c:v>
                </c:pt>
                <c:pt idx="9">
                  <c:v>3599</c:v>
                </c:pt>
                <c:pt idx="10">
                  <c:v>3755</c:v>
                </c:pt>
              </c:numCache>
            </c:numRef>
          </c:val>
          <c:extLst>
            <c:ext xmlns:c16="http://schemas.microsoft.com/office/drawing/2014/chart" uri="{C3380CC4-5D6E-409C-BE32-E72D297353CC}">
              <c16:uniqueId val="{0000000A-36A6-4DB9-ACAB-37F6B09D60FE}"/>
            </c:ext>
          </c:extLst>
        </c:ser>
        <c:ser>
          <c:idx val="11"/>
          <c:order val="11"/>
          <c:tx>
            <c:strRef>
              <c:f>q1_q2_q4_q5_Fig!$R$18</c:f>
              <c:strCache>
                <c:ptCount val="1"/>
                <c:pt idx="0">
                  <c:v>L</c:v>
                </c:pt>
              </c:strCache>
            </c:strRef>
          </c:tx>
          <c:spPr>
            <a:solidFill>
              <a:schemeClr val="accent5">
                <a:lumMod val="80000"/>
              </a:schemeClr>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q1_q2_q4_q5_Fig!$S$18:$AC$18</c:f>
              <c:numCache>
                <c:formatCode>General</c:formatCode>
                <c:ptCount val="11"/>
                <c:pt idx="0">
                  <c:v>6220</c:v>
                </c:pt>
                <c:pt idx="1">
                  <c:v>6033</c:v>
                </c:pt>
                <c:pt idx="2">
                  <c:v>6325</c:v>
                </c:pt>
                <c:pt idx="3">
                  <c:v>6641</c:v>
                </c:pt>
                <c:pt idx="4">
                  <c:v>7069</c:v>
                </c:pt>
                <c:pt idx="5">
                  <c:v>7649</c:v>
                </c:pt>
                <c:pt idx="6">
                  <c:v>8416</c:v>
                </c:pt>
                <c:pt idx="7">
                  <c:v>8804</c:v>
                </c:pt>
                <c:pt idx="8">
                  <c:v>9411</c:v>
                </c:pt>
                <c:pt idx="9">
                  <c:v>9635</c:v>
                </c:pt>
                <c:pt idx="10">
                  <c:v>10313</c:v>
                </c:pt>
              </c:numCache>
            </c:numRef>
          </c:val>
          <c:extLst>
            <c:ext xmlns:c16="http://schemas.microsoft.com/office/drawing/2014/chart" uri="{C3380CC4-5D6E-409C-BE32-E72D297353CC}">
              <c16:uniqueId val="{0000000B-36A6-4DB9-ACAB-37F6B09D60FE}"/>
            </c:ext>
          </c:extLst>
        </c:ser>
        <c:ser>
          <c:idx val="12"/>
          <c:order val="12"/>
          <c:tx>
            <c:strRef>
              <c:f>q1_q2_q4_q5_Fig!$R$19</c:f>
              <c:strCache>
                <c:ptCount val="1"/>
                <c:pt idx="0">
                  <c:v>M</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q1_q2_q4_q5_Fig!$S$19:$AC$19</c:f>
              <c:numCache>
                <c:formatCode>General</c:formatCode>
                <c:ptCount val="11"/>
                <c:pt idx="0">
                  <c:v>20571</c:v>
                </c:pt>
                <c:pt idx="1">
                  <c:v>20799</c:v>
                </c:pt>
                <c:pt idx="2">
                  <c:v>21426</c:v>
                </c:pt>
                <c:pt idx="3">
                  <c:v>21717</c:v>
                </c:pt>
                <c:pt idx="4">
                  <c:v>22039</c:v>
                </c:pt>
                <c:pt idx="5">
                  <c:v>22524</c:v>
                </c:pt>
                <c:pt idx="6">
                  <c:v>23187</c:v>
                </c:pt>
                <c:pt idx="7">
                  <c:v>22977</c:v>
                </c:pt>
                <c:pt idx="8">
                  <c:v>23504</c:v>
                </c:pt>
                <c:pt idx="9">
                  <c:v>23335</c:v>
                </c:pt>
                <c:pt idx="10">
                  <c:v>24442</c:v>
                </c:pt>
              </c:numCache>
            </c:numRef>
          </c:val>
          <c:extLst>
            <c:ext xmlns:c16="http://schemas.microsoft.com/office/drawing/2014/chart" uri="{C3380CC4-5D6E-409C-BE32-E72D297353CC}">
              <c16:uniqueId val="{0000000C-36A6-4DB9-ACAB-37F6B09D60FE}"/>
            </c:ext>
          </c:extLst>
        </c:ser>
        <c:ser>
          <c:idx val="13"/>
          <c:order val="13"/>
          <c:tx>
            <c:strRef>
              <c:f>q1_q2_q4_q5_Fig!$R$20</c:f>
              <c:strCache>
                <c:ptCount val="1"/>
                <c:pt idx="0">
                  <c:v>N</c:v>
                </c:pt>
              </c:strCache>
            </c:strRef>
          </c:tx>
          <c:spPr>
            <a:solidFill>
              <a:schemeClr val="accent3">
                <a:lumMod val="60000"/>
                <a:lumOff val="40000"/>
              </a:schemeClr>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q1_q2_q4_q5_Fig!$S$20:$AC$20</c:f>
              <c:numCache>
                <c:formatCode>General</c:formatCode>
                <c:ptCount val="11"/>
                <c:pt idx="0">
                  <c:v>7180</c:v>
                </c:pt>
                <c:pt idx="1">
                  <c:v>7258</c:v>
                </c:pt>
                <c:pt idx="2">
                  <c:v>7438</c:v>
                </c:pt>
                <c:pt idx="3">
                  <c:v>7568</c:v>
                </c:pt>
                <c:pt idx="4">
                  <c:v>7855</c:v>
                </c:pt>
                <c:pt idx="5">
                  <c:v>7959</c:v>
                </c:pt>
                <c:pt idx="6">
                  <c:v>7811</c:v>
                </c:pt>
                <c:pt idx="7">
                  <c:v>7970</c:v>
                </c:pt>
                <c:pt idx="8">
                  <c:v>8005</c:v>
                </c:pt>
                <c:pt idx="9">
                  <c:v>7640</c:v>
                </c:pt>
                <c:pt idx="10">
                  <c:v>8560</c:v>
                </c:pt>
              </c:numCache>
            </c:numRef>
          </c:val>
          <c:extLst>
            <c:ext xmlns:c16="http://schemas.microsoft.com/office/drawing/2014/chart" uri="{C3380CC4-5D6E-409C-BE32-E72D297353CC}">
              <c16:uniqueId val="{0000000D-36A6-4DB9-ACAB-37F6B09D60FE}"/>
            </c:ext>
          </c:extLst>
        </c:ser>
        <c:ser>
          <c:idx val="14"/>
          <c:order val="14"/>
          <c:tx>
            <c:strRef>
              <c:f>q1_q2_q4_q5_Fig!$R$21</c:f>
              <c:strCache>
                <c:ptCount val="1"/>
                <c:pt idx="0">
                  <c:v>O</c:v>
                </c:pt>
              </c:strCache>
            </c:strRef>
          </c:tx>
          <c:spPr>
            <a:solidFill>
              <a:schemeClr val="accent5">
                <a:lumMod val="60000"/>
                <a:lumOff val="40000"/>
              </a:schemeClr>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q1_q2_q4_q5_Fig!$S$21:$AC$21</c:f>
              <c:numCache>
                <c:formatCode>General</c:formatCode>
                <c:ptCount val="11"/>
                <c:pt idx="0">
                  <c:v>638</c:v>
                </c:pt>
                <c:pt idx="1">
                  <c:v>586</c:v>
                </c:pt>
                <c:pt idx="2">
                  <c:v>599</c:v>
                </c:pt>
                <c:pt idx="3">
                  <c:v>596</c:v>
                </c:pt>
                <c:pt idx="4">
                  <c:v>560</c:v>
                </c:pt>
                <c:pt idx="5">
                  <c:v>559</c:v>
                </c:pt>
                <c:pt idx="6">
                  <c:v>564</c:v>
                </c:pt>
                <c:pt idx="7">
                  <c:v>546</c:v>
                </c:pt>
                <c:pt idx="8">
                  <c:v>558</c:v>
                </c:pt>
                <c:pt idx="9">
                  <c:v>517</c:v>
                </c:pt>
                <c:pt idx="10">
                  <c:v>520</c:v>
                </c:pt>
              </c:numCache>
            </c:numRef>
          </c:val>
          <c:extLst>
            <c:ext xmlns:c16="http://schemas.microsoft.com/office/drawing/2014/chart" uri="{C3380CC4-5D6E-409C-BE32-E72D297353CC}">
              <c16:uniqueId val="{0000000E-36A6-4DB9-ACAB-37F6B09D60FE}"/>
            </c:ext>
          </c:extLst>
        </c:ser>
        <c:ser>
          <c:idx val="15"/>
          <c:order val="15"/>
          <c:tx>
            <c:strRef>
              <c:f>q1_q2_q4_q5_Fig!$R$22</c:f>
              <c:strCache>
                <c:ptCount val="1"/>
                <c:pt idx="0">
                  <c:v>P</c:v>
                </c:pt>
              </c:strCache>
            </c:strRef>
          </c:tx>
          <c:spPr>
            <a:solidFill>
              <a:schemeClr val="accent1">
                <a:lumMod val="50000"/>
              </a:schemeClr>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q1_q2_q4_q5_Fig!$S$22:$AC$22</c:f>
              <c:numCache>
                <c:formatCode>General</c:formatCode>
                <c:ptCount val="11"/>
                <c:pt idx="0">
                  <c:v>3562</c:v>
                </c:pt>
                <c:pt idx="1">
                  <c:v>3602</c:v>
                </c:pt>
                <c:pt idx="2">
                  <c:v>3802</c:v>
                </c:pt>
                <c:pt idx="3">
                  <c:v>3857</c:v>
                </c:pt>
                <c:pt idx="4">
                  <c:v>3829</c:v>
                </c:pt>
                <c:pt idx="5">
                  <c:v>3817</c:v>
                </c:pt>
                <c:pt idx="6">
                  <c:v>3764</c:v>
                </c:pt>
                <c:pt idx="7">
                  <c:v>3671</c:v>
                </c:pt>
                <c:pt idx="8">
                  <c:v>3680</c:v>
                </c:pt>
                <c:pt idx="9">
                  <c:v>3577</c:v>
                </c:pt>
                <c:pt idx="10">
                  <c:v>3747</c:v>
                </c:pt>
              </c:numCache>
            </c:numRef>
          </c:val>
          <c:extLst>
            <c:ext xmlns:c16="http://schemas.microsoft.com/office/drawing/2014/chart" uri="{C3380CC4-5D6E-409C-BE32-E72D297353CC}">
              <c16:uniqueId val="{0000000F-36A6-4DB9-ACAB-37F6B09D60FE}"/>
            </c:ext>
          </c:extLst>
        </c:ser>
        <c:ser>
          <c:idx val="16"/>
          <c:order val="16"/>
          <c:tx>
            <c:strRef>
              <c:f>q1_q2_q4_q5_Fig!$R$23</c:f>
              <c:strCache>
                <c:ptCount val="1"/>
                <c:pt idx="0">
                  <c:v>Q</c:v>
                </c:pt>
              </c:strCache>
            </c:strRef>
          </c:tx>
          <c:spPr>
            <a:solidFill>
              <a:schemeClr val="accent3">
                <a:lumMod val="50000"/>
              </a:schemeClr>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q1_q2_q4_q5_Fig!$S$23:$AC$23</c:f>
              <c:numCache>
                <c:formatCode>General</c:formatCode>
                <c:ptCount val="11"/>
                <c:pt idx="0">
                  <c:v>14259</c:v>
                </c:pt>
                <c:pt idx="1">
                  <c:v>14586</c:v>
                </c:pt>
                <c:pt idx="2">
                  <c:v>14787</c:v>
                </c:pt>
                <c:pt idx="3">
                  <c:v>15110</c:v>
                </c:pt>
                <c:pt idx="4">
                  <c:v>15253</c:v>
                </c:pt>
                <c:pt idx="5">
                  <c:v>15453</c:v>
                </c:pt>
                <c:pt idx="6">
                  <c:v>15499</c:v>
                </c:pt>
                <c:pt idx="7">
                  <c:v>15300</c:v>
                </c:pt>
                <c:pt idx="8">
                  <c:v>15658</c:v>
                </c:pt>
                <c:pt idx="9">
                  <c:v>15268</c:v>
                </c:pt>
                <c:pt idx="10">
                  <c:v>16093</c:v>
                </c:pt>
              </c:numCache>
            </c:numRef>
          </c:val>
          <c:extLst>
            <c:ext xmlns:c16="http://schemas.microsoft.com/office/drawing/2014/chart" uri="{C3380CC4-5D6E-409C-BE32-E72D297353CC}">
              <c16:uniqueId val="{00000010-36A6-4DB9-ACAB-37F6B09D60FE}"/>
            </c:ext>
          </c:extLst>
        </c:ser>
        <c:ser>
          <c:idx val="17"/>
          <c:order val="17"/>
          <c:tx>
            <c:strRef>
              <c:f>q1_q2_q4_q5_Fig!$R$24</c:f>
              <c:strCache>
                <c:ptCount val="1"/>
                <c:pt idx="0">
                  <c:v>R</c:v>
                </c:pt>
              </c:strCache>
            </c:strRef>
          </c:tx>
          <c:spPr>
            <a:solidFill>
              <a:schemeClr val="accent5">
                <a:lumMod val="50000"/>
              </a:schemeClr>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q1_q2_q4_q5_Fig!$S$24:$AC$24</c:f>
              <c:numCache>
                <c:formatCode>General</c:formatCode>
                <c:ptCount val="11"/>
                <c:pt idx="0">
                  <c:v>2715</c:v>
                </c:pt>
                <c:pt idx="1">
                  <c:v>2849</c:v>
                </c:pt>
                <c:pt idx="2">
                  <c:v>3087</c:v>
                </c:pt>
                <c:pt idx="3">
                  <c:v>3213</c:v>
                </c:pt>
                <c:pt idx="4">
                  <c:v>3351</c:v>
                </c:pt>
                <c:pt idx="5">
                  <c:v>3605</c:v>
                </c:pt>
                <c:pt idx="6">
                  <c:v>3886</c:v>
                </c:pt>
                <c:pt idx="7">
                  <c:v>3917</c:v>
                </c:pt>
                <c:pt idx="8">
                  <c:v>3922</c:v>
                </c:pt>
                <c:pt idx="9">
                  <c:v>3932</c:v>
                </c:pt>
                <c:pt idx="10">
                  <c:v>4293</c:v>
                </c:pt>
              </c:numCache>
            </c:numRef>
          </c:val>
          <c:extLst>
            <c:ext xmlns:c16="http://schemas.microsoft.com/office/drawing/2014/chart" uri="{C3380CC4-5D6E-409C-BE32-E72D297353CC}">
              <c16:uniqueId val="{00000011-36A6-4DB9-ACAB-37F6B09D60FE}"/>
            </c:ext>
          </c:extLst>
        </c:ser>
        <c:ser>
          <c:idx val="18"/>
          <c:order val="18"/>
          <c:tx>
            <c:strRef>
              <c:f>q1_q2_q4_q5_Fig!$R$25</c:f>
              <c:strCache>
                <c:ptCount val="1"/>
                <c:pt idx="0">
                  <c:v>S</c:v>
                </c:pt>
              </c:strCache>
            </c:strRef>
          </c:tx>
          <c:spPr>
            <a:solidFill>
              <a:schemeClr val="accent1">
                <a:lumMod val="70000"/>
                <a:lumOff val="30000"/>
              </a:schemeClr>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q1_q2_q4_q5_Fig!$S$25:$AC$25</c:f>
              <c:numCache>
                <c:formatCode>General</c:formatCode>
                <c:ptCount val="11"/>
                <c:pt idx="0">
                  <c:v>13245</c:v>
                </c:pt>
                <c:pt idx="1">
                  <c:v>13201</c:v>
                </c:pt>
                <c:pt idx="2">
                  <c:v>13415</c:v>
                </c:pt>
                <c:pt idx="3">
                  <c:v>13491</c:v>
                </c:pt>
                <c:pt idx="4">
                  <c:v>13431</c:v>
                </c:pt>
                <c:pt idx="5">
                  <c:v>13330</c:v>
                </c:pt>
                <c:pt idx="6">
                  <c:v>13348</c:v>
                </c:pt>
                <c:pt idx="7">
                  <c:v>12528</c:v>
                </c:pt>
                <c:pt idx="8">
                  <c:v>12260</c:v>
                </c:pt>
                <c:pt idx="9">
                  <c:v>11606</c:v>
                </c:pt>
                <c:pt idx="10">
                  <c:v>12060</c:v>
                </c:pt>
              </c:numCache>
            </c:numRef>
          </c:val>
          <c:extLst>
            <c:ext xmlns:c16="http://schemas.microsoft.com/office/drawing/2014/chart" uri="{C3380CC4-5D6E-409C-BE32-E72D297353CC}">
              <c16:uniqueId val="{00000012-36A6-4DB9-ACAB-37F6B09D60FE}"/>
            </c:ext>
          </c:extLst>
        </c:ser>
        <c:ser>
          <c:idx val="19"/>
          <c:order val="19"/>
          <c:tx>
            <c:strRef>
              <c:f>q1_q2_q4_q5_Fig!$R$26</c:f>
              <c:strCache>
                <c:ptCount val="1"/>
                <c:pt idx="0">
                  <c:v>U</c:v>
                </c:pt>
              </c:strCache>
            </c:strRef>
          </c:tx>
          <c:spPr>
            <a:solidFill>
              <a:schemeClr val="accent3">
                <a:lumMod val="70000"/>
                <a:lumOff val="30000"/>
              </a:schemeClr>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q1_q2_q4_q5_Fig!$S$26:$AC$26</c:f>
              <c:numCache>
                <c:formatCode>General</c:formatCode>
                <c:ptCount val="11"/>
                <c:pt idx="0">
                  <c:v>8</c:v>
                </c:pt>
                <c:pt idx="1">
                  <c:v>11</c:v>
                </c:pt>
                <c:pt idx="2">
                  <c:v>15</c:v>
                </c:pt>
                <c:pt idx="3">
                  <c:v>13</c:v>
                </c:pt>
                <c:pt idx="4">
                  <c:v>16</c:v>
                </c:pt>
                <c:pt idx="5">
                  <c:v>13</c:v>
                </c:pt>
                <c:pt idx="6">
                  <c:v>14</c:v>
                </c:pt>
                <c:pt idx="7">
                  <c:v>15</c:v>
                </c:pt>
                <c:pt idx="8">
                  <c:v>17</c:v>
                </c:pt>
                <c:pt idx="9">
                  <c:v>16</c:v>
                </c:pt>
                <c:pt idx="10">
                  <c:v>15</c:v>
                </c:pt>
              </c:numCache>
            </c:numRef>
          </c:val>
          <c:extLst>
            <c:ext xmlns:c16="http://schemas.microsoft.com/office/drawing/2014/chart" uri="{C3380CC4-5D6E-409C-BE32-E72D297353CC}">
              <c16:uniqueId val="{00000013-36A6-4DB9-ACAB-37F6B09D60FE}"/>
            </c:ext>
          </c:extLst>
        </c:ser>
        <c:dLbls>
          <c:showLegendKey val="0"/>
          <c:showVal val="0"/>
          <c:showCatName val="0"/>
          <c:showSerName val="0"/>
          <c:showPercent val="0"/>
          <c:showBubbleSize val="0"/>
        </c:dLbls>
        <c:gapWidth val="50"/>
        <c:overlap val="100"/>
        <c:axId val="211072368"/>
        <c:axId val="1682385520"/>
        <c:extLst/>
      </c:barChart>
      <c:catAx>
        <c:axId val="21107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crossAx val="1682385520"/>
        <c:crosses val="autoZero"/>
        <c:auto val="1"/>
        <c:lblAlgn val="ctr"/>
        <c:lblOffset val="100"/>
        <c:noMultiLvlLbl val="0"/>
      </c:catAx>
      <c:valAx>
        <c:axId val="1682385520"/>
        <c:scaling>
          <c:orientation val="minMax"/>
          <c:max val="35000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211072368"/>
        <c:crosses val="autoZero"/>
        <c:crossBetween val="between"/>
      </c:valAx>
      <c:spPr>
        <a:noFill/>
        <a:ln>
          <a:noFill/>
        </a:ln>
        <a:effectLst/>
      </c:spPr>
    </c:plotArea>
    <c:legend>
      <c:legendPos val="b"/>
      <c:layout>
        <c:manualLayout>
          <c:xMode val="edge"/>
          <c:yMode val="edge"/>
          <c:x val="3.011737747848859E-2"/>
          <c:y val="0.78282191025325509"/>
          <c:w val="0.95120931537598208"/>
          <c:h val="9.90242480049109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7015773028371451"/>
          <c:y val="0.22899703122140164"/>
          <c:w val="0.56635020622422194"/>
          <c:h val="0.77100296877859842"/>
        </c:manualLayout>
      </c:layout>
      <c:barChart>
        <c:barDir val="bar"/>
        <c:grouping val="clustered"/>
        <c:varyColors val="0"/>
        <c:ser>
          <c:idx val="0"/>
          <c:order val="0"/>
          <c:tx>
            <c:strRef>
              <c:f>q17_q18_q25_q26_Fig!$BM$20</c:f>
              <c:strCache>
                <c:ptCount val="1"/>
                <c:pt idx="0">
                  <c:v>Base - H</c:v>
                </c:pt>
              </c:strCache>
            </c:strRef>
          </c:tx>
          <c:spPr>
            <a:solidFill>
              <a:srgbClr val="4F81BD"/>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q17_q18_q25_q26_Fig!$BL$21:$BL$24</c:f>
              <c:strCache>
                <c:ptCount val="4"/>
                <c:pt idx="0">
                  <c:v>Micro (1-9 pessoas)</c:v>
                </c:pt>
                <c:pt idx="1">
                  <c:v>Pequenos (10 - 49 pessoas)</c:v>
                </c:pt>
                <c:pt idx="2">
                  <c:v>Médios (50 - 249 pessoas)</c:v>
                </c:pt>
                <c:pt idx="3">
                  <c:v>Grandes (250 ou + pessoas)</c:v>
                </c:pt>
              </c:strCache>
            </c:strRef>
          </c:cat>
          <c:val>
            <c:numRef>
              <c:f>q17_q18_q25_q26_Fig!$BM$21:$BM$24</c:f>
              <c:numCache>
                <c:formatCode>#,##0.00\ "€"</c:formatCode>
                <c:ptCount val="4"/>
                <c:pt idx="0">
                  <c:v>-982.98366719001524</c:v>
                </c:pt>
                <c:pt idx="1">
                  <c:v>-1130.8162900632708</c:v>
                </c:pt>
                <c:pt idx="2">
                  <c:v>-1344.5117888914799</c:v>
                </c:pt>
                <c:pt idx="3">
                  <c:v>-1469.7881888414699</c:v>
                </c:pt>
              </c:numCache>
            </c:numRef>
          </c:val>
          <c:extLst>
            <c:ext xmlns:c16="http://schemas.microsoft.com/office/drawing/2014/chart" uri="{C3380CC4-5D6E-409C-BE32-E72D297353CC}">
              <c16:uniqueId val="{00000000-C062-4168-B10E-D6E99FAE3C23}"/>
            </c:ext>
          </c:extLst>
        </c:ser>
        <c:ser>
          <c:idx val="1"/>
          <c:order val="1"/>
          <c:tx>
            <c:strRef>
              <c:f>q17_q18_q25_q26_Fig!$BN$20</c:f>
              <c:strCache>
                <c:ptCount val="1"/>
                <c:pt idx="0">
                  <c:v>Ganho - H</c:v>
                </c:pt>
              </c:strCache>
            </c:strRef>
          </c:tx>
          <c:spPr>
            <a:solidFill>
              <a:srgbClr val="FFC000"/>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square" lIns="38100" tIns="0" rIns="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q17_q18_q25_q26_Fig!$BL$21:$BL$24</c:f>
              <c:strCache>
                <c:ptCount val="4"/>
                <c:pt idx="0">
                  <c:v>Micro (1-9 pessoas)</c:v>
                </c:pt>
                <c:pt idx="1">
                  <c:v>Pequenos (10 - 49 pessoas)</c:v>
                </c:pt>
                <c:pt idx="2">
                  <c:v>Médios (50 - 249 pessoas)</c:v>
                </c:pt>
                <c:pt idx="3">
                  <c:v>Grandes (250 ou + pessoas)</c:v>
                </c:pt>
              </c:strCache>
            </c:strRef>
          </c:cat>
          <c:val>
            <c:numRef>
              <c:f>q17_q18_q25_q26_Fig!$BN$21:$BN$24</c:f>
              <c:numCache>
                <c:formatCode>#,##0.00\ "€"</c:formatCode>
                <c:ptCount val="4"/>
                <c:pt idx="0">
                  <c:v>-1137.8086763707934</c:v>
                </c:pt>
                <c:pt idx="1">
                  <c:v>-1352.8319508155932</c:v>
                </c:pt>
                <c:pt idx="2">
                  <c:v>-1653.173529258532</c:v>
                </c:pt>
                <c:pt idx="3">
                  <c:v>-1846.9046497143181</c:v>
                </c:pt>
              </c:numCache>
            </c:numRef>
          </c:val>
          <c:extLst>
            <c:ext xmlns:c16="http://schemas.microsoft.com/office/drawing/2014/chart" uri="{C3380CC4-5D6E-409C-BE32-E72D297353CC}">
              <c16:uniqueId val="{00000001-C062-4168-B10E-D6E99FAE3C23}"/>
            </c:ext>
          </c:extLst>
        </c:ser>
        <c:dLbls>
          <c:showLegendKey val="0"/>
          <c:showVal val="0"/>
          <c:showCatName val="0"/>
          <c:showSerName val="0"/>
          <c:showPercent val="0"/>
          <c:showBubbleSize val="0"/>
        </c:dLbls>
        <c:gapWidth val="42"/>
        <c:axId val="1261817855"/>
        <c:axId val="267587263"/>
      </c:barChart>
      <c:barChart>
        <c:barDir val="bar"/>
        <c:grouping val="clustered"/>
        <c:varyColors val="0"/>
        <c:ser>
          <c:idx val="2"/>
          <c:order val="2"/>
          <c:tx>
            <c:strRef>
              <c:f>q17_q18_q25_q26_Fig!$BO$20</c:f>
              <c:strCache>
                <c:ptCount val="1"/>
                <c:pt idx="0">
                  <c:v>Base - M</c:v>
                </c:pt>
              </c:strCache>
            </c:strRef>
          </c:tx>
          <c:spPr>
            <a:solidFill>
              <a:srgbClr val="95B3D7"/>
            </a:solidFill>
          </c:spPr>
          <c:invertIfNegative val="0"/>
          <c:dLbls>
            <c:spPr>
              <a:noFill/>
              <a:ln>
                <a:noFill/>
              </a:ln>
              <a:effectLst/>
            </c:spPr>
            <c:txPr>
              <a:bodyPr wrap="square" lIns="38100" tIns="19050" rIns="38100" bIns="19050" anchor="ctr">
                <a:spAutoFit/>
              </a:bodyPr>
              <a:lstStyle/>
              <a:p>
                <a:pPr>
                  <a:defRPr sz="700" b="0">
                    <a:solidFill>
                      <a:sysClr val="windowText" lastClr="000000"/>
                    </a:solidFill>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q17_q18_q25_q26_Fig!$BL$21:$BL$24</c:f>
              <c:strCache>
                <c:ptCount val="4"/>
                <c:pt idx="0">
                  <c:v>Micro (1-9 pessoas)</c:v>
                </c:pt>
                <c:pt idx="1">
                  <c:v>Pequenos (10 - 49 pessoas)</c:v>
                </c:pt>
                <c:pt idx="2">
                  <c:v>Médios (50 - 249 pessoas)</c:v>
                </c:pt>
                <c:pt idx="3">
                  <c:v>Grandes (250 ou + pessoas)</c:v>
                </c:pt>
              </c:strCache>
            </c:strRef>
          </c:cat>
          <c:val>
            <c:numRef>
              <c:f>q17_q18_q25_q26_Fig!$BO$21:$BO$24</c:f>
              <c:numCache>
                <c:formatCode>#,##0.00\ "€"</c:formatCode>
                <c:ptCount val="4"/>
                <c:pt idx="0">
                  <c:v>901.44201878089575</c:v>
                </c:pt>
                <c:pt idx="1">
                  <c:v>993.84864627030174</c:v>
                </c:pt>
                <c:pt idx="2">
                  <c:v>1136.4201496816147</c:v>
                </c:pt>
                <c:pt idx="3">
                  <c:v>1242.1348465562171</c:v>
                </c:pt>
              </c:numCache>
            </c:numRef>
          </c:val>
          <c:extLst>
            <c:ext xmlns:c16="http://schemas.microsoft.com/office/drawing/2014/chart" uri="{C3380CC4-5D6E-409C-BE32-E72D297353CC}">
              <c16:uniqueId val="{00000002-C062-4168-B10E-D6E99FAE3C23}"/>
            </c:ext>
          </c:extLst>
        </c:ser>
        <c:ser>
          <c:idx val="3"/>
          <c:order val="3"/>
          <c:tx>
            <c:strRef>
              <c:f>q17_q18_q25_q26_Fig!$BP$20</c:f>
              <c:strCache>
                <c:ptCount val="1"/>
                <c:pt idx="0">
                  <c:v>Ganho - M</c:v>
                </c:pt>
              </c:strCache>
            </c:strRef>
          </c:tx>
          <c:spPr>
            <a:solidFill>
              <a:srgbClr val="FFEF57"/>
            </a:solidFill>
          </c:spPr>
          <c:invertIfNegative val="0"/>
          <c:dLbls>
            <c:spPr>
              <a:noFill/>
              <a:ln>
                <a:noFill/>
              </a:ln>
              <a:effectLst/>
            </c:spPr>
            <c:txPr>
              <a:bodyPr wrap="square" lIns="38100" tIns="19050" rIns="38100" bIns="19050" anchor="ctr">
                <a:sp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q17_q18_q25_q26_Fig!$BL$21:$BL$24</c:f>
              <c:strCache>
                <c:ptCount val="4"/>
                <c:pt idx="0">
                  <c:v>Micro (1-9 pessoas)</c:v>
                </c:pt>
                <c:pt idx="1">
                  <c:v>Pequenos (10 - 49 pessoas)</c:v>
                </c:pt>
                <c:pt idx="2">
                  <c:v>Médios (50 - 249 pessoas)</c:v>
                </c:pt>
                <c:pt idx="3">
                  <c:v>Grandes (250 ou + pessoas)</c:v>
                </c:pt>
              </c:strCache>
            </c:strRef>
          </c:cat>
          <c:val>
            <c:numRef>
              <c:f>q17_q18_q25_q26_Fig!$BP$21:$BP$24</c:f>
              <c:numCache>
                <c:formatCode>#,##0.00\ "€"</c:formatCode>
                <c:ptCount val="4"/>
                <c:pt idx="0">
                  <c:v>1035.1351519929417</c:v>
                </c:pt>
                <c:pt idx="1">
                  <c:v>1150.6865329623424</c:v>
                </c:pt>
                <c:pt idx="2">
                  <c:v>1337.0565016194626</c:v>
                </c:pt>
                <c:pt idx="3">
                  <c:v>1507.7277863076592</c:v>
                </c:pt>
              </c:numCache>
            </c:numRef>
          </c:val>
          <c:extLst>
            <c:ext xmlns:c16="http://schemas.microsoft.com/office/drawing/2014/chart" uri="{C3380CC4-5D6E-409C-BE32-E72D297353CC}">
              <c16:uniqueId val="{00000003-C062-4168-B10E-D6E99FAE3C23}"/>
            </c:ext>
          </c:extLst>
        </c:ser>
        <c:dLbls>
          <c:showLegendKey val="0"/>
          <c:showVal val="0"/>
          <c:showCatName val="0"/>
          <c:showSerName val="0"/>
          <c:showPercent val="0"/>
          <c:showBubbleSize val="0"/>
        </c:dLbls>
        <c:gapWidth val="42"/>
        <c:axId val="1450336576"/>
        <c:axId val="1128689328"/>
      </c:barChart>
      <c:catAx>
        <c:axId val="1261817855"/>
        <c:scaling>
          <c:orientation val="maxMin"/>
        </c:scaling>
        <c:delete val="0"/>
        <c:axPos val="l"/>
        <c:majorGridlines>
          <c:spPr>
            <a:ln>
              <a:solidFill>
                <a:srgbClr val="D9D9D9"/>
              </a:solidFill>
            </a:ln>
          </c:spPr>
        </c:majorGridlines>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85000"/>
                    <a:lumOff val="15000"/>
                  </a:schemeClr>
                </a:solidFill>
                <a:latin typeface="+mn-lt"/>
                <a:ea typeface="+mn-ea"/>
                <a:cs typeface="+mn-cs"/>
              </a:defRPr>
            </a:pPr>
            <a:endParaRPr lang="pt-PT"/>
          </a:p>
        </c:txPr>
        <c:crossAx val="267587263"/>
        <c:crosses val="autoZero"/>
        <c:auto val="1"/>
        <c:lblAlgn val="ctr"/>
        <c:lblOffset val="100"/>
        <c:noMultiLvlLbl val="0"/>
      </c:catAx>
      <c:valAx>
        <c:axId val="267587263"/>
        <c:scaling>
          <c:orientation val="minMax"/>
          <c:max val="2000"/>
          <c:min val="-2000"/>
        </c:scaling>
        <c:delete val="1"/>
        <c:axPos val="t"/>
        <c:numFmt formatCode="#,##0;#,##0" sourceLinked="0"/>
        <c:majorTickMark val="out"/>
        <c:minorTickMark val="none"/>
        <c:tickLblPos val="nextTo"/>
        <c:crossAx val="1261817855"/>
        <c:crosses val="autoZero"/>
        <c:crossBetween val="between"/>
        <c:majorUnit val="200"/>
      </c:valAx>
      <c:valAx>
        <c:axId val="1128689328"/>
        <c:scaling>
          <c:orientation val="minMax"/>
        </c:scaling>
        <c:delete val="1"/>
        <c:axPos val="b"/>
        <c:numFmt formatCode="#,##0.00\ &quot;€&quot;" sourceLinked="1"/>
        <c:majorTickMark val="out"/>
        <c:minorTickMark val="none"/>
        <c:tickLblPos val="nextTo"/>
        <c:crossAx val="1450336576"/>
        <c:crosses val="max"/>
        <c:crossBetween val="between"/>
      </c:valAx>
      <c:catAx>
        <c:axId val="1450336576"/>
        <c:scaling>
          <c:orientation val="maxMin"/>
        </c:scaling>
        <c:delete val="1"/>
        <c:axPos val="r"/>
        <c:numFmt formatCode="General" sourceLinked="1"/>
        <c:majorTickMark val="out"/>
        <c:minorTickMark val="none"/>
        <c:tickLblPos val="nextTo"/>
        <c:crossAx val="1128689328"/>
        <c:crosses val="max"/>
        <c:auto val="1"/>
        <c:lblAlgn val="ctr"/>
        <c:lblOffset val="100"/>
        <c:noMultiLvlLbl val="0"/>
      </c:catAx>
      <c:spPr>
        <a:noFill/>
        <a:ln>
          <a:noFill/>
        </a:ln>
        <a:effectLst/>
      </c:spPr>
    </c:plotArea>
    <c:legend>
      <c:legendPos val="t"/>
      <c:layout>
        <c:manualLayout>
          <c:xMode val="edge"/>
          <c:yMode val="edge"/>
          <c:x val="1.9703630883867528E-2"/>
          <c:y val="5.4883908742176461E-2"/>
          <c:w val="0.26873604492770614"/>
          <c:h val="0.11112416717141127"/>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'q3.1_6.1_9.1_12.1_19.1_27.1_Fig'!$AR$43</c:f>
              <c:strCache>
                <c:ptCount val="1"/>
                <c:pt idx="0">
                  <c:v>Alentejo</c:v>
                </c:pt>
              </c:strCache>
            </c:strRef>
          </c:cat>
          <c:val>
            <c:numRef>
              <c:extLst>
                <c:ext xmlns:c15="http://schemas.microsoft.com/office/drawing/2012/chart" uri="{02D57815-91ED-43cb-92C2-25804820EDAC}">
                  <c15:fullRef>
                    <c15:sqref>'q3.1_6.1_9.1_12.1_19.1_27.1_Fig'!$AS$38:$AS$44</c15:sqref>
                  </c15:fullRef>
                </c:ext>
              </c:extLst>
              <c:f>'q3.1_6.1_9.1_12.1_19.1_27.1_Fig'!$AS$43</c:f>
              <c:numCache>
                <c:formatCode>#,##0</c:formatCode>
                <c:ptCount val="1"/>
                <c:pt idx="0">
                  <c:v>14383</c:v>
                </c:pt>
              </c:numCache>
            </c:numRef>
          </c:val>
          <c:extLst>
            <c:ext xmlns:c16="http://schemas.microsoft.com/office/drawing/2014/chart" uri="{C3380CC4-5D6E-409C-BE32-E72D297353CC}">
              <c16:uniqueId val="{00000000-A3D0-4EF8-B135-8550D83727C4}"/>
            </c:ext>
          </c:extLst>
        </c:ser>
        <c:ser>
          <c:idx val="1"/>
          <c:order val="1"/>
          <c:tx>
            <c:strRef>
              <c:f>'q3.1_6.1_9.1_12.1_19.1_27.1_Fig'!$AT$37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'q3.1_6.1_9.1_12.1_19.1_27.1_Fig'!$AR$43</c:f>
              <c:strCache>
                <c:ptCount val="1"/>
                <c:pt idx="0">
                  <c:v>Alentejo</c:v>
                </c:pt>
              </c:strCache>
            </c:strRef>
          </c:cat>
          <c:val>
            <c:numRef>
              <c:extLst>
                <c:ext xmlns:c15="http://schemas.microsoft.com/office/drawing/2012/chart" uri="{02D57815-91ED-43cb-92C2-25804820EDAC}">
                  <c15:fullRef>
                    <c15:sqref>'q3.1_6.1_9.1_12.1_19.1_27.1_Fig'!$AT$38:$AT$44</c15:sqref>
                  </c15:fullRef>
                </c:ext>
              </c:extLst>
              <c:f>'q3.1_6.1_9.1_12.1_19.1_27.1_Fig'!$AT$43</c:f>
              <c:numCache>
                <c:formatCode>#,##0</c:formatCode>
                <c:ptCount val="1"/>
                <c:pt idx="0">
                  <c:v>17115</c:v>
                </c:pt>
              </c:numCache>
            </c:numRef>
          </c:val>
          <c:extLst>
            <c:ext xmlns:c16="http://schemas.microsoft.com/office/drawing/2014/chart" uri="{C3380CC4-5D6E-409C-BE32-E72D297353CC}">
              <c16:uniqueId val="{00000001-A3D0-4EF8-B135-8550D83727C4}"/>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0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'q3.1_6.1_9.1_12.1_19.1_27.1_Fig'!$AR$44</c:f>
              <c:strCache>
                <c:ptCount val="1"/>
                <c:pt idx="0">
                  <c:v>Algarve</c:v>
                </c:pt>
              </c:strCache>
            </c:strRef>
          </c:cat>
          <c:val>
            <c:numRef>
              <c:extLst>
                <c:ext xmlns:c15="http://schemas.microsoft.com/office/drawing/2012/chart" uri="{02D57815-91ED-43cb-92C2-25804820EDAC}">
                  <c15:fullRef>
                    <c15:sqref>'q3.1_6.1_9.1_12.1_19.1_27.1_Fig'!$AS$38:$AS$44</c15:sqref>
                  </c15:fullRef>
                </c:ext>
              </c:extLst>
              <c:f>'q3.1_6.1_9.1_12.1_19.1_27.1_Fig'!$AS$44</c:f>
              <c:numCache>
                <c:formatCode>#,##0</c:formatCode>
                <c:ptCount val="1"/>
                <c:pt idx="0">
                  <c:v>17066</c:v>
                </c:pt>
              </c:numCache>
            </c:numRef>
          </c:val>
          <c:extLst>
            <c:ext xmlns:c16="http://schemas.microsoft.com/office/drawing/2014/chart" uri="{C3380CC4-5D6E-409C-BE32-E72D297353CC}">
              <c16:uniqueId val="{00000000-2219-43FB-93C0-D8C0A7ED7DD3}"/>
            </c:ext>
          </c:extLst>
        </c:ser>
        <c:ser>
          <c:idx val="1"/>
          <c:order val="1"/>
          <c:tx>
            <c:strRef>
              <c:f>'q3.1_6.1_9.1_12.1_19.1_27.1_Fig'!$AT$37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'q3.1_6.1_9.1_12.1_19.1_27.1_Fig'!$AR$44</c:f>
              <c:strCache>
                <c:ptCount val="1"/>
                <c:pt idx="0">
                  <c:v>Algarve</c:v>
                </c:pt>
              </c:strCache>
            </c:strRef>
          </c:cat>
          <c:val>
            <c:numRef>
              <c:extLst>
                <c:ext xmlns:c15="http://schemas.microsoft.com/office/drawing/2012/chart" uri="{02D57815-91ED-43cb-92C2-25804820EDAC}">
                  <c15:fullRef>
                    <c15:sqref>'q3.1_6.1_9.1_12.1_19.1_27.1_Fig'!$AT$38:$AT$44</c15:sqref>
                  </c15:fullRef>
                </c:ext>
              </c:extLst>
              <c:f>'q3.1_6.1_9.1_12.1_19.1_27.1_Fig'!$AT$44</c:f>
              <c:numCache>
                <c:formatCode>#,##0</c:formatCode>
                <c:ptCount val="1"/>
                <c:pt idx="0">
                  <c:v>20699</c:v>
                </c:pt>
              </c:numCache>
            </c:numRef>
          </c:val>
          <c:extLst>
            <c:ext xmlns:c16="http://schemas.microsoft.com/office/drawing/2014/chart" uri="{C3380CC4-5D6E-409C-BE32-E72D297353CC}">
              <c16:uniqueId val="{00000001-2219-43FB-93C0-D8C0A7ED7DD3}"/>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0000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042502433016683"/>
          <c:y val="3.567815386713024E-2"/>
          <c:w val="0.61234267209825088"/>
          <c:h val="0.92049561986569861"/>
        </c:manualLayout>
      </c:layout>
      <c:barChart>
        <c:barDir val="bar"/>
        <c:grouping val="clustered"/>
        <c:varyColors val="0"/>
        <c:ser>
          <c:idx val="0"/>
          <c:order val="0"/>
          <c:tx>
            <c:strRef>
              <c:f>'q3.1_6.1_9.1_12.1_19.1_27.1_Fig'!$AS$7</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'q3.1_6.1_9.1_12.1_19.1_27.1_Fig'!$AR$8:$AR$31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'q3.1_6.1_9.1_12.1_19.1_27.1_Fig'!$AS$8:$AS$31</c:f>
              <c:numCache>
                <c:formatCode>#,##0</c:formatCode>
                <c:ptCount val="24"/>
                <c:pt idx="0">
                  <c:v>7227</c:v>
                </c:pt>
                <c:pt idx="1">
                  <c:v>14557</c:v>
                </c:pt>
                <c:pt idx="2">
                  <c:v>13716</c:v>
                </c:pt>
                <c:pt idx="3">
                  <c:v>51243</c:v>
                </c:pt>
                <c:pt idx="4">
                  <c:v>2409</c:v>
                </c:pt>
                <c:pt idx="5">
                  <c:v>13294</c:v>
                </c:pt>
                <c:pt idx="6">
                  <c:v>5301</c:v>
                </c:pt>
                <c:pt idx="7">
                  <c:v>3194</c:v>
                </c:pt>
                <c:pt idx="8">
                  <c:v>9676</c:v>
                </c:pt>
                <c:pt idx="9">
                  <c:v>11014</c:v>
                </c:pt>
                <c:pt idx="10">
                  <c:v>10184</c:v>
                </c:pt>
                <c:pt idx="11">
                  <c:v>7226</c:v>
                </c:pt>
                <c:pt idx="12">
                  <c:v>2733</c:v>
                </c:pt>
                <c:pt idx="13">
                  <c:v>5687</c:v>
                </c:pt>
                <c:pt idx="14">
                  <c:v>11295</c:v>
                </c:pt>
                <c:pt idx="15">
                  <c:v>5900</c:v>
                </c:pt>
                <c:pt idx="16">
                  <c:v>6202</c:v>
                </c:pt>
                <c:pt idx="17">
                  <c:v>57854</c:v>
                </c:pt>
                <c:pt idx="18">
                  <c:v>14699</c:v>
                </c:pt>
                <c:pt idx="19">
                  <c:v>2804</c:v>
                </c:pt>
                <c:pt idx="20">
                  <c:v>3654</c:v>
                </c:pt>
                <c:pt idx="21">
                  <c:v>2877</c:v>
                </c:pt>
                <c:pt idx="22">
                  <c:v>5048</c:v>
                </c:pt>
                <c:pt idx="23">
                  <c:v>17066</c:v>
                </c:pt>
              </c:numCache>
            </c:numRef>
          </c:val>
          <c:extLst>
            <c:ext xmlns:c16="http://schemas.microsoft.com/office/drawing/2014/chart" uri="{C3380CC4-5D6E-409C-BE32-E72D297353CC}">
              <c16:uniqueId val="{00000000-C980-49DE-BA68-551F13F23829}"/>
            </c:ext>
          </c:extLst>
        </c:ser>
        <c:ser>
          <c:idx val="1"/>
          <c:order val="1"/>
          <c:tx>
            <c:strRef>
              <c:f>'q3.1_6.1_9.1_12.1_19.1_27.1_Fig'!$AT$7</c:f>
              <c:strCache>
                <c:ptCount val="1"/>
                <c:pt idx="0">
                  <c:v>Estabelecimentos</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'q3.1_6.1_9.1_12.1_19.1_27.1_Fig'!$AR$8:$AR$31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'q3.1_6.1_9.1_12.1_19.1_27.1_Fig'!$AT$8:$AT$31</c:f>
              <c:numCache>
                <c:formatCode>#,##0</c:formatCode>
                <c:ptCount val="24"/>
                <c:pt idx="0">
                  <c:v>8261</c:v>
                </c:pt>
                <c:pt idx="1">
                  <c:v>16345</c:v>
                </c:pt>
                <c:pt idx="2">
                  <c:v>15257</c:v>
                </c:pt>
                <c:pt idx="3">
                  <c:v>59479</c:v>
                </c:pt>
                <c:pt idx="4">
                  <c:v>2739</c:v>
                </c:pt>
                <c:pt idx="5">
                  <c:v>14461</c:v>
                </c:pt>
                <c:pt idx="6">
                  <c:v>6219</c:v>
                </c:pt>
                <c:pt idx="7">
                  <c:v>3702</c:v>
                </c:pt>
                <c:pt idx="8">
                  <c:v>11325</c:v>
                </c:pt>
                <c:pt idx="9">
                  <c:v>13325</c:v>
                </c:pt>
                <c:pt idx="10">
                  <c:v>11845</c:v>
                </c:pt>
                <c:pt idx="11">
                  <c:v>8478</c:v>
                </c:pt>
                <c:pt idx="12">
                  <c:v>3245</c:v>
                </c:pt>
                <c:pt idx="13">
                  <c:v>6633</c:v>
                </c:pt>
                <c:pt idx="14">
                  <c:v>13106</c:v>
                </c:pt>
                <c:pt idx="15">
                  <c:v>7027</c:v>
                </c:pt>
                <c:pt idx="16">
                  <c:v>7366</c:v>
                </c:pt>
                <c:pt idx="17">
                  <c:v>68270</c:v>
                </c:pt>
                <c:pt idx="18">
                  <c:v>17786</c:v>
                </c:pt>
                <c:pt idx="19">
                  <c:v>3368</c:v>
                </c:pt>
                <c:pt idx="20">
                  <c:v>4263</c:v>
                </c:pt>
                <c:pt idx="21">
                  <c:v>3433</c:v>
                </c:pt>
                <c:pt idx="22">
                  <c:v>6051</c:v>
                </c:pt>
                <c:pt idx="23">
                  <c:v>20699</c:v>
                </c:pt>
              </c:numCache>
            </c:numRef>
          </c:val>
          <c:extLst>
            <c:ext xmlns:c16="http://schemas.microsoft.com/office/drawing/2014/chart" uri="{C3380CC4-5D6E-409C-BE32-E72D297353CC}">
              <c16:uniqueId val="{00000001-C980-49DE-BA68-551F13F23829}"/>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59894841213051209"/>
          <c:y val="0.8958285000206182"/>
          <c:w val="0.33981512399659702"/>
          <c:h val="7.684796893293005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'q3.1_6.1_9.1_12.1_19.1_27.1_Fig'!$BM$38</c:f>
              <c:strCache>
                <c:ptCount val="1"/>
                <c:pt idx="0">
                  <c:v>Norte</c:v>
                </c:pt>
              </c:strCache>
            </c:strRef>
          </c:cat>
          <c:val>
            <c:numRef>
              <c:extLst>
                <c:ext xmlns:c15="http://schemas.microsoft.com/office/drawing/2012/chart" uri="{02D57815-91ED-43cb-92C2-25804820EDAC}">
                  <c15:fullRef>
                    <c15:sqref>'q3.1_6.1_9.1_12.1_19.1_27.1_Fig'!$BN$38:$BN$44</c15:sqref>
                  </c15:fullRef>
                </c:ext>
              </c:extLst>
              <c:f>'q3.1_6.1_9.1_12.1_19.1_27.1_Fig'!$BN$38</c:f>
              <c:numCache>
                <c:formatCode>#,##0</c:formatCode>
                <c:ptCount val="1"/>
                <c:pt idx="0">
                  <c:v>1215310.0000000002</c:v>
                </c:pt>
              </c:numCache>
            </c:numRef>
          </c:val>
          <c:extLst>
            <c:ext xmlns:c16="http://schemas.microsoft.com/office/drawing/2014/chart" uri="{C3380CC4-5D6E-409C-BE32-E72D297353CC}">
              <c16:uniqueId val="{00000000-8AE7-4A89-B44B-9834265695B8}"/>
            </c:ext>
          </c:extLst>
        </c:ser>
        <c:ser>
          <c:idx val="1"/>
          <c:order val="1"/>
          <c:tx>
            <c:strRef>
              <c:f>'q3.1_6.1_9.1_12.1_19.1_27.1_Fig'!$BO$37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'q3.1_6.1_9.1_12.1_19.1_27.1_Fig'!$BM$38</c:f>
              <c:strCache>
                <c:ptCount val="1"/>
                <c:pt idx="0">
                  <c:v>Norte</c:v>
                </c:pt>
              </c:strCache>
            </c:strRef>
          </c:cat>
          <c:val>
            <c:numRef>
              <c:extLst>
                <c:ext xmlns:c15="http://schemas.microsoft.com/office/drawing/2012/chart" uri="{02D57815-91ED-43cb-92C2-25804820EDAC}">
                  <c15:fullRef>
                    <c15:sqref>'q3.1_6.1_9.1_12.1_19.1_27.1_Fig'!$BO$38:$BO$44</c15:sqref>
                  </c15:fullRef>
                </c:ext>
              </c:extLst>
              <c:f>'q3.1_6.1_9.1_12.1_19.1_27.1_Fig'!$BO$38</c:f>
              <c:numCache>
                <c:formatCode>#,##0</c:formatCode>
                <c:ptCount val="1"/>
                <c:pt idx="0">
                  <c:v>1142574.9999999998</c:v>
                </c:pt>
              </c:numCache>
            </c:numRef>
          </c:val>
          <c:extLst>
            <c:ext xmlns:c16="http://schemas.microsoft.com/office/drawing/2014/chart" uri="{C3380CC4-5D6E-409C-BE32-E72D297353CC}">
              <c16:uniqueId val="{00000001-8AE7-4A89-B44B-9834265695B8}"/>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'q3.1_6.1_9.1_12.1_19.1_27.1_Fig'!$BM$39</c:f>
              <c:strCache>
                <c:ptCount val="1"/>
                <c:pt idx="0">
                  <c:v>Centro</c:v>
                </c:pt>
              </c:strCache>
            </c:strRef>
          </c:cat>
          <c:val>
            <c:numRef>
              <c:extLst>
                <c:ext xmlns:c15="http://schemas.microsoft.com/office/drawing/2012/chart" uri="{02D57815-91ED-43cb-92C2-25804820EDAC}">
                  <c15:fullRef>
                    <c15:sqref>'q3.1_6.1_9.1_12.1_19.1_27.1_Fig'!$BN$38:$BN$44</c15:sqref>
                  </c15:fullRef>
                </c:ext>
              </c:extLst>
              <c:f>'q3.1_6.1_9.1_12.1_19.1_27.1_Fig'!$BN$39</c:f>
              <c:numCache>
                <c:formatCode>#,##0</c:formatCode>
                <c:ptCount val="1"/>
                <c:pt idx="0">
                  <c:v>506309.99999999988</c:v>
                </c:pt>
              </c:numCache>
            </c:numRef>
          </c:val>
          <c:extLst>
            <c:ext xmlns:c16="http://schemas.microsoft.com/office/drawing/2014/chart" uri="{C3380CC4-5D6E-409C-BE32-E72D297353CC}">
              <c16:uniqueId val="{00000000-7711-43AA-AA78-E3B58ADCDDA7}"/>
            </c:ext>
          </c:extLst>
        </c:ser>
        <c:ser>
          <c:idx val="1"/>
          <c:order val="1"/>
          <c:tx>
            <c:strRef>
              <c:f>'q3.1_6.1_9.1_12.1_19.1_27.1_Fig'!$BO$37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'q3.1_6.1_9.1_12.1_19.1_27.1_Fig'!$BM$39</c:f>
              <c:strCache>
                <c:ptCount val="1"/>
                <c:pt idx="0">
                  <c:v>Centro</c:v>
                </c:pt>
              </c:strCache>
            </c:strRef>
          </c:cat>
          <c:val>
            <c:numRef>
              <c:extLst>
                <c:ext xmlns:c15="http://schemas.microsoft.com/office/drawing/2012/chart" uri="{02D57815-91ED-43cb-92C2-25804820EDAC}">
                  <c15:fullRef>
                    <c15:sqref>'q3.1_6.1_9.1_12.1_19.1_27.1_Fig'!$BO$38:$BO$44</c15:sqref>
                  </c15:fullRef>
                </c:ext>
              </c:extLst>
              <c:f>'q3.1_6.1_9.1_12.1_19.1_27.1_Fig'!$BO$39</c:f>
              <c:numCache>
                <c:formatCode>#,##0</c:formatCode>
                <c:ptCount val="1"/>
                <c:pt idx="0">
                  <c:v>473399</c:v>
                </c:pt>
              </c:numCache>
            </c:numRef>
          </c:val>
          <c:extLst>
            <c:ext xmlns:c16="http://schemas.microsoft.com/office/drawing/2014/chart" uri="{C3380CC4-5D6E-409C-BE32-E72D297353CC}">
              <c16:uniqueId val="{00000001-7711-43AA-AA78-E3B58ADCDDA7}"/>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'q3.1_6.1_9.1_12.1_19.1_27.1_Fig'!$BM$40</c:f>
              <c:strCache>
                <c:ptCount val="1"/>
                <c:pt idx="0">
                  <c:v>Oeste e Vale do Tejo</c:v>
                </c:pt>
              </c:strCache>
            </c:strRef>
          </c:cat>
          <c:val>
            <c:numRef>
              <c:extLst>
                <c:ext xmlns:c15="http://schemas.microsoft.com/office/drawing/2012/chart" uri="{02D57815-91ED-43cb-92C2-25804820EDAC}">
                  <c15:fullRef>
                    <c15:sqref>'q3.1_6.1_9.1_12.1_19.1_27.1_Fig'!$BN$38:$BN$44</c15:sqref>
                  </c15:fullRef>
                </c:ext>
              </c:extLst>
              <c:f>'q3.1_6.1_9.1_12.1_19.1_27.1_Fig'!$BN$40</c:f>
              <c:numCache>
                <c:formatCode>#,##0</c:formatCode>
                <c:ptCount val="1"/>
                <c:pt idx="0">
                  <c:v>233662.99999999994</c:v>
                </c:pt>
              </c:numCache>
            </c:numRef>
          </c:val>
          <c:extLst>
            <c:ext xmlns:c16="http://schemas.microsoft.com/office/drawing/2014/chart" uri="{C3380CC4-5D6E-409C-BE32-E72D297353CC}">
              <c16:uniqueId val="{00000000-3B67-48A3-8E53-104F31B6A998}"/>
            </c:ext>
          </c:extLst>
        </c:ser>
        <c:ser>
          <c:idx val="1"/>
          <c:order val="1"/>
          <c:tx>
            <c:strRef>
              <c:f>'q3.1_6.1_9.1_12.1_19.1_27.1_Fig'!$BO$37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'q3.1_6.1_9.1_12.1_19.1_27.1_Fig'!$BM$40</c:f>
              <c:strCache>
                <c:ptCount val="1"/>
                <c:pt idx="0">
                  <c:v>Oeste e Vale do Tejo</c:v>
                </c:pt>
              </c:strCache>
            </c:strRef>
          </c:cat>
          <c:val>
            <c:numRef>
              <c:extLst>
                <c:ext xmlns:c15="http://schemas.microsoft.com/office/drawing/2012/chart" uri="{02D57815-91ED-43cb-92C2-25804820EDAC}">
                  <c15:fullRef>
                    <c15:sqref>'q3.1_6.1_9.1_12.1_19.1_27.1_Fig'!$BO$38:$BO$44</c15:sqref>
                  </c15:fullRef>
                </c:ext>
              </c:extLst>
              <c:f>'q3.1_6.1_9.1_12.1_19.1_27.1_Fig'!$BO$40</c:f>
              <c:numCache>
                <c:formatCode>#,##0</c:formatCode>
                <c:ptCount val="1"/>
                <c:pt idx="0">
                  <c:v>217876.00000000006</c:v>
                </c:pt>
              </c:numCache>
            </c:numRef>
          </c:val>
          <c:extLst>
            <c:ext xmlns:c16="http://schemas.microsoft.com/office/drawing/2014/chart" uri="{C3380CC4-5D6E-409C-BE32-E72D297353CC}">
              <c16:uniqueId val="{00000001-3B67-48A3-8E53-104F31B6A998}"/>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'q3.1_6.1_9.1_12.1_19.1_27.1_Fig'!$BM$42</c:f>
              <c:strCache>
                <c:ptCount val="1"/>
                <c:pt idx="0">
                  <c:v>Península de Setúbal</c:v>
                </c:pt>
              </c:strCache>
            </c:strRef>
          </c:cat>
          <c:val>
            <c:numRef>
              <c:extLst>
                <c:ext xmlns:c15="http://schemas.microsoft.com/office/drawing/2012/chart" uri="{02D57815-91ED-43cb-92C2-25804820EDAC}">
                  <c15:fullRef>
                    <c15:sqref>'q3.1_6.1_9.1_12.1_19.1_27.1_Fig'!$BN$38:$BN$44</c15:sqref>
                  </c15:fullRef>
                </c:ext>
              </c:extLst>
              <c:f>'q3.1_6.1_9.1_12.1_19.1_27.1_Fig'!$BN$42</c:f>
              <c:numCache>
                <c:formatCode>#,##0</c:formatCode>
                <c:ptCount val="1"/>
                <c:pt idx="0">
                  <c:v>168606.00000000003</c:v>
                </c:pt>
              </c:numCache>
            </c:numRef>
          </c:val>
          <c:extLst>
            <c:ext xmlns:c16="http://schemas.microsoft.com/office/drawing/2014/chart" uri="{C3380CC4-5D6E-409C-BE32-E72D297353CC}">
              <c16:uniqueId val="{00000000-14BD-4E34-B070-9AF8999EE4F7}"/>
            </c:ext>
          </c:extLst>
        </c:ser>
        <c:ser>
          <c:idx val="1"/>
          <c:order val="1"/>
          <c:tx>
            <c:strRef>
              <c:f>'q3.1_6.1_9.1_12.1_19.1_27.1_Fig'!$BO$37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'q3.1_6.1_9.1_12.1_19.1_27.1_Fig'!$BM$42</c:f>
              <c:strCache>
                <c:ptCount val="1"/>
                <c:pt idx="0">
                  <c:v>Península de Setúbal</c:v>
                </c:pt>
              </c:strCache>
            </c:strRef>
          </c:cat>
          <c:val>
            <c:numRef>
              <c:extLst>
                <c:ext xmlns:c15="http://schemas.microsoft.com/office/drawing/2012/chart" uri="{02D57815-91ED-43cb-92C2-25804820EDAC}">
                  <c15:fullRef>
                    <c15:sqref>'q3.1_6.1_9.1_12.1_19.1_27.1_Fig'!$BO$38:$BO$44</c15:sqref>
                  </c15:fullRef>
                </c:ext>
              </c:extLst>
              <c:f>'q3.1_6.1_9.1_12.1_19.1_27.1_Fig'!$BO$42</c:f>
              <c:numCache>
                <c:formatCode>#,##0</c:formatCode>
                <c:ptCount val="1"/>
                <c:pt idx="0">
                  <c:v>158898</c:v>
                </c:pt>
              </c:numCache>
            </c:numRef>
          </c:val>
          <c:extLst>
            <c:ext xmlns:c16="http://schemas.microsoft.com/office/drawing/2014/chart" uri="{C3380CC4-5D6E-409C-BE32-E72D297353CC}">
              <c16:uniqueId val="{00000001-14BD-4E34-B070-9AF8999EE4F7}"/>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'q3.1_6.1_9.1_12.1_19.1_27.1_Fig'!$BM$41</c:f>
              <c:strCache>
                <c:ptCount val="1"/>
                <c:pt idx="0">
                  <c:v>Grande Lisboa</c:v>
                </c:pt>
              </c:strCache>
            </c:strRef>
          </c:cat>
          <c:val>
            <c:numRef>
              <c:extLst>
                <c:ext xmlns:c15="http://schemas.microsoft.com/office/drawing/2012/chart" uri="{02D57815-91ED-43cb-92C2-25804820EDAC}">
                  <c15:fullRef>
                    <c15:sqref>'q3.1_6.1_9.1_12.1_19.1_27.1_Fig'!$BN$38:$BN$44</c15:sqref>
                  </c15:fullRef>
                </c:ext>
              </c:extLst>
              <c:f>'q3.1_6.1_9.1_12.1_19.1_27.1_Fig'!$BN$41</c:f>
              <c:numCache>
                <c:formatCode>#,##0</c:formatCode>
                <c:ptCount val="1"/>
                <c:pt idx="0">
                  <c:v>915180</c:v>
                </c:pt>
              </c:numCache>
            </c:numRef>
          </c:val>
          <c:extLst>
            <c:ext xmlns:c16="http://schemas.microsoft.com/office/drawing/2014/chart" uri="{C3380CC4-5D6E-409C-BE32-E72D297353CC}">
              <c16:uniqueId val="{00000000-EE98-4D46-93CC-460E376A8A57}"/>
            </c:ext>
          </c:extLst>
        </c:ser>
        <c:ser>
          <c:idx val="1"/>
          <c:order val="1"/>
          <c:tx>
            <c:strRef>
              <c:f>'q3.1_6.1_9.1_12.1_19.1_27.1_Fig'!$BO$37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'q3.1_6.1_9.1_12.1_19.1_27.1_Fig'!$BM$41</c:f>
              <c:strCache>
                <c:ptCount val="1"/>
                <c:pt idx="0">
                  <c:v>Grande Lisboa</c:v>
                </c:pt>
              </c:strCache>
            </c:strRef>
          </c:cat>
          <c:val>
            <c:numRef>
              <c:extLst>
                <c:ext xmlns:c15="http://schemas.microsoft.com/office/drawing/2012/chart" uri="{02D57815-91ED-43cb-92C2-25804820EDAC}">
                  <c15:fullRef>
                    <c15:sqref>'q3.1_6.1_9.1_12.1_19.1_27.1_Fig'!$BO$38:$BO$44</c15:sqref>
                  </c15:fullRef>
                </c:ext>
              </c:extLst>
              <c:f>'q3.1_6.1_9.1_12.1_19.1_27.1_Fig'!$BO$41</c:f>
              <c:numCache>
                <c:formatCode>#,##0</c:formatCode>
                <c:ptCount val="1"/>
                <c:pt idx="0">
                  <c:v>875584</c:v>
                </c:pt>
              </c:numCache>
            </c:numRef>
          </c:val>
          <c:extLst>
            <c:ext xmlns:c16="http://schemas.microsoft.com/office/drawing/2014/chart" uri="{C3380CC4-5D6E-409C-BE32-E72D297353CC}">
              <c16:uniqueId val="{00000001-EE98-4D46-93CC-460E376A8A57}"/>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'q3.1_6.1_9.1_12.1_19.1_27.1_Fig'!$BM$43</c:f>
              <c:strCache>
                <c:ptCount val="1"/>
                <c:pt idx="0">
                  <c:v>Alentejo</c:v>
                </c:pt>
              </c:strCache>
            </c:strRef>
          </c:cat>
          <c:val>
            <c:numRef>
              <c:extLst>
                <c:ext xmlns:c15="http://schemas.microsoft.com/office/drawing/2012/chart" uri="{02D57815-91ED-43cb-92C2-25804820EDAC}">
                  <c15:fullRef>
                    <c15:sqref>'q3.1_6.1_9.1_12.1_19.1_27.1_Fig'!$BN$38:$BN$44</c15:sqref>
                  </c15:fullRef>
                </c:ext>
              </c:extLst>
              <c:f>'q3.1_6.1_9.1_12.1_19.1_27.1_Fig'!$BN$43</c:f>
              <c:numCache>
                <c:formatCode>#,##0</c:formatCode>
                <c:ptCount val="1"/>
                <c:pt idx="0">
                  <c:v>132510.00000000003</c:v>
                </c:pt>
              </c:numCache>
            </c:numRef>
          </c:val>
          <c:extLst>
            <c:ext xmlns:c16="http://schemas.microsoft.com/office/drawing/2014/chart" uri="{C3380CC4-5D6E-409C-BE32-E72D297353CC}">
              <c16:uniqueId val="{00000000-D4C9-4714-963D-11110D90BC55}"/>
            </c:ext>
          </c:extLst>
        </c:ser>
        <c:ser>
          <c:idx val="1"/>
          <c:order val="1"/>
          <c:tx>
            <c:strRef>
              <c:f>'q3.1_6.1_9.1_12.1_19.1_27.1_Fig'!$BO$37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'q3.1_6.1_9.1_12.1_19.1_27.1_Fig'!$BM$43</c:f>
              <c:strCache>
                <c:ptCount val="1"/>
                <c:pt idx="0">
                  <c:v>Alentejo</c:v>
                </c:pt>
              </c:strCache>
            </c:strRef>
          </c:cat>
          <c:val>
            <c:numRef>
              <c:extLst>
                <c:ext xmlns:c15="http://schemas.microsoft.com/office/drawing/2012/chart" uri="{02D57815-91ED-43cb-92C2-25804820EDAC}">
                  <c15:fullRef>
                    <c15:sqref>'q3.1_6.1_9.1_12.1_19.1_27.1_Fig'!$BO$38:$BO$44</c15:sqref>
                  </c15:fullRef>
                </c:ext>
              </c:extLst>
              <c:f>'q3.1_6.1_9.1_12.1_19.1_27.1_Fig'!$BO$43</c:f>
              <c:numCache>
                <c:formatCode>#,##0</c:formatCode>
                <c:ptCount val="1"/>
                <c:pt idx="0">
                  <c:v>125145.00000000001</c:v>
                </c:pt>
              </c:numCache>
            </c:numRef>
          </c:val>
          <c:extLst>
            <c:ext xmlns:c16="http://schemas.microsoft.com/office/drawing/2014/chart" uri="{C3380CC4-5D6E-409C-BE32-E72D297353CC}">
              <c16:uniqueId val="{00000001-D4C9-4714-963D-11110D90BC55}"/>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'q3.1_6.1_9.1_12.1_19.1_27.1_Fig'!$BM$44</c:f>
              <c:strCache>
                <c:ptCount val="1"/>
                <c:pt idx="0">
                  <c:v>Algarve</c:v>
                </c:pt>
              </c:strCache>
            </c:strRef>
          </c:cat>
          <c:val>
            <c:numRef>
              <c:extLst>
                <c:ext xmlns:c15="http://schemas.microsoft.com/office/drawing/2012/chart" uri="{02D57815-91ED-43cb-92C2-25804820EDAC}">
                  <c15:fullRef>
                    <c15:sqref>'q3.1_6.1_9.1_12.1_19.1_27.1_Fig'!$BN$38:$BN$44</c15:sqref>
                  </c15:fullRef>
                </c:ext>
              </c:extLst>
              <c:f>'q3.1_6.1_9.1_12.1_19.1_27.1_Fig'!$BN$44</c:f>
              <c:numCache>
                <c:formatCode>#,##0</c:formatCode>
                <c:ptCount val="1"/>
                <c:pt idx="0">
                  <c:v>165503</c:v>
                </c:pt>
              </c:numCache>
            </c:numRef>
          </c:val>
          <c:extLst>
            <c:ext xmlns:c16="http://schemas.microsoft.com/office/drawing/2014/chart" uri="{C3380CC4-5D6E-409C-BE32-E72D297353CC}">
              <c16:uniqueId val="{00000000-0FA3-4D23-BB30-32E008E03B06}"/>
            </c:ext>
          </c:extLst>
        </c:ser>
        <c:ser>
          <c:idx val="1"/>
          <c:order val="1"/>
          <c:tx>
            <c:strRef>
              <c:f>'q3.1_6.1_9.1_12.1_19.1_27.1_Fig'!$BO$37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'q3.1_6.1_9.1_12.1_19.1_27.1_Fig'!$BM$44</c:f>
              <c:strCache>
                <c:ptCount val="1"/>
                <c:pt idx="0">
                  <c:v>Algarve</c:v>
                </c:pt>
              </c:strCache>
            </c:strRef>
          </c:cat>
          <c:val>
            <c:numRef>
              <c:extLst>
                <c:ext xmlns:c15="http://schemas.microsoft.com/office/drawing/2012/chart" uri="{02D57815-91ED-43cb-92C2-25804820EDAC}">
                  <c15:fullRef>
                    <c15:sqref>'q3.1_6.1_9.1_12.1_19.1_27.1_Fig'!$BO$38:$BO$44</c15:sqref>
                  </c15:fullRef>
                </c:ext>
              </c:extLst>
              <c:f>'q3.1_6.1_9.1_12.1_19.1_27.1_Fig'!$BO$44</c:f>
              <c:numCache>
                <c:formatCode>#,##0</c:formatCode>
                <c:ptCount val="1"/>
                <c:pt idx="0">
                  <c:v>154669.99999999997</c:v>
                </c:pt>
              </c:numCache>
            </c:numRef>
          </c:val>
          <c:extLst>
            <c:ext xmlns:c16="http://schemas.microsoft.com/office/drawing/2014/chart" uri="{C3380CC4-5D6E-409C-BE32-E72D297353CC}">
              <c16:uniqueId val="{00000001-0FA3-4D23-BB30-32E008E03B06}"/>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02415867900997E-2"/>
          <c:y val="0.18472812943831005"/>
          <c:w val="0.80869505356964055"/>
          <c:h val="0.58657484618386491"/>
        </c:manualLayout>
      </c:layout>
      <c:lineChart>
        <c:grouping val="standard"/>
        <c:varyColors val="0"/>
        <c:ser>
          <c:idx val="0"/>
          <c:order val="0"/>
          <c:tx>
            <c:strRef>
              <c:f>q17_q18_q25_q26_Fig!$R$51</c:f>
              <c:strCache>
                <c:ptCount val="1"/>
                <c:pt idx="0">
                  <c:v>Micro (1-9 pessoas)</c:v>
                </c:pt>
              </c:strCache>
            </c:strRef>
          </c:tx>
          <c:spPr>
            <a:ln w="31750" cap="rnd">
              <a:solidFill>
                <a:srgbClr val="3C1692"/>
              </a:solidFill>
              <a:round/>
            </a:ln>
            <a:effectLst/>
          </c:spPr>
          <c:marker>
            <c:symbol val="circle"/>
            <c:size val="6"/>
            <c:spPr>
              <a:solidFill>
                <a:srgbClr val="3C1692"/>
              </a:solidFill>
              <a:ln w="9525">
                <a:noFill/>
              </a:ln>
              <a:effectLst/>
            </c:spPr>
          </c:marker>
          <c:cat>
            <c:numRef>
              <c:f>q17_q18_q25_q26_Fig!$S$50:$AC$50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q17_q18_q25_q26_Fig!$S$51:$AC$51</c:f>
              <c:numCache>
                <c:formatCode>0.00</c:formatCode>
                <c:ptCount val="11"/>
                <c:pt idx="0">
                  <c:v>743.58292049621616</c:v>
                </c:pt>
                <c:pt idx="1">
                  <c:v>740.81113427879666</c:v>
                </c:pt>
                <c:pt idx="2">
                  <c:v>743.1896559413243</c:v>
                </c:pt>
                <c:pt idx="3">
                  <c:v>741.72346108913666</c:v>
                </c:pt>
                <c:pt idx="4">
                  <c:v>755.98997789720329</c:v>
                </c:pt>
                <c:pt idx="5">
                  <c:v>774.5510595915548</c:v>
                </c:pt>
                <c:pt idx="6">
                  <c:v>798.39362542964363</c:v>
                </c:pt>
                <c:pt idx="7">
                  <c:v>825.35989397402784</c:v>
                </c:pt>
                <c:pt idx="8">
                  <c:v>862.12708824020444</c:v>
                </c:pt>
                <c:pt idx="9">
                  <c:v>897.66026872455643</c:v>
                </c:pt>
                <c:pt idx="10">
                  <c:v>944.24478854155598</c:v>
                </c:pt>
              </c:numCache>
            </c:numRef>
          </c:val>
          <c:smooth val="0"/>
          <c:extLst>
            <c:ext xmlns:c16="http://schemas.microsoft.com/office/drawing/2014/chart" uri="{C3380CC4-5D6E-409C-BE32-E72D297353CC}">
              <c16:uniqueId val="{00000000-929F-482E-8BF0-AED3B1FB5309}"/>
            </c:ext>
          </c:extLst>
        </c:ser>
        <c:ser>
          <c:idx val="1"/>
          <c:order val="1"/>
          <c:tx>
            <c:strRef>
              <c:f>q17_q18_q25_q26_Fig!$R$52</c:f>
              <c:strCache>
                <c:ptCount val="1"/>
                <c:pt idx="0">
                  <c:v>Pequenos (10 - 49 pessoas)</c:v>
                </c:pt>
              </c:strCache>
            </c:strRef>
          </c:tx>
          <c:spPr>
            <a:ln w="31750" cap="rnd">
              <a:solidFill>
                <a:srgbClr val="1403EB"/>
              </a:solidFill>
              <a:round/>
            </a:ln>
            <a:effectLst/>
          </c:spPr>
          <c:marker>
            <c:symbol val="circle"/>
            <c:size val="6"/>
            <c:spPr>
              <a:solidFill>
                <a:srgbClr val="1403EB"/>
              </a:solidFill>
              <a:ln w="9525">
                <a:noFill/>
              </a:ln>
              <a:effectLst/>
            </c:spPr>
          </c:marker>
          <c:cat>
            <c:numRef>
              <c:f>q17_q18_q25_q26_Fig!$S$50:$AC$50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q17_q18_q25_q26_Fig!$S$52:$AC$52</c:f>
              <c:numCache>
                <c:formatCode>0.00</c:formatCode>
                <c:ptCount val="11"/>
                <c:pt idx="0">
                  <c:v>886.03413030358979</c:v>
                </c:pt>
                <c:pt idx="1">
                  <c:v>880.69844559663761</c:v>
                </c:pt>
                <c:pt idx="2">
                  <c:v>875.5270905585777</c:v>
                </c:pt>
                <c:pt idx="3">
                  <c:v>876.08013653293108</c:v>
                </c:pt>
                <c:pt idx="4">
                  <c:v>882.80530988207897</c:v>
                </c:pt>
                <c:pt idx="5">
                  <c:v>896.4722523640778</c:v>
                </c:pt>
                <c:pt idx="6">
                  <c:v>919.58524604114712</c:v>
                </c:pt>
                <c:pt idx="7">
                  <c:v>948.36081891733545</c:v>
                </c:pt>
                <c:pt idx="8">
                  <c:v>989.62749356880101</c:v>
                </c:pt>
                <c:pt idx="9">
                  <c:v>1024.3181100472259</c:v>
                </c:pt>
                <c:pt idx="10">
                  <c:v>1070.1151648546956</c:v>
                </c:pt>
              </c:numCache>
            </c:numRef>
          </c:val>
          <c:smooth val="0"/>
          <c:extLst>
            <c:ext xmlns:c16="http://schemas.microsoft.com/office/drawing/2014/chart" uri="{C3380CC4-5D6E-409C-BE32-E72D297353CC}">
              <c16:uniqueId val="{00000001-929F-482E-8BF0-AED3B1FB5309}"/>
            </c:ext>
          </c:extLst>
        </c:ser>
        <c:ser>
          <c:idx val="2"/>
          <c:order val="2"/>
          <c:tx>
            <c:strRef>
              <c:f>q17_q18_q25_q26_Fig!$R$53</c:f>
              <c:strCache>
                <c:ptCount val="1"/>
                <c:pt idx="0">
                  <c:v>Médios (50 - 249 pessoas)</c:v>
                </c:pt>
              </c:strCache>
            </c:strRef>
          </c:tx>
          <c:spPr>
            <a:ln w="31750" cap="rnd">
              <a:solidFill>
                <a:srgbClr val="558ED5"/>
              </a:solidFill>
              <a:round/>
            </a:ln>
            <a:effectLst/>
          </c:spPr>
          <c:marker>
            <c:symbol val="circle"/>
            <c:size val="6"/>
            <c:spPr>
              <a:solidFill>
                <a:srgbClr val="558ED5"/>
              </a:solidFill>
              <a:ln w="9525">
                <a:noFill/>
              </a:ln>
              <a:effectLst/>
            </c:spPr>
          </c:marker>
          <c:cat>
            <c:numRef>
              <c:f>q17_q18_q25_q26_Fig!$S$50:$AC$50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q17_q18_q25_q26_Fig!$S$53:$AC$53</c:f>
              <c:numCache>
                <c:formatCode>0.00</c:formatCode>
                <c:ptCount val="11"/>
                <c:pt idx="0">
                  <c:v>1049.3663383300029</c:v>
                </c:pt>
                <c:pt idx="1">
                  <c:v>1042.7234273191029</c:v>
                </c:pt>
                <c:pt idx="2">
                  <c:v>1033.4462446703631</c:v>
                </c:pt>
                <c:pt idx="3">
                  <c:v>1043.9948238642926</c:v>
                </c:pt>
                <c:pt idx="4">
                  <c:v>1048.9024058545212</c:v>
                </c:pt>
                <c:pt idx="5">
                  <c:v>1063.2205857493338</c:v>
                </c:pt>
                <c:pt idx="6">
                  <c:v>1090.6277371485573</c:v>
                </c:pt>
                <c:pt idx="7">
                  <c:v>1118.9973468408616</c:v>
                </c:pt>
                <c:pt idx="8">
                  <c:v>1164.7308444214914</c:v>
                </c:pt>
                <c:pt idx="9">
                  <c:v>1194.2578287563724</c:v>
                </c:pt>
                <c:pt idx="10">
                  <c:v>1252.1737579991295</c:v>
                </c:pt>
              </c:numCache>
            </c:numRef>
          </c:val>
          <c:smooth val="0"/>
          <c:extLst>
            <c:ext xmlns:c16="http://schemas.microsoft.com/office/drawing/2014/chart" uri="{C3380CC4-5D6E-409C-BE32-E72D297353CC}">
              <c16:uniqueId val="{00000002-929F-482E-8BF0-AED3B1FB5309}"/>
            </c:ext>
          </c:extLst>
        </c:ser>
        <c:ser>
          <c:idx val="3"/>
          <c:order val="3"/>
          <c:tx>
            <c:strRef>
              <c:f>q17_q18_q25_q26_Fig!$R$54</c:f>
              <c:strCache>
                <c:ptCount val="1"/>
                <c:pt idx="0">
                  <c:v>Grandes (250 ou + pessoas)</c:v>
                </c:pt>
              </c:strCache>
            </c:strRef>
          </c:tx>
          <c:spPr>
            <a:ln w="31750" cap="rnd">
              <a:solidFill>
                <a:srgbClr val="B6C3FF"/>
              </a:solidFill>
              <a:round/>
            </a:ln>
            <a:effectLst/>
          </c:spPr>
          <c:marker>
            <c:symbol val="circle"/>
            <c:size val="6"/>
            <c:spPr>
              <a:solidFill>
                <a:srgbClr val="B6C3FF"/>
              </a:solidFill>
              <a:ln w="9525">
                <a:noFill/>
              </a:ln>
              <a:effectLst/>
            </c:spPr>
          </c:marker>
          <c:cat>
            <c:numRef>
              <c:f>q17_q18_q25_q26_Fig!$S$50:$AC$50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q17_q18_q25_q26_Fig!$S$54:$AC$54</c:f>
              <c:numCache>
                <c:formatCode>0.00</c:formatCode>
                <c:ptCount val="11"/>
                <c:pt idx="0">
                  <c:v>1091.4436407693956</c:v>
                </c:pt>
                <c:pt idx="1">
                  <c:v>1086.3858777541591</c:v>
                </c:pt>
                <c:pt idx="2">
                  <c:v>1085.2273360912188</c:v>
                </c:pt>
                <c:pt idx="3">
                  <c:v>1088.7322217053959</c:v>
                </c:pt>
                <c:pt idx="4">
                  <c:v>1103.3644691262884</c:v>
                </c:pt>
                <c:pt idx="5">
                  <c:v>1117.6163821959772</c:v>
                </c:pt>
                <c:pt idx="6">
                  <c:v>1146.9318293946403</c:v>
                </c:pt>
                <c:pt idx="7">
                  <c:v>1193.8097437693536</c:v>
                </c:pt>
                <c:pt idx="8">
                  <c:v>1207.2450165587788</c:v>
                </c:pt>
                <c:pt idx="9">
                  <c:v>1276.5702814511374</c:v>
                </c:pt>
                <c:pt idx="10">
                  <c:v>1366.1708828126364</c:v>
                </c:pt>
              </c:numCache>
            </c:numRef>
          </c:val>
          <c:smooth val="0"/>
          <c:extLst>
            <c:ext xmlns:c16="http://schemas.microsoft.com/office/drawing/2014/chart" uri="{C3380CC4-5D6E-409C-BE32-E72D297353CC}">
              <c16:uniqueId val="{00000003-929F-482E-8BF0-AED3B1FB5309}"/>
            </c:ext>
          </c:extLst>
        </c:ser>
        <c:dLbls>
          <c:showLegendKey val="0"/>
          <c:showVal val="0"/>
          <c:showCatName val="0"/>
          <c:showSerName val="0"/>
          <c:showPercent val="0"/>
          <c:showBubbleSize val="0"/>
        </c:dLbls>
        <c:marker val="1"/>
        <c:smooth val="0"/>
        <c:axId val="903145471"/>
        <c:axId val="857673247"/>
      </c:lineChart>
      <c:catAx>
        <c:axId val="903145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PT"/>
          </a:p>
        </c:txPr>
        <c:crossAx val="857673247"/>
        <c:crosses val="autoZero"/>
        <c:auto val="1"/>
        <c:lblAlgn val="ctr"/>
        <c:lblOffset val="100"/>
        <c:noMultiLvlLbl val="0"/>
      </c:catAx>
      <c:valAx>
        <c:axId val="857673247"/>
        <c:scaling>
          <c:orientation val="minMax"/>
          <c:max val="1800"/>
          <c:min val="0"/>
        </c:scaling>
        <c:delete val="0"/>
        <c:axPos val="l"/>
        <c:majorGridlines>
          <c:spPr>
            <a:ln w="9525" cap="flat" cmpd="sng" algn="ctr">
              <a:noFill/>
              <a:round/>
            </a:ln>
            <a:effectLst/>
          </c:spPr>
        </c:majorGridlines>
        <c:numFmt formatCode="#,##0\ &quot;€&quot;"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PT"/>
          </a:p>
        </c:txPr>
        <c:crossAx val="903145471"/>
        <c:crosses val="autoZero"/>
        <c:crossBetween val="between"/>
        <c:majorUnit val="200"/>
      </c:valAx>
      <c:spPr>
        <a:noFill/>
        <a:ln>
          <a:noFill/>
        </a:ln>
        <a:effectLst/>
      </c:spPr>
    </c:plotArea>
    <c:legend>
      <c:legendPos val="b"/>
      <c:layout>
        <c:manualLayout>
          <c:xMode val="edge"/>
          <c:yMode val="edge"/>
          <c:x val="4.8193870222194721E-2"/>
          <c:y val="0.86939811246391219"/>
          <c:w val="0.88139020122484701"/>
          <c:h val="0.12002934858142644"/>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480007681966582"/>
          <c:y val="3.567815386713024E-2"/>
          <c:w val="0.60796750997841242"/>
          <c:h val="0.92049561986569861"/>
        </c:manualLayout>
      </c:layout>
      <c:barChart>
        <c:barDir val="bar"/>
        <c:grouping val="clustered"/>
        <c:varyColors val="0"/>
        <c:ser>
          <c:idx val="0"/>
          <c:order val="0"/>
          <c:tx>
            <c:strRef>
              <c:f>'q3.1_6.1_9.1_12.1_19.1_27.1_Fig'!$BN$7</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'q3.1_6.1_9.1_12.1_19.1_27.1_Fig'!$BM$8:$BM$31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'q3.1_6.1_9.1_12.1_19.1_27.1_Fig'!$BN$8:$BN$31</c:f>
              <c:numCache>
                <c:formatCode>#,##0</c:formatCode>
                <c:ptCount val="24"/>
                <c:pt idx="0">
                  <c:v>68558</c:v>
                </c:pt>
                <c:pt idx="1">
                  <c:v>153121</c:v>
                </c:pt>
                <c:pt idx="2">
                  <c:v>149246</c:v>
                </c:pt>
                <c:pt idx="3">
                  <c:v>633694</c:v>
                </c:pt>
                <c:pt idx="4">
                  <c:v>15757.000000000002</c:v>
                </c:pt>
                <c:pt idx="5">
                  <c:v>134241</c:v>
                </c:pt>
                <c:pt idx="6">
                  <c:v>40025.000000000007</c:v>
                </c:pt>
                <c:pt idx="7">
                  <c:v>20667.999999999996</c:v>
                </c:pt>
                <c:pt idx="8">
                  <c:v>135023</c:v>
                </c:pt>
                <c:pt idx="9">
                  <c:v>119330.00000000001</c:v>
                </c:pt>
                <c:pt idx="10">
                  <c:v>105680</c:v>
                </c:pt>
                <c:pt idx="11">
                  <c:v>74206</c:v>
                </c:pt>
                <c:pt idx="12">
                  <c:v>22628</c:v>
                </c:pt>
                <c:pt idx="13">
                  <c:v>49443</c:v>
                </c:pt>
                <c:pt idx="14">
                  <c:v>105262</c:v>
                </c:pt>
                <c:pt idx="15">
                  <c:v>58043.999999999993</c:v>
                </c:pt>
                <c:pt idx="16">
                  <c:v>70357</c:v>
                </c:pt>
                <c:pt idx="17">
                  <c:v>915180</c:v>
                </c:pt>
                <c:pt idx="18">
                  <c:v>168606.00000000003</c:v>
                </c:pt>
                <c:pt idx="19">
                  <c:v>35947</c:v>
                </c:pt>
                <c:pt idx="20">
                  <c:v>29984</c:v>
                </c:pt>
                <c:pt idx="21">
                  <c:v>23056</c:v>
                </c:pt>
                <c:pt idx="22">
                  <c:v>43523</c:v>
                </c:pt>
                <c:pt idx="23">
                  <c:v>165503</c:v>
                </c:pt>
              </c:numCache>
            </c:numRef>
          </c:val>
          <c:extLst>
            <c:ext xmlns:c16="http://schemas.microsoft.com/office/drawing/2014/chart" uri="{C3380CC4-5D6E-409C-BE32-E72D297353CC}">
              <c16:uniqueId val="{00000000-24DE-4FDF-99C3-488D0C3BDFB4}"/>
            </c:ext>
          </c:extLst>
        </c:ser>
        <c:ser>
          <c:idx val="1"/>
          <c:order val="1"/>
          <c:tx>
            <c:strRef>
              <c:f>'q3.1_6.1_9.1_12.1_19.1_27.1_Fig'!$BO$7</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'q3.1_6.1_9.1_12.1_19.1_27.1_Fig'!$BM$8:$BM$31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'q3.1_6.1_9.1_12.1_19.1_27.1_Fig'!$BO$8:$BO$31</c:f>
              <c:numCache>
                <c:formatCode>#,##0</c:formatCode>
                <c:ptCount val="24"/>
                <c:pt idx="0">
                  <c:v>64187</c:v>
                </c:pt>
                <c:pt idx="1">
                  <c:v>143159</c:v>
                </c:pt>
                <c:pt idx="2">
                  <c:v>140262</c:v>
                </c:pt>
                <c:pt idx="3">
                  <c:v>598036</c:v>
                </c:pt>
                <c:pt idx="4">
                  <c:v>14446</c:v>
                </c:pt>
                <c:pt idx="5">
                  <c:v>126317.99999999999</c:v>
                </c:pt>
                <c:pt idx="6">
                  <c:v>37314</c:v>
                </c:pt>
                <c:pt idx="7">
                  <c:v>18853</c:v>
                </c:pt>
                <c:pt idx="8">
                  <c:v>127100</c:v>
                </c:pt>
                <c:pt idx="9">
                  <c:v>111437</c:v>
                </c:pt>
                <c:pt idx="10">
                  <c:v>98098</c:v>
                </c:pt>
                <c:pt idx="11">
                  <c:v>69493</c:v>
                </c:pt>
                <c:pt idx="12">
                  <c:v>21005</c:v>
                </c:pt>
                <c:pt idx="13">
                  <c:v>46266</c:v>
                </c:pt>
                <c:pt idx="14">
                  <c:v>97506</c:v>
                </c:pt>
                <c:pt idx="15">
                  <c:v>53904.000000000007</c:v>
                </c:pt>
                <c:pt idx="16">
                  <c:v>66465.999999999985</c:v>
                </c:pt>
                <c:pt idx="17">
                  <c:v>875584</c:v>
                </c:pt>
                <c:pt idx="18">
                  <c:v>158898</c:v>
                </c:pt>
                <c:pt idx="19">
                  <c:v>34475</c:v>
                </c:pt>
                <c:pt idx="20">
                  <c:v>28355.999999999996</c:v>
                </c:pt>
                <c:pt idx="21">
                  <c:v>21623.000000000007</c:v>
                </c:pt>
                <c:pt idx="22">
                  <c:v>40691</c:v>
                </c:pt>
                <c:pt idx="23">
                  <c:v>154669.99999999997</c:v>
                </c:pt>
              </c:numCache>
            </c:numRef>
          </c:val>
          <c:extLst>
            <c:ext xmlns:c16="http://schemas.microsoft.com/office/drawing/2014/chart" uri="{C3380CC4-5D6E-409C-BE32-E72D297353CC}">
              <c16:uniqueId val="{00000001-24DE-4FDF-99C3-488D0C3BDFB4}"/>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59894841213051209"/>
          <c:y val="0.8958285000206182"/>
          <c:w val="0.33981512399659702"/>
          <c:h val="7.684796893293005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'q3.1_6.1_9.1_12.1_19.1_27.1_Fig'!$CG$38</c:f>
              <c:strCache>
                <c:ptCount val="1"/>
                <c:pt idx="0">
                  <c:v>Norte</c:v>
                </c:pt>
              </c:strCache>
            </c:strRef>
          </c:cat>
          <c:val>
            <c:numRef>
              <c:extLst>
                <c:ext xmlns:c15="http://schemas.microsoft.com/office/drawing/2012/chart" uri="{02D57815-91ED-43cb-92C2-25804820EDAC}">
                  <c15:fullRef>
                    <c15:sqref>'q3.1_6.1_9.1_12.1_19.1_27.1_Fig'!$CH$38:$CH$44</c15:sqref>
                  </c15:fullRef>
                </c:ext>
              </c:extLst>
              <c:f>'q3.1_6.1_9.1_12.1_19.1_27.1_Fig'!$CH$38</c:f>
              <c:numCache>
                <c:formatCode>#,##0\ "€"</c:formatCode>
                <c:ptCount val="1"/>
                <c:pt idx="0">
                  <c:v>1063.2116885853982</c:v>
                </c:pt>
              </c:numCache>
            </c:numRef>
          </c:val>
          <c:extLst>
            <c:ext xmlns:c16="http://schemas.microsoft.com/office/drawing/2014/chart" uri="{C3380CC4-5D6E-409C-BE32-E72D297353CC}">
              <c16:uniqueId val="{00000000-66AF-4FB2-9C0F-09AEEABDD47F}"/>
            </c:ext>
          </c:extLst>
        </c:ser>
        <c:ser>
          <c:idx val="1"/>
          <c:order val="1"/>
          <c:tx>
            <c:strRef>
              <c:f>'q3.1_6.1_9.1_12.1_19.1_27.1_Fig'!$CI$37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'q3.1_6.1_9.1_12.1_19.1_27.1_Fig'!$CG$38</c:f>
              <c:strCache>
                <c:ptCount val="1"/>
                <c:pt idx="0">
                  <c:v>Norte</c:v>
                </c:pt>
              </c:strCache>
            </c:strRef>
          </c:cat>
          <c:val>
            <c:numRef>
              <c:extLst>
                <c:ext xmlns:c15="http://schemas.microsoft.com/office/drawing/2012/chart" uri="{02D57815-91ED-43cb-92C2-25804820EDAC}">
                  <c15:fullRef>
                    <c15:sqref>'q3.1_6.1_9.1_12.1_19.1_27.1_Fig'!$CI$38:$CI$44</c15:sqref>
                  </c15:fullRef>
                </c:ext>
              </c:extLst>
              <c:f>'q3.1_6.1_9.1_12.1_19.1_27.1_Fig'!$CI$38</c:f>
              <c:numCache>
                <c:formatCode>#,##0\ "€"</c:formatCode>
                <c:ptCount val="1"/>
                <c:pt idx="0">
                  <c:v>1253.4606441915191</c:v>
                </c:pt>
              </c:numCache>
            </c:numRef>
          </c:val>
          <c:extLst>
            <c:ext xmlns:c16="http://schemas.microsoft.com/office/drawing/2014/chart" uri="{C3380CC4-5D6E-409C-BE32-E72D297353CC}">
              <c16:uniqueId val="{00000001-66AF-4FB2-9C0F-09AEEABDD47F}"/>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'q3.1_6.1_9.1_12.1_19.1_27.1_Fig'!$CG$39</c:f>
              <c:strCache>
                <c:ptCount val="1"/>
                <c:pt idx="0">
                  <c:v>Centro</c:v>
                </c:pt>
              </c:strCache>
            </c:strRef>
          </c:cat>
          <c:val>
            <c:numRef>
              <c:extLst>
                <c:ext xmlns:c15="http://schemas.microsoft.com/office/drawing/2012/chart" uri="{02D57815-91ED-43cb-92C2-25804820EDAC}">
                  <c15:fullRef>
                    <c15:sqref>'q3.1_6.1_9.1_12.1_19.1_27.1_Fig'!$CH$38:$CH$44</c15:sqref>
                  </c15:fullRef>
                </c:ext>
              </c:extLst>
              <c:f>'q3.1_6.1_9.1_12.1_19.1_27.1_Fig'!$CH$39</c:f>
              <c:numCache>
                <c:formatCode>#,##0\ "€"</c:formatCode>
                <c:ptCount val="1"/>
                <c:pt idx="0">
                  <c:v>1007.642687752657</c:v>
                </c:pt>
              </c:numCache>
            </c:numRef>
          </c:val>
          <c:extLst>
            <c:ext xmlns:c16="http://schemas.microsoft.com/office/drawing/2014/chart" uri="{C3380CC4-5D6E-409C-BE32-E72D297353CC}">
              <c16:uniqueId val="{00000000-B9DB-486A-B79C-23014E7CADA6}"/>
            </c:ext>
          </c:extLst>
        </c:ser>
        <c:ser>
          <c:idx val="1"/>
          <c:order val="1"/>
          <c:tx>
            <c:strRef>
              <c:f>'q3.1_6.1_9.1_12.1_19.1_27.1_Fig'!$CI$37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'q3.1_6.1_9.1_12.1_19.1_27.1_Fig'!$CG$39</c:f>
              <c:strCache>
                <c:ptCount val="1"/>
                <c:pt idx="0">
                  <c:v>Centro</c:v>
                </c:pt>
              </c:strCache>
            </c:strRef>
          </c:cat>
          <c:val>
            <c:numRef>
              <c:extLst>
                <c:ext xmlns:c15="http://schemas.microsoft.com/office/drawing/2012/chart" uri="{02D57815-91ED-43cb-92C2-25804820EDAC}">
                  <c15:fullRef>
                    <c15:sqref>'q3.1_6.1_9.1_12.1_19.1_27.1_Fig'!$CI$38:$CI$44</c15:sqref>
                  </c15:fullRef>
                </c:ext>
              </c:extLst>
              <c:f>'q3.1_6.1_9.1_12.1_19.1_27.1_Fig'!$CI$39</c:f>
              <c:numCache>
                <c:formatCode>#,##0\ "€"</c:formatCode>
                <c:ptCount val="1"/>
                <c:pt idx="0">
                  <c:v>1218.0718507496965</c:v>
                </c:pt>
              </c:numCache>
            </c:numRef>
          </c:val>
          <c:extLst>
            <c:ext xmlns:c16="http://schemas.microsoft.com/office/drawing/2014/chart" uri="{C3380CC4-5D6E-409C-BE32-E72D297353CC}">
              <c16:uniqueId val="{00000001-B9DB-486A-B79C-23014E7CADA6}"/>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'q3.1_6.1_9.1_12.1_19.1_27.1_Fig'!$CG$40</c:f>
              <c:strCache>
                <c:ptCount val="1"/>
                <c:pt idx="0">
                  <c:v>Oeste e Vale do Tejo</c:v>
                </c:pt>
              </c:strCache>
            </c:strRef>
          </c:cat>
          <c:val>
            <c:numRef>
              <c:extLst>
                <c:ext xmlns:c15="http://schemas.microsoft.com/office/drawing/2012/chart" uri="{02D57815-91ED-43cb-92C2-25804820EDAC}">
                  <c15:fullRef>
                    <c15:sqref>'q3.1_6.1_9.1_12.1_19.1_27.1_Fig'!$CH$38:$CH$44</c15:sqref>
                  </c15:fullRef>
                </c:ext>
              </c:extLst>
              <c:f>'q3.1_6.1_9.1_12.1_19.1_27.1_Fig'!$CH$40</c:f>
              <c:numCache>
                <c:formatCode>#,##0\ "€"</c:formatCode>
                <c:ptCount val="1"/>
                <c:pt idx="0">
                  <c:v>969.16885384892851</c:v>
                </c:pt>
              </c:numCache>
            </c:numRef>
          </c:val>
          <c:extLst>
            <c:ext xmlns:c16="http://schemas.microsoft.com/office/drawing/2014/chart" uri="{C3380CC4-5D6E-409C-BE32-E72D297353CC}">
              <c16:uniqueId val="{00000000-D5C7-484F-A71E-32993EBB0E13}"/>
            </c:ext>
          </c:extLst>
        </c:ser>
        <c:ser>
          <c:idx val="1"/>
          <c:order val="1"/>
          <c:tx>
            <c:strRef>
              <c:f>'q3.1_6.1_9.1_12.1_19.1_27.1_Fig'!$CI$37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'q3.1_6.1_9.1_12.1_19.1_27.1_Fig'!$CG$40</c:f>
              <c:strCache>
                <c:ptCount val="1"/>
                <c:pt idx="0">
                  <c:v>Oeste e Vale do Tejo</c:v>
                </c:pt>
              </c:strCache>
            </c:strRef>
          </c:cat>
          <c:val>
            <c:numRef>
              <c:extLst>
                <c:ext xmlns:c15="http://schemas.microsoft.com/office/drawing/2012/chart" uri="{02D57815-91ED-43cb-92C2-25804820EDAC}">
                  <c15:fullRef>
                    <c15:sqref>'q3.1_6.1_9.1_12.1_19.1_27.1_Fig'!$CI$38:$CI$44</c15:sqref>
                  </c15:fullRef>
                </c:ext>
              </c:extLst>
              <c:f>'q3.1_6.1_9.1_12.1_19.1_27.1_Fig'!$CI$40</c:f>
              <c:numCache>
                <c:formatCode>#,##0\ "€"</c:formatCode>
                <c:ptCount val="1"/>
                <c:pt idx="0">
                  <c:v>1165.7289221289689</c:v>
                </c:pt>
              </c:numCache>
            </c:numRef>
          </c:val>
          <c:extLst>
            <c:ext xmlns:c16="http://schemas.microsoft.com/office/drawing/2014/chart" uri="{C3380CC4-5D6E-409C-BE32-E72D297353CC}">
              <c16:uniqueId val="{00000001-D5C7-484F-A71E-32993EBB0E13}"/>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'q3.1_6.1_9.1_12.1_19.1_27.1_Fig'!$CH$37</c:f>
              <c:strCache>
                <c:ptCount val="1"/>
                <c:pt idx="0">
                  <c:v>Base</c:v>
                </c:pt>
              </c:strCache>
            </c:strRef>
          </c:tx>
          <c:spPr>
            <a:solidFill>
              <a:srgbClr val="4572A5"/>
            </a:solidFill>
            <a:ln>
              <a:noFill/>
            </a:ln>
            <a:effectLst/>
          </c:spPr>
          <c:invertIfNegative val="0"/>
          <c:dLbls>
            <c:dLbl>
              <c:idx val="0"/>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3-B938-46FC-8AF4-5B5B925A67D7}"/>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'q3.1_6.1_9.1_12.1_19.1_27.1_Fig'!$CG$42</c:f>
              <c:strCache>
                <c:ptCount val="1"/>
                <c:pt idx="0">
                  <c:v>Península de Setúbal</c:v>
                </c:pt>
              </c:strCache>
            </c:strRef>
          </c:cat>
          <c:val>
            <c:numRef>
              <c:extLst>
                <c:ext xmlns:c15="http://schemas.microsoft.com/office/drawing/2012/chart" uri="{02D57815-91ED-43cb-92C2-25804820EDAC}">
                  <c15:fullRef>
                    <c15:sqref>'q3.1_6.1_9.1_12.1_19.1_27.1_Fig'!$CH$38:$CH$44</c15:sqref>
                  </c15:fullRef>
                </c:ext>
              </c:extLst>
              <c:f>'q3.1_6.1_9.1_12.1_19.1_27.1_Fig'!$CH$42</c:f>
              <c:numCache>
                <c:formatCode>#,##0\ "€"</c:formatCode>
                <c:ptCount val="1"/>
                <c:pt idx="0">
                  <c:v>1126.7122247908299</c:v>
                </c:pt>
              </c:numCache>
            </c:numRef>
          </c:val>
          <c:extLst>
            <c:ext xmlns:c16="http://schemas.microsoft.com/office/drawing/2014/chart" uri="{C3380CC4-5D6E-409C-BE32-E72D297353CC}">
              <c16:uniqueId val="{00000000-B938-46FC-8AF4-5B5B925A67D7}"/>
            </c:ext>
          </c:extLst>
        </c:ser>
        <c:ser>
          <c:idx val="1"/>
          <c:order val="1"/>
          <c:tx>
            <c:strRef>
              <c:f>'q3.1_6.1_9.1_12.1_19.1_27.1_Fig'!$CI$37</c:f>
              <c:strCache>
                <c:ptCount val="1"/>
                <c:pt idx="0">
                  <c:v>Ganho</c:v>
                </c:pt>
              </c:strCache>
            </c:strRef>
          </c:tx>
          <c:spPr>
            <a:solidFill>
              <a:srgbClr val="FFC000"/>
            </a:solidFill>
            <a:ln>
              <a:noFill/>
            </a:ln>
            <a:effectLst/>
          </c:spPr>
          <c:invertIfNegative val="0"/>
          <c:dLbls>
            <c:dLbl>
              <c:idx val="0"/>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2-B938-46FC-8AF4-5B5B925A67D7}"/>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'q3.1_6.1_9.1_12.1_19.1_27.1_Fig'!$CG$42</c:f>
              <c:strCache>
                <c:ptCount val="1"/>
                <c:pt idx="0">
                  <c:v>Península de Setúbal</c:v>
                </c:pt>
              </c:strCache>
            </c:strRef>
          </c:cat>
          <c:val>
            <c:numRef>
              <c:extLst>
                <c:ext xmlns:c15="http://schemas.microsoft.com/office/drawing/2012/chart" uri="{02D57815-91ED-43cb-92C2-25804820EDAC}">
                  <c15:fullRef>
                    <c15:sqref>'q3.1_6.1_9.1_12.1_19.1_27.1_Fig'!$CI$38:$CI$44</c15:sqref>
                  </c15:fullRef>
                </c:ext>
              </c:extLst>
              <c:f>'q3.1_6.1_9.1_12.1_19.1_27.1_Fig'!$CI$42</c:f>
              <c:numCache>
                <c:formatCode>#,##0\ "€"</c:formatCode>
                <c:ptCount val="1"/>
                <c:pt idx="0">
                  <c:v>1361.0063112502116</c:v>
                </c:pt>
              </c:numCache>
            </c:numRef>
          </c:val>
          <c:extLst>
            <c:ext xmlns:c16="http://schemas.microsoft.com/office/drawing/2014/chart" uri="{C3380CC4-5D6E-409C-BE32-E72D297353CC}">
              <c16:uniqueId val="{00000001-B938-46FC-8AF4-5B5B925A67D7}"/>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'q3.1_6.1_9.1_12.1_19.1_27.1_Fig'!$CG$41</c:f>
              <c:strCache>
                <c:ptCount val="1"/>
                <c:pt idx="0">
                  <c:v>Grande Lisboa</c:v>
                </c:pt>
              </c:strCache>
            </c:strRef>
          </c:cat>
          <c:val>
            <c:numRef>
              <c:extLst>
                <c:ext xmlns:c15="http://schemas.microsoft.com/office/drawing/2012/chart" uri="{02D57815-91ED-43cb-92C2-25804820EDAC}">
                  <c15:fullRef>
                    <c15:sqref>'q3.1_6.1_9.1_12.1_19.1_27.1_Fig'!$CH$38:$CH$44</c15:sqref>
                  </c15:fullRef>
                </c:ext>
              </c:extLst>
              <c:f>'q3.1_6.1_9.1_12.1_19.1_27.1_Fig'!$CH$41</c:f>
              <c:numCache>
                <c:formatCode>#,##0\ "€"</c:formatCode>
                <c:ptCount val="1"/>
                <c:pt idx="0">
                  <c:v>1418.3948630060115</c:v>
                </c:pt>
              </c:numCache>
            </c:numRef>
          </c:val>
          <c:extLst>
            <c:ext xmlns:c16="http://schemas.microsoft.com/office/drawing/2014/chart" uri="{C3380CC4-5D6E-409C-BE32-E72D297353CC}">
              <c16:uniqueId val="{00000000-FACD-4347-8742-1B3A9C67A537}"/>
            </c:ext>
          </c:extLst>
        </c:ser>
        <c:ser>
          <c:idx val="1"/>
          <c:order val="1"/>
          <c:tx>
            <c:strRef>
              <c:f>'q3.1_6.1_9.1_12.1_19.1_27.1_Fig'!$CI$37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'q3.1_6.1_9.1_12.1_19.1_27.1_Fig'!$CG$41</c:f>
              <c:strCache>
                <c:ptCount val="1"/>
                <c:pt idx="0">
                  <c:v>Grande Lisboa</c:v>
                </c:pt>
              </c:strCache>
            </c:strRef>
          </c:cat>
          <c:val>
            <c:numRef>
              <c:extLst>
                <c:ext xmlns:c15="http://schemas.microsoft.com/office/drawing/2012/chart" uri="{02D57815-91ED-43cb-92C2-25804820EDAC}">
                  <c15:fullRef>
                    <c15:sqref>'q3.1_6.1_9.1_12.1_19.1_27.1_Fig'!$CI$38:$CI$44</c15:sqref>
                  </c15:fullRef>
                </c:ext>
              </c:extLst>
              <c:f>'q3.1_6.1_9.1_12.1_19.1_27.1_Fig'!$CI$41</c:f>
              <c:numCache>
                <c:formatCode>#,##0\ "€"</c:formatCode>
                <c:ptCount val="1"/>
                <c:pt idx="0">
                  <c:v>1705.138574047387</c:v>
                </c:pt>
              </c:numCache>
            </c:numRef>
          </c:val>
          <c:extLst>
            <c:ext xmlns:c16="http://schemas.microsoft.com/office/drawing/2014/chart" uri="{C3380CC4-5D6E-409C-BE32-E72D297353CC}">
              <c16:uniqueId val="{00000001-FACD-4347-8742-1B3A9C67A537}"/>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'q3.1_6.1_9.1_12.1_19.1_27.1_Fig'!$CG$43</c:f>
              <c:strCache>
                <c:ptCount val="1"/>
                <c:pt idx="0">
                  <c:v>Alentejo</c:v>
                </c:pt>
              </c:strCache>
            </c:strRef>
          </c:cat>
          <c:val>
            <c:numRef>
              <c:extLst>
                <c:ext xmlns:c15="http://schemas.microsoft.com/office/drawing/2012/chart" uri="{02D57815-91ED-43cb-92C2-25804820EDAC}">
                  <c15:fullRef>
                    <c15:sqref>'q3.1_6.1_9.1_12.1_19.1_27.1_Fig'!$CH$38:$CH$44</c15:sqref>
                  </c15:fullRef>
                </c:ext>
              </c:extLst>
              <c:f>'q3.1_6.1_9.1_12.1_19.1_27.1_Fig'!$CH$43</c:f>
              <c:numCache>
                <c:formatCode>#,##0\ "€"</c:formatCode>
                <c:ptCount val="1"/>
                <c:pt idx="0">
                  <c:v>988.91355750707601</c:v>
                </c:pt>
              </c:numCache>
            </c:numRef>
          </c:val>
          <c:extLst>
            <c:ext xmlns:c16="http://schemas.microsoft.com/office/drawing/2014/chart" uri="{C3380CC4-5D6E-409C-BE32-E72D297353CC}">
              <c16:uniqueId val="{00000000-95B9-4172-B5A0-6D11058A5AF1}"/>
            </c:ext>
          </c:extLst>
        </c:ser>
        <c:ser>
          <c:idx val="1"/>
          <c:order val="1"/>
          <c:tx>
            <c:strRef>
              <c:f>'q3.1_6.1_9.1_12.1_19.1_27.1_Fig'!$CI$37</c:f>
              <c:strCache>
                <c:ptCount val="1"/>
                <c:pt idx="0">
                  <c:v>Ganho</c:v>
                </c:pt>
              </c:strCache>
            </c:strRef>
          </c:tx>
          <c:spPr>
            <a:solidFill>
              <a:srgbClr val="FFC000"/>
            </a:solidFill>
            <a:ln>
              <a:noFill/>
            </a:ln>
            <a:effectLst/>
          </c:spPr>
          <c:invertIfNegative val="0"/>
          <c:dLbls>
            <c:dLbl>
              <c:idx val="0"/>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2-95B9-4172-B5A0-6D11058A5AF1}"/>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'q3.1_6.1_9.1_12.1_19.1_27.1_Fig'!$CG$43</c:f>
              <c:strCache>
                <c:ptCount val="1"/>
                <c:pt idx="0">
                  <c:v>Alentejo</c:v>
                </c:pt>
              </c:strCache>
            </c:strRef>
          </c:cat>
          <c:val>
            <c:numRef>
              <c:extLst>
                <c:ext xmlns:c15="http://schemas.microsoft.com/office/drawing/2012/chart" uri="{02D57815-91ED-43cb-92C2-25804820EDAC}">
                  <c15:fullRef>
                    <c15:sqref>'q3.1_6.1_9.1_12.1_19.1_27.1_Fig'!$CI$38:$CI$44</c15:sqref>
                  </c15:fullRef>
                </c:ext>
              </c:extLst>
              <c:f>'q3.1_6.1_9.1_12.1_19.1_27.1_Fig'!$CI$43</c:f>
              <c:numCache>
                <c:formatCode>#,##0\ "€"</c:formatCode>
                <c:ptCount val="1"/>
                <c:pt idx="0">
                  <c:v>1225.047196267717</c:v>
                </c:pt>
              </c:numCache>
            </c:numRef>
          </c:val>
          <c:extLst>
            <c:ext xmlns:c16="http://schemas.microsoft.com/office/drawing/2014/chart" uri="{C3380CC4-5D6E-409C-BE32-E72D297353CC}">
              <c16:uniqueId val="{00000001-95B9-4172-B5A0-6D11058A5AF1}"/>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'q3.1_6.1_9.1_12.1_19.1_27.1_Fig'!$CG$44</c:f>
              <c:strCache>
                <c:ptCount val="1"/>
                <c:pt idx="0">
                  <c:v>Algarve</c:v>
                </c:pt>
              </c:strCache>
            </c:strRef>
          </c:cat>
          <c:val>
            <c:numRef>
              <c:extLst>
                <c:ext xmlns:c15="http://schemas.microsoft.com/office/drawing/2012/chart" uri="{02D57815-91ED-43cb-92C2-25804820EDAC}">
                  <c15:fullRef>
                    <c15:sqref>'q3.1_6.1_9.1_12.1_19.1_27.1_Fig'!$CH$38:$CH$44</c15:sqref>
                  </c15:fullRef>
                </c:ext>
              </c:extLst>
              <c:f>'q3.1_6.1_9.1_12.1_19.1_27.1_Fig'!$CH$44</c:f>
              <c:numCache>
                <c:formatCode>#,##0\ "€"</c:formatCode>
                <c:ptCount val="1"/>
                <c:pt idx="0">
                  <c:v>965.82601351644075</c:v>
                </c:pt>
              </c:numCache>
            </c:numRef>
          </c:val>
          <c:extLst>
            <c:ext xmlns:c16="http://schemas.microsoft.com/office/drawing/2014/chart" uri="{C3380CC4-5D6E-409C-BE32-E72D297353CC}">
              <c16:uniqueId val="{00000000-B9F0-4A47-BF0F-BFE10E19A5A3}"/>
            </c:ext>
          </c:extLst>
        </c:ser>
        <c:ser>
          <c:idx val="1"/>
          <c:order val="1"/>
          <c:tx>
            <c:strRef>
              <c:f>'q3.1_6.1_9.1_12.1_19.1_27.1_Fig'!$CI$37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'q3.1_6.1_9.1_12.1_19.1_27.1_Fig'!$CG$44</c:f>
              <c:strCache>
                <c:ptCount val="1"/>
                <c:pt idx="0">
                  <c:v>Algarve</c:v>
                </c:pt>
              </c:strCache>
            </c:strRef>
          </c:cat>
          <c:val>
            <c:numRef>
              <c:extLst>
                <c:ext xmlns:c15="http://schemas.microsoft.com/office/drawing/2012/chart" uri="{02D57815-91ED-43cb-92C2-25804820EDAC}">
                  <c15:fullRef>
                    <c15:sqref>'q3.1_6.1_9.1_12.1_19.1_27.1_Fig'!$CI$38:$CI$44</c15:sqref>
                  </c15:fullRef>
                </c:ext>
              </c:extLst>
              <c:f>'q3.1_6.1_9.1_12.1_19.1_27.1_Fig'!$CI$44</c:f>
              <c:numCache>
                <c:formatCode>#,##0\ "€"</c:formatCode>
                <c:ptCount val="1"/>
                <c:pt idx="0">
                  <c:v>1150.8139774725996</c:v>
                </c:pt>
              </c:numCache>
            </c:numRef>
          </c:val>
          <c:extLst>
            <c:ext xmlns:c16="http://schemas.microsoft.com/office/drawing/2014/chart" uri="{C3380CC4-5D6E-409C-BE32-E72D297353CC}">
              <c16:uniqueId val="{00000001-B9F0-4A47-BF0F-BFE10E19A5A3}"/>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480007681966582"/>
          <c:y val="3.567815386713024E-2"/>
          <c:w val="0.60796750997841242"/>
          <c:h val="0.92049561986569861"/>
        </c:manualLayout>
      </c:layout>
      <c:barChart>
        <c:barDir val="bar"/>
        <c:grouping val="clustered"/>
        <c:varyColors val="0"/>
        <c:ser>
          <c:idx val="0"/>
          <c:order val="0"/>
          <c:tx>
            <c:strRef>
              <c:f>'q3.1_6.1_9.1_12.1_19.1_27.1_Fig'!$CH$7</c:f>
              <c:strCache>
                <c:ptCount val="1"/>
                <c:pt idx="0">
                  <c:v>Base</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'q3.1_6.1_9.1_12.1_19.1_27.1_Fig'!$CG$8:$CG$31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'q3.1_6.1_9.1_12.1_19.1_27.1_Fig'!$CH$8:$CH$31</c:f>
              <c:numCache>
                <c:formatCode>#,##0\ "€"</c:formatCode>
                <c:ptCount val="24"/>
                <c:pt idx="0">
                  <c:v>955.66561814916668</c:v>
                </c:pt>
                <c:pt idx="1">
                  <c:v>1014.0747950947501</c:v>
                </c:pt>
                <c:pt idx="2">
                  <c:v>964.06539448218007</c:v>
                </c:pt>
                <c:pt idx="3">
                  <c:v>1165.4434957531817</c:v>
                </c:pt>
                <c:pt idx="4">
                  <c:v>892.27479129321375</c:v>
                </c:pt>
                <c:pt idx="5">
                  <c:v>885.57121879110116</c:v>
                </c:pt>
                <c:pt idx="6">
                  <c:v>922.59328591096858</c:v>
                </c:pt>
                <c:pt idx="7">
                  <c:v>899.67616523875961</c:v>
                </c:pt>
                <c:pt idx="8">
                  <c:v>1065.4112333260434</c:v>
                </c:pt>
                <c:pt idx="9">
                  <c:v>1011.4648886712012</c:v>
                </c:pt>
                <c:pt idx="10">
                  <c:v>1034.0919589902462</c:v>
                </c:pt>
                <c:pt idx="11">
                  <c:v>944.06911928341015</c:v>
                </c:pt>
                <c:pt idx="12">
                  <c:v>926.52302131603278</c:v>
                </c:pt>
                <c:pt idx="13">
                  <c:v>921.31669641634949</c:v>
                </c:pt>
                <c:pt idx="14">
                  <c:v>966.3983311076089</c:v>
                </c:pt>
                <c:pt idx="15">
                  <c:v>969.04632391741143</c:v>
                </c:pt>
                <c:pt idx="16">
                  <c:v>973.65286859650712</c:v>
                </c:pt>
                <c:pt idx="17">
                  <c:v>1418.3948630060115</c:v>
                </c:pt>
                <c:pt idx="18">
                  <c:v>1126.7122247908299</c:v>
                </c:pt>
                <c:pt idx="19">
                  <c:v>1023.1760810005951</c:v>
                </c:pt>
                <c:pt idx="20">
                  <c:v>994.19767032643961</c:v>
                </c:pt>
                <c:pt idx="21">
                  <c:v>939.13431501875846</c:v>
                </c:pt>
                <c:pt idx="22">
                  <c:v>984.10746899954529</c:v>
                </c:pt>
                <c:pt idx="23">
                  <c:v>965.82601351644075</c:v>
                </c:pt>
              </c:numCache>
            </c:numRef>
          </c:val>
          <c:extLst>
            <c:ext xmlns:c16="http://schemas.microsoft.com/office/drawing/2014/chart" uri="{C3380CC4-5D6E-409C-BE32-E72D297353CC}">
              <c16:uniqueId val="{00000000-0876-4916-83D8-9DC25EF5C040}"/>
            </c:ext>
          </c:extLst>
        </c:ser>
        <c:ser>
          <c:idx val="1"/>
          <c:order val="1"/>
          <c:tx>
            <c:strRef>
              <c:f>'q3.1_6.1_9.1_12.1_19.1_27.1_Fig'!$CI$7</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'q3.1_6.1_9.1_12.1_19.1_27.1_Fig'!$CG$8:$CG$31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'q3.1_6.1_9.1_12.1_19.1_27.1_Fig'!$CI$8:$CI$31</c:f>
              <c:numCache>
                <c:formatCode>#,##0\ "€"</c:formatCode>
                <c:ptCount val="24"/>
                <c:pt idx="0">
                  <c:v>1154.337399624301</c:v>
                </c:pt>
                <c:pt idx="1">
                  <c:v>1183.0782294131691</c:v>
                </c:pt>
                <c:pt idx="2">
                  <c:v>1132.3273242586924</c:v>
                </c:pt>
                <c:pt idx="3">
                  <c:v>1378.5625293136845</c:v>
                </c:pt>
                <c:pt idx="4">
                  <c:v>1043.3717336747779</c:v>
                </c:pt>
                <c:pt idx="5">
                  <c:v>1026.1271821216981</c:v>
                </c:pt>
                <c:pt idx="6">
                  <c:v>1089.0960613548921</c:v>
                </c:pt>
                <c:pt idx="7">
                  <c:v>1066.6838593345271</c:v>
                </c:pt>
                <c:pt idx="8">
                  <c:v>1282.8988460216819</c:v>
                </c:pt>
                <c:pt idx="9">
                  <c:v>1223.8240397602849</c:v>
                </c:pt>
                <c:pt idx="10">
                  <c:v>1251.1986876616286</c:v>
                </c:pt>
                <c:pt idx="11">
                  <c:v>1154.7229728125794</c:v>
                </c:pt>
                <c:pt idx="12">
                  <c:v>1106.8519270929878</c:v>
                </c:pt>
                <c:pt idx="13">
                  <c:v>1107.6834073425111</c:v>
                </c:pt>
                <c:pt idx="14">
                  <c:v>1152.3915951764122</c:v>
                </c:pt>
                <c:pt idx="15">
                  <c:v>1175.7172756759385</c:v>
                </c:pt>
                <c:pt idx="16">
                  <c:v>1178.0944564942188</c:v>
                </c:pt>
                <c:pt idx="17">
                  <c:v>1705.138574047387</c:v>
                </c:pt>
                <c:pt idx="18">
                  <c:v>1361.0063112502116</c:v>
                </c:pt>
                <c:pt idx="19">
                  <c:v>1283.2865372245381</c:v>
                </c:pt>
                <c:pt idx="20">
                  <c:v>1284.9593564356433</c:v>
                </c:pt>
                <c:pt idx="21">
                  <c:v>1126.5965890112573</c:v>
                </c:pt>
                <c:pt idx="22">
                  <c:v>1190.5704398493797</c:v>
                </c:pt>
                <c:pt idx="23">
                  <c:v>1150.8139774725996</c:v>
                </c:pt>
              </c:numCache>
            </c:numRef>
          </c:val>
          <c:extLst>
            <c:ext xmlns:c16="http://schemas.microsoft.com/office/drawing/2014/chart" uri="{C3380CC4-5D6E-409C-BE32-E72D297353CC}">
              <c16:uniqueId val="{00000001-0876-4916-83D8-9DC25EF5C040}"/>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5989484804965417"/>
          <c:y val="0.95587928345349849"/>
          <c:w val="0.36497235015434393"/>
          <c:h val="4.2533324537005042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'q3.1_6.1_9.1_12.1_19.1_27.1_Fig'!$AS$7</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6109-4FDA-BE3B-ACD1677A9AC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'q3.1_6.1_9.1_12.1_19.1_27.1_Fig'!$AR$32</c:f>
              <c:strCache>
                <c:ptCount val="1"/>
                <c:pt idx="0">
                  <c:v>Continente</c:v>
                </c:pt>
              </c:strCache>
            </c:strRef>
          </c:cat>
          <c:val>
            <c:numRef>
              <c:f>'q3.1_6.1_9.1_12.1_19.1_27.1_Fig'!$AS$32</c:f>
              <c:numCache>
                <c:formatCode>#,##0</c:formatCode>
                <c:ptCount val="1"/>
                <c:pt idx="0">
                  <c:v>284860</c:v>
                </c:pt>
              </c:numCache>
            </c:numRef>
          </c:val>
          <c:extLst>
            <c:ext xmlns:c16="http://schemas.microsoft.com/office/drawing/2014/chart" uri="{C3380CC4-5D6E-409C-BE32-E72D297353CC}">
              <c16:uniqueId val="{00000001-6109-4FDA-BE3B-ACD1677A9AC3}"/>
            </c:ext>
          </c:extLst>
        </c:ser>
        <c:ser>
          <c:idx val="1"/>
          <c:order val="1"/>
          <c:tx>
            <c:strRef>
              <c:f>'q3.1_6.1_9.1_12.1_19.1_27.1_Fig'!$AT$7</c:f>
              <c:strCache>
                <c:ptCount val="1"/>
                <c:pt idx="0">
                  <c:v>Estabelecimentos</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6109-4FDA-BE3B-ACD1677A9AC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'q3.1_6.1_9.1_12.1_19.1_27.1_Fig'!$AR$32</c:f>
              <c:strCache>
                <c:ptCount val="1"/>
                <c:pt idx="0">
                  <c:v>Continente</c:v>
                </c:pt>
              </c:strCache>
            </c:strRef>
          </c:cat>
          <c:val>
            <c:numRef>
              <c:f>'q3.1_6.1_9.1_12.1_19.1_27.1_Fig'!$AT$32</c:f>
              <c:numCache>
                <c:formatCode>#,##0</c:formatCode>
                <c:ptCount val="1"/>
                <c:pt idx="0">
                  <c:v>332683</c:v>
                </c:pt>
              </c:numCache>
            </c:numRef>
          </c:val>
          <c:extLst>
            <c:ext xmlns:c16="http://schemas.microsoft.com/office/drawing/2014/chart" uri="{C3380CC4-5D6E-409C-BE32-E72D297353CC}">
              <c16:uniqueId val="{00000003-6109-4FDA-BE3B-ACD1677A9AC3}"/>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739160909181934E-2"/>
          <c:y val="0.18472812943831005"/>
          <c:w val="0.9205216781816361"/>
          <c:h val="0.59150628175582409"/>
        </c:manualLayout>
      </c:layout>
      <c:lineChart>
        <c:grouping val="standard"/>
        <c:varyColors val="0"/>
        <c:ser>
          <c:idx val="0"/>
          <c:order val="0"/>
          <c:tx>
            <c:strRef>
              <c:f>q17_q18_q25_q26_Fig!$R$59</c:f>
              <c:strCache>
                <c:ptCount val="1"/>
                <c:pt idx="0">
                  <c:v>Micro (1-9 pessoas)</c:v>
                </c:pt>
              </c:strCache>
            </c:strRef>
          </c:tx>
          <c:spPr>
            <a:ln w="31750" cap="rnd">
              <a:solidFill>
                <a:srgbClr val="C27535"/>
              </a:solidFill>
              <a:round/>
            </a:ln>
            <a:effectLst/>
          </c:spPr>
          <c:marker>
            <c:symbol val="circle"/>
            <c:size val="6"/>
            <c:spPr>
              <a:solidFill>
                <a:srgbClr val="C27535"/>
              </a:solidFill>
              <a:ln w="9525">
                <a:noFill/>
              </a:ln>
              <a:effectLst/>
            </c:spPr>
          </c:marker>
          <c:cat>
            <c:numRef>
              <c:f>q17_q18_q25_q26_Fig!$S$58:$AC$58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q17_q18_q25_q26_Fig!$S$59:$AC$59</c:f>
              <c:numCache>
                <c:formatCode>0.00</c:formatCode>
                <c:ptCount val="11"/>
                <c:pt idx="0">
                  <c:v>874.4088640110333</c:v>
                </c:pt>
                <c:pt idx="1">
                  <c:v>871.09488801635575</c:v>
                </c:pt>
                <c:pt idx="2">
                  <c:v>874.37519607753302</c:v>
                </c:pt>
                <c:pt idx="3">
                  <c:v>869.15989072939612</c:v>
                </c:pt>
                <c:pt idx="4">
                  <c:v>881.40256963178547</c:v>
                </c:pt>
                <c:pt idx="5">
                  <c:v>903.88500110214306</c:v>
                </c:pt>
                <c:pt idx="6">
                  <c:v>932.68739452465616</c:v>
                </c:pt>
                <c:pt idx="7">
                  <c:v>964.75873486930425</c:v>
                </c:pt>
                <c:pt idx="8">
                  <c:v>1001.1682751358071</c:v>
                </c:pt>
                <c:pt idx="9">
                  <c:v>1037.9321989118446</c:v>
                </c:pt>
                <c:pt idx="10">
                  <c:v>1089.0304473444785</c:v>
                </c:pt>
              </c:numCache>
            </c:numRef>
          </c:val>
          <c:smooth val="0"/>
          <c:extLst>
            <c:ext xmlns:c16="http://schemas.microsoft.com/office/drawing/2014/chart" uri="{C3380CC4-5D6E-409C-BE32-E72D297353CC}">
              <c16:uniqueId val="{00000000-6602-4A98-B107-4B4B252E4B3A}"/>
            </c:ext>
          </c:extLst>
        </c:ser>
        <c:ser>
          <c:idx val="1"/>
          <c:order val="1"/>
          <c:tx>
            <c:strRef>
              <c:f>q17_q18_q25_q26_Fig!$R$60</c:f>
              <c:strCache>
                <c:ptCount val="1"/>
                <c:pt idx="0">
                  <c:v>Pequenos (10 - 49 pessoas)</c:v>
                </c:pt>
              </c:strCache>
            </c:strRef>
          </c:tx>
          <c:spPr>
            <a:ln w="31750" cap="rnd">
              <a:solidFill>
                <a:srgbClr val="E78C41"/>
              </a:solidFill>
              <a:round/>
            </a:ln>
            <a:effectLst/>
          </c:spPr>
          <c:marker>
            <c:symbol val="circle"/>
            <c:size val="6"/>
            <c:spPr>
              <a:solidFill>
                <a:srgbClr val="E78C41"/>
              </a:solidFill>
              <a:ln w="9525">
                <a:noFill/>
              </a:ln>
              <a:effectLst/>
            </c:spPr>
          </c:marker>
          <c:cat>
            <c:numRef>
              <c:f>q17_q18_q25_q26_Fig!$S$58:$AC$58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q17_q18_q25_q26_Fig!$S$60:$AC$60</c:f>
              <c:numCache>
                <c:formatCode>0.00</c:formatCode>
                <c:ptCount val="11"/>
                <c:pt idx="0">
                  <c:v>1044.3186456182934</c:v>
                </c:pt>
                <c:pt idx="1">
                  <c:v>1040.4937004689864</c:v>
                </c:pt>
                <c:pt idx="2">
                  <c:v>1038.4259368086427</c:v>
                </c:pt>
                <c:pt idx="3">
                  <c:v>1036.736388496523</c:v>
                </c:pt>
                <c:pt idx="4">
                  <c:v>1041.9235729286365</c:v>
                </c:pt>
                <c:pt idx="5">
                  <c:v>1063.0813478083085</c:v>
                </c:pt>
                <c:pt idx="6">
                  <c:v>1093.0957187514737</c:v>
                </c:pt>
                <c:pt idx="7">
                  <c:v>1128.5558181957092</c:v>
                </c:pt>
                <c:pt idx="8">
                  <c:v>1173.352663927217</c:v>
                </c:pt>
                <c:pt idx="9">
                  <c:v>1209.6495593610559</c:v>
                </c:pt>
                <c:pt idx="10">
                  <c:v>1263.2454325719268</c:v>
                </c:pt>
              </c:numCache>
            </c:numRef>
          </c:val>
          <c:smooth val="0"/>
          <c:extLst>
            <c:ext xmlns:c16="http://schemas.microsoft.com/office/drawing/2014/chart" uri="{C3380CC4-5D6E-409C-BE32-E72D297353CC}">
              <c16:uniqueId val="{00000001-6602-4A98-B107-4B4B252E4B3A}"/>
            </c:ext>
          </c:extLst>
        </c:ser>
        <c:ser>
          <c:idx val="2"/>
          <c:order val="2"/>
          <c:tx>
            <c:strRef>
              <c:f>q17_q18_q25_q26_Fig!$R$61</c:f>
              <c:strCache>
                <c:ptCount val="1"/>
                <c:pt idx="0">
                  <c:v>Médios (50 - 249 pessoas)</c:v>
                </c:pt>
              </c:strCache>
            </c:strRef>
          </c:tx>
          <c:spPr>
            <a:ln w="31750" cap="rnd">
              <a:solidFill>
                <a:srgbClr val="F8AA79"/>
              </a:solidFill>
              <a:round/>
            </a:ln>
            <a:effectLst/>
          </c:spPr>
          <c:marker>
            <c:symbol val="circle"/>
            <c:size val="6"/>
            <c:spPr>
              <a:solidFill>
                <a:srgbClr val="F8AA79"/>
              </a:solidFill>
              <a:ln w="9525">
                <a:noFill/>
              </a:ln>
              <a:effectLst/>
            </c:spPr>
          </c:marker>
          <c:cat>
            <c:numRef>
              <c:f>q17_q18_q25_q26_Fig!$S$58:$AC$58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q17_q18_q25_q26_Fig!$S$61:$AC$61</c:f>
              <c:numCache>
                <c:formatCode>0.00</c:formatCode>
                <c:ptCount val="11"/>
                <c:pt idx="0">
                  <c:v>1261.0248521291974</c:v>
                </c:pt>
                <c:pt idx="1">
                  <c:v>1260.63205969605</c:v>
                </c:pt>
                <c:pt idx="2">
                  <c:v>1253.7793883565216</c:v>
                </c:pt>
                <c:pt idx="3">
                  <c:v>1264.2648494931959</c:v>
                </c:pt>
                <c:pt idx="4">
                  <c:v>1269.8240128498057</c:v>
                </c:pt>
                <c:pt idx="5">
                  <c:v>1290.1473252698147</c:v>
                </c:pt>
                <c:pt idx="6">
                  <c:v>1326.6959033790447</c:v>
                </c:pt>
                <c:pt idx="7">
                  <c:v>1354.8206728114872</c:v>
                </c:pt>
                <c:pt idx="8">
                  <c:v>1408.3636674412585</c:v>
                </c:pt>
                <c:pt idx="9">
                  <c:v>1440.2830030357516</c:v>
                </c:pt>
                <c:pt idx="10">
                  <c:v>1512.9005996272995</c:v>
                </c:pt>
              </c:numCache>
            </c:numRef>
          </c:val>
          <c:smooth val="0"/>
          <c:extLst>
            <c:ext xmlns:c16="http://schemas.microsoft.com/office/drawing/2014/chart" uri="{C3380CC4-5D6E-409C-BE32-E72D297353CC}">
              <c16:uniqueId val="{00000002-6602-4A98-B107-4B4B252E4B3A}"/>
            </c:ext>
          </c:extLst>
        </c:ser>
        <c:ser>
          <c:idx val="3"/>
          <c:order val="3"/>
          <c:tx>
            <c:strRef>
              <c:f>q17_q18_q25_q26_Fig!$R$62</c:f>
              <c:strCache>
                <c:ptCount val="1"/>
                <c:pt idx="0">
                  <c:v>Grandes (250 ou + pessoas)</c:v>
                </c:pt>
              </c:strCache>
            </c:strRef>
          </c:tx>
          <c:spPr>
            <a:ln w="31750" cap="rnd">
              <a:solidFill>
                <a:srgbClr val="FACBB4">
                  <a:alpha val="97647"/>
                </a:srgbClr>
              </a:solidFill>
              <a:round/>
            </a:ln>
            <a:effectLst/>
          </c:spPr>
          <c:marker>
            <c:symbol val="circle"/>
            <c:size val="6"/>
            <c:spPr>
              <a:solidFill>
                <a:srgbClr val="FACBB4"/>
              </a:solidFill>
              <a:ln w="9525">
                <a:noFill/>
              </a:ln>
              <a:effectLst/>
            </c:spPr>
          </c:marker>
          <c:cat>
            <c:numRef>
              <c:f>q17_q18_q25_q26_Fig!$S$58:$AC$58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q17_q18_q25_q26_Fig!$S$62:$AC$62</c:f>
              <c:numCache>
                <c:formatCode>0.00</c:formatCode>
                <c:ptCount val="11"/>
                <c:pt idx="0">
                  <c:v>1363.1977115259285</c:v>
                </c:pt>
                <c:pt idx="1">
                  <c:v>1348.800240174025</c:v>
                </c:pt>
                <c:pt idx="2">
                  <c:v>1348.2678684968982</c:v>
                </c:pt>
                <c:pt idx="3">
                  <c:v>1352.765925358432</c:v>
                </c:pt>
                <c:pt idx="4">
                  <c:v>1370.865716156547</c:v>
                </c:pt>
                <c:pt idx="5">
                  <c:v>1393.1674963357668</c:v>
                </c:pt>
                <c:pt idx="6">
                  <c:v>1439.2990998706205</c:v>
                </c:pt>
                <c:pt idx="7">
                  <c:v>1487.6118355479396</c:v>
                </c:pt>
                <c:pt idx="8">
                  <c:v>1503.5195097934022</c:v>
                </c:pt>
                <c:pt idx="9">
                  <c:v>1578.7347895211078</c:v>
                </c:pt>
                <c:pt idx="10">
                  <c:v>1692.5269783798362</c:v>
                </c:pt>
              </c:numCache>
            </c:numRef>
          </c:val>
          <c:smooth val="0"/>
          <c:extLst>
            <c:ext xmlns:c16="http://schemas.microsoft.com/office/drawing/2014/chart" uri="{C3380CC4-5D6E-409C-BE32-E72D297353CC}">
              <c16:uniqueId val="{00000003-6602-4A98-B107-4B4B252E4B3A}"/>
            </c:ext>
          </c:extLst>
        </c:ser>
        <c:dLbls>
          <c:showLegendKey val="0"/>
          <c:showVal val="0"/>
          <c:showCatName val="0"/>
          <c:showSerName val="0"/>
          <c:showPercent val="0"/>
          <c:showBubbleSize val="0"/>
        </c:dLbls>
        <c:marker val="1"/>
        <c:smooth val="0"/>
        <c:axId val="903145471"/>
        <c:axId val="857673247"/>
      </c:lineChart>
      <c:catAx>
        <c:axId val="903145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PT"/>
          </a:p>
        </c:txPr>
        <c:crossAx val="857673247"/>
        <c:crosses val="autoZero"/>
        <c:auto val="1"/>
        <c:lblAlgn val="ctr"/>
        <c:lblOffset val="100"/>
        <c:noMultiLvlLbl val="0"/>
      </c:catAx>
      <c:valAx>
        <c:axId val="857673247"/>
        <c:scaling>
          <c:orientation val="minMax"/>
          <c:max val="1800"/>
          <c:min val="0"/>
        </c:scaling>
        <c:delete val="1"/>
        <c:axPos val="l"/>
        <c:majorGridlines>
          <c:spPr>
            <a:ln w="9525" cap="flat" cmpd="sng" algn="ctr">
              <a:noFill/>
              <a:round/>
            </a:ln>
            <a:effectLst/>
          </c:spPr>
        </c:majorGridlines>
        <c:numFmt formatCode="#,##0\ &quot;€&quot;" sourceLinked="0"/>
        <c:majorTickMark val="out"/>
        <c:minorTickMark val="none"/>
        <c:tickLblPos val="nextTo"/>
        <c:crossAx val="903145471"/>
        <c:crosses val="autoZero"/>
        <c:crossBetween val="between"/>
        <c:majorUnit val="200"/>
      </c:valAx>
      <c:spPr>
        <a:noFill/>
        <a:ln>
          <a:noFill/>
        </a:ln>
        <a:effectLst/>
      </c:spPr>
    </c:plotArea>
    <c:legend>
      <c:legendPos val="b"/>
      <c:layout>
        <c:manualLayout>
          <c:xMode val="edge"/>
          <c:yMode val="edge"/>
          <c:x val="1.3448542886017892E-2"/>
          <c:y val="0.86939811246391219"/>
          <c:w val="0.94643320407438769"/>
          <c:h val="0.11362950338713067"/>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'q3.1_6.1_9.1_12.1_19.1_27.1_Fig'!$BN$7</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7B24-4756-8645-C488E9EA3A8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'q3.1_6.1_9.1_12.1_19.1_27.1_Fig'!$BM$32</c:f>
              <c:strCache>
                <c:ptCount val="1"/>
                <c:pt idx="0">
                  <c:v>Continente</c:v>
                </c:pt>
              </c:strCache>
            </c:strRef>
          </c:cat>
          <c:val>
            <c:numRef>
              <c:f>'q3.1_6.1_9.1_12.1_19.1_27.1_Fig'!$BN$32</c:f>
              <c:numCache>
                <c:formatCode>#,##0</c:formatCode>
                <c:ptCount val="1"/>
                <c:pt idx="0">
                  <c:v>3337082</c:v>
                </c:pt>
              </c:numCache>
            </c:numRef>
          </c:val>
          <c:extLst>
            <c:ext xmlns:c16="http://schemas.microsoft.com/office/drawing/2014/chart" uri="{C3380CC4-5D6E-409C-BE32-E72D297353CC}">
              <c16:uniqueId val="{00000001-7B24-4756-8645-C488E9EA3A88}"/>
            </c:ext>
          </c:extLst>
        </c:ser>
        <c:ser>
          <c:idx val="1"/>
          <c:order val="1"/>
          <c:tx>
            <c:strRef>
              <c:f>'q3.1_6.1_9.1_12.1_19.1_27.1_Fig'!$BO$7</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6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7B24-4756-8645-C488E9EA3A8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'q3.1_6.1_9.1_12.1_19.1_27.1_Fig'!$BM$32</c:f>
              <c:strCache>
                <c:ptCount val="1"/>
                <c:pt idx="0">
                  <c:v>Continente</c:v>
                </c:pt>
              </c:strCache>
            </c:strRef>
          </c:cat>
          <c:val>
            <c:numRef>
              <c:f>'q3.1_6.1_9.1_12.1_19.1_27.1_Fig'!$BO$32</c:f>
              <c:numCache>
                <c:formatCode>#,##0</c:formatCode>
                <c:ptCount val="1"/>
                <c:pt idx="0">
                  <c:v>3148146.9999999995</c:v>
                </c:pt>
              </c:numCache>
            </c:numRef>
          </c:val>
          <c:extLst>
            <c:ext xmlns:c16="http://schemas.microsoft.com/office/drawing/2014/chart" uri="{C3380CC4-5D6E-409C-BE32-E72D297353CC}">
              <c16:uniqueId val="{00000003-7B24-4756-8645-C488E9EA3A88}"/>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'q3.1_6.1_9.1_12.1_19.1_27.1_Fig'!$CH$7</c:f>
              <c:strCache>
                <c:ptCount val="1"/>
                <c:pt idx="0">
                  <c:v>Base</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quot;€&quot;"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B7EE-44AB-BA24-664D3A3200F9}"/>
                </c:ext>
              </c:extLst>
            </c:dLbl>
            <c:numFmt formatCode="#,##0\ &quot;€&quot;"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'q3.1_6.1_9.1_12.1_19.1_27.1_Fig'!$CG$32</c:f>
              <c:strCache>
                <c:ptCount val="1"/>
                <c:pt idx="0">
                  <c:v>Continente</c:v>
                </c:pt>
              </c:strCache>
            </c:strRef>
          </c:cat>
          <c:val>
            <c:numRef>
              <c:f>'q3.1_6.1_9.1_12.1_19.1_27.1_Fig'!$CH$32</c:f>
              <c:numCache>
                <c:formatCode>#,##0\ "€"</c:formatCode>
                <c:ptCount val="1"/>
                <c:pt idx="0">
                  <c:v>1143.445582856891</c:v>
                </c:pt>
              </c:numCache>
            </c:numRef>
          </c:val>
          <c:extLst>
            <c:ext xmlns:c16="http://schemas.microsoft.com/office/drawing/2014/chart" uri="{C3380CC4-5D6E-409C-BE32-E72D297353CC}">
              <c16:uniqueId val="{00000001-B7EE-44AB-BA24-664D3A3200F9}"/>
            </c:ext>
          </c:extLst>
        </c:ser>
        <c:ser>
          <c:idx val="1"/>
          <c:order val="1"/>
          <c:tx>
            <c:strRef>
              <c:f>'q3.1_6.1_9.1_12.1_19.1_27.1_Fig'!$CI$7</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quot;€&quot;"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B7EE-44AB-BA24-664D3A3200F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'q3.1_6.1_9.1_12.1_19.1_27.1_Fig'!$CG$32</c:f>
              <c:strCache>
                <c:ptCount val="1"/>
                <c:pt idx="0">
                  <c:v>Continente</c:v>
                </c:pt>
              </c:strCache>
            </c:strRef>
          </c:cat>
          <c:val>
            <c:numRef>
              <c:f>'q3.1_6.1_9.1_12.1_19.1_27.1_Fig'!$CI$32</c:f>
              <c:numCache>
                <c:formatCode>#,##0\ "€"</c:formatCode>
                <c:ptCount val="1"/>
                <c:pt idx="0">
                  <c:v>1367.9952489883701</c:v>
                </c:pt>
              </c:numCache>
            </c:numRef>
          </c:val>
          <c:extLst>
            <c:ext xmlns:c16="http://schemas.microsoft.com/office/drawing/2014/chart" uri="{C3380CC4-5D6E-409C-BE32-E72D297353CC}">
              <c16:uniqueId val="{00000003-B7EE-44AB-BA24-664D3A3200F9}"/>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661888417793929"/>
          <c:y val="0.27515080793654073"/>
          <c:w val="0.84338111582206066"/>
          <c:h val="0.72484919206345932"/>
        </c:manualLayout>
      </c:layout>
      <c:barChart>
        <c:barDir val="bar"/>
        <c:grouping val="clustered"/>
        <c:varyColors val="0"/>
        <c:ser>
          <c:idx val="0"/>
          <c:order val="0"/>
          <c:tx>
            <c:strRef>
              <c:f>q13_q14_q20_q21_q28_q29_Fig!$R$15</c:f>
              <c:strCache>
                <c:ptCount val="1"/>
                <c:pt idx="0">
                  <c:v>Homens</c:v>
                </c:pt>
              </c:strCache>
            </c:strRef>
          </c:tx>
          <c:spPr>
            <a:solidFill>
              <a:srgbClr val="4F81BD"/>
            </a:solidFill>
            <a:ln>
              <a:noFill/>
            </a:ln>
            <a:effectLst/>
            <a:scene3d>
              <a:camera prst="orthographicFront"/>
              <a:lightRig rig="threePt" dir="t"/>
            </a:scene3d>
            <a:sp3d>
              <a:bevelT w="0" h="0"/>
              <a:bevelB w="0" h="0"/>
            </a:sp3d>
          </c:spPr>
          <c:invertIfNegative val="0"/>
          <c:dLbls>
            <c:numFmt formatCode="#,##0;#,##0" sourceLinked="0"/>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q13_q14_q20_q21_q28_q29_Fig!$Q$16:$Q$22</c:f>
              <c:strCache>
                <c:ptCount val="7"/>
                <c:pt idx="0">
                  <c:v>&lt; 18 anos</c:v>
                </c:pt>
                <c:pt idx="1">
                  <c:v>18 - 24 anos</c:v>
                </c:pt>
                <c:pt idx="2">
                  <c:v>25 - 34 anos</c:v>
                </c:pt>
                <c:pt idx="3">
                  <c:v>35 - 44 anos</c:v>
                </c:pt>
                <c:pt idx="4">
                  <c:v>45 - 54 anos</c:v>
                </c:pt>
                <c:pt idx="5">
                  <c:v>55 - 64 anos</c:v>
                </c:pt>
                <c:pt idx="6">
                  <c:v>65 e + anos</c:v>
                </c:pt>
              </c:strCache>
            </c:strRef>
          </c:cat>
          <c:val>
            <c:numRef>
              <c:f>q13_q14_q20_q21_q28_q29_Fig!$R$16:$R$22</c:f>
              <c:numCache>
                <c:formatCode>#,##0</c:formatCode>
                <c:ptCount val="7"/>
                <c:pt idx="0">
                  <c:v>-802</c:v>
                </c:pt>
                <c:pt idx="1">
                  <c:v>-146876</c:v>
                </c:pt>
                <c:pt idx="2">
                  <c:v>-406100</c:v>
                </c:pt>
                <c:pt idx="3">
                  <c:v>-424572</c:v>
                </c:pt>
                <c:pt idx="4">
                  <c:v>-402776</c:v>
                </c:pt>
                <c:pt idx="5">
                  <c:v>-240751</c:v>
                </c:pt>
                <c:pt idx="6">
                  <c:v>-31840</c:v>
                </c:pt>
              </c:numCache>
            </c:numRef>
          </c:val>
          <c:extLst>
            <c:ext xmlns:c16="http://schemas.microsoft.com/office/drawing/2014/chart" uri="{C3380CC4-5D6E-409C-BE32-E72D297353CC}">
              <c16:uniqueId val="{00000000-2132-4321-90E9-0EFAAA9328DF}"/>
            </c:ext>
          </c:extLst>
        </c:ser>
        <c:ser>
          <c:idx val="1"/>
          <c:order val="1"/>
          <c:tx>
            <c:strRef>
              <c:f>q13_q14_q20_q21_q28_q29_Fig!$S$15</c:f>
              <c:strCache>
                <c:ptCount val="1"/>
                <c:pt idx="0">
                  <c:v>Mulheres</c:v>
                </c:pt>
              </c:strCache>
            </c:strRef>
          </c:tx>
          <c:spPr>
            <a:solidFill>
              <a:srgbClr val="FFC000"/>
            </a:solidFill>
            <a:ln>
              <a:noFill/>
            </a:ln>
            <a:effectLst/>
            <a:scene3d>
              <a:camera prst="orthographicFront"/>
              <a:lightRig rig="threePt" dir="t"/>
            </a:scene3d>
            <a:sp3d>
              <a:bevelT w="0" h="0"/>
              <a:bevelB w="0" h="0"/>
            </a:sp3d>
          </c:spPr>
          <c:invertIfNegative val="0"/>
          <c:dLbls>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q13_q14_q20_q21_q28_q29_Fig!$Q$16:$Q$22</c:f>
              <c:strCache>
                <c:ptCount val="7"/>
                <c:pt idx="0">
                  <c:v>&lt; 18 anos</c:v>
                </c:pt>
                <c:pt idx="1">
                  <c:v>18 - 24 anos</c:v>
                </c:pt>
                <c:pt idx="2">
                  <c:v>25 - 34 anos</c:v>
                </c:pt>
                <c:pt idx="3">
                  <c:v>35 - 44 anos</c:v>
                </c:pt>
                <c:pt idx="4">
                  <c:v>45 - 54 anos</c:v>
                </c:pt>
                <c:pt idx="5">
                  <c:v>55 - 64 anos</c:v>
                </c:pt>
                <c:pt idx="6">
                  <c:v>65 e + anos</c:v>
                </c:pt>
              </c:strCache>
            </c:strRef>
          </c:cat>
          <c:val>
            <c:numRef>
              <c:f>q13_q14_q20_q21_q28_q29_Fig!$S$16:$S$22</c:f>
              <c:numCache>
                <c:formatCode>#,##0</c:formatCode>
                <c:ptCount val="7"/>
                <c:pt idx="0">
                  <c:v>618</c:v>
                </c:pt>
                <c:pt idx="1">
                  <c:v>124121</c:v>
                </c:pt>
                <c:pt idx="2">
                  <c:v>355301</c:v>
                </c:pt>
                <c:pt idx="3">
                  <c:v>396810</c:v>
                </c:pt>
                <c:pt idx="4">
                  <c:v>383284</c:v>
                </c:pt>
                <c:pt idx="5">
                  <c:v>211925</c:v>
                </c:pt>
                <c:pt idx="6">
                  <c:v>21994</c:v>
                </c:pt>
              </c:numCache>
            </c:numRef>
          </c:val>
          <c:extLst>
            <c:ext xmlns:c16="http://schemas.microsoft.com/office/drawing/2014/chart" uri="{C3380CC4-5D6E-409C-BE32-E72D297353CC}">
              <c16:uniqueId val="{00000001-2132-4321-90E9-0EFAAA9328DF}"/>
            </c:ext>
          </c:extLst>
        </c:ser>
        <c:dLbls>
          <c:showLegendKey val="0"/>
          <c:showVal val="0"/>
          <c:showCatName val="0"/>
          <c:showSerName val="0"/>
          <c:showPercent val="0"/>
          <c:showBubbleSize val="0"/>
        </c:dLbls>
        <c:gapWidth val="40"/>
        <c:overlap val="100"/>
        <c:axId val="1261817855"/>
        <c:axId val="267587263"/>
      </c:barChart>
      <c:catAx>
        <c:axId val="1261817855"/>
        <c:scaling>
          <c:orientation val="maxMin"/>
        </c:scaling>
        <c:delete val="0"/>
        <c:axPos val="l"/>
        <c:majorGridlines>
          <c:spPr>
            <a:ln>
              <a:solidFill>
                <a:srgbClr val="D9D9D9"/>
              </a:solidFill>
            </a:ln>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85000"/>
                    <a:lumOff val="15000"/>
                  </a:schemeClr>
                </a:solidFill>
                <a:latin typeface="+mn-lt"/>
                <a:ea typeface="+mn-ea"/>
                <a:cs typeface="+mn-cs"/>
              </a:defRPr>
            </a:pPr>
            <a:endParaRPr lang="pt-PT"/>
          </a:p>
        </c:txPr>
        <c:crossAx val="267587263"/>
        <c:crosses val="autoZero"/>
        <c:auto val="1"/>
        <c:lblAlgn val="ctr"/>
        <c:lblOffset val="100"/>
        <c:noMultiLvlLbl val="0"/>
      </c:catAx>
      <c:valAx>
        <c:axId val="267587263"/>
        <c:scaling>
          <c:orientation val="minMax"/>
          <c:max val="450000"/>
          <c:min val="-450000"/>
        </c:scaling>
        <c:delete val="1"/>
        <c:axPos val="t"/>
        <c:numFmt formatCode="#,##0;#,##0" sourceLinked="0"/>
        <c:majorTickMark val="out"/>
        <c:minorTickMark val="none"/>
        <c:tickLblPos val="nextTo"/>
        <c:crossAx val="1261817855"/>
        <c:crosses val="autoZero"/>
        <c:crossBetween val="between"/>
      </c:valAx>
      <c:spPr>
        <a:noFill/>
        <a:ln>
          <a:noFill/>
        </a:ln>
        <a:effectLst/>
      </c:spPr>
    </c:plotArea>
    <c:legend>
      <c:legendPos val="t"/>
      <c:layout>
        <c:manualLayout>
          <c:xMode val="edge"/>
          <c:yMode val="edge"/>
          <c:x val="0.3952921863554163"/>
          <c:y val="2.2249882951519907E-2"/>
          <c:w val="0.39199891301477158"/>
          <c:h val="7.892867243936505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t" anchorCtr="0"/>
          <a:lstStyle/>
          <a:p>
            <a:pPr>
              <a:defRPr sz="700" b="1" i="0" u="none" strike="noStrike" kern="1200" baseline="0">
                <a:solidFill>
                  <a:schemeClr val="tx1"/>
                </a:solidFill>
                <a:latin typeface="+mn-lt"/>
                <a:ea typeface="+mn-ea"/>
                <a:cs typeface="+mn-cs"/>
              </a:defRPr>
            </a:pPr>
            <a:r>
              <a:rPr lang="en-US" sz="700" b="1" i="0" baseline="0">
                <a:solidFill>
                  <a:srgbClr val="17375E"/>
                </a:solidFill>
                <a:effectLst/>
              </a:rPr>
              <a:t>Homens + Mulheres</a:t>
            </a:r>
            <a:endParaRPr lang="pt-PT" sz="700">
              <a:solidFill>
                <a:srgbClr val="17375E"/>
              </a:solidFill>
              <a:effectLst/>
            </a:endParaRPr>
          </a:p>
        </c:rich>
      </c:tx>
      <c:layout>
        <c:manualLayout>
          <c:xMode val="edge"/>
          <c:yMode val="edge"/>
          <c:x val="0.22471764117941029"/>
          <c:y val="1.5098897535667963E-2"/>
        </c:manualLayout>
      </c:layout>
      <c:overlay val="0"/>
      <c:spPr>
        <a:noFill/>
        <a:ln>
          <a:noFill/>
        </a:ln>
        <a:effectLst/>
      </c:spPr>
      <c:txPr>
        <a:bodyPr rot="0" spcFirstLastPara="1" vertOverflow="ellipsis" vert="horz" wrap="square" anchor="t" anchorCtr="0"/>
        <a:lstStyle/>
        <a:p>
          <a:pPr>
            <a:defRPr sz="700" b="1" i="0" u="none" strike="noStrike" kern="1200" baseline="0">
              <a:solidFill>
                <a:schemeClr val="tx1"/>
              </a:solidFill>
              <a:latin typeface="+mn-lt"/>
              <a:ea typeface="+mn-ea"/>
              <a:cs typeface="+mn-cs"/>
            </a:defRPr>
          </a:pPr>
          <a:endParaRPr lang="pt-PT"/>
        </a:p>
      </c:txPr>
    </c:title>
    <c:autoTitleDeleted val="0"/>
    <c:plotArea>
      <c:layout>
        <c:manualLayout>
          <c:layoutTarget val="inner"/>
          <c:xMode val="edge"/>
          <c:yMode val="edge"/>
          <c:x val="6.645451605451605E-2"/>
          <c:y val="0.23192568942879796"/>
          <c:w val="0.60804176484176498"/>
          <c:h val="0.65021473137038388"/>
        </c:manualLayout>
      </c:layout>
      <c:doughnutChart>
        <c:varyColors val="1"/>
        <c:ser>
          <c:idx val="0"/>
          <c:order val="0"/>
          <c:tx>
            <c:strRef>
              <c:f>q13_q14_q20_q21_q28_q29_Fig!$T$15</c:f>
              <c:strCache>
                <c:ptCount val="1"/>
                <c:pt idx="0">
                  <c:v>Total</c:v>
                </c:pt>
              </c:strCache>
            </c:strRef>
          </c:tx>
          <c:explosion val="9"/>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9080-4AE0-AD0C-83A5FABD4D42}"/>
              </c:ext>
            </c:extLst>
          </c:dPt>
          <c:dPt>
            <c:idx val="1"/>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9080-4AE0-AD0C-83A5FABD4D42}"/>
              </c:ext>
            </c:extLst>
          </c:dPt>
          <c:dPt>
            <c:idx val="2"/>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9080-4AE0-AD0C-83A5FABD4D42}"/>
              </c:ext>
            </c:extLst>
          </c:dPt>
          <c:dPt>
            <c:idx val="3"/>
            <c:bubble3D val="0"/>
            <c:spPr>
              <a:solidFill>
                <a:schemeClr val="accent1">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9080-4AE0-AD0C-83A5FABD4D42}"/>
              </c:ext>
            </c:extLst>
          </c:dPt>
          <c:dPt>
            <c:idx val="4"/>
            <c:bubble3D val="0"/>
            <c:spPr>
              <a:solidFill>
                <a:schemeClr val="accent3">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9080-4AE0-AD0C-83A5FABD4D42}"/>
              </c:ext>
            </c:extLst>
          </c:dPt>
          <c:dPt>
            <c:idx val="5"/>
            <c:bubble3D val="0"/>
            <c:spPr>
              <a:solidFill>
                <a:schemeClr val="accent5">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9080-4AE0-AD0C-83A5FABD4D42}"/>
              </c:ext>
            </c:extLst>
          </c:dPt>
          <c:dPt>
            <c:idx val="6"/>
            <c:bubble3D val="0"/>
            <c:spPr>
              <a:solidFill>
                <a:schemeClr val="accent1">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9080-4AE0-AD0C-83A5FABD4D42}"/>
              </c:ext>
            </c:extLst>
          </c:dPt>
          <c:dPt>
            <c:idx val="7"/>
            <c:bubble3D val="0"/>
            <c:spPr>
              <a:solidFill>
                <a:schemeClr val="accent3">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9080-4AE0-AD0C-83A5FABD4D42}"/>
              </c:ext>
            </c:extLst>
          </c:dPt>
          <c:dLbls>
            <c:dLbl>
              <c:idx val="0"/>
              <c:layout>
                <c:manualLayout>
                  <c:x val="0.12956140350877179"/>
                  <c:y val="-0.1749737195941816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rgbClr val="17375E"/>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10726871345029237"/>
                      <c:h val="9.8239823982398236E-2"/>
                    </c:manualLayout>
                  </c15:layout>
                </c:ext>
                <c:ext xmlns:c16="http://schemas.microsoft.com/office/drawing/2014/chart" uri="{C3380CC4-5D6E-409C-BE32-E72D297353CC}">
                  <c16:uniqueId val="{00000001-9080-4AE0-AD0C-83A5FABD4D42}"/>
                </c:ext>
              </c:extLst>
            </c:dLbl>
            <c:dLbl>
              <c:idx val="2"/>
              <c:layout>
                <c:manualLayout>
                  <c:x val="0"/>
                  <c:y val="-8.4875562720133283E-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080-4AE0-AD0C-83A5FABD4D42}"/>
                </c:ext>
              </c:extLst>
            </c:dLbl>
            <c:dLbl>
              <c:idx val="6"/>
              <c:layout>
                <c:manualLayout>
                  <c:x val="-0.12605263157894744"/>
                  <c:y val="-0.1762392535549851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17375E"/>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D-9080-4AE0-AD0C-83A5FABD4D42}"/>
                </c:ext>
              </c:extLst>
            </c:dLbl>
            <c:dLbl>
              <c:idx val="7"/>
              <c:layout>
                <c:manualLayout>
                  <c:x val="0.11388888888888894"/>
                  <c:y val="-0.111111111111111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9080-4AE0-AD0C-83A5FABD4D4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q13_q14_q20_q21_q28_q29_Fig!$Q$16:$Q$22</c:f>
              <c:strCache>
                <c:ptCount val="7"/>
                <c:pt idx="0">
                  <c:v>&lt; 18 anos</c:v>
                </c:pt>
                <c:pt idx="1">
                  <c:v>18 - 24 anos</c:v>
                </c:pt>
                <c:pt idx="2">
                  <c:v>25 - 34 anos</c:v>
                </c:pt>
                <c:pt idx="3">
                  <c:v>35 - 44 anos</c:v>
                </c:pt>
                <c:pt idx="4">
                  <c:v>45 - 54 anos</c:v>
                </c:pt>
                <c:pt idx="5">
                  <c:v>55 - 64 anos</c:v>
                </c:pt>
                <c:pt idx="6">
                  <c:v>65 e + anos</c:v>
                </c:pt>
              </c:strCache>
            </c:strRef>
          </c:cat>
          <c:val>
            <c:numRef>
              <c:f>q13_q14_q20_q21_q28_q29_Fig!$T$16:$T$22</c:f>
              <c:numCache>
                <c:formatCode>#,##0</c:formatCode>
                <c:ptCount val="7"/>
                <c:pt idx="0">
                  <c:v>1420</c:v>
                </c:pt>
                <c:pt idx="1">
                  <c:v>270997</c:v>
                </c:pt>
                <c:pt idx="2">
                  <c:v>761401</c:v>
                </c:pt>
                <c:pt idx="3">
                  <c:v>821382</c:v>
                </c:pt>
                <c:pt idx="4">
                  <c:v>786060</c:v>
                </c:pt>
                <c:pt idx="5">
                  <c:v>452676</c:v>
                </c:pt>
                <c:pt idx="6">
                  <c:v>53834</c:v>
                </c:pt>
              </c:numCache>
            </c:numRef>
          </c:val>
          <c:extLst>
            <c:ext xmlns:c16="http://schemas.microsoft.com/office/drawing/2014/chart" uri="{C3380CC4-5D6E-409C-BE32-E72D297353CC}">
              <c16:uniqueId val="{00000010-9080-4AE0-AD0C-83A5FABD4D42}"/>
            </c:ext>
          </c:extLst>
        </c:ser>
        <c:dLbls>
          <c:showLegendKey val="0"/>
          <c:showVal val="0"/>
          <c:showCatName val="0"/>
          <c:showSerName val="0"/>
          <c:showPercent val="0"/>
          <c:showBubbleSize val="0"/>
          <c:showLeaderLines val="1"/>
        </c:dLbls>
        <c:firstSliceAng val="0"/>
        <c:holeSize val="24"/>
      </c:doughnutChart>
      <c:spPr>
        <a:noFill/>
        <a:ln>
          <a:noFill/>
        </a:ln>
        <a:effectLst/>
      </c:spPr>
    </c:plotArea>
    <c:legend>
      <c:legendPos val="r"/>
      <c:layout>
        <c:manualLayout>
          <c:xMode val="edge"/>
          <c:yMode val="edge"/>
          <c:x val="0.67128185907046478"/>
          <c:y val="0.19463641904117482"/>
          <c:w val="0.30055472263868072"/>
          <c:h val="0.72389134505706798"/>
        </c:manualLayout>
      </c:layout>
      <c:overlay val="0"/>
      <c:spPr>
        <a:noFill/>
        <a:ln>
          <a:noFill/>
        </a:ln>
        <a:effectLst/>
      </c:spPr>
      <c:txPr>
        <a:bodyPr rot="0" spcFirstLastPara="1" vertOverflow="ellipsis" vert="horz" wrap="square" anchor="ctr" anchorCtr="1"/>
        <a:lstStyle/>
        <a:p>
          <a:pPr>
            <a:defRPr sz="700" b="0" i="0" u="none" strike="noStrike" kern="1200" baseline="0">
              <a:solidFill>
                <a:srgbClr val="17375E"/>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a:pPr>
      <a:endParaRPr lang="pt-PT"/>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41320491579663"/>
          <c:y val="0.13893333333333333"/>
          <c:w val="0.63847227349341062"/>
          <c:h val="0.78091002624671901"/>
        </c:manualLayout>
      </c:layout>
      <c:barChart>
        <c:barDir val="bar"/>
        <c:grouping val="clustered"/>
        <c:varyColors val="0"/>
        <c:ser>
          <c:idx val="0"/>
          <c:order val="0"/>
          <c:tx>
            <c:strRef>
              <c:f>q13_q14_q20_q21_q28_q29_Fig!$Q$107</c:f>
              <c:strCache>
                <c:ptCount val="1"/>
                <c:pt idx="0">
                  <c:v>Base </c:v>
                </c:pt>
              </c:strCache>
            </c:strRef>
          </c:tx>
          <c:spPr>
            <a:solidFill>
              <a:srgbClr val="4F81BD"/>
            </a:solidFill>
            <a:ln w="19050">
              <a:solidFill>
                <a:schemeClr val="lt1"/>
              </a:solidFill>
            </a:ln>
            <a:effectLst/>
          </c:spPr>
          <c:invertIfNegative val="0"/>
          <c:dPt>
            <c:idx val="0"/>
            <c:invertIfNegative val="0"/>
            <c:bubble3D val="0"/>
            <c:explosion val="2"/>
            <c:extLst>
              <c:ext xmlns:c16="http://schemas.microsoft.com/office/drawing/2014/chart" uri="{C3380CC4-5D6E-409C-BE32-E72D297353CC}">
                <c16:uniqueId val="{00000000-851C-4FB8-B9C9-69C45C8F0BDC}"/>
              </c:ext>
            </c:extLst>
          </c:dPt>
          <c:dPt>
            <c:idx val="1"/>
            <c:invertIfNegative val="0"/>
            <c:bubble3D val="0"/>
            <c:extLst>
              <c:ext xmlns:c16="http://schemas.microsoft.com/office/drawing/2014/chart" uri="{C3380CC4-5D6E-409C-BE32-E72D297353CC}">
                <c16:uniqueId val="{00000001-851C-4FB8-B9C9-69C45C8F0BDC}"/>
              </c:ext>
            </c:extLst>
          </c:dPt>
          <c:dPt>
            <c:idx val="2"/>
            <c:invertIfNegative val="0"/>
            <c:bubble3D val="0"/>
            <c:extLst>
              <c:ext xmlns:c16="http://schemas.microsoft.com/office/drawing/2014/chart" uri="{C3380CC4-5D6E-409C-BE32-E72D297353CC}">
                <c16:uniqueId val="{00000002-851C-4FB8-B9C9-69C45C8F0BDC}"/>
              </c:ext>
            </c:extLst>
          </c:dPt>
          <c:dPt>
            <c:idx val="3"/>
            <c:invertIfNegative val="0"/>
            <c:bubble3D val="0"/>
            <c:extLst>
              <c:ext xmlns:c16="http://schemas.microsoft.com/office/drawing/2014/chart" uri="{C3380CC4-5D6E-409C-BE32-E72D297353CC}">
                <c16:uniqueId val="{00000003-851C-4FB8-B9C9-69C45C8F0BDC}"/>
              </c:ext>
            </c:extLst>
          </c:dPt>
          <c:dPt>
            <c:idx val="4"/>
            <c:invertIfNegative val="0"/>
            <c:bubble3D val="0"/>
            <c:extLst>
              <c:ext xmlns:c16="http://schemas.microsoft.com/office/drawing/2014/chart" uri="{C3380CC4-5D6E-409C-BE32-E72D297353CC}">
                <c16:uniqueId val="{00000004-851C-4FB8-B9C9-69C45C8F0BDC}"/>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q13_q14_q20_q21_q28_q29_Fig!$R$106:$Y$106</c15:sqref>
                  </c15:fullRef>
                </c:ext>
              </c:extLst>
              <c:f>q13_q14_q20_q21_q28_q29_Fig!$S$106:$Y$106</c:f>
              <c:strCache>
                <c:ptCount val="7"/>
                <c:pt idx="0">
                  <c:v>&lt; 18 anos</c:v>
                </c:pt>
                <c:pt idx="1">
                  <c:v>18 - 24 anos</c:v>
                </c:pt>
                <c:pt idx="2">
                  <c:v>25 - 34 anos</c:v>
                </c:pt>
                <c:pt idx="3">
                  <c:v>35 - 44 anos</c:v>
                </c:pt>
                <c:pt idx="4">
                  <c:v>45 - 54 anos</c:v>
                </c:pt>
                <c:pt idx="5">
                  <c:v>55 - 64 anos</c:v>
                </c:pt>
                <c:pt idx="6">
                  <c:v>65 e + anos</c:v>
                </c:pt>
              </c:strCache>
            </c:strRef>
          </c:cat>
          <c:val>
            <c:numRef>
              <c:extLst>
                <c:ext xmlns:c15="http://schemas.microsoft.com/office/drawing/2012/chart" uri="{02D57815-91ED-43cb-92C2-25804820EDAC}">
                  <c15:fullRef>
                    <c15:sqref>q13_q14_q20_q21_q28_q29_Fig!$R$107:$Y$107</c15:sqref>
                  </c15:fullRef>
                </c:ext>
              </c:extLst>
              <c:f>q13_q14_q20_q21_q28_q29_Fig!$S$107:$Y$107</c:f>
              <c:numCache>
                <c:formatCode>#,##0.00\ "€"</c:formatCode>
                <c:ptCount val="7"/>
                <c:pt idx="0">
                  <c:v>1066.29938992042</c:v>
                </c:pt>
                <c:pt idx="1">
                  <c:v>857.94673854563302</c:v>
                </c:pt>
                <c:pt idx="2">
                  <c:v>1067.397850299739</c:v>
                </c:pt>
                <c:pt idx="3">
                  <c:v>1189.0093438068691</c:v>
                </c:pt>
                <c:pt idx="4">
                  <c:v>1224.3053251589229</c:v>
                </c:pt>
                <c:pt idx="5">
                  <c:v>1154.6344411736627</c:v>
                </c:pt>
                <c:pt idx="6">
                  <c:v>1297.99535680387</c:v>
                </c:pt>
              </c:numCache>
            </c:numRef>
          </c:val>
          <c:extLst>
            <c:ext xmlns:c16="http://schemas.microsoft.com/office/drawing/2014/chart" uri="{C3380CC4-5D6E-409C-BE32-E72D297353CC}">
              <c16:uniqueId val="{00000005-851C-4FB8-B9C9-69C45C8F0BDC}"/>
            </c:ext>
          </c:extLst>
        </c:ser>
        <c:ser>
          <c:idx val="1"/>
          <c:order val="1"/>
          <c:tx>
            <c:strRef>
              <c:f>q13_q14_q20_q21_q28_q29_Fig!$Q$108</c:f>
              <c:strCache>
                <c:ptCount val="1"/>
                <c:pt idx="0">
                  <c:v>Ganho</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q13_q14_q20_q21_q28_q29_Fig!$R$106:$Y$106</c15:sqref>
                  </c15:fullRef>
                </c:ext>
              </c:extLst>
              <c:f>q13_q14_q20_q21_q28_q29_Fig!$S$106:$Y$106</c:f>
              <c:strCache>
                <c:ptCount val="7"/>
                <c:pt idx="0">
                  <c:v>&lt; 18 anos</c:v>
                </c:pt>
                <c:pt idx="1">
                  <c:v>18 - 24 anos</c:v>
                </c:pt>
                <c:pt idx="2">
                  <c:v>25 - 34 anos</c:v>
                </c:pt>
                <c:pt idx="3">
                  <c:v>35 - 44 anos</c:v>
                </c:pt>
                <c:pt idx="4">
                  <c:v>45 - 54 anos</c:v>
                </c:pt>
                <c:pt idx="5">
                  <c:v>55 - 64 anos</c:v>
                </c:pt>
                <c:pt idx="6">
                  <c:v>65 e + anos</c:v>
                </c:pt>
              </c:strCache>
            </c:strRef>
          </c:cat>
          <c:val>
            <c:numRef>
              <c:extLst>
                <c:ext xmlns:c15="http://schemas.microsoft.com/office/drawing/2012/chart" uri="{02D57815-91ED-43cb-92C2-25804820EDAC}">
                  <c15:fullRef>
                    <c15:sqref>q13_q14_q20_q21_q28_q29_Fig!$R$108:$Y$108</c15:sqref>
                  </c15:fullRef>
                </c:ext>
              </c:extLst>
              <c:f>q13_q14_q20_q21_q28_q29_Fig!$S$108:$Y$108</c:f>
              <c:numCache>
                <c:formatCode>#,##0.00\ "€"</c:formatCode>
                <c:ptCount val="7"/>
                <c:pt idx="0">
                  <c:v>1142.1032360742699</c:v>
                </c:pt>
                <c:pt idx="1">
                  <c:v>1015.84021545265</c:v>
                </c:pt>
                <c:pt idx="2">
                  <c:v>1264.5021188910073</c:v>
                </c:pt>
                <c:pt idx="3">
                  <c:v>1420.7261792184404</c:v>
                </c:pt>
                <c:pt idx="4">
                  <c:v>1480.6143985778126</c:v>
                </c:pt>
                <c:pt idx="5">
                  <c:v>1387.7535657036681</c:v>
                </c:pt>
                <c:pt idx="6">
                  <c:v>1488.53987488135</c:v>
                </c:pt>
              </c:numCache>
            </c:numRef>
          </c:val>
          <c:extLst>
            <c:ext xmlns:c15="http://schemas.microsoft.com/office/drawing/2012/chart" uri="{02D57815-91ED-43cb-92C2-25804820EDAC}">
              <c15:categoryFilterExceptions>
                <c15:categoryFilterException>
                  <c15:sqref>q13_q14_q20_q21_q28_q29_Fig!$R$108</c15:sqref>
                  <c15:spPr xmlns:c15="http://schemas.microsoft.com/office/drawing/2012/chart">
                    <a:solidFill>
                      <a:sysClr val="window" lastClr="FFFFFF">
                        <a:lumMod val="85000"/>
                      </a:sysClr>
                    </a:solidFill>
                    <a:ln w="19050">
                      <a:solidFill>
                        <a:schemeClr val="lt1"/>
                      </a:solidFill>
                    </a:ln>
                    <a:effectLst/>
                  </c15:spPr>
                  <c15:invertIfNegative val="0"/>
                  <c15:bubble3D val="0"/>
                  <c15:dLbl>
                    <c:idx val="-1"/>
                    <c:dLblPos val="inEnd"/>
                    <c:showLegendKey val="0"/>
                    <c:showVal val="1"/>
                    <c:showCatName val="0"/>
                    <c:showSerName val="1"/>
                    <c:showPercent val="0"/>
                    <c:showBubbleSize val="0"/>
                    <c:separator> </c:separator>
                    <c:extLst>
                      <c:ext uri="{CE6537A1-D6FC-4f65-9D91-7224C49458BB}"/>
                      <c:ext xmlns:c16="http://schemas.microsoft.com/office/drawing/2014/chart" uri="{C3380CC4-5D6E-409C-BE32-E72D297353CC}">
                        <c16:uniqueId val="{00000006-C8FD-484C-9CFC-C2A1215E6E21}"/>
                      </c:ext>
                    </c:extLst>
                  </c15:dLbl>
                </c15:categoryFilterException>
              </c15:categoryFilterExceptions>
            </c:ext>
            <c:ext xmlns:c16="http://schemas.microsoft.com/office/drawing/2014/chart" uri="{C3380CC4-5D6E-409C-BE32-E72D297353CC}">
              <c16:uniqueId val="{00000006-851C-4FB8-B9C9-69C45C8F0BDC}"/>
            </c:ext>
          </c:extLst>
        </c:ser>
        <c:dLbls>
          <c:showLegendKey val="0"/>
          <c:showVal val="0"/>
          <c:showCatName val="0"/>
          <c:showSerName val="0"/>
          <c:showPercent val="0"/>
          <c:showBubbleSize val="0"/>
        </c:dLbls>
        <c:gapWidth val="42"/>
        <c:axId val="891633855"/>
        <c:axId val="1319480015"/>
      </c:barChart>
      <c:valAx>
        <c:axId val="1319480015"/>
        <c:scaling>
          <c:orientation val="minMax"/>
          <c:max val="2000"/>
          <c:min val="0"/>
        </c:scaling>
        <c:delete val="1"/>
        <c:axPos val="t"/>
        <c:numFmt formatCode="#,##0.00\ &quot;€&quot;" sourceLinked="1"/>
        <c:majorTickMark val="out"/>
        <c:minorTickMark val="none"/>
        <c:tickLblPos val="nextTo"/>
        <c:crossAx val="891633855"/>
        <c:crosses val="autoZero"/>
        <c:crossBetween val="between"/>
        <c:majorUnit val="200"/>
      </c:valAx>
      <c:catAx>
        <c:axId val="891633855"/>
        <c:scaling>
          <c:orientation val="maxMin"/>
        </c:scaling>
        <c:delete val="0"/>
        <c:axPos val="l"/>
        <c:numFmt formatCode="General" sourceLinked="1"/>
        <c:majorTickMark val="out"/>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52993679015136186"/>
          <c:y val="1.7451035760195285E-2"/>
          <c:w val="0.21659713598755717"/>
          <c:h val="9.798516112321462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205684241132001E-2"/>
          <c:y val="0.22899703122140164"/>
          <c:w val="0.93679431575886796"/>
          <c:h val="0.77100296877859842"/>
        </c:manualLayout>
      </c:layout>
      <c:barChart>
        <c:barDir val="bar"/>
        <c:grouping val="clustered"/>
        <c:varyColors val="0"/>
        <c:ser>
          <c:idx val="0"/>
          <c:order val="0"/>
          <c:tx>
            <c:strRef>
              <c:f>q13_q14_q20_q21_q28_q29_Fig!$S$96</c:f>
              <c:strCache>
                <c:ptCount val="1"/>
                <c:pt idx="0">
                  <c:v>Base - H</c:v>
                </c:pt>
              </c:strCache>
            </c:strRef>
          </c:tx>
          <c:spPr>
            <a:solidFill>
              <a:srgbClr val="4F81BD"/>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q13_q14_q20_q21_q28_q29_Fig!$R$97:$R$103</c:f>
              <c:strCache>
                <c:ptCount val="7"/>
                <c:pt idx="0">
                  <c:v>&lt; 18 anos</c:v>
                </c:pt>
                <c:pt idx="1">
                  <c:v>18 - 24 anos</c:v>
                </c:pt>
                <c:pt idx="2">
                  <c:v>25 - 34 anos</c:v>
                </c:pt>
                <c:pt idx="3">
                  <c:v>35 - 44 anos</c:v>
                </c:pt>
                <c:pt idx="4">
                  <c:v>45 - 54 anos</c:v>
                </c:pt>
                <c:pt idx="5">
                  <c:v>55 - 64 anos</c:v>
                </c:pt>
                <c:pt idx="6">
                  <c:v>65 e + anos</c:v>
                </c:pt>
              </c:strCache>
            </c:strRef>
          </c:cat>
          <c:val>
            <c:numRef>
              <c:f>q13_q14_q20_q21_q28_q29_Fig!$S$97:$S$103</c:f>
              <c:numCache>
                <c:formatCode>#,##0.00\ "€"</c:formatCode>
                <c:ptCount val="7"/>
                <c:pt idx="0">
                  <c:v>-1184.3662318840602</c:v>
                </c:pt>
                <c:pt idx="1">
                  <c:v>-881.21667037140912</c:v>
                </c:pt>
                <c:pt idx="2">
                  <c:v>-1107.3182540788919</c:v>
                </c:pt>
                <c:pt idx="3">
                  <c:v>-1261.6998093210527</c:v>
                </c:pt>
                <c:pt idx="4">
                  <c:v>-1326.4486514638406</c:v>
                </c:pt>
                <c:pt idx="5">
                  <c:v>-1263.3900990160193</c:v>
                </c:pt>
                <c:pt idx="6">
                  <c:v>-1419.42393265128</c:v>
                </c:pt>
              </c:numCache>
            </c:numRef>
          </c:val>
          <c:extLst>
            <c:ext xmlns:c16="http://schemas.microsoft.com/office/drawing/2014/chart" uri="{C3380CC4-5D6E-409C-BE32-E72D297353CC}">
              <c16:uniqueId val="{00000000-9E86-4497-99AA-A6226702988E}"/>
            </c:ext>
          </c:extLst>
        </c:ser>
        <c:ser>
          <c:idx val="1"/>
          <c:order val="1"/>
          <c:tx>
            <c:strRef>
              <c:f>q13_q14_q20_q21_q28_q29_Fig!$T$96</c:f>
              <c:strCache>
                <c:ptCount val="1"/>
                <c:pt idx="0">
                  <c:v>Ganho - H</c:v>
                </c:pt>
              </c:strCache>
            </c:strRef>
          </c:tx>
          <c:spPr>
            <a:solidFill>
              <a:srgbClr val="FFC000"/>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q13_q14_q20_q21_q28_q29_Fig!$R$97:$R$103</c:f>
              <c:strCache>
                <c:ptCount val="7"/>
                <c:pt idx="0">
                  <c:v>&lt; 18 anos</c:v>
                </c:pt>
                <c:pt idx="1">
                  <c:v>18 - 24 anos</c:v>
                </c:pt>
                <c:pt idx="2">
                  <c:v>25 - 34 anos</c:v>
                </c:pt>
                <c:pt idx="3">
                  <c:v>35 - 44 anos</c:v>
                </c:pt>
                <c:pt idx="4">
                  <c:v>45 - 54 anos</c:v>
                </c:pt>
                <c:pt idx="5">
                  <c:v>55 - 64 anos</c:v>
                </c:pt>
                <c:pt idx="6">
                  <c:v>65 e + anos</c:v>
                </c:pt>
              </c:strCache>
            </c:strRef>
          </c:cat>
          <c:val>
            <c:numRef>
              <c:f>q13_q14_q20_q21_q28_q29_Fig!$T$97:$T$103</c:f>
              <c:numCache>
                <c:formatCode>#,##0.00\ "€"</c:formatCode>
                <c:ptCount val="7"/>
                <c:pt idx="0">
                  <c:v>-1255.1913043478301</c:v>
                </c:pt>
                <c:pt idx="1">
                  <c:v>-1047.1973240606901</c:v>
                </c:pt>
                <c:pt idx="2">
                  <c:v>-1322.1748604011782</c:v>
                </c:pt>
                <c:pt idx="3">
                  <c:v>-1529.7378727606485</c:v>
                </c:pt>
                <c:pt idx="4">
                  <c:v>-1630.4902569051619</c:v>
                </c:pt>
                <c:pt idx="5">
                  <c:v>-1547.5622975632375</c:v>
                </c:pt>
                <c:pt idx="6">
                  <c:v>-1636.3038519062302</c:v>
                </c:pt>
              </c:numCache>
            </c:numRef>
          </c:val>
          <c:extLst>
            <c:ext xmlns:c16="http://schemas.microsoft.com/office/drawing/2014/chart" uri="{C3380CC4-5D6E-409C-BE32-E72D297353CC}">
              <c16:uniqueId val="{00000001-9E86-4497-99AA-A6226702988E}"/>
            </c:ext>
          </c:extLst>
        </c:ser>
        <c:dLbls>
          <c:showLegendKey val="0"/>
          <c:showVal val="0"/>
          <c:showCatName val="0"/>
          <c:showSerName val="0"/>
          <c:showPercent val="0"/>
          <c:showBubbleSize val="0"/>
        </c:dLbls>
        <c:gapWidth val="42"/>
        <c:axId val="1450378176"/>
        <c:axId val="1375020736"/>
      </c:barChart>
      <c:barChart>
        <c:barDir val="bar"/>
        <c:grouping val="clustered"/>
        <c:varyColors val="0"/>
        <c:ser>
          <c:idx val="2"/>
          <c:order val="2"/>
          <c:tx>
            <c:strRef>
              <c:f>q13_q14_q20_q21_q28_q29_Fig!$U$96</c:f>
              <c:strCache>
                <c:ptCount val="1"/>
                <c:pt idx="0">
                  <c:v>Base - M</c:v>
                </c:pt>
              </c:strCache>
            </c:strRef>
          </c:tx>
          <c:spPr>
            <a:solidFill>
              <a:srgbClr val="95B3D7"/>
            </a:solidFill>
          </c:spPr>
          <c:invertIfNegative val="0"/>
          <c:dLbls>
            <c:spPr>
              <a:noFill/>
              <a:ln>
                <a:noFill/>
              </a:ln>
              <a:effectLst/>
            </c:spPr>
            <c:txPr>
              <a:bodyPr wrap="none" lIns="38100" tIns="19050" rIns="38100" bIns="19050" anchor="ctr">
                <a:spAutoFit/>
              </a:bodyPr>
              <a:lstStyle/>
              <a:p>
                <a:pPr>
                  <a:defRPr sz="700" b="0"/>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q13_q14_q20_q21_q28_q29_Fig!$R$97:$R$103</c:f>
              <c:strCache>
                <c:ptCount val="7"/>
                <c:pt idx="0">
                  <c:v>&lt; 18 anos</c:v>
                </c:pt>
                <c:pt idx="1">
                  <c:v>18 - 24 anos</c:v>
                </c:pt>
                <c:pt idx="2">
                  <c:v>25 - 34 anos</c:v>
                </c:pt>
                <c:pt idx="3">
                  <c:v>35 - 44 anos</c:v>
                </c:pt>
                <c:pt idx="4">
                  <c:v>45 - 54 anos</c:v>
                </c:pt>
                <c:pt idx="5">
                  <c:v>55 - 64 anos</c:v>
                </c:pt>
                <c:pt idx="6">
                  <c:v>65 e + anos</c:v>
                </c:pt>
              </c:strCache>
            </c:strRef>
          </c:cat>
          <c:val>
            <c:numRef>
              <c:f>q13_q14_q20_q21_q28_q29_Fig!$U$97:$U$103</c:f>
              <c:numCache>
                <c:formatCode>#,##0.00\ "€"</c:formatCode>
                <c:ptCount val="7"/>
                <c:pt idx="0">
                  <c:v>743.66128712871307</c:v>
                </c:pt>
                <c:pt idx="1">
                  <c:v>827.20346505859197</c:v>
                </c:pt>
                <c:pt idx="2">
                  <c:v>1018.4876613687603</c:v>
                </c:pt>
                <c:pt idx="3">
                  <c:v>1104.2718933596959</c:v>
                </c:pt>
                <c:pt idx="4">
                  <c:v>1107.7790906187129</c:v>
                </c:pt>
                <c:pt idx="5">
                  <c:v>1015.1738983834637</c:v>
                </c:pt>
                <c:pt idx="6">
                  <c:v>1093.9260686198902</c:v>
                </c:pt>
              </c:numCache>
            </c:numRef>
          </c:val>
          <c:extLst>
            <c:ext xmlns:c16="http://schemas.microsoft.com/office/drawing/2014/chart" uri="{C3380CC4-5D6E-409C-BE32-E72D297353CC}">
              <c16:uniqueId val="{00000002-9E86-4497-99AA-A6226702988E}"/>
            </c:ext>
          </c:extLst>
        </c:ser>
        <c:ser>
          <c:idx val="3"/>
          <c:order val="3"/>
          <c:tx>
            <c:strRef>
              <c:f>q13_q14_q20_q21_q28_q29_Fig!$V$96</c:f>
              <c:strCache>
                <c:ptCount val="1"/>
                <c:pt idx="0">
                  <c:v>Ganho - M</c:v>
                </c:pt>
              </c:strCache>
            </c:strRef>
          </c:tx>
          <c:spPr>
            <a:solidFill>
              <a:srgbClr val="FFEF57"/>
            </a:solidFill>
          </c:spPr>
          <c:invertIfNegative val="0"/>
          <c:dLbls>
            <c:spPr>
              <a:noFill/>
              <a:ln>
                <a:noFill/>
              </a:ln>
              <a:effectLst/>
            </c:spPr>
            <c:txPr>
              <a:bodyPr wrap="none" lIns="38100" tIns="19050" rIns="38100" bIns="19050" anchor="ctr">
                <a:sp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q13_q14_q20_q21_q28_q29_Fig!$R$97:$R$103</c:f>
              <c:strCache>
                <c:ptCount val="7"/>
                <c:pt idx="0">
                  <c:v>&lt; 18 anos</c:v>
                </c:pt>
                <c:pt idx="1">
                  <c:v>18 - 24 anos</c:v>
                </c:pt>
                <c:pt idx="2">
                  <c:v>25 - 34 anos</c:v>
                </c:pt>
                <c:pt idx="3">
                  <c:v>35 - 44 anos</c:v>
                </c:pt>
                <c:pt idx="4">
                  <c:v>45 - 54 anos</c:v>
                </c:pt>
                <c:pt idx="5">
                  <c:v>55 - 64 anos</c:v>
                </c:pt>
                <c:pt idx="6">
                  <c:v>65 e + anos</c:v>
                </c:pt>
              </c:strCache>
            </c:strRef>
          </c:cat>
          <c:val>
            <c:numRef>
              <c:f>q13_q14_q20_q21_q28_q29_Fig!$V$97:$V$103</c:f>
              <c:numCache>
                <c:formatCode>#,##0.00\ "€"</c:formatCode>
                <c:ptCount val="7"/>
                <c:pt idx="0">
                  <c:v>833.0704950495051</c:v>
                </c:pt>
                <c:pt idx="1">
                  <c:v>974.41249779032307</c:v>
                </c:pt>
                <c:pt idx="2">
                  <c:v>1193.84189463488</c:v>
                </c:pt>
                <c:pt idx="3">
                  <c:v>1293.6479865785413</c:v>
                </c:pt>
                <c:pt idx="4">
                  <c:v>1309.6343644321175</c:v>
                </c:pt>
                <c:pt idx="5">
                  <c:v>1182.826181419405</c:v>
                </c:pt>
                <c:pt idx="6">
                  <c:v>1240.21208712413</c:v>
                </c:pt>
              </c:numCache>
            </c:numRef>
          </c:val>
          <c:extLst>
            <c:ext xmlns:c16="http://schemas.microsoft.com/office/drawing/2014/chart" uri="{C3380CC4-5D6E-409C-BE32-E72D297353CC}">
              <c16:uniqueId val="{00000003-9E86-4497-99AA-A6226702988E}"/>
            </c:ext>
          </c:extLst>
        </c:ser>
        <c:dLbls>
          <c:showLegendKey val="0"/>
          <c:showVal val="0"/>
          <c:showCatName val="0"/>
          <c:showSerName val="0"/>
          <c:showPercent val="0"/>
          <c:showBubbleSize val="0"/>
        </c:dLbls>
        <c:gapWidth val="42"/>
        <c:axId val="1450370176"/>
        <c:axId val="1375018240"/>
      </c:barChart>
      <c:valAx>
        <c:axId val="1375020736"/>
        <c:scaling>
          <c:orientation val="minMax"/>
        </c:scaling>
        <c:delete val="1"/>
        <c:axPos val="b"/>
        <c:numFmt formatCode="#,##0.00\ &quot;€&quot;" sourceLinked="1"/>
        <c:majorTickMark val="out"/>
        <c:minorTickMark val="none"/>
        <c:tickLblPos val="nextTo"/>
        <c:crossAx val="1450378176"/>
        <c:crosses val="max"/>
        <c:crossBetween val="between"/>
      </c:valAx>
      <c:catAx>
        <c:axId val="1450378176"/>
        <c:scaling>
          <c:orientation val="maxMin"/>
        </c:scaling>
        <c:delete val="1"/>
        <c:axPos val="l"/>
        <c:numFmt formatCode="General" sourceLinked="1"/>
        <c:majorTickMark val="out"/>
        <c:minorTickMark val="none"/>
        <c:tickLblPos val="nextTo"/>
        <c:crossAx val="1375020736"/>
        <c:crosses val="autoZero"/>
        <c:auto val="1"/>
        <c:lblAlgn val="ctr"/>
        <c:lblOffset val="100"/>
        <c:noMultiLvlLbl val="0"/>
      </c:catAx>
      <c:valAx>
        <c:axId val="1375018240"/>
        <c:scaling>
          <c:orientation val="minMax"/>
        </c:scaling>
        <c:delete val="1"/>
        <c:axPos val="t"/>
        <c:numFmt formatCode="#,##0.00\ &quot;€&quot;" sourceLinked="1"/>
        <c:majorTickMark val="out"/>
        <c:minorTickMark val="none"/>
        <c:tickLblPos val="nextTo"/>
        <c:crossAx val="1450370176"/>
        <c:crosses val="autoZero"/>
        <c:crossBetween val="between"/>
      </c:valAx>
      <c:catAx>
        <c:axId val="1450370176"/>
        <c:scaling>
          <c:orientation val="maxMin"/>
        </c:scaling>
        <c:delete val="1"/>
        <c:axPos val="r"/>
        <c:numFmt formatCode="General" sourceLinked="1"/>
        <c:majorTickMark val="out"/>
        <c:minorTickMark val="none"/>
        <c:tickLblPos val="nextTo"/>
        <c:crossAx val="1375018240"/>
        <c:crosses val="max"/>
        <c:auto val="1"/>
        <c:lblAlgn val="ctr"/>
        <c:lblOffset val="100"/>
        <c:noMultiLvlLbl val="0"/>
      </c:catAx>
      <c:spPr>
        <a:noFill/>
        <a:ln>
          <a:noFill/>
        </a:ln>
        <a:effectLst/>
      </c:spPr>
    </c:plotArea>
    <c:legend>
      <c:legendPos val="t"/>
      <c:layout>
        <c:manualLayout>
          <c:xMode val="edge"/>
          <c:yMode val="edge"/>
          <c:x val="0.10183330070804396"/>
          <c:y val="2.6527633955922166E-2"/>
          <c:w val="0.8636341084320287"/>
          <c:h val="5.2745989459947698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661888417793929"/>
          <c:y val="0.27515080793654073"/>
          <c:w val="0.84338111582206066"/>
          <c:h val="0.72484919206345932"/>
        </c:manualLayout>
      </c:layout>
      <c:barChart>
        <c:barDir val="bar"/>
        <c:grouping val="clustered"/>
        <c:varyColors val="0"/>
        <c:ser>
          <c:idx val="0"/>
          <c:order val="0"/>
          <c:tx>
            <c:strRef>
              <c:f>q13_q14_q20_q21_q28_q29_Fig!$R$44</c:f>
              <c:strCache>
                <c:ptCount val="1"/>
                <c:pt idx="0">
                  <c:v>Homens</c:v>
                </c:pt>
              </c:strCache>
            </c:strRef>
          </c:tx>
          <c:spPr>
            <a:solidFill>
              <a:srgbClr val="4F81BD"/>
            </a:solidFill>
            <a:ln>
              <a:noFill/>
            </a:ln>
            <a:effectLst/>
            <a:scene3d>
              <a:camera prst="orthographicFront"/>
              <a:lightRig rig="threePt" dir="t"/>
            </a:scene3d>
            <a:sp3d>
              <a:bevelT w="0" h="0"/>
              <a:bevelB w="0" h="0"/>
            </a:sp3d>
          </c:spPr>
          <c:invertIfNegative val="0"/>
          <c:dLbls>
            <c:numFmt formatCode="#,##0;#,##0" sourceLinked="0"/>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q13_q14_q20_q21_q28_q29_Fig!$Q$45:$Q$52</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q13_q14_q20_q21_q28_q29_Fig!$R$45:$R$52</c:f>
              <c:numCache>
                <c:formatCode>#,##0</c:formatCode>
                <c:ptCount val="8"/>
                <c:pt idx="0">
                  <c:v>-154897</c:v>
                </c:pt>
                <c:pt idx="1">
                  <c:v>-97684</c:v>
                </c:pt>
                <c:pt idx="2">
                  <c:v>-94376</c:v>
                </c:pt>
                <c:pt idx="3">
                  <c:v>-141741</c:v>
                </c:pt>
                <c:pt idx="4">
                  <c:v>-660462</c:v>
                </c:pt>
                <c:pt idx="5">
                  <c:v>-260895</c:v>
                </c:pt>
                <c:pt idx="6">
                  <c:v>-202071</c:v>
                </c:pt>
                <c:pt idx="7">
                  <c:v>-41791</c:v>
                </c:pt>
              </c:numCache>
            </c:numRef>
          </c:val>
          <c:extLst>
            <c:ext xmlns:c16="http://schemas.microsoft.com/office/drawing/2014/chart" uri="{C3380CC4-5D6E-409C-BE32-E72D297353CC}">
              <c16:uniqueId val="{00000000-FB83-4143-BE71-B01D1286994F}"/>
            </c:ext>
          </c:extLst>
        </c:ser>
        <c:ser>
          <c:idx val="1"/>
          <c:order val="1"/>
          <c:tx>
            <c:strRef>
              <c:f>q13_q14_q20_q21_q28_q29_Fig!$S$44</c:f>
              <c:strCache>
                <c:ptCount val="1"/>
                <c:pt idx="0">
                  <c:v>Mulheres</c:v>
                </c:pt>
              </c:strCache>
            </c:strRef>
          </c:tx>
          <c:spPr>
            <a:solidFill>
              <a:srgbClr val="FFC000"/>
            </a:solidFill>
            <a:ln>
              <a:noFill/>
            </a:ln>
            <a:effectLst/>
            <a:scene3d>
              <a:camera prst="orthographicFront"/>
              <a:lightRig rig="threePt" dir="t"/>
            </a:scene3d>
            <a:sp3d>
              <a:bevelT w="0" h="0"/>
              <a:bevelB w="0" h="0"/>
            </a:sp3d>
          </c:spPr>
          <c:invertIfNegative val="0"/>
          <c:dLbls>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q13_q14_q20_q21_q28_q29_Fig!$Q$45:$Q$52</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q13_q14_q20_q21_q28_q29_Fig!$S$45:$S$52</c:f>
              <c:numCache>
                <c:formatCode>#,##0</c:formatCode>
                <c:ptCount val="8"/>
                <c:pt idx="0">
                  <c:v>142625</c:v>
                </c:pt>
                <c:pt idx="1">
                  <c:v>94678</c:v>
                </c:pt>
                <c:pt idx="2">
                  <c:v>61796</c:v>
                </c:pt>
                <c:pt idx="3">
                  <c:v>143050</c:v>
                </c:pt>
                <c:pt idx="4">
                  <c:v>480610</c:v>
                </c:pt>
                <c:pt idx="5">
                  <c:v>341469</c:v>
                </c:pt>
                <c:pt idx="6">
                  <c:v>194661</c:v>
                </c:pt>
                <c:pt idx="7">
                  <c:v>35341</c:v>
                </c:pt>
              </c:numCache>
            </c:numRef>
          </c:val>
          <c:extLst>
            <c:ext xmlns:c16="http://schemas.microsoft.com/office/drawing/2014/chart" uri="{C3380CC4-5D6E-409C-BE32-E72D297353CC}">
              <c16:uniqueId val="{00000001-FB83-4143-BE71-B01D1286994F}"/>
            </c:ext>
          </c:extLst>
        </c:ser>
        <c:dLbls>
          <c:showLegendKey val="0"/>
          <c:showVal val="0"/>
          <c:showCatName val="0"/>
          <c:showSerName val="0"/>
          <c:showPercent val="0"/>
          <c:showBubbleSize val="0"/>
        </c:dLbls>
        <c:gapWidth val="40"/>
        <c:overlap val="100"/>
        <c:axId val="1261817855"/>
        <c:axId val="267587263"/>
      </c:barChart>
      <c:catAx>
        <c:axId val="1261817855"/>
        <c:scaling>
          <c:orientation val="maxMin"/>
        </c:scaling>
        <c:delete val="0"/>
        <c:axPos val="l"/>
        <c:majorGridlines>
          <c:spPr>
            <a:ln>
              <a:solidFill>
                <a:srgbClr val="D9D9D9"/>
              </a:solidFill>
            </a:ln>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85000"/>
                    <a:lumOff val="15000"/>
                  </a:schemeClr>
                </a:solidFill>
                <a:latin typeface="+mn-lt"/>
                <a:ea typeface="+mn-ea"/>
                <a:cs typeface="+mn-cs"/>
              </a:defRPr>
            </a:pPr>
            <a:endParaRPr lang="pt-PT"/>
          </a:p>
        </c:txPr>
        <c:crossAx val="267587263"/>
        <c:crosses val="autoZero"/>
        <c:auto val="1"/>
        <c:lblAlgn val="ctr"/>
        <c:lblOffset val="100"/>
        <c:noMultiLvlLbl val="0"/>
      </c:catAx>
      <c:valAx>
        <c:axId val="267587263"/>
        <c:scaling>
          <c:orientation val="minMax"/>
          <c:max val="680000"/>
          <c:min val="-680000"/>
        </c:scaling>
        <c:delete val="1"/>
        <c:axPos val="t"/>
        <c:numFmt formatCode="#,##0;#,##0" sourceLinked="0"/>
        <c:majorTickMark val="out"/>
        <c:minorTickMark val="none"/>
        <c:tickLblPos val="nextTo"/>
        <c:crossAx val="1261817855"/>
        <c:crosses val="autoZero"/>
        <c:crossBetween val="between"/>
        <c:majorUnit val="300000"/>
      </c:valAx>
      <c:spPr>
        <a:noFill/>
        <a:ln>
          <a:noFill/>
        </a:ln>
        <a:effectLst/>
      </c:spPr>
    </c:plotArea>
    <c:legend>
      <c:legendPos val="t"/>
      <c:layout>
        <c:manualLayout>
          <c:xMode val="edge"/>
          <c:yMode val="edge"/>
          <c:x val="0.3952921863554163"/>
          <c:y val="2.2249882951519907E-2"/>
          <c:w val="0.39199891301477158"/>
          <c:h val="7.892867243936505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t" anchorCtr="0"/>
          <a:lstStyle/>
          <a:p>
            <a:pPr>
              <a:defRPr sz="700" b="1" i="0" u="none" strike="noStrike" kern="1200" baseline="0">
                <a:solidFill>
                  <a:schemeClr val="tx1"/>
                </a:solidFill>
                <a:latin typeface="+mn-lt"/>
                <a:ea typeface="+mn-ea"/>
                <a:cs typeface="+mn-cs"/>
              </a:defRPr>
            </a:pPr>
            <a:r>
              <a:rPr lang="en-US" sz="700" b="1" i="0" baseline="0">
                <a:solidFill>
                  <a:srgbClr val="17375E"/>
                </a:solidFill>
                <a:effectLst/>
              </a:rPr>
              <a:t>Homens + Mulheres</a:t>
            </a:r>
            <a:endParaRPr lang="pt-PT" sz="700">
              <a:solidFill>
                <a:srgbClr val="17375E"/>
              </a:solidFill>
              <a:effectLst/>
            </a:endParaRPr>
          </a:p>
        </c:rich>
      </c:tx>
      <c:layout>
        <c:manualLayout>
          <c:xMode val="edge"/>
          <c:yMode val="edge"/>
          <c:x val="0.32626710030457906"/>
          <c:y val="2.1962219622196223E-2"/>
        </c:manualLayout>
      </c:layout>
      <c:overlay val="0"/>
      <c:spPr>
        <a:noFill/>
        <a:ln>
          <a:noFill/>
        </a:ln>
        <a:effectLst/>
      </c:spPr>
      <c:txPr>
        <a:bodyPr rot="0" spcFirstLastPara="1" vertOverflow="ellipsis" vert="horz" wrap="square" anchor="t" anchorCtr="0"/>
        <a:lstStyle/>
        <a:p>
          <a:pPr>
            <a:defRPr sz="700" b="1" i="0" u="none" strike="noStrike" kern="1200" baseline="0">
              <a:solidFill>
                <a:schemeClr val="tx1"/>
              </a:solidFill>
              <a:latin typeface="+mn-lt"/>
              <a:ea typeface="+mn-ea"/>
              <a:cs typeface="+mn-cs"/>
            </a:defRPr>
          </a:pPr>
          <a:endParaRPr lang="pt-PT"/>
        </a:p>
      </c:txPr>
    </c:title>
    <c:autoTitleDeleted val="0"/>
    <c:plotArea>
      <c:layout>
        <c:manualLayout>
          <c:layoutTarget val="inner"/>
          <c:xMode val="edge"/>
          <c:yMode val="edge"/>
          <c:x val="0.10057665234430598"/>
          <c:y val="0.1704118028534371"/>
          <c:w val="0.44813898561610344"/>
          <c:h val="0.68743028534370942"/>
        </c:manualLayout>
      </c:layout>
      <c:doughnutChart>
        <c:varyColors val="1"/>
        <c:ser>
          <c:idx val="0"/>
          <c:order val="0"/>
          <c:tx>
            <c:strRef>
              <c:f>q13_q14_q20_q21_q28_q29_Fig!$T$44</c:f>
              <c:strCache>
                <c:ptCount val="1"/>
                <c:pt idx="0">
                  <c:v>Total</c:v>
                </c:pt>
              </c:strCache>
            </c:strRef>
          </c:tx>
          <c:explosion val="9"/>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B67E-4AA6-B018-BD07C655A414}"/>
              </c:ext>
            </c:extLst>
          </c:dPt>
          <c:dPt>
            <c:idx val="1"/>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B67E-4AA6-B018-BD07C655A414}"/>
              </c:ext>
            </c:extLst>
          </c:dPt>
          <c:dPt>
            <c:idx val="2"/>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B67E-4AA6-B018-BD07C655A414}"/>
              </c:ext>
            </c:extLst>
          </c:dPt>
          <c:dPt>
            <c:idx val="3"/>
            <c:bubble3D val="0"/>
            <c:spPr>
              <a:solidFill>
                <a:schemeClr val="accent1">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B67E-4AA6-B018-BD07C655A414}"/>
              </c:ext>
            </c:extLst>
          </c:dPt>
          <c:dPt>
            <c:idx val="4"/>
            <c:bubble3D val="0"/>
            <c:spPr>
              <a:solidFill>
                <a:schemeClr val="accent3">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B67E-4AA6-B018-BD07C655A414}"/>
              </c:ext>
            </c:extLst>
          </c:dPt>
          <c:dPt>
            <c:idx val="5"/>
            <c:bubble3D val="0"/>
            <c:spPr>
              <a:solidFill>
                <a:schemeClr val="accent5">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B67E-4AA6-B018-BD07C655A414}"/>
              </c:ext>
            </c:extLst>
          </c:dPt>
          <c:dPt>
            <c:idx val="6"/>
            <c:bubble3D val="0"/>
            <c:spPr>
              <a:solidFill>
                <a:schemeClr val="accent1">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B67E-4AA6-B018-BD07C655A414}"/>
              </c:ext>
            </c:extLst>
          </c:dPt>
          <c:dPt>
            <c:idx val="7"/>
            <c:bubble3D val="0"/>
            <c:spPr>
              <a:solidFill>
                <a:schemeClr val="accent3">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B67E-4AA6-B018-BD07C655A414}"/>
              </c:ext>
            </c:extLst>
          </c:dPt>
          <c:dLbls>
            <c:dLbl>
              <c:idx val="0"/>
              <c:layout>
                <c:manualLayout>
                  <c:x val="5.7951507621849772E-3"/>
                  <c:y val="-3.108895560716781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10726871345029237"/>
                      <c:h val="9.8239823982398236E-2"/>
                    </c:manualLayout>
                  </c15:layout>
                </c:ext>
                <c:ext xmlns:c16="http://schemas.microsoft.com/office/drawing/2014/chart" uri="{C3380CC4-5D6E-409C-BE32-E72D297353CC}">
                  <c16:uniqueId val="{00000001-B67E-4AA6-B018-BD07C655A414}"/>
                </c:ext>
              </c:extLst>
            </c:dLbl>
            <c:dLbl>
              <c:idx val="2"/>
              <c:layout>
                <c:manualLayout>
                  <c:x val="0"/>
                  <c:y val="-8.4875562720133283E-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67E-4AA6-B018-BD07C655A414}"/>
                </c:ext>
              </c:extLst>
            </c:dLbl>
            <c:dLbl>
              <c:idx val="6"/>
              <c:layout>
                <c:manualLayout>
                  <c:x val="-1.2895066645765179E-2"/>
                  <c:y val="-1.796597367775071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B67E-4AA6-B018-BD07C655A414}"/>
                </c:ext>
              </c:extLst>
            </c:dLbl>
            <c:dLbl>
              <c:idx val="7"/>
              <c:layout>
                <c:manualLayout>
                  <c:x val="-2.7558220897347684E-2"/>
                  <c:y val="-0.18784984610736608"/>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17375E"/>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B67E-4AA6-B018-BD07C655A41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q13_q14_q20_q21_q28_q29_Fig!$Q$45:$Q$52</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q13_q14_q20_q21_q28_q29_Fig!$T$45:$T$52</c:f>
              <c:numCache>
                <c:formatCode>#,##0</c:formatCode>
                <c:ptCount val="8"/>
                <c:pt idx="0">
                  <c:v>297522</c:v>
                </c:pt>
                <c:pt idx="1">
                  <c:v>192362</c:v>
                </c:pt>
                <c:pt idx="2">
                  <c:v>156172</c:v>
                </c:pt>
                <c:pt idx="3">
                  <c:v>284791</c:v>
                </c:pt>
                <c:pt idx="4">
                  <c:v>1141072</c:v>
                </c:pt>
                <c:pt idx="5">
                  <c:v>602364</c:v>
                </c:pt>
                <c:pt idx="6">
                  <c:v>396732</c:v>
                </c:pt>
                <c:pt idx="7">
                  <c:v>77132</c:v>
                </c:pt>
              </c:numCache>
            </c:numRef>
          </c:val>
          <c:extLst>
            <c:ext xmlns:c16="http://schemas.microsoft.com/office/drawing/2014/chart" uri="{C3380CC4-5D6E-409C-BE32-E72D297353CC}">
              <c16:uniqueId val="{00000010-B67E-4AA6-B018-BD07C655A414}"/>
            </c:ext>
          </c:extLst>
        </c:ser>
        <c:dLbls>
          <c:showLegendKey val="0"/>
          <c:showVal val="0"/>
          <c:showCatName val="0"/>
          <c:showSerName val="0"/>
          <c:showPercent val="0"/>
          <c:showBubbleSize val="0"/>
          <c:showLeaderLines val="1"/>
        </c:dLbls>
        <c:firstSliceAng val="0"/>
        <c:holeSize val="24"/>
      </c:doughnutChart>
      <c:spPr>
        <a:noFill/>
        <a:ln>
          <a:noFill/>
        </a:ln>
        <a:effectLst/>
      </c:spPr>
    </c:plotArea>
    <c:legend>
      <c:legendPos val="r"/>
      <c:layout>
        <c:manualLayout>
          <c:xMode val="edge"/>
          <c:yMode val="edge"/>
          <c:x val="0.54169350054184462"/>
          <c:y val="0.14209342093420935"/>
          <c:w val="0.43208164168356555"/>
          <c:h val="0.84273842738427385"/>
        </c:manualLayout>
      </c:layout>
      <c:overlay val="0"/>
      <c:spPr>
        <a:noFill/>
        <a:ln>
          <a:noFill/>
        </a:ln>
        <a:effectLst/>
      </c:spPr>
      <c:txPr>
        <a:bodyPr rot="0" spcFirstLastPara="1" vertOverflow="ellipsis" vert="horz" wrap="square" anchor="ctr" anchorCtr="1"/>
        <a:lstStyle/>
        <a:p>
          <a:pPr>
            <a:defRPr sz="700" b="0" i="0" u="none" strike="noStrike" kern="1200" baseline="0">
              <a:solidFill>
                <a:srgbClr val="17375E"/>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a:pPr>
      <a:endParaRPr lang="pt-PT"/>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0.13893333333333333"/>
          <c:w val="0.564163817970042"/>
          <c:h val="0.78091002624671901"/>
        </c:manualLayout>
      </c:layout>
      <c:barChart>
        <c:barDir val="bar"/>
        <c:grouping val="clustered"/>
        <c:varyColors val="0"/>
        <c:ser>
          <c:idx val="0"/>
          <c:order val="0"/>
          <c:tx>
            <c:strRef>
              <c:f>q13_q14_q20_q21_q28_q29_Fig!$Q$132</c:f>
              <c:strCache>
                <c:ptCount val="1"/>
                <c:pt idx="0">
                  <c:v>Base </c:v>
                </c:pt>
              </c:strCache>
            </c:strRef>
          </c:tx>
          <c:spPr>
            <a:solidFill>
              <a:srgbClr val="4F81BD"/>
            </a:solidFill>
            <a:ln w="19050">
              <a:solidFill>
                <a:schemeClr val="lt1"/>
              </a:solidFill>
            </a:ln>
            <a:effectLst/>
          </c:spPr>
          <c:invertIfNegative val="0"/>
          <c:dPt>
            <c:idx val="0"/>
            <c:invertIfNegative val="0"/>
            <c:bubble3D val="0"/>
            <c:explosion val="2"/>
            <c:extLst>
              <c:ext xmlns:c16="http://schemas.microsoft.com/office/drawing/2014/chart" uri="{C3380CC4-5D6E-409C-BE32-E72D297353CC}">
                <c16:uniqueId val="{00000000-D286-44FE-A18E-52AF9A023E14}"/>
              </c:ext>
            </c:extLst>
          </c:dPt>
          <c:dPt>
            <c:idx val="1"/>
            <c:invertIfNegative val="0"/>
            <c:bubble3D val="0"/>
            <c:extLst>
              <c:ext xmlns:c16="http://schemas.microsoft.com/office/drawing/2014/chart" uri="{C3380CC4-5D6E-409C-BE32-E72D297353CC}">
                <c16:uniqueId val="{00000001-D286-44FE-A18E-52AF9A023E14}"/>
              </c:ext>
            </c:extLst>
          </c:dPt>
          <c:dPt>
            <c:idx val="2"/>
            <c:invertIfNegative val="0"/>
            <c:bubble3D val="0"/>
            <c:extLst>
              <c:ext xmlns:c16="http://schemas.microsoft.com/office/drawing/2014/chart" uri="{C3380CC4-5D6E-409C-BE32-E72D297353CC}">
                <c16:uniqueId val="{00000002-D286-44FE-A18E-52AF9A023E14}"/>
              </c:ext>
            </c:extLst>
          </c:dPt>
          <c:dPt>
            <c:idx val="3"/>
            <c:invertIfNegative val="0"/>
            <c:bubble3D val="0"/>
            <c:extLst>
              <c:ext xmlns:c16="http://schemas.microsoft.com/office/drawing/2014/chart" uri="{C3380CC4-5D6E-409C-BE32-E72D297353CC}">
                <c16:uniqueId val="{00000003-D286-44FE-A18E-52AF9A023E14}"/>
              </c:ext>
            </c:extLst>
          </c:dPt>
          <c:dPt>
            <c:idx val="4"/>
            <c:invertIfNegative val="0"/>
            <c:bubble3D val="0"/>
            <c:extLst>
              <c:ext xmlns:c16="http://schemas.microsoft.com/office/drawing/2014/chart" uri="{C3380CC4-5D6E-409C-BE32-E72D297353CC}">
                <c16:uniqueId val="{00000004-D286-44FE-A18E-52AF9A023E14}"/>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q13_q14_q20_q21_q28_q29_Fig!$R$131:$Z$131</c15:sqref>
                  </c15:fullRef>
                </c:ext>
              </c:extLst>
              <c:f>q13_q14_q20_q21_q28_q29_Fig!$S$131:$Z$131</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extLst>
                <c:ext xmlns:c15="http://schemas.microsoft.com/office/drawing/2012/chart" uri="{02D57815-91ED-43cb-92C2-25804820EDAC}">
                  <c15:fullRef>
                    <c15:sqref>q13_q14_q20_q21_q28_q29_Fig!$R$132:$Z$132</c15:sqref>
                  </c15:fullRef>
                </c:ext>
              </c:extLst>
              <c:f>q13_q14_q20_q21_q28_q29_Fig!$S$132:$Z$132</c:f>
              <c:numCache>
                <c:formatCode>#,##0.00\ "€"</c:formatCode>
                <c:ptCount val="8"/>
                <c:pt idx="0">
                  <c:v>2260.2689075153398</c:v>
                </c:pt>
                <c:pt idx="1">
                  <c:v>1620.2626426847301</c:v>
                </c:pt>
                <c:pt idx="2">
                  <c:v>1561.37126441444</c:v>
                </c:pt>
                <c:pt idx="3">
                  <c:v>1245.69055776859</c:v>
                </c:pt>
                <c:pt idx="4">
                  <c:v>914.25632748807504</c:v>
                </c:pt>
                <c:pt idx="5">
                  <c:v>805.43842040386505</c:v>
                </c:pt>
                <c:pt idx="6">
                  <c:v>746.19213529626995</c:v>
                </c:pt>
                <c:pt idx="7">
                  <c:v>764.33553617723305</c:v>
                </c:pt>
              </c:numCache>
            </c:numRef>
          </c:val>
          <c:extLst>
            <c:ext xmlns:c16="http://schemas.microsoft.com/office/drawing/2014/chart" uri="{C3380CC4-5D6E-409C-BE32-E72D297353CC}">
              <c16:uniqueId val="{00000005-D286-44FE-A18E-52AF9A023E14}"/>
            </c:ext>
          </c:extLst>
        </c:ser>
        <c:ser>
          <c:idx val="1"/>
          <c:order val="1"/>
          <c:tx>
            <c:strRef>
              <c:f>q13_q14_q20_q21_q28_q29_Fig!$Q$133</c:f>
              <c:strCache>
                <c:ptCount val="1"/>
                <c:pt idx="0">
                  <c:v>Ganho</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q13_q14_q20_q21_q28_q29_Fig!$R$131:$Z$131</c15:sqref>
                  </c15:fullRef>
                </c:ext>
              </c:extLst>
              <c:f>q13_q14_q20_q21_q28_q29_Fig!$S$131:$Z$131</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extLst>
                <c:ext xmlns:c15="http://schemas.microsoft.com/office/drawing/2012/chart" uri="{02D57815-91ED-43cb-92C2-25804820EDAC}">
                  <c15:fullRef>
                    <c15:sqref>q13_q14_q20_q21_q28_q29_Fig!$R$133:$Z$133</c15:sqref>
                  </c15:fullRef>
                </c:ext>
              </c:extLst>
              <c:f>q13_q14_q20_q21_q28_q29_Fig!$S$133:$Z$133</c:f>
              <c:numCache>
                <c:formatCode>#,##0.00\ "€"</c:formatCode>
                <c:ptCount val="8"/>
                <c:pt idx="0">
                  <c:v>2625.9199806616007</c:v>
                </c:pt>
                <c:pt idx="1">
                  <c:v>1923.504606041</c:v>
                </c:pt>
                <c:pt idx="2">
                  <c:v>1876.9138819029999</c:v>
                </c:pt>
                <c:pt idx="3">
                  <c:v>1529.1893239357998</c:v>
                </c:pt>
                <c:pt idx="4">
                  <c:v>1110.7545863064802</c:v>
                </c:pt>
                <c:pt idx="5">
                  <c:v>965.03818030272907</c:v>
                </c:pt>
                <c:pt idx="6">
                  <c:v>880.87147883170803</c:v>
                </c:pt>
                <c:pt idx="7">
                  <c:v>902.17660274676996</c:v>
                </c:pt>
              </c:numCache>
            </c:numRef>
          </c:val>
          <c:extLst>
            <c:ext xmlns:c16="http://schemas.microsoft.com/office/drawing/2014/chart" uri="{C3380CC4-5D6E-409C-BE32-E72D297353CC}">
              <c16:uniqueId val="{00000006-D286-44FE-A18E-52AF9A023E14}"/>
            </c:ext>
          </c:extLst>
        </c:ser>
        <c:dLbls>
          <c:showLegendKey val="0"/>
          <c:showVal val="0"/>
          <c:showCatName val="0"/>
          <c:showSerName val="0"/>
          <c:showPercent val="0"/>
          <c:showBubbleSize val="0"/>
        </c:dLbls>
        <c:gapWidth val="42"/>
        <c:axId val="891633855"/>
        <c:axId val="1319480015"/>
      </c:barChart>
      <c:valAx>
        <c:axId val="1319480015"/>
        <c:scaling>
          <c:orientation val="minMax"/>
          <c:max val="2500"/>
          <c:min val="0"/>
        </c:scaling>
        <c:delete val="1"/>
        <c:axPos val="t"/>
        <c:numFmt formatCode="#,##0.00\ &quot;€&quot;" sourceLinked="1"/>
        <c:majorTickMark val="out"/>
        <c:minorTickMark val="none"/>
        <c:tickLblPos val="nextTo"/>
        <c:crossAx val="891633855"/>
        <c:crosses val="autoZero"/>
        <c:crossBetween val="between"/>
        <c:majorUnit val="200"/>
      </c:valAx>
      <c:catAx>
        <c:axId val="891633855"/>
        <c:scaling>
          <c:orientation val="maxMin"/>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022566875875509"/>
          <c:y val="3.2000000000000001E-2"/>
          <c:w val="0.26686175496572434"/>
          <c:h val="7.711706036745406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67446682230048"/>
          <c:y val="0.22899703122140164"/>
          <c:w val="0.76325533177699523"/>
          <c:h val="0.77100296877859842"/>
        </c:manualLayout>
      </c:layout>
      <c:barChart>
        <c:barDir val="bar"/>
        <c:grouping val="clustered"/>
        <c:varyColors val="0"/>
        <c:ser>
          <c:idx val="0"/>
          <c:order val="0"/>
          <c:tx>
            <c:strRef>
              <c:f>q13_q14_q20_q21_q28_q29_Fig!$R$120</c:f>
              <c:strCache>
                <c:ptCount val="1"/>
                <c:pt idx="0">
                  <c:v>Base - H</c:v>
                </c:pt>
              </c:strCache>
            </c:strRef>
          </c:tx>
          <c:spPr>
            <a:solidFill>
              <a:srgbClr val="4F81BD"/>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q13_q14_q20_q21_q28_q29_Fig!$Q$121:$Q$128</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q13_q14_q20_q21_q28_q29_Fig!$R$121:$R$128</c:f>
              <c:numCache>
                <c:formatCode>#,##0.00\ "€"</c:formatCode>
                <c:ptCount val="8"/>
                <c:pt idx="0">
                  <c:v>-2558.3044295494901</c:v>
                </c:pt>
                <c:pt idx="1">
                  <c:v>-1748.1077816131601</c:v>
                </c:pt>
                <c:pt idx="2">
                  <c:v>-1609.6946180740101</c:v>
                </c:pt>
                <c:pt idx="3">
                  <c:v>-1348.4080862850801</c:v>
                </c:pt>
                <c:pt idx="4">
                  <c:v>-944.16646430287312</c:v>
                </c:pt>
                <c:pt idx="5">
                  <c:v>-851.02952182043202</c:v>
                </c:pt>
                <c:pt idx="6">
                  <c:v>-762.66479251544411</c:v>
                </c:pt>
                <c:pt idx="7">
                  <c:v>-775.21150174921695</c:v>
                </c:pt>
              </c:numCache>
            </c:numRef>
          </c:val>
          <c:extLst>
            <c:ext xmlns:c16="http://schemas.microsoft.com/office/drawing/2014/chart" uri="{C3380CC4-5D6E-409C-BE32-E72D297353CC}">
              <c16:uniqueId val="{00000000-A851-4C2F-AC27-6D22529C78F3}"/>
            </c:ext>
          </c:extLst>
        </c:ser>
        <c:ser>
          <c:idx val="1"/>
          <c:order val="1"/>
          <c:tx>
            <c:strRef>
              <c:f>q13_q14_q20_q21_q28_q29_Fig!$S$120</c:f>
              <c:strCache>
                <c:ptCount val="1"/>
                <c:pt idx="0">
                  <c:v>Ganho - H</c:v>
                </c:pt>
              </c:strCache>
            </c:strRef>
          </c:tx>
          <c:spPr>
            <a:solidFill>
              <a:srgbClr val="FFC000"/>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q13_q14_q20_q21_q28_q29_Fig!$Q$121:$Q$128</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q13_q14_q20_q21_q28_q29_Fig!$S$121:$S$128</c:f>
              <c:numCache>
                <c:formatCode>#,##0.00\ "€"</c:formatCode>
                <c:ptCount val="8"/>
                <c:pt idx="0">
                  <c:v>-2978.0187598152302</c:v>
                </c:pt>
                <c:pt idx="1">
                  <c:v>-2087.2823036474506</c:v>
                </c:pt>
                <c:pt idx="2">
                  <c:v>-1948.9207036131502</c:v>
                </c:pt>
                <c:pt idx="3">
                  <c:v>-1696.3206723046101</c:v>
                </c:pt>
                <c:pt idx="4">
                  <c:v>-1170.18180286346</c:v>
                </c:pt>
                <c:pt idx="5">
                  <c:v>-1039.5046696515599</c:v>
                </c:pt>
                <c:pt idx="6">
                  <c:v>-916.0868846546341</c:v>
                </c:pt>
                <c:pt idx="7">
                  <c:v>-921.182915485178</c:v>
                </c:pt>
              </c:numCache>
            </c:numRef>
          </c:val>
          <c:extLst>
            <c:ext xmlns:c16="http://schemas.microsoft.com/office/drawing/2014/chart" uri="{C3380CC4-5D6E-409C-BE32-E72D297353CC}">
              <c16:uniqueId val="{00000001-A851-4C2F-AC27-6D22529C78F3}"/>
            </c:ext>
          </c:extLst>
        </c:ser>
        <c:dLbls>
          <c:showLegendKey val="0"/>
          <c:showVal val="0"/>
          <c:showCatName val="0"/>
          <c:showSerName val="0"/>
          <c:showPercent val="0"/>
          <c:showBubbleSize val="0"/>
        </c:dLbls>
        <c:gapWidth val="42"/>
        <c:axId val="1261817855"/>
        <c:axId val="267587263"/>
      </c:barChart>
      <c:barChart>
        <c:barDir val="bar"/>
        <c:grouping val="clustered"/>
        <c:varyColors val="0"/>
        <c:ser>
          <c:idx val="2"/>
          <c:order val="2"/>
          <c:tx>
            <c:strRef>
              <c:f>q13_q14_q20_q21_q28_q29_Fig!$T$120</c:f>
              <c:strCache>
                <c:ptCount val="1"/>
                <c:pt idx="0">
                  <c:v>Base - M</c:v>
                </c:pt>
              </c:strCache>
            </c:strRef>
          </c:tx>
          <c:spPr>
            <a:solidFill>
              <a:srgbClr val="95B3D7"/>
            </a:solidFill>
          </c:spPr>
          <c:invertIfNegative val="0"/>
          <c:dLbls>
            <c:spPr>
              <a:noFill/>
              <a:ln>
                <a:noFill/>
              </a:ln>
              <a:effectLst/>
            </c:spPr>
            <c:txPr>
              <a:bodyPr wrap="none" lIns="38100" tIns="19050" rIns="38100" bIns="19050" anchor="ctr">
                <a:spAutoFit/>
              </a:bodyPr>
              <a:lstStyle/>
              <a:p>
                <a:pPr>
                  <a:defRPr sz="700" b="0">
                    <a:solidFill>
                      <a:sysClr val="windowText" lastClr="000000"/>
                    </a:solidFill>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q13_q14_q20_q21_q28_q29_Fig!$Q$121:$Q$128</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q13_q14_q20_q21_q28_q29_Fig!$T$121:$T$128</c:f>
              <c:numCache>
                <c:formatCode>#,##0.00\ "€"</c:formatCode>
                <c:ptCount val="8"/>
                <c:pt idx="0">
                  <c:v>1914.18888481977</c:v>
                </c:pt>
                <c:pt idx="1">
                  <c:v>1481.45989656335</c:v>
                </c:pt>
                <c:pt idx="2">
                  <c:v>1484.7469861217801</c:v>
                </c:pt>
                <c:pt idx="3">
                  <c:v>1138.7999413300199</c:v>
                </c:pt>
                <c:pt idx="4">
                  <c:v>871.09469414185605</c:v>
                </c:pt>
                <c:pt idx="5">
                  <c:v>766.49872620606197</c:v>
                </c:pt>
                <c:pt idx="6">
                  <c:v>725.84642090172599</c:v>
                </c:pt>
                <c:pt idx="7">
                  <c:v>749.20402449021401</c:v>
                </c:pt>
              </c:numCache>
            </c:numRef>
          </c:val>
          <c:extLst>
            <c:ext xmlns:c16="http://schemas.microsoft.com/office/drawing/2014/chart" uri="{C3380CC4-5D6E-409C-BE32-E72D297353CC}">
              <c16:uniqueId val="{00000002-A851-4C2F-AC27-6D22529C78F3}"/>
            </c:ext>
          </c:extLst>
        </c:ser>
        <c:ser>
          <c:idx val="3"/>
          <c:order val="3"/>
          <c:tx>
            <c:strRef>
              <c:f>q13_q14_q20_q21_q28_q29_Fig!$U$120</c:f>
              <c:strCache>
                <c:ptCount val="1"/>
                <c:pt idx="0">
                  <c:v>Ganho - M</c:v>
                </c:pt>
              </c:strCache>
            </c:strRef>
          </c:tx>
          <c:spPr>
            <a:solidFill>
              <a:srgbClr val="FFEF57"/>
            </a:solidFill>
          </c:spPr>
          <c:invertIfNegative val="0"/>
          <c:dLbls>
            <c:dLbl>
              <c:idx val="2"/>
              <c:spPr>
                <a:noFill/>
                <a:ln>
                  <a:noFill/>
                </a:ln>
                <a:effectLst/>
              </c:spPr>
              <c:txPr>
                <a:bodyPr wrap="none" lIns="38100" tIns="19050" rIns="38100" bIns="19050" anchor="ctr">
                  <a:no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A851-4C2F-AC27-6D22529C78F3}"/>
                </c:ext>
              </c:extLst>
            </c:dLbl>
            <c:spPr>
              <a:noFill/>
              <a:ln>
                <a:noFill/>
              </a:ln>
              <a:effectLst/>
            </c:spPr>
            <c:txPr>
              <a:bodyPr wrap="none" lIns="38100" tIns="19050" rIns="38100" bIns="19050" anchor="ctr">
                <a:sp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q13_q14_q20_q21_q28_q29_Fig!$Q$121:$Q$128</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q13_q14_q20_q21_q28_q29_Fig!$U$121:$U$128</c:f>
              <c:numCache>
                <c:formatCode>#,##0.00\ "€"</c:formatCode>
                <c:ptCount val="8"/>
                <c:pt idx="0">
                  <c:v>2217.0614907443701</c:v>
                </c:pt>
                <c:pt idx="1">
                  <c:v>1745.68952154305</c:v>
                </c:pt>
                <c:pt idx="2">
                  <c:v>1762.7357397037104</c:v>
                </c:pt>
                <c:pt idx="3">
                  <c:v>1355.2679581147402</c:v>
                </c:pt>
                <c:pt idx="4">
                  <c:v>1024.9985181313002</c:v>
                </c:pt>
                <c:pt idx="5">
                  <c:v>901.43580542846007</c:v>
                </c:pt>
                <c:pt idx="6">
                  <c:v>837.37621394346399</c:v>
                </c:pt>
                <c:pt idx="7">
                  <c:v>875.73350292038106</c:v>
                </c:pt>
              </c:numCache>
            </c:numRef>
          </c:val>
          <c:extLst>
            <c:ext xmlns:c16="http://schemas.microsoft.com/office/drawing/2014/chart" uri="{C3380CC4-5D6E-409C-BE32-E72D297353CC}">
              <c16:uniqueId val="{00000004-A851-4C2F-AC27-6D22529C78F3}"/>
            </c:ext>
          </c:extLst>
        </c:ser>
        <c:dLbls>
          <c:showLegendKey val="0"/>
          <c:showVal val="0"/>
          <c:showCatName val="0"/>
          <c:showSerName val="0"/>
          <c:showPercent val="0"/>
          <c:showBubbleSize val="0"/>
        </c:dLbls>
        <c:gapWidth val="42"/>
        <c:axId val="1450336976"/>
        <c:axId val="465148416"/>
      </c:barChart>
      <c:catAx>
        <c:axId val="1261817855"/>
        <c:scaling>
          <c:orientation val="maxMin"/>
        </c:scaling>
        <c:delete val="0"/>
        <c:axPos val="l"/>
        <c:majorGridlines>
          <c:spPr>
            <a:ln>
              <a:solidFill>
                <a:srgbClr val="D9D9D9"/>
              </a:solidFill>
            </a:ln>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85000"/>
                    <a:lumOff val="15000"/>
                  </a:schemeClr>
                </a:solidFill>
                <a:latin typeface="+mn-lt"/>
                <a:ea typeface="+mn-ea"/>
                <a:cs typeface="+mn-cs"/>
              </a:defRPr>
            </a:pPr>
            <a:endParaRPr lang="pt-PT"/>
          </a:p>
        </c:txPr>
        <c:crossAx val="267587263"/>
        <c:crosses val="autoZero"/>
        <c:auto val="1"/>
        <c:lblAlgn val="ctr"/>
        <c:lblOffset val="100"/>
        <c:noMultiLvlLbl val="0"/>
      </c:catAx>
      <c:valAx>
        <c:axId val="267587263"/>
        <c:scaling>
          <c:orientation val="minMax"/>
        </c:scaling>
        <c:delete val="1"/>
        <c:axPos val="t"/>
        <c:numFmt formatCode="#,##0;#,##0" sourceLinked="0"/>
        <c:majorTickMark val="out"/>
        <c:minorTickMark val="none"/>
        <c:tickLblPos val="nextTo"/>
        <c:crossAx val="1261817855"/>
        <c:crosses val="autoZero"/>
        <c:crossBetween val="between"/>
        <c:majorUnit val="500"/>
      </c:valAx>
      <c:valAx>
        <c:axId val="465148416"/>
        <c:scaling>
          <c:orientation val="minMax"/>
        </c:scaling>
        <c:delete val="1"/>
        <c:axPos val="b"/>
        <c:numFmt formatCode="#,##0.00\ &quot;€&quot;" sourceLinked="1"/>
        <c:majorTickMark val="out"/>
        <c:minorTickMark val="none"/>
        <c:tickLblPos val="nextTo"/>
        <c:crossAx val="1450336976"/>
        <c:crosses val="max"/>
        <c:crossBetween val="between"/>
      </c:valAx>
      <c:catAx>
        <c:axId val="1450336976"/>
        <c:scaling>
          <c:orientation val="maxMin"/>
        </c:scaling>
        <c:delete val="1"/>
        <c:axPos val="r"/>
        <c:numFmt formatCode="General" sourceLinked="1"/>
        <c:majorTickMark val="out"/>
        <c:minorTickMark val="none"/>
        <c:tickLblPos val="nextTo"/>
        <c:crossAx val="465148416"/>
        <c:crosses val="max"/>
        <c:auto val="1"/>
        <c:lblAlgn val="ctr"/>
        <c:lblOffset val="100"/>
        <c:noMultiLvlLbl val="0"/>
      </c:catAx>
      <c:spPr>
        <a:noFill/>
        <a:ln>
          <a:noFill/>
        </a:ln>
        <a:effectLst/>
      </c:spPr>
    </c:plotArea>
    <c:legend>
      <c:legendPos val="t"/>
      <c:layout>
        <c:manualLayout>
          <c:xMode val="edge"/>
          <c:yMode val="edge"/>
          <c:x val="0.18002599047564213"/>
          <c:y val="4.1970662888849528E-2"/>
          <c:w val="0.72325983073291489"/>
          <c:h val="5.4940430513743782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q3_q6_q9_q12_q19_q27_Fig!$AM$19</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7405-4242-AEE5-30A70FEF1A5F}"/>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q3_q6_q9_q12_q19_q27_Fig!$AL$38</c:f>
              <c:strCache>
                <c:ptCount val="1"/>
                <c:pt idx="0">
                  <c:v>Continente</c:v>
                </c:pt>
              </c:strCache>
            </c:strRef>
          </c:cat>
          <c:val>
            <c:numRef>
              <c:f>q3_q6_q9_q12_q19_q27_Fig!$AM$38</c:f>
              <c:numCache>
                <c:formatCode>#,##0</c:formatCode>
                <c:ptCount val="1"/>
                <c:pt idx="0">
                  <c:v>284860</c:v>
                </c:pt>
              </c:numCache>
            </c:numRef>
          </c:val>
          <c:extLst>
            <c:ext xmlns:c16="http://schemas.microsoft.com/office/drawing/2014/chart" uri="{C3380CC4-5D6E-409C-BE32-E72D297353CC}">
              <c16:uniqueId val="{00000001-7405-4242-AEE5-30A70FEF1A5F}"/>
            </c:ext>
          </c:extLst>
        </c:ser>
        <c:ser>
          <c:idx val="1"/>
          <c:order val="1"/>
          <c:tx>
            <c:strRef>
              <c:f>q3_q6_q9_q12_q19_q27_Fig!$AN$19</c:f>
              <c:strCache>
                <c:ptCount val="1"/>
                <c:pt idx="0">
                  <c:v>Estabele-
cimentos</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layout>
                <c:manualLayout>
                  <c:x val="-0.27755375896839896"/>
                  <c:y val="-2.3825651321406124E-2"/>
                </c:manualLayout>
              </c:layout>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42735770805868761"/>
                      <c:h val="0.47873272602752576"/>
                    </c:manualLayout>
                  </c15:layout>
                </c:ext>
                <c:ext xmlns:c16="http://schemas.microsoft.com/office/drawing/2014/chart" uri="{C3380CC4-5D6E-409C-BE32-E72D297353CC}">
                  <c16:uniqueId val="{00000002-7405-4242-AEE5-30A70FEF1A5F}"/>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q3_q6_q9_q12_q19_q27_Fig!$AL$38</c:f>
              <c:strCache>
                <c:ptCount val="1"/>
                <c:pt idx="0">
                  <c:v>Continente</c:v>
                </c:pt>
              </c:strCache>
            </c:strRef>
          </c:cat>
          <c:val>
            <c:numRef>
              <c:f>q3_q6_q9_q12_q19_q27_Fig!$AN$38</c:f>
              <c:numCache>
                <c:formatCode>#,##0</c:formatCode>
                <c:ptCount val="1"/>
                <c:pt idx="0">
                  <c:v>332683</c:v>
                </c:pt>
              </c:numCache>
            </c:numRef>
          </c:val>
          <c:extLst>
            <c:ext xmlns:c16="http://schemas.microsoft.com/office/drawing/2014/chart" uri="{C3380CC4-5D6E-409C-BE32-E72D297353CC}">
              <c16:uniqueId val="{00000003-7405-4242-AEE5-30A70FEF1A5F}"/>
            </c:ext>
          </c:extLst>
        </c:ser>
        <c:dLbls>
          <c:dLblPos val="inEnd"/>
          <c:showLegendKey val="0"/>
          <c:showVal val="1"/>
          <c:showCatName val="0"/>
          <c:showSerName val="0"/>
          <c:showPercent val="0"/>
          <c:showBubbleSize val="0"/>
        </c:dLbls>
        <c:gapWidth val="309"/>
        <c:overlap val="-5"/>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793875765529326E-2"/>
          <c:y val="0.13630659253375696"/>
          <c:w val="0.48423902012248471"/>
          <c:h val="0.73270479216309237"/>
        </c:manualLayout>
      </c:layout>
      <c:doughnutChart>
        <c:varyColors val="1"/>
        <c:ser>
          <c:idx val="0"/>
          <c:order val="0"/>
          <c:tx>
            <c:strRef>
              <c:f>q13_q14_q20_q21_q28_q29_Fig!$R$76</c:f>
              <c:strCache>
                <c:ptCount val="1"/>
                <c:pt idx="0">
                  <c:v>TCO</c:v>
                </c:pt>
              </c:strCache>
            </c:strRef>
          </c:tx>
          <c:explosion val="9"/>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F6A8-4EEE-A542-B4D51138FBC7}"/>
              </c:ext>
            </c:extLst>
          </c:dPt>
          <c:dPt>
            <c:idx val="1"/>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F6A8-4EEE-A542-B4D51138FBC7}"/>
              </c:ext>
            </c:extLst>
          </c:dPt>
          <c:dPt>
            <c:idx val="2"/>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F6A8-4EEE-A542-B4D51138FBC7}"/>
              </c:ext>
            </c:extLst>
          </c:dPt>
          <c:dPt>
            <c:idx val="3"/>
            <c:bubble3D val="0"/>
            <c:spPr>
              <a:solidFill>
                <a:schemeClr val="accent1">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F6A8-4EEE-A542-B4D51138FBC7}"/>
              </c:ext>
            </c:extLst>
          </c:dPt>
          <c:dPt>
            <c:idx val="4"/>
            <c:bubble3D val="0"/>
            <c:spPr>
              <a:solidFill>
                <a:schemeClr val="accent3">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F6A8-4EEE-A542-B4D51138FBC7}"/>
              </c:ext>
            </c:extLst>
          </c:dPt>
          <c:dPt>
            <c:idx val="5"/>
            <c:bubble3D val="0"/>
            <c:spPr>
              <a:solidFill>
                <a:schemeClr val="accent5">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F6A8-4EEE-A542-B4D51138FBC7}"/>
              </c:ext>
            </c:extLst>
          </c:dPt>
          <c:dPt>
            <c:idx val="6"/>
            <c:bubble3D val="0"/>
            <c:spPr>
              <a:solidFill>
                <a:schemeClr val="accent1">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F6A8-4EEE-A542-B4D51138FBC7}"/>
              </c:ext>
            </c:extLst>
          </c:dPt>
          <c:dPt>
            <c:idx val="7"/>
            <c:bubble3D val="0"/>
            <c:spPr>
              <a:solidFill>
                <a:schemeClr val="accent3">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F6A8-4EEE-A542-B4D51138FBC7}"/>
              </c:ext>
            </c:extLst>
          </c:dPt>
          <c:dLbls>
            <c:dLbl>
              <c:idx val="0"/>
              <c:layout>
                <c:manualLayout>
                  <c:x val="3.60926650137601E-2"/>
                  <c:y val="-0.1877321733384725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10726871345029237"/>
                      <c:h val="9.8239823982398236E-2"/>
                    </c:manualLayout>
                  </c15:layout>
                </c:ext>
                <c:ext xmlns:c16="http://schemas.microsoft.com/office/drawing/2014/chart" uri="{C3380CC4-5D6E-409C-BE32-E72D297353CC}">
                  <c16:uniqueId val="{00000001-F6A8-4EEE-A542-B4D51138FBC7}"/>
                </c:ext>
              </c:extLst>
            </c:dLbl>
            <c:dLbl>
              <c:idx val="2"/>
              <c:layout>
                <c:manualLayout>
                  <c:x val="0"/>
                  <c:y val="-8.4875562720133283E-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6A8-4EEE-A542-B4D51138FBC7}"/>
                </c:ext>
              </c:extLst>
            </c:dLbl>
            <c:dLbl>
              <c:idx val="6"/>
              <c:layout>
                <c:manualLayout>
                  <c:x val="-1.2895066645765179E-2"/>
                  <c:y val="-1.796597367775071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6A8-4EEE-A542-B4D51138FBC7}"/>
                </c:ext>
              </c:extLst>
            </c:dLbl>
            <c:dLbl>
              <c:idx val="7"/>
              <c:layout>
                <c:manualLayout>
                  <c:x val="-2.7558220897347684E-2"/>
                  <c:y val="-0.18784984610736608"/>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17375E"/>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F6A8-4EEE-A542-B4D51138FBC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q13_q14_q20_q21_q28_q29_Fig!$Q$77:$Q$80</c:f>
              <c:strCache>
                <c:ptCount val="4"/>
                <c:pt idx="0">
                  <c:v>&lt; 1.º ciclo do ensino básico</c:v>
                </c:pt>
                <c:pt idx="1">
                  <c:v>Ensino básico</c:v>
                </c:pt>
                <c:pt idx="2">
                  <c:v>Ensino secundário + pós sec. não superior nível IV</c:v>
                </c:pt>
                <c:pt idx="3">
                  <c:v>Ensino superior**</c:v>
                </c:pt>
              </c:strCache>
            </c:strRef>
          </c:cat>
          <c:val>
            <c:numRef>
              <c:f>q13_q14_q20_q21_q28_q29_Fig!$R$77:$R$80</c:f>
              <c:numCache>
                <c:formatCode>#,##0</c:formatCode>
                <c:ptCount val="4"/>
                <c:pt idx="0">
                  <c:v>5907</c:v>
                </c:pt>
                <c:pt idx="1">
                  <c:v>953672</c:v>
                </c:pt>
                <c:pt idx="2">
                  <c:v>796744</c:v>
                </c:pt>
                <c:pt idx="3">
                  <c:v>613051</c:v>
                </c:pt>
              </c:numCache>
            </c:numRef>
          </c:val>
          <c:extLst>
            <c:ext xmlns:c16="http://schemas.microsoft.com/office/drawing/2014/chart" uri="{C3380CC4-5D6E-409C-BE32-E72D297353CC}">
              <c16:uniqueId val="{00000010-F6A8-4EEE-A542-B4D51138FBC7}"/>
            </c:ext>
          </c:extLst>
        </c:ser>
        <c:dLbls>
          <c:showLegendKey val="0"/>
          <c:showVal val="0"/>
          <c:showCatName val="0"/>
          <c:showSerName val="0"/>
          <c:showPercent val="0"/>
          <c:showBubbleSize val="0"/>
          <c:showLeaderLines val="1"/>
        </c:dLbls>
        <c:firstSliceAng val="0"/>
        <c:holeSize val="24"/>
      </c:doughnutChart>
      <c:spPr>
        <a:noFill/>
        <a:ln>
          <a:noFill/>
        </a:ln>
        <a:effectLst/>
      </c:spPr>
    </c:plotArea>
    <c:legend>
      <c:legendPos val="r"/>
      <c:layout>
        <c:manualLayout>
          <c:xMode val="edge"/>
          <c:yMode val="edge"/>
          <c:x val="0.54653718285214348"/>
          <c:y val="4.9101932750860465E-2"/>
          <c:w val="0.39061767279090115"/>
          <c:h val="0.82165051628276409"/>
        </c:manualLayout>
      </c:layout>
      <c:overlay val="0"/>
      <c:spPr>
        <a:noFill/>
        <a:ln>
          <a:noFill/>
        </a:ln>
        <a:effectLst/>
      </c:spPr>
      <c:txPr>
        <a:bodyPr rot="0" spcFirstLastPara="1" vertOverflow="ellipsis" vert="horz" wrap="square" anchor="ctr" anchorCtr="1"/>
        <a:lstStyle/>
        <a:p>
          <a:pPr>
            <a:defRPr sz="700" b="0" i="0" u="none" strike="noStrike" kern="1200" baseline="0">
              <a:solidFill>
                <a:srgbClr val="17375E"/>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a:pPr>
      <a:endParaRPr lang="pt-PT"/>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2757621189405304"/>
          <c:y val="0.12694453453786034"/>
          <c:w val="0.41229760119940023"/>
          <c:h val="0.79289885381340897"/>
        </c:manualLayout>
      </c:layout>
      <c:barChart>
        <c:barDir val="bar"/>
        <c:grouping val="clustered"/>
        <c:varyColors val="0"/>
        <c:ser>
          <c:idx val="0"/>
          <c:order val="0"/>
          <c:tx>
            <c:strRef>
              <c:f>q13_q14_q20_q21_q28_q29_Fig!$R$76</c:f>
              <c:strCache>
                <c:ptCount val="1"/>
                <c:pt idx="0">
                  <c:v>TCO</c:v>
                </c:pt>
              </c:strCache>
            </c:strRef>
          </c:tx>
          <c:spPr>
            <a:solidFill>
              <a:srgbClr val="4F81BD"/>
            </a:solidFill>
            <a:ln w="19050">
              <a:solidFill>
                <a:schemeClr val="lt1"/>
              </a:solidFill>
            </a:ln>
            <a:effectLst/>
          </c:spPr>
          <c:invertIfNegative val="0"/>
          <c:dPt>
            <c:idx val="0"/>
            <c:invertIfNegative val="0"/>
            <c:bubble3D val="0"/>
            <c:explosion val="4"/>
            <c:spPr>
              <a:solidFill>
                <a:srgbClr val="4F81BD"/>
              </a:solidFill>
              <a:ln w="19050">
                <a:solidFill>
                  <a:schemeClr val="lt1"/>
                </a:solidFill>
              </a:ln>
              <a:effectLst/>
            </c:spPr>
            <c:extLst>
              <c:ext xmlns:c16="http://schemas.microsoft.com/office/drawing/2014/chart" uri="{C3380CC4-5D6E-409C-BE32-E72D297353CC}">
                <c16:uniqueId val="{00000001-2E37-440C-A5BE-4854FC0E97E7}"/>
              </c:ext>
            </c:extLst>
          </c:dPt>
          <c:dPt>
            <c:idx val="1"/>
            <c:invertIfNegative val="0"/>
            <c:bubble3D val="0"/>
            <c:explosion val="2"/>
            <c:spPr>
              <a:solidFill>
                <a:srgbClr val="4F81BD"/>
              </a:solidFill>
              <a:ln w="19050">
                <a:solidFill>
                  <a:schemeClr val="lt1"/>
                </a:solidFill>
              </a:ln>
              <a:effectLst/>
            </c:spPr>
            <c:extLst>
              <c:ext xmlns:c16="http://schemas.microsoft.com/office/drawing/2014/chart" uri="{C3380CC4-5D6E-409C-BE32-E72D297353CC}">
                <c16:uniqueId val="{00000003-2E37-440C-A5BE-4854FC0E97E7}"/>
              </c:ext>
            </c:extLst>
          </c:dPt>
          <c:dPt>
            <c:idx val="2"/>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5-2E37-440C-A5BE-4854FC0E97E7}"/>
              </c:ext>
            </c:extLst>
          </c:dPt>
          <c:dPt>
            <c:idx val="3"/>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7-2E37-440C-A5BE-4854FC0E97E7}"/>
              </c:ext>
            </c:extLst>
          </c:dPt>
          <c:dPt>
            <c:idx val="4"/>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9-2E37-440C-A5BE-4854FC0E97E7}"/>
              </c:ext>
            </c:extLst>
          </c:dPt>
          <c:dLbls>
            <c:dLbl>
              <c:idx val="0"/>
              <c:layout>
                <c:manualLayout>
                  <c:x val="0"/>
                  <c:y val="3.005422002962037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37-440C-A5BE-4854FC0E97E7}"/>
                </c:ext>
              </c:extLst>
            </c:dLbl>
            <c:spPr>
              <a:noFill/>
              <a:ln>
                <a:noFill/>
              </a:ln>
              <a:effectLst/>
            </c:spPr>
            <c:txPr>
              <a:bodyPr rot="0" spcFirstLastPara="1" vertOverflow="overflow" horzOverflow="overflow" vert="horz" wrap="non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q13_q14_q20_q21_q28_q29_Fig!$Q$77:$Q$81</c15:sqref>
                  </c15:fullRef>
                </c:ext>
              </c:extLst>
              <c:f>q13_q14_q20_q21_q28_q29_Fig!$Q$77:$Q$80</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q13_q14_q20_q21_q28_q29_Fig!$R$77:$R$81</c15:sqref>
                  </c15:fullRef>
                </c:ext>
              </c:extLst>
              <c:f>q13_q14_q20_q21_q28_q29_Fig!$R$77:$R$80</c:f>
              <c:numCache>
                <c:formatCode>#,##0</c:formatCode>
                <c:ptCount val="4"/>
                <c:pt idx="0">
                  <c:v>5907</c:v>
                </c:pt>
                <c:pt idx="1">
                  <c:v>953672</c:v>
                </c:pt>
                <c:pt idx="2">
                  <c:v>796744</c:v>
                </c:pt>
                <c:pt idx="3">
                  <c:v>613051</c:v>
                </c:pt>
              </c:numCache>
            </c:numRef>
          </c:val>
          <c:extLst>
            <c:ext xmlns:c15="http://schemas.microsoft.com/office/drawing/2012/chart" uri="{02D57815-91ED-43cb-92C2-25804820EDAC}">
              <c15:categoryFilterExceptions>
                <c15:categoryFilterException>
                  <c15:sqref>q13_q14_q20_q21_q28_q29_Fig!$R$81</c15:sqref>
                  <c15:spPr xmlns:c15="http://schemas.microsoft.com/office/drawing/2012/chart">
                    <a:solidFill>
                      <a:srgbClr val="4F81BD"/>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A-2E37-440C-A5BE-4854FC0E97E7}"/>
            </c:ext>
          </c:extLst>
        </c:ser>
        <c:dLbls>
          <c:showLegendKey val="0"/>
          <c:showVal val="0"/>
          <c:showCatName val="0"/>
          <c:showSerName val="0"/>
          <c:showPercent val="0"/>
          <c:showBubbleSize val="0"/>
        </c:dLbls>
        <c:gapWidth val="118"/>
        <c:axId val="891633855"/>
        <c:axId val="1319480015"/>
      </c:barChart>
      <c:valAx>
        <c:axId val="1319480015"/>
        <c:scaling>
          <c:orientation val="minMax"/>
          <c:max val="1200000"/>
          <c:min val="0"/>
        </c:scaling>
        <c:delete val="1"/>
        <c:axPos val="t"/>
        <c:numFmt formatCode="#,##0" sourceLinked="1"/>
        <c:majorTickMark val="out"/>
        <c:minorTickMark val="none"/>
        <c:tickLblPos val="nextTo"/>
        <c:crossAx val="891633855"/>
        <c:crosses val="autoZero"/>
        <c:crossBetween val="between"/>
        <c:majorUnit val="400000"/>
      </c:valAx>
      <c:catAx>
        <c:axId val="891633855"/>
        <c:scaling>
          <c:orientation val="maxMin"/>
        </c:scaling>
        <c:delete val="0"/>
        <c:axPos val="l"/>
        <c:numFmt formatCode="General" sourceLinked="1"/>
        <c:majorTickMark val="out"/>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345665328524363E-2"/>
          <c:y val="0.18179050350130707"/>
          <c:w val="0.60632456527300227"/>
          <c:h val="0.70374569616569937"/>
        </c:manualLayout>
      </c:layout>
      <c:barChart>
        <c:barDir val="bar"/>
        <c:grouping val="clustered"/>
        <c:varyColors val="0"/>
        <c:ser>
          <c:idx val="0"/>
          <c:order val="0"/>
          <c:tx>
            <c:strRef>
              <c:f>q13_q14_q20_q21_q28_q29_Fig!$Q$156</c:f>
              <c:strCache>
                <c:ptCount val="1"/>
                <c:pt idx="0">
                  <c:v>Base</c:v>
                </c:pt>
              </c:strCache>
            </c:strRef>
          </c:tx>
          <c:spPr>
            <a:solidFill>
              <a:srgbClr val="4F81BD"/>
            </a:solidFill>
            <a:ln w="19050">
              <a:solidFill>
                <a:schemeClr val="lt1"/>
              </a:solidFill>
            </a:ln>
            <a:effectLst/>
          </c:spPr>
          <c:invertIfNegative val="0"/>
          <c:dPt>
            <c:idx val="0"/>
            <c:invertIfNegative val="0"/>
            <c:bubble3D val="0"/>
            <c:explosion val="2"/>
            <c:extLst>
              <c:ext xmlns:c16="http://schemas.microsoft.com/office/drawing/2014/chart" uri="{C3380CC4-5D6E-409C-BE32-E72D297353CC}">
                <c16:uniqueId val="{00000000-AF3C-44B0-B92E-8C82D080F099}"/>
              </c:ext>
            </c:extLst>
          </c:dPt>
          <c:dPt>
            <c:idx val="1"/>
            <c:invertIfNegative val="0"/>
            <c:bubble3D val="0"/>
            <c:extLst>
              <c:ext xmlns:c16="http://schemas.microsoft.com/office/drawing/2014/chart" uri="{C3380CC4-5D6E-409C-BE32-E72D297353CC}">
                <c16:uniqueId val="{00000001-AF3C-44B0-B92E-8C82D080F099}"/>
              </c:ext>
            </c:extLst>
          </c:dPt>
          <c:dPt>
            <c:idx val="2"/>
            <c:invertIfNegative val="0"/>
            <c:bubble3D val="0"/>
            <c:extLst>
              <c:ext xmlns:c16="http://schemas.microsoft.com/office/drawing/2014/chart" uri="{C3380CC4-5D6E-409C-BE32-E72D297353CC}">
                <c16:uniqueId val="{00000002-AF3C-44B0-B92E-8C82D080F099}"/>
              </c:ext>
            </c:extLst>
          </c:dPt>
          <c:dPt>
            <c:idx val="3"/>
            <c:invertIfNegative val="0"/>
            <c:bubble3D val="0"/>
            <c:extLst>
              <c:ext xmlns:c16="http://schemas.microsoft.com/office/drawing/2014/chart" uri="{C3380CC4-5D6E-409C-BE32-E72D297353CC}">
                <c16:uniqueId val="{00000003-AF3C-44B0-B92E-8C82D080F099}"/>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q13_q14_q20_q21_q28_q29_Fig!$R$155:$W$155</c15:sqref>
                  </c15:fullRef>
                </c:ext>
              </c:extLst>
              <c:f>q13_q14_q20_q21_q28_q29_Fig!$S$155:$V$155</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q13_q14_q20_q21_q28_q29_Fig!$R$156:$W$156</c15:sqref>
                  </c15:fullRef>
                </c:ext>
              </c:extLst>
              <c:f>q13_q14_q20_q21_q28_q29_Fig!$S$156:$V$156</c:f>
              <c:numCache>
                <c:formatCode>#,##0.00\ "€"</c:formatCode>
                <c:ptCount val="4"/>
                <c:pt idx="0">
                  <c:v>766.16810225156519</c:v>
                </c:pt>
                <c:pt idx="1">
                  <c:v>866.98371471534017</c:v>
                </c:pt>
                <c:pt idx="2">
                  <c:v>997.48152037541502</c:v>
                </c:pt>
                <c:pt idx="3">
                  <c:v>1767.5060761176364</c:v>
                </c:pt>
              </c:numCache>
            </c:numRef>
          </c:val>
          <c:extLst>
            <c:ext xmlns:c15="http://schemas.microsoft.com/office/drawing/2012/chart" uri="{02D57815-91ED-43cb-92C2-25804820EDAC}">
              <c15:categoryFilterExceptions>
                <c15:categoryFilterException>
                  <c15:sqref>q13_q14_q20_q21_q28_q29_Fig!$W$156</c15:sqref>
                  <c15:spPr xmlns:c15="http://schemas.microsoft.com/office/drawing/2012/chart">
                    <a:solidFill>
                      <a:srgbClr val="4F81BD"/>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4-AF3C-44B0-B92E-8C82D080F099}"/>
            </c:ext>
          </c:extLst>
        </c:ser>
        <c:ser>
          <c:idx val="1"/>
          <c:order val="1"/>
          <c:tx>
            <c:strRef>
              <c:f>q13_q14_q20_q21_q28_q29_Fig!$Q$157</c:f>
              <c:strCache>
                <c:ptCount val="1"/>
                <c:pt idx="0">
                  <c:v>Ganho</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q13_q14_q20_q21_q28_q29_Fig!$R$155:$W$155</c15:sqref>
                  </c15:fullRef>
                </c:ext>
              </c:extLst>
              <c:f>q13_q14_q20_q21_q28_q29_Fig!$S$155:$V$155</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q13_q14_q20_q21_q28_q29_Fig!$R$157:$W$157</c15:sqref>
                  </c15:fullRef>
                </c:ext>
              </c:extLst>
              <c:f>q13_q14_q20_q21_q28_q29_Fig!$S$157:$V$157</c:f>
              <c:numCache>
                <c:formatCode>#,##0.00\ "€"</c:formatCode>
                <c:ptCount val="4"/>
                <c:pt idx="0">
                  <c:v>892.87459454884197</c:v>
                </c:pt>
                <c:pt idx="1">
                  <c:v>1044.0300886364023</c:v>
                </c:pt>
                <c:pt idx="2">
                  <c:v>1217.5678494347055</c:v>
                </c:pt>
                <c:pt idx="3">
                  <c:v>2072.8573535318387</c:v>
                </c:pt>
              </c:numCache>
            </c:numRef>
          </c:val>
          <c:extLst>
            <c:ext xmlns:c16="http://schemas.microsoft.com/office/drawing/2014/chart" uri="{C3380CC4-5D6E-409C-BE32-E72D297353CC}">
              <c16:uniqueId val="{00000005-AF3C-44B0-B92E-8C82D080F099}"/>
            </c:ext>
          </c:extLst>
        </c:ser>
        <c:dLbls>
          <c:showLegendKey val="0"/>
          <c:showVal val="0"/>
          <c:showCatName val="0"/>
          <c:showSerName val="0"/>
          <c:showPercent val="0"/>
          <c:showBubbleSize val="0"/>
        </c:dLbls>
        <c:gapWidth val="42"/>
        <c:axId val="891633855"/>
        <c:axId val="1319480015"/>
      </c:barChart>
      <c:valAx>
        <c:axId val="1319480015"/>
        <c:scaling>
          <c:orientation val="minMax"/>
          <c:max val="2500"/>
          <c:min val="0"/>
        </c:scaling>
        <c:delete val="1"/>
        <c:axPos val="t"/>
        <c:numFmt formatCode="#,##0.00\ &quot;€&quot;" sourceLinked="1"/>
        <c:majorTickMark val="out"/>
        <c:minorTickMark val="none"/>
        <c:tickLblPos val="nextTo"/>
        <c:crossAx val="891633855"/>
        <c:crosses val="autoZero"/>
        <c:crossBetween val="between"/>
        <c:majorUnit val="200"/>
      </c:valAx>
      <c:catAx>
        <c:axId val="891633855"/>
        <c:scaling>
          <c:orientation val="maxMin"/>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9273983843809283"/>
          <c:y val="8.2522611688207285E-3"/>
          <c:w val="0.23703567588317281"/>
          <c:h val="6.992608664633585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742641318886547"/>
          <c:y val="0.17702860588135602"/>
          <c:w val="0.7546157966014222"/>
          <c:h val="0.74281478392983291"/>
        </c:manualLayout>
      </c:layout>
      <c:barChart>
        <c:barDir val="bar"/>
        <c:grouping val="clustered"/>
        <c:varyColors val="0"/>
        <c:ser>
          <c:idx val="0"/>
          <c:order val="0"/>
          <c:tx>
            <c:strRef>
              <c:f>q13_q14_q20_q21_q28_q29_Fig!$Q$161</c:f>
              <c:strCache>
                <c:ptCount val="1"/>
                <c:pt idx="0">
                  <c:v>Base</c:v>
                </c:pt>
              </c:strCache>
            </c:strRef>
          </c:tx>
          <c:spPr>
            <a:solidFill>
              <a:srgbClr val="4F81BD"/>
            </a:solidFill>
            <a:ln w="19050">
              <a:solidFill>
                <a:schemeClr val="lt1"/>
              </a:solidFill>
            </a:ln>
            <a:effectLst/>
          </c:spPr>
          <c:invertIfNegative val="0"/>
          <c:dPt>
            <c:idx val="0"/>
            <c:invertIfNegative val="0"/>
            <c:bubble3D val="0"/>
            <c:explosion val="2"/>
            <c:extLst>
              <c:ext xmlns:c16="http://schemas.microsoft.com/office/drawing/2014/chart" uri="{C3380CC4-5D6E-409C-BE32-E72D297353CC}">
                <c16:uniqueId val="{00000000-AF9A-4CAE-9A72-B3E5B5E27BF3}"/>
              </c:ext>
            </c:extLst>
          </c:dPt>
          <c:dPt>
            <c:idx val="1"/>
            <c:invertIfNegative val="0"/>
            <c:bubble3D val="0"/>
            <c:extLst>
              <c:ext xmlns:c16="http://schemas.microsoft.com/office/drawing/2014/chart" uri="{C3380CC4-5D6E-409C-BE32-E72D297353CC}">
                <c16:uniqueId val="{00000001-AF9A-4CAE-9A72-B3E5B5E27BF3}"/>
              </c:ext>
            </c:extLst>
          </c:dPt>
          <c:dPt>
            <c:idx val="2"/>
            <c:invertIfNegative val="0"/>
            <c:bubble3D val="0"/>
            <c:extLst>
              <c:ext xmlns:c16="http://schemas.microsoft.com/office/drawing/2014/chart" uri="{C3380CC4-5D6E-409C-BE32-E72D297353CC}">
                <c16:uniqueId val="{00000002-AF9A-4CAE-9A72-B3E5B5E27BF3}"/>
              </c:ext>
            </c:extLst>
          </c:dPt>
          <c:dPt>
            <c:idx val="3"/>
            <c:invertIfNegative val="0"/>
            <c:bubble3D val="0"/>
            <c:extLst>
              <c:ext xmlns:c16="http://schemas.microsoft.com/office/drawing/2014/chart" uri="{C3380CC4-5D6E-409C-BE32-E72D297353CC}">
                <c16:uniqueId val="{00000003-AF9A-4CAE-9A72-B3E5B5E27BF3}"/>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q13_q14_q20_q21_q28_q29_Fig!$R$160:$W$160</c15:sqref>
                  </c15:fullRef>
                </c:ext>
              </c:extLst>
              <c:f>q13_q14_q20_q21_q28_q29_Fig!$S$160:$V$160</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q13_q14_q20_q21_q28_q29_Fig!$R$161:$W$161</c15:sqref>
                  </c15:fullRef>
                </c:ext>
              </c:extLst>
              <c:f>q13_q14_q20_q21_q28_q29_Fig!$S$161:$V$161</c:f>
              <c:numCache>
                <c:formatCode>#,##0.00\ "€"</c:formatCode>
                <c:ptCount val="4"/>
                <c:pt idx="0">
                  <c:v>705</c:v>
                </c:pt>
                <c:pt idx="1">
                  <c:v>746</c:v>
                </c:pt>
                <c:pt idx="2">
                  <c:v>798.57</c:v>
                </c:pt>
                <c:pt idx="3">
                  <c:v>1376</c:v>
                </c:pt>
              </c:numCache>
            </c:numRef>
          </c:val>
          <c:extLst>
            <c:ext xmlns:c15="http://schemas.microsoft.com/office/drawing/2012/chart" uri="{02D57815-91ED-43cb-92C2-25804820EDAC}">
              <c15:categoryFilterExceptions>
                <c15:categoryFilterException>
                  <c15:sqref>q13_q14_q20_q21_q28_q29_Fig!$W$161</c15:sqref>
                  <c15:spPr xmlns:c15="http://schemas.microsoft.com/office/drawing/2012/chart">
                    <a:solidFill>
                      <a:srgbClr val="4F81BD"/>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4-AF9A-4CAE-9A72-B3E5B5E27BF3}"/>
            </c:ext>
          </c:extLst>
        </c:ser>
        <c:ser>
          <c:idx val="1"/>
          <c:order val="1"/>
          <c:tx>
            <c:strRef>
              <c:f>q13_q14_q20_q21_q28_q29_Fig!$Q$162</c:f>
              <c:strCache>
                <c:ptCount val="1"/>
                <c:pt idx="0">
                  <c:v>Ganho</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q13_q14_q20_q21_q28_q29_Fig!$R$160:$W$160</c15:sqref>
                  </c15:fullRef>
                </c:ext>
              </c:extLst>
              <c:f>q13_q14_q20_q21_q28_q29_Fig!$S$160:$V$160</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q13_q14_q20_q21_q28_q29_Fig!$R$162:$W$162</c15:sqref>
                  </c15:fullRef>
                </c:ext>
              </c:extLst>
              <c:f>q13_q14_q20_q21_q28_q29_Fig!$S$162:$V$162</c:f>
              <c:numCache>
                <c:formatCode>#,##0.00\ "€"</c:formatCode>
                <c:ptCount val="4"/>
                <c:pt idx="0">
                  <c:v>825</c:v>
                </c:pt>
                <c:pt idx="1">
                  <c:v>891.6</c:v>
                </c:pt>
                <c:pt idx="2">
                  <c:v>977.7</c:v>
                </c:pt>
                <c:pt idx="3">
                  <c:v>1621.95</c:v>
                </c:pt>
              </c:numCache>
            </c:numRef>
          </c:val>
          <c:extLst>
            <c:ext xmlns:c16="http://schemas.microsoft.com/office/drawing/2014/chart" uri="{C3380CC4-5D6E-409C-BE32-E72D297353CC}">
              <c16:uniqueId val="{00000005-AF9A-4CAE-9A72-B3E5B5E27BF3}"/>
            </c:ext>
          </c:extLst>
        </c:ser>
        <c:dLbls>
          <c:showLegendKey val="0"/>
          <c:showVal val="0"/>
          <c:showCatName val="0"/>
          <c:showSerName val="0"/>
          <c:showPercent val="0"/>
          <c:showBubbleSize val="0"/>
        </c:dLbls>
        <c:gapWidth val="42"/>
        <c:axId val="891633855"/>
        <c:axId val="1319480015"/>
      </c:barChart>
      <c:valAx>
        <c:axId val="1319480015"/>
        <c:scaling>
          <c:orientation val="minMax"/>
          <c:max val="2500"/>
          <c:min val="0"/>
        </c:scaling>
        <c:delete val="1"/>
        <c:axPos val="t"/>
        <c:numFmt formatCode="#,##0.00\ &quot;€&quot;" sourceLinked="1"/>
        <c:majorTickMark val="out"/>
        <c:minorTickMark val="none"/>
        <c:tickLblPos val="nextTo"/>
        <c:crossAx val="891633855"/>
        <c:crosses val="autoZero"/>
        <c:crossBetween val="between"/>
        <c:majorUnit val="200"/>
      </c:valAx>
      <c:catAx>
        <c:axId val="891633855"/>
        <c:scaling>
          <c:orientation val="maxMin"/>
        </c:scaling>
        <c:delete val="0"/>
        <c:axPos val="l"/>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4825260812496481"/>
          <c:y val="3.8008150319151146E-3"/>
          <c:w val="0.2584854060556499"/>
          <c:h val="7.711706036745406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pt-PT" sz="700"/>
              <a:t>...por escalão de remuneração mensal base</a:t>
            </a:r>
            <a:r>
              <a:rPr lang="pt-PT" sz="700" baseline="0"/>
              <a:t> </a:t>
            </a:r>
            <a:r>
              <a:rPr lang="pt-PT" sz="700"/>
              <a:t>(%)</a:t>
            </a:r>
          </a:p>
        </c:rich>
      </c:tx>
      <c:layout>
        <c:manualLayout>
          <c:xMode val="edge"/>
          <c:yMode val="edge"/>
          <c:x val="0.24460062429221535"/>
          <c:y val="3.2610264249369317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endParaRPr lang="pt-PT"/>
        </a:p>
      </c:txPr>
    </c:title>
    <c:autoTitleDeleted val="0"/>
    <c:plotArea>
      <c:layout>
        <c:manualLayout>
          <c:layoutTarget val="inner"/>
          <c:xMode val="edge"/>
          <c:yMode val="edge"/>
          <c:x val="2.8038397288886921E-2"/>
          <c:y val="0.13305232558139532"/>
          <c:w val="0.74059544722107495"/>
          <c:h val="0.74988738326313853"/>
        </c:manualLayout>
      </c:layout>
      <c:barChart>
        <c:barDir val="col"/>
        <c:grouping val="stacked"/>
        <c:varyColors val="0"/>
        <c:ser>
          <c:idx val="0"/>
          <c:order val="0"/>
          <c:tx>
            <c:strRef>
              <c:f>q16_q23_Fig!$A$6</c:f>
              <c:strCache>
                <c:ptCount val="1"/>
                <c:pt idx="0">
                  <c:v>&lt; RMMG**</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elete val="1"/>
          </c:dLbls>
          <c:cat>
            <c:numRef>
              <c:f>q16_q23_Fig!$B$5:$L$5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q16_q23_Fig!$B$6:$L$6</c:f>
              <c:numCache>
                <c:formatCode>0.0%</c:formatCode>
                <c:ptCount val="11"/>
                <c:pt idx="0">
                  <c:v>5.4716040183007781E-3</c:v>
                </c:pt>
                <c:pt idx="1">
                  <c:v>5.1753203234469409E-3</c:v>
                </c:pt>
                <c:pt idx="2">
                  <c:v>7.5470347823245985E-3</c:v>
                </c:pt>
                <c:pt idx="3">
                  <c:v>5.8283457994476508E-3</c:v>
                </c:pt>
                <c:pt idx="4">
                  <c:v>5.3890411798856496E-3</c:v>
                </c:pt>
                <c:pt idx="5">
                  <c:v>5.3899189612480261E-3</c:v>
                </c:pt>
                <c:pt idx="6">
                  <c:v>4.6670768628066213E-3</c:v>
                </c:pt>
                <c:pt idx="7">
                  <c:v>4.9964164128292422E-3</c:v>
                </c:pt>
                <c:pt idx="8">
                  <c:v>4.6522416984656105E-3</c:v>
                </c:pt>
                <c:pt idx="9">
                  <c:v>5.0086476651304149E-3</c:v>
                </c:pt>
                <c:pt idx="10">
                  <c:v>4.7863844973833336E-3</c:v>
                </c:pt>
              </c:numCache>
            </c:numRef>
          </c:val>
          <c:extLst>
            <c:ext xmlns:c16="http://schemas.microsoft.com/office/drawing/2014/chart" uri="{C3380CC4-5D6E-409C-BE32-E72D297353CC}">
              <c16:uniqueId val="{00000000-8EB1-48C6-AC35-A358207DC3FF}"/>
            </c:ext>
          </c:extLst>
        </c:ser>
        <c:ser>
          <c:idx val="1"/>
          <c:order val="1"/>
          <c:tx>
            <c:strRef>
              <c:f>q16_q23_Fig!$A$7</c:f>
              <c:strCache>
                <c:ptCount val="1"/>
                <c:pt idx="0">
                  <c:v> = RMMG</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q16_q23_Fig!$B$5:$L$5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q16_q23_Fig!$B$7:$L$7</c:f>
              <c:numCache>
                <c:formatCode>0.0%</c:formatCode>
                <c:ptCount val="11"/>
                <c:pt idx="0">
                  <c:v>0.14410266688366091</c:v>
                </c:pt>
                <c:pt idx="1">
                  <c:v>0.14163154829567243</c:v>
                </c:pt>
                <c:pt idx="2">
                  <c:v>0.20369215067932647</c:v>
                </c:pt>
                <c:pt idx="3">
                  <c:v>0.18384224845075486</c:v>
                </c:pt>
                <c:pt idx="4">
                  <c:v>0.22109181370872022</c:v>
                </c:pt>
                <c:pt idx="5">
                  <c:v>0.22888510621531627</c:v>
                </c:pt>
                <c:pt idx="6">
                  <c:v>0.22317088266380225</c:v>
                </c:pt>
                <c:pt idx="7">
                  <c:v>0.20974556531087618</c:v>
                </c:pt>
                <c:pt idx="8">
                  <c:v>0.23879843890213009</c:v>
                </c:pt>
                <c:pt idx="9">
                  <c:v>0.23485068122516012</c:v>
                </c:pt>
                <c:pt idx="10">
                  <c:v>0.23346050170130656</c:v>
                </c:pt>
              </c:numCache>
            </c:numRef>
          </c:val>
          <c:extLst>
            <c:ext xmlns:c16="http://schemas.microsoft.com/office/drawing/2014/chart" uri="{C3380CC4-5D6E-409C-BE32-E72D297353CC}">
              <c16:uniqueId val="{00000001-8EB1-48C6-AC35-A358207DC3FF}"/>
            </c:ext>
          </c:extLst>
        </c:ser>
        <c:ser>
          <c:idx val="2"/>
          <c:order val="2"/>
          <c:tx>
            <c:strRef>
              <c:f>q16_q23_Fig!$A$8</c:f>
              <c:strCache>
                <c:ptCount val="1"/>
                <c:pt idx="0">
                  <c:v>&gt;RMMG e &lt;= 749,99 €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q16_q23_Fig!$B$5:$L$5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q16_q23_Fig!$B$8:$L$8</c:f>
              <c:numCache>
                <c:formatCode>0.0%</c:formatCode>
                <c:ptCount val="11"/>
                <c:pt idx="0">
                  <c:v>0.457331065010882</c:v>
                </c:pt>
                <c:pt idx="1">
                  <c:v>0.46114674815433498</c:v>
                </c:pt>
                <c:pt idx="2">
                  <c:v>0.39890380525507607</c:v>
                </c:pt>
                <c:pt idx="3">
                  <c:v>0.41744666724590196</c:v>
                </c:pt>
                <c:pt idx="4">
                  <c:v>0.37589851823266313</c:v>
                </c:pt>
                <c:pt idx="5">
                  <c:v>0.3542205396673363</c:v>
                </c:pt>
                <c:pt idx="6">
                  <c:v>0.33804953095718832</c:v>
                </c:pt>
                <c:pt idx="7">
                  <c:v>0.31896389535925462</c:v>
                </c:pt>
                <c:pt idx="8">
                  <c:v>0.24575785608732981</c:v>
                </c:pt>
                <c:pt idx="9">
                  <c:v>0.20550905800888306</c:v>
                </c:pt>
                <c:pt idx="10">
                  <c:v>0.11530502521973894</c:v>
                </c:pt>
              </c:numCache>
            </c:numRef>
          </c:val>
          <c:extLst>
            <c:ext xmlns:c16="http://schemas.microsoft.com/office/drawing/2014/chart" uri="{C3380CC4-5D6E-409C-BE32-E72D297353CC}">
              <c16:uniqueId val="{00000002-8EB1-48C6-AC35-A358207DC3FF}"/>
            </c:ext>
          </c:extLst>
        </c:ser>
        <c:ser>
          <c:idx val="3"/>
          <c:order val="3"/>
          <c:tx>
            <c:strRef>
              <c:f>q16_q23_Fig!$A$9</c:f>
              <c:strCache>
                <c:ptCount val="1"/>
                <c:pt idx="0">
                  <c:v>750,00 - 999,99  €</c:v>
                </c:pt>
              </c:strCache>
            </c:strRef>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q16_q23_Fig!$B$5:$L$5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q16_q23_Fig!$B$9:$L$9</c:f>
              <c:numCache>
                <c:formatCode>0.0%</c:formatCode>
                <c:ptCount val="11"/>
                <c:pt idx="0">
                  <c:v>0.14300269446146616</c:v>
                </c:pt>
                <c:pt idx="1">
                  <c:v>0.14204677994468162</c:v>
                </c:pt>
                <c:pt idx="2">
                  <c:v>0.14285173470821813</c:v>
                </c:pt>
                <c:pt idx="3">
                  <c:v>0.14394733445463909</c:v>
                </c:pt>
                <c:pt idx="4">
                  <c:v>0.14788085712714566</c:v>
                </c:pt>
                <c:pt idx="5">
                  <c:v>0.15575932377178939</c:v>
                </c:pt>
                <c:pt idx="6">
                  <c:v>0.16489250034800171</c:v>
                </c:pt>
                <c:pt idx="7">
                  <c:v>0.18004389894284178</c:v>
                </c:pt>
                <c:pt idx="8">
                  <c:v>0.20400089089411946</c:v>
                </c:pt>
                <c:pt idx="9">
                  <c:v>0.22772442349656502</c:v>
                </c:pt>
                <c:pt idx="10">
                  <c:v>0.28898390860711709</c:v>
                </c:pt>
              </c:numCache>
            </c:numRef>
          </c:val>
          <c:extLst>
            <c:ext xmlns:c16="http://schemas.microsoft.com/office/drawing/2014/chart" uri="{C3380CC4-5D6E-409C-BE32-E72D297353CC}">
              <c16:uniqueId val="{00000003-8EB1-48C6-AC35-A358207DC3FF}"/>
            </c:ext>
          </c:extLst>
        </c:ser>
        <c:ser>
          <c:idx val="4"/>
          <c:order val="4"/>
          <c:tx>
            <c:strRef>
              <c:f>q16_q23_Fig!$A$10</c:f>
              <c:strCache>
                <c:ptCount val="1"/>
                <c:pt idx="0">
                  <c:v>1 000,00 - 1 499,99  €</c:v>
                </c:pt>
              </c:strCache>
            </c:strRef>
          </c:tx>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q16_q23_Fig!$B$5:$L$5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q16_q23_Fig!$B$10:$L$10</c:f>
              <c:numCache>
                <c:formatCode>0.0%</c:formatCode>
                <c:ptCount val="11"/>
                <c:pt idx="0">
                  <c:v>0.13555354725407218</c:v>
                </c:pt>
                <c:pt idx="1">
                  <c:v>0.13618645963974821</c:v>
                </c:pt>
                <c:pt idx="2">
                  <c:v>0.13515638329373902</c:v>
                </c:pt>
                <c:pt idx="3">
                  <c:v>0.13673033065127307</c:v>
                </c:pt>
                <c:pt idx="4">
                  <c:v>0.13732516882726309</c:v>
                </c:pt>
                <c:pt idx="5">
                  <c:v>0.1414573466551404</c:v>
                </c:pt>
                <c:pt idx="6">
                  <c:v>0.14863141246975106</c:v>
                </c:pt>
                <c:pt idx="7">
                  <c:v>0.15694678373051424</c:v>
                </c:pt>
                <c:pt idx="8">
                  <c:v>0.16926526187573876</c:v>
                </c:pt>
                <c:pt idx="9">
                  <c:v>0.17971693097409155</c:v>
                </c:pt>
                <c:pt idx="10">
                  <c:v>0.19453183031966045</c:v>
                </c:pt>
              </c:numCache>
            </c:numRef>
          </c:val>
          <c:extLst>
            <c:ext xmlns:c16="http://schemas.microsoft.com/office/drawing/2014/chart" uri="{C3380CC4-5D6E-409C-BE32-E72D297353CC}">
              <c16:uniqueId val="{00000004-8EB1-48C6-AC35-A358207DC3FF}"/>
            </c:ext>
          </c:extLst>
        </c:ser>
        <c:ser>
          <c:idx val="5"/>
          <c:order val="5"/>
          <c:tx>
            <c:strRef>
              <c:f>q16_q23_Fig!$A$11</c:f>
              <c:strCache>
                <c:ptCount val="1"/>
                <c:pt idx="0">
                  <c:v>1 500,00 - 2 499,99  €</c:v>
                </c:pt>
              </c:strCache>
            </c:strRef>
          </c:tx>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q16_q23_Fig!$B$5:$L$5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q16_q23_Fig!$B$11:$L$11</c:f>
              <c:numCache>
                <c:formatCode>0.0%</c:formatCode>
                <c:ptCount val="11"/>
                <c:pt idx="0">
                  <c:v>7.8092285697689695E-2</c:v>
                </c:pt>
                <c:pt idx="1">
                  <c:v>7.7581669717869936E-2</c:v>
                </c:pt>
                <c:pt idx="2">
                  <c:v>7.6610207814419587E-2</c:v>
                </c:pt>
                <c:pt idx="3">
                  <c:v>7.6416368385605976E-2</c:v>
                </c:pt>
                <c:pt idx="4">
                  <c:v>7.5857299902526196E-2</c:v>
                </c:pt>
                <c:pt idx="5">
                  <c:v>7.7197654909160335E-2</c:v>
                </c:pt>
                <c:pt idx="6">
                  <c:v>8.1324936554869331E-2</c:v>
                </c:pt>
                <c:pt idx="7">
                  <c:v>8.6777011288299594E-2</c:v>
                </c:pt>
                <c:pt idx="8">
                  <c:v>9.2550406216296899E-2</c:v>
                </c:pt>
                <c:pt idx="9">
                  <c:v>9.8043982670133603E-2</c:v>
                </c:pt>
                <c:pt idx="10">
                  <c:v>0.10679828206968098</c:v>
                </c:pt>
              </c:numCache>
            </c:numRef>
          </c:val>
          <c:extLst>
            <c:ext xmlns:c16="http://schemas.microsoft.com/office/drawing/2014/chart" uri="{C3380CC4-5D6E-409C-BE32-E72D297353CC}">
              <c16:uniqueId val="{00000005-8EB1-48C6-AC35-A358207DC3FF}"/>
            </c:ext>
          </c:extLst>
        </c:ser>
        <c:ser>
          <c:idx val="6"/>
          <c:order val="6"/>
          <c:tx>
            <c:strRef>
              <c:f>q16_q23_Fig!$A$12</c:f>
              <c:strCache>
                <c:ptCount val="1"/>
                <c:pt idx="0">
                  <c:v>2 500,00 - 3 749,99  €</c:v>
                </c:pt>
              </c:strCache>
            </c:strRef>
          </c:tx>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q16_q23_Fig!$B$5:$L$5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q16_q23_Fig!$B$12:$L$12</c:f>
              <c:numCache>
                <c:formatCode>0.0%</c:formatCode>
                <c:ptCount val="11"/>
                <c:pt idx="0">
                  <c:v>2.3689701024146539E-2</c:v>
                </c:pt>
                <c:pt idx="1">
                  <c:v>2.3744902833149343E-2</c:v>
                </c:pt>
                <c:pt idx="2">
                  <c:v>2.339357788982771E-2</c:v>
                </c:pt>
                <c:pt idx="3">
                  <c:v>2.3905006752443711E-2</c:v>
                </c:pt>
                <c:pt idx="4">
                  <c:v>2.4396190394620498E-2</c:v>
                </c:pt>
                <c:pt idx="5">
                  <c:v>2.4870739977569757E-2</c:v>
                </c:pt>
                <c:pt idx="6">
                  <c:v>2.6643100792627713E-2</c:v>
                </c:pt>
                <c:pt idx="7">
                  <c:v>2.8876545421967388E-2</c:v>
                </c:pt>
                <c:pt idx="8">
                  <c:v>3.0903582891505917E-2</c:v>
                </c:pt>
                <c:pt idx="9">
                  <c:v>3.3638190415860442E-2</c:v>
                </c:pt>
                <c:pt idx="10">
                  <c:v>3.7576464102116271E-2</c:v>
                </c:pt>
              </c:numCache>
            </c:numRef>
          </c:val>
          <c:extLst>
            <c:ext xmlns:c16="http://schemas.microsoft.com/office/drawing/2014/chart" uri="{C3380CC4-5D6E-409C-BE32-E72D297353CC}">
              <c16:uniqueId val="{00000006-8EB1-48C6-AC35-A358207DC3FF}"/>
            </c:ext>
          </c:extLst>
        </c:ser>
        <c:ser>
          <c:idx val="7"/>
          <c:order val="7"/>
          <c:tx>
            <c:strRef>
              <c:f>q16_q23_Fig!$A$13</c:f>
              <c:strCache>
                <c:ptCount val="1"/>
                <c:pt idx="0">
                  <c:v>3 750,00 - 4 999,99 €</c:v>
                </c:pt>
              </c:strCache>
            </c:strRef>
          </c:tx>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elete val="1"/>
          </c:dLbls>
          <c:cat>
            <c:numRef>
              <c:f>q16_q23_Fig!$B$5:$L$5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q16_q23_Fig!$B$13:$L$13</c:f>
              <c:numCache>
                <c:formatCode>0.0%</c:formatCode>
                <c:ptCount val="11"/>
                <c:pt idx="0">
                  <c:v>6.9049172744336997E-3</c:v>
                </c:pt>
                <c:pt idx="1">
                  <c:v>6.7965751058840706E-3</c:v>
                </c:pt>
                <c:pt idx="2">
                  <c:v>6.3013825080757372E-3</c:v>
                </c:pt>
                <c:pt idx="3">
                  <c:v>6.294412572552986E-3</c:v>
                </c:pt>
                <c:pt idx="4">
                  <c:v>6.5929862655852252E-3</c:v>
                </c:pt>
                <c:pt idx="5">
                  <c:v>6.6052422602292842E-3</c:v>
                </c:pt>
                <c:pt idx="6">
                  <c:v>6.8258209552794014E-3</c:v>
                </c:pt>
                <c:pt idx="7">
                  <c:v>7.3396344741085825E-3</c:v>
                </c:pt>
                <c:pt idx="8">
                  <c:v>7.7306320635011586E-3</c:v>
                </c:pt>
                <c:pt idx="9">
                  <c:v>8.580410561875567E-3</c:v>
                </c:pt>
                <c:pt idx="10">
                  <c:v>1.0213310382704541E-2</c:v>
                </c:pt>
              </c:numCache>
            </c:numRef>
          </c:val>
          <c:extLst>
            <c:ext xmlns:c16="http://schemas.microsoft.com/office/drawing/2014/chart" uri="{C3380CC4-5D6E-409C-BE32-E72D297353CC}">
              <c16:uniqueId val="{00000007-8EB1-48C6-AC35-A358207DC3FF}"/>
            </c:ext>
          </c:extLst>
        </c:ser>
        <c:ser>
          <c:idx val="8"/>
          <c:order val="8"/>
          <c:tx>
            <c:strRef>
              <c:f>q16_q23_Fig!$A$14</c:f>
              <c:strCache>
                <c:ptCount val="1"/>
                <c:pt idx="0">
                  <c:v>5 000,00 e +  Euros</c:v>
                </c:pt>
              </c:strCache>
            </c:strRef>
          </c:tx>
          <c:spPr>
            <a:gradFill rotWithShape="1">
              <a:gsLst>
                <a:gs pos="0">
                  <a:schemeClr val="accent5">
                    <a:lumMod val="80000"/>
                    <a:lumOff val="20000"/>
                    <a:shade val="51000"/>
                    <a:satMod val="130000"/>
                  </a:schemeClr>
                </a:gs>
                <a:gs pos="80000">
                  <a:schemeClr val="accent5">
                    <a:lumMod val="80000"/>
                    <a:lumOff val="20000"/>
                    <a:shade val="93000"/>
                    <a:satMod val="130000"/>
                  </a:schemeClr>
                </a:gs>
                <a:gs pos="100000">
                  <a:schemeClr val="accent5">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elete val="1"/>
          </c:dLbls>
          <c:cat>
            <c:numRef>
              <c:f>q16_q23_Fig!$B$5:$L$5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q16_q23_Fig!$B$14:$L$14</c:f>
              <c:numCache>
                <c:formatCode>0.0%</c:formatCode>
                <c:ptCount val="11"/>
                <c:pt idx="0">
                  <c:v>5.8515183753480582E-3</c:v>
                </c:pt>
                <c:pt idx="1">
                  <c:v>5.6899959852124635E-3</c:v>
                </c:pt>
                <c:pt idx="2">
                  <c:v>5.5437230689926445E-3</c:v>
                </c:pt>
                <c:pt idx="3">
                  <c:v>5.58928568738069E-3</c:v>
                </c:pt>
                <c:pt idx="4">
                  <c:v>5.5681243615903556E-3</c:v>
                </c:pt>
                <c:pt idx="5">
                  <c:v>5.6141275822102184E-3</c:v>
                </c:pt>
                <c:pt idx="6">
                  <c:v>5.7947383956736247E-3</c:v>
                </c:pt>
                <c:pt idx="7">
                  <c:v>6.3102490593083677E-3</c:v>
                </c:pt>
                <c:pt idx="8">
                  <c:v>6.340689370912307E-3</c:v>
                </c:pt>
                <c:pt idx="9">
                  <c:v>6.9276749823002333E-3</c:v>
                </c:pt>
                <c:pt idx="10">
                  <c:v>8.3442931002918625E-3</c:v>
                </c:pt>
              </c:numCache>
            </c:numRef>
          </c:val>
          <c:extLst>
            <c:ext xmlns:c16="http://schemas.microsoft.com/office/drawing/2014/chart" uri="{C3380CC4-5D6E-409C-BE32-E72D297353CC}">
              <c16:uniqueId val="{00000008-8EB1-48C6-AC35-A358207DC3FF}"/>
            </c:ext>
          </c:extLst>
        </c:ser>
        <c:dLbls>
          <c:dLblPos val="ctr"/>
          <c:showLegendKey val="0"/>
          <c:showVal val="1"/>
          <c:showCatName val="0"/>
          <c:showSerName val="0"/>
          <c:showPercent val="0"/>
          <c:showBubbleSize val="0"/>
        </c:dLbls>
        <c:gapWidth val="20"/>
        <c:overlap val="100"/>
        <c:axId val="1253721152"/>
        <c:axId val="1452306752"/>
      </c:barChart>
      <c:catAx>
        <c:axId val="12537211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1F497D"/>
                </a:solidFill>
                <a:latin typeface="+mn-lt"/>
                <a:ea typeface="+mn-ea"/>
                <a:cs typeface="+mn-cs"/>
              </a:defRPr>
            </a:pPr>
            <a:endParaRPr lang="pt-PT"/>
          </a:p>
        </c:txPr>
        <c:crossAx val="1452306752"/>
        <c:crosses val="autoZero"/>
        <c:auto val="1"/>
        <c:lblAlgn val="ctr"/>
        <c:lblOffset val="100"/>
        <c:noMultiLvlLbl val="0"/>
      </c:catAx>
      <c:valAx>
        <c:axId val="1452306752"/>
        <c:scaling>
          <c:orientation val="minMax"/>
          <c:max val="1"/>
          <c:min val="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253721152"/>
        <c:crosses val="autoZero"/>
        <c:crossBetween val="between"/>
        <c:majorUnit val="0.1"/>
        <c:minorUnit val="5.0000000000000012E-4"/>
      </c:valAx>
      <c:spPr>
        <a:noFill/>
        <a:ln>
          <a:noFill/>
        </a:ln>
        <a:effectLst/>
      </c:spPr>
    </c:plotArea>
    <c:legend>
      <c:legendPos val="r"/>
      <c:layout>
        <c:manualLayout>
          <c:xMode val="edge"/>
          <c:yMode val="edge"/>
          <c:x val="0.81165842097773233"/>
          <c:y val="8.6394371814666263E-2"/>
          <c:w val="0.18834138026711106"/>
          <c:h val="0.85906990481946943"/>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pt-PT" sz="700"/>
              <a:t>...por escalão de remuneração mensal ganho</a:t>
            </a:r>
            <a:r>
              <a:rPr lang="pt-PT" sz="700" baseline="0"/>
              <a:t> </a:t>
            </a:r>
            <a:r>
              <a:rPr lang="pt-PT" sz="700"/>
              <a:t>(%)</a:t>
            </a:r>
          </a:p>
        </c:rich>
      </c:tx>
      <c:layout>
        <c:manualLayout>
          <c:xMode val="edge"/>
          <c:yMode val="edge"/>
          <c:x val="0.31378080738981168"/>
          <c:y val="4.1862217730566899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endParaRPr lang="pt-PT"/>
        </a:p>
      </c:txPr>
    </c:title>
    <c:autoTitleDeleted val="0"/>
    <c:plotArea>
      <c:layout>
        <c:manualLayout>
          <c:layoutTarget val="inner"/>
          <c:xMode val="edge"/>
          <c:yMode val="edge"/>
          <c:x val="2.8038397288886921E-2"/>
          <c:y val="0.13305232558139532"/>
          <c:w val="0.76942714940518253"/>
          <c:h val="0.74988738326313853"/>
        </c:manualLayout>
      </c:layout>
      <c:barChart>
        <c:barDir val="col"/>
        <c:grouping val="stacked"/>
        <c:varyColors val="0"/>
        <c:ser>
          <c:idx val="0"/>
          <c:order val="0"/>
          <c:tx>
            <c:strRef>
              <c:f>q16_q23_Fig!$A$21</c:f>
              <c:strCache>
                <c:ptCount val="1"/>
                <c:pt idx="0">
                  <c:v>&lt; RMMG**</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q16_q23_Fig!$B$20:$L$20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q16_q23_Fig!$B$21:$L$21</c:f>
              <c:numCache>
                <c:formatCode>0.0%</c:formatCode>
                <c:ptCount val="11"/>
                <c:pt idx="0">
                  <c:v>2.5835222875239998E-3</c:v>
                </c:pt>
                <c:pt idx="1">
                  <c:v>2.4342624824716702E-3</c:v>
                </c:pt>
                <c:pt idx="2">
                  <c:v>2.7480064118420976E-3</c:v>
                </c:pt>
                <c:pt idx="3">
                  <c:v>2.4257570195029862E-3</c:v>
                </c:pt>
                <c:pt idx="4">
                  <c:v>2.4886722587985563E-3</c:v>
                </c:pt>
                <c:pt idx="5">
                  <c:v>2.1126268385224184E-3</c:v>
                </c:pt>
                <c:pt idx="6">
                  <c:v>1.7647200184633606E-3</c:v>
                </c:pt>
                <c:pt idx="7">
                  <c:v>1.8872065938003943E-3</c:v>
                </c:pt>
                <c:pt idx="8">
                  <c:v>1.6981513947021373E-3</c:v>
                </c:pt>
                <c:pt idx="9">
                  <c:v>1.7358949447285597E-3</c:v>
                </c:pt>
                <c:pt idx="10">
                  <c:v>1.761278389303548E-3</c:v>
                </c:pt>
              </c:numCache>
            </c:numRef>
          </c:val>
          <c:extLst>
            <c:ext xmlns:c16="http://schemas.microsoft.com/office/drawing/2014/chart" uri="{C3380CC4-5D6E-409C-BE32-E72D297353CC}">
              <c16:uniqueId val="{00000000-8338-4B33-9382-8B5E19BF3BEE}"/>
            </c:ext>
          </c:extLst>
        </c:ser>
        <c:ser>
          <c:idx val="1"/>
          <c:order val="1"/>
          <c:tx>
            <c:strRef>
              <c:f>q16_q23_Fig!$A$22</c:f>
              <c:strCache>
                <c:ptCount val="1"/>
                <c:pt idx="0">
                  <c:v> = RMMG</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q16_q23_Fig!$B$20:$L$20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q16_q23_Fig!$B$22:$L$22</c:f>
              <c:numCache>
                <c:formatCode>0.0%</c:formatCode>
                <c:ptCount val="11"/>
                <c:pt idx="0">
                  <c:v>4.0677001104682108E-2</c:v>
                </c:pt>
                <c:pt idx="1">
                  <c:v>4.0476886936918116E-2</c:v>
                </c:pt>
                <c:pt idx="2">
                  <c:v>4.9883135828475443E-2</c:v>
                </c:pt>
                <c:pt idx="3">
                  <c:v>4.7405720668303591E-2</c:v>
                </c:pt>
                <c:pt idx="4">
                  <c:v>5.4094800212758608E-2</c:v>
                </c:pt>
                <c:pt idx="5">
                  <c:v>5.3383697406544174E-2</c:v>
                </c:pt>
                <c:pt idx="6">
                  <c:v>5.2246503999865787E-2</c:v>
                </c:pt>
                <c:pt idx="7">
                  <c:v>4.8300483784268052E-2</c:v>
                </c:pt>
                <c:pt idx="8">
                  <c:v>4.9281970761298595E-2</c:v>
                </c:pt>
                <c:pt idx="9">
                  <c:v>4.6096644814990859E-2</c:v>
                </c:pt>
                <c:pt idx="10">
                  <c:v>4.5002451480673285E-2</c:v>
                </c:pt>
              </c:numCache>
            </c:numRef>
          </c:val>
          <c:extLst>
            <c:ext xmlns:c16="http://schemas.microsoft.com/office/drawing/2014/chart" uri="{C3380CC4-5D6E-409C-BE32-E72D297353CC}">
              <c16:uniqueId val="{00000001-8338-4B33-9382-8B5E19BF3BEE}"/>
            </c:ext>
          </c:extLst>
        </c:ser>
        <c:ser>
          <c:idx val="2"/>
          <c:order val="2"/>
          <c:tx>
            <c:strRef>
              <c:f>q16_q23_Fig!$A$23</c:f>
              <c:strCache>
                <c:ptCount val="1"/>
                <c:pt idx="0">
                  <c:v>&gt;RMMG e &lt;= 749,99 €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q16_q23_Fig!$B$20:$L$20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q16_q23_Fig!$B$23:$L$23</c:f>
              <c:numCache>
                <c:formatCode>0.0%</c:formatCode>
                <c:ptCount val="11"/>
                <c:pt idx="0">
                  <c:v>0.41266025347509128</c:v>
                </c:pt>
                <c:pt idx="1">
                  <c:v>0.4154374134823865</c:v>
                </c:pt>
                <c:pt idx="2">
                  <c:v>0.40352703174338939</c:v>
                </c:pt>
                <c:pt idx="3">
                  <c:v>0.40099973331739597</c:v>
                </c:pt>
                <c:pt idx="4">
                  <c:v>0.38142965802411882</c:v>
                </c:pt>
                <c:pt idx="5">
                  <c:v>0.34973777441516962</c:v>
                </c:pt>
                <c:pt idx="6">
                  <c:v>0.3047288783372456</c:v>
                </c:pt>
                <c:pt idx="7">
                  <c:v>0.2531356387744132</c:v>
                </c:pt>
                <c:pt idx="8">
                  <c:v>0.18049801350942971</c:v>
                </c:pt>
                <c:pt idx="9">
                  <c:v>8.5826826756775665E-2</c:v>
                </c:pt>
                <c:pt idx="10">
                  <c:v>2.1342401356836686E-2</c:v>
                </c:pt>
              </c:numCache>
            </c:numRef>
          </c:val>
          <c:extLst>
            <c:ext xmlns:c16="http://schemas.microsoft.com/office/drawing/2014/chart" uri="{C3380CC4-5D6E-409C-BE32-E72D297353CC}">
              <c16:uniqueId val="{00000002-8338-4B33-9382-8B5E19BF3BEE}"/>
            </c:ext>
          </c:extLst>
        </c:ser>
        <c:ser>
          <c:idx val="3"/>
          <c:order val="3"/>
          <c:tx>
            <c:strRef>
              <c:f>q16_q23_Fig!$A$24</c:f>
              <c:strCache>
                <c:ptCount val="1"/>
                <c:pt idx="0">
                  <c:v>750,00 - 999,99  €</c:v>
                </c:pt>
              </c:strCache>
            </c:strRef>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q16_q23_Fig!$B$20:$L$20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q16_q23_Fig!$B$24:$L$24</c:f>
              <c:numCache>
                <c:formatCode>0.0%</c:formatCode>
                <c:ptCount val="11"/>
                <c:pt idx="0">
                  <c:v>0.20826999246974159</c:v>
                </c:pt>
                <c:pt idx="1">
                  <c:v>0.2063315156589938</c:v>
                </c:pt>
                <c:pt idx="2">
                  <c:v>0.21093062463601492</c:v>
                </c:pt>
                <c:pt idx="3">
                  <c:v>0.21344602640408894</c:v>
                </c:pt>
                <c:pt idx="4">
                  <c:v>0.2224320177370212</c:v>
                </c:pt>
                <c:pt idx="5">
                  <c:v>0.24184699121880837</c:v>
                </c:pt>
                <c:pt idx="6">
                  <c:v>0.26438970023791075</c:v>
                </c:pt>
                <c:pt idx="7">
                  <c:v>0.28995296541838378</c:v>
                </c:pt>
                <c:pt idx="8">
                  <c:v>0.33281919008113237</c:v>
                </c:pt>
                <c:pt idx="9">
                  <c:v>0.40031100693721788</c:v>
                </c:pt>
                <c:pt idx="10">
                  <c:v>0.41175574414538019</c:v>
                </c:pt>
              </c:numCache>
            </c:numRef>
          </c:val>
          <c:extLst>
            <c:ext xmlns:c16="http://schemas.microsoft.com/office/drawing/2014/chart" uri="{C3380CC4-5D6E-409C-BE32-E72D297353CC}">
              <c16:uniqueId val="{00000003-8338-4B33-9382-8B5E19BF3BEE}"/>
            </c:ext>
          </c:extLst>
        </c:ser>
        <c:ser>
          <c:idx val="4"/>
          <c:order val="4"/>
          <c:tx>
            <c:strRef>
              <c:f>q16_q23_Fig!$A$25</c:f>
              <c:strCache>
                <c:ptCount val="1"/>
                <c:pt idx="0">
                  <c:v>1 000,00 - 1 499,99  €</c:v>
                </c:pt>
              </c:strCache>
            </c:strRef>
          </c:tx>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q16_q23_Fig!$B$20:$L$20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q16_q23_Fig!$B$25:$L$25</c:f>
              <c:numCache>
                <c:formatCode>0.0%</c:formatCode>
                <c:ptCount val="11"/>
                <c:pt idx="0">
                  <c:v>0.16833188815865557</c:v>
                </c:pt>
                <c:pt idx="1">
                  <c:v>0.16860362092577086</c:v>
                </c:pt>
                <c:pt idx="2">
                  <c:v>0.16805000448580024</c:v>
                </c:pt>
                <c:pt idx="3">
                  <c:v>0.17108266608274392</c:v>
                </c:pt>
                <c:pt idx="4">
                  <c:v>0.17426058841477807</c:v>
                </c:pt>
                <c:pt idx="5">
                  <c:v>0.18309823480271284</c:v>
                </c:pt>
                <c:pt idx="6">
                  <c:v>0.19677308339480987</c:v>
                </c:pt>
                <c:pt idx="7">
                  <c:v>0.21366197814011825</c:v>
                </c:pt>
                <c:pt idx="8">
                  <c:v>0.22926383866314129</c:v>
                </c:pt>
                <c:pt idx="9">
                  <c:v>0.24640756086765664</c:v>
                </c:pt>
                <c:pt idx="10">
                  <c:v>0.27650387291860873</c:v>
                </c:pt>
              </c:numCache>
            </c:numRef>
          </c:val>
          <c:extLst>
            <c:ext xmlns:c16="http://schemas.microsoft.com/office/drawing/2014/chart" uri="{C3380CC4-5D6E-409C-BE32-E72D297353CC}">
              <c16:uniqueId val="{00000004-8338-4B33-9382-8B5E19BF3BEE}"/>
            </c:ext>
          </c:extLst>
        </c:ser>
        <c:ser>
          <c:idx val="5"/>
          <c:order val="5"/>
          <c:tx>
            <c:strRef>
              <c:f>q16_q23_Fig!$A$26</c:f>
              <c:strCache>
                <c:ptCount val="1"/>
                <c:pt idx="0">
                  <c:v>1 500,00 - 2 499,99  €</c:v>
                </c:pt>
              </c:strCache>
            </c:strRef>
          </c:tx>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q16_q23_Fig!$B$20:$L$20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q16_q23_Fig!$B$26:$L$26</c:f>
              <c:numCache>
                <c:formatCode>0.0%</c:formatCode>
                <c:ptCount val="11"/>
                <c:pt idx="0">
                  <c:v>0.10888575724100542</c:v>
                </c:pt>
                <c:pt idx="1">
                  <c:v>0.10744449516559279</c:v>
                </c:pt>
                <c:pt idx="2">
                  <c:v>0.10662150788230297</c:v>
                </c:pt>
                <c:pt idx="3">
                  <c:v>0.10646562179987153</c:v>
                </c:pt>
                <c:pt idx="4">
                  <c:v>0.10664549462239484</c:v>
                </c:pt>
                <c:pt idx="5">
                  <c:v>0.11032658940694005</c:v>
                </c:pt>
                <c:pt idx="6">
                  <c:v>0.11769757541434873</c:v>
                </c:pt>
                <c:pt idx="7">
                  <c:v>0.12736964701666367</c:v>
                </c:pt>
                <c:pt idx="8">
                  <c:v>0.13675455774592699</c:v>
                </c:pt>
                <c:pt idx="9">
                  <c:v>0.14504629204660197</c:v>
                </c:pt>
                <c:pt idx="10">
                  <c:v>0.15884584710756844</c:v>
                </c:pt>
              </c:numCache>
            </c:numRef>
          </c:val>
          <c:extLst>
            <c:ext xmlns:c16="http://schemas.microsoft.com/office/drawing/2014/chart" uri="{C3380CC4-5D6E-409C-BE32-E72D297353CC}">
              <c16:uniqueId val="{00000005-8338-4B33-9382-8B5E19BF3BEE}"/>
            </c:ext>
          </c:extLst>
        </c:ser>
        <c:ser>
          <c:idx val="6"/>
          <c:order val="6"/>
          <c:tx>
            <c:strRef>
              <c:f>q16_q23_Fig!$A$27</c:f>
              <c:strCache>
                <c:ptCount val="1"/>
                <c:pt idx="0">
                  <c:v>2 500,00 - 3 749,99  €</c:v>
                </c:pt>
              </c:strCache>
            </c:strRef>
          </c:tx>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338-4B33-9382-8B5E19BF3BEE}"/>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q16_q23_Fig!$B$20:$L$20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q16_q23_Fig!$B$27:$L$27</c:f>
              <c:numCache>
                <c:formatCode>0.0%</c:formatCode>
                <c:ptCount val="11"/>
                <c:pt idx="0">
                  <c:v>3.8109177757531962E-2</c:v>
                </c:pt>
                <c:pt idx="1">
                  <c:v>3.8930744121562902E-2</c:v>
                </c:pt>
                <c:pt idx="2">
                  <c:v>3.8366297482714112E-2</c:v>
                </c:pt>
                <c:pt idx="3">
                  <c:v>3.8309885185856679E-2</c:v>
                </c:pt>
                <c:pt idx="4">
                  <c:v>3.8479525390637356E-2</c:v>
                </c:pt>
                <c:pt idx="5">
                  <c:v>3.9048886391427916E-2</c:v>
                </c:pt>
                <c:pt idx="6">
                  <c:v>4.0913210869986109E-2</c:v>
                </c:pt>
                <c:pt idx="7">
                  <c:v>4.3067998566565131E-2</c:v>
                </c:pt>
                <c:pt idx="8">
                  <c:v>4.6109315665781622E-2</c:v>
                </c:pt>
                <c:pt idx="9">
                  <c:v>4.8960871473792987E-2</c:v>
                </c:pt>
                <c:pt idx="10">
                  <c:v>5.5147583345082206E-2</c:v>
                </c:pt>
              </c:numCache>
            </c:numRef>
          </c:val>
          <c:extLst>
            <c:ext xmlns:c16="http://schemas.microsoft.com/office/drawing/2014/chart" uri="{C3380CC4-5D6E-409C-BE32-E72D297353CC}">
              <c16:uniqueId val="{00000007-8338-4B33-9382-8B5E19BF3BEE}"/>
            </c:ext>
          </c:extLst>
        </c:ser>
        <c:ser>
          <c:idx val="7"/>
          <c:order val="7"/>
          <c:tx>
            <c:strRef>
              <c:f>q16_q23_Fig!$A$28</c:f>
              <c:strCache>
                <c:ptCount val="1"/>
                <c:pt idx="0">
                  <c:v>3 750,00 - 4 999,99 €</c:v>
                </c:pt>
              </c:strCache>
            </c:strRef>
          </c:tx>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q16_q23_Fig!$B$20:$L$20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q16_q23_Fig!$B$28:$L$28</c:f>
              <c:numCache>
                <c:formatCode>0.0%</c:formatCode>
                <c:ptCount val="11"/>
                <c:pt idx="0">
                  <c:v>1.1288061426813895E-2</c:v>
                </c:pt>
                <c:pt idx="1">
                  <c:v>1.1290069192932493E-2</c:v>
                </c:pt>
                <c:pt idx="2">
                  <c:v>1.1010694873793437E-2</c:v>
                </c:pt>
                <c:pt idx="3">
                  <c:v>1.1017356467254038E-2</c:v>
                </c:pt>
                <c:pt idx="4">
                  <c:v>1.1287106838203699E-2</c:v>
                </c:pt>
                <c:pt idx="5">
                  <c:v>1.1404151049066509E-2</c:v>
                </c:pt>
                <c:pt idx="6">
                  <c:v>1.1988941934272794E-2</c:v>
                </c:pt>
                <c:pt idx="7">
                  <c:v>1.2757122379501881E-2</c:v>
                </c:pt>
                <c:pt idx="8">
                  <c:v>1.3377274252143367E-2</c:v>
                </c:pt>
                <c:pt idx="9">
                  <c:v>1.4589697145407103E-2</c:v>
                </c:pt>
                <c:pt idx="10">
                  <c:v>1.6623774522697764E-2</c:v>
                </c:pt>
              </c:numCache>
            </c:numRef>
          </c:val>
          <c:extLst>
            <c:ext xmlns:c16="http://schemas.microsoft.com/office/drawing/2014/chart" uri="{C3380CC4-5D6E-409C-BE32-E72D297353CC}">
              <c16:uniqueId val="{00000008-8338-4B33-9382-8B5E19BF3BEE}"/>
            </c:ext>
          </c:extLst>
        </c:ser>
        <c:ser>
          <c:idx val="8"/>
          <c:order val="8"/>
          <c:tx>
            <c:strRef>
              <c:f>q16_q23_Fig!$A$29</c:f>
              <c:strCache>
                <c:ptCount val="1"/>
                <c:pt idx="0">
                  <c:v>5 000,00 e +  Euros</c:v>
                </c:pt>
              </c:strCache>
            </c:strRef>
          </c:tx>
          <c:spPr>
            <a:gradFill rotWithShape="1">
              <a:gsLst>
                <a:gs pos="0">
                  <a:schemeClr val="accent5">
                    <a:lumMod val="80000"/>
                    <a:lumOff val="20000"/>
                    <a:shade val="51000"/>
                    <a:satMod val="130000"/>
                  </a:schemeClr>
                </a:gs>
                <a:gs pos="80000">
                  <a:schemeClr val="accent5">
                    <a:lumMod val="80000"/>
                    <a:lumOff val="20000"/>
                    <a:shade val="93000"/>
                    <a:satMod val="130000"/>
                  </a:schemeClr>
                </a:gs>
                <a:gs pos="100000">
                  <a:schemeClr val="accent5">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q16_q23_Fig!$B$20:$L$20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q16_q23_Fig!$B$29:$L$29</c:f>
              <c:numCache>
                <c:formatCode>0.0%</c:formatCode>
                <c:ptCount val="11"/>
                <c:pt idx="0">
                  <c:v>9.1943460789541583E-3</c:v>
                </c:pt>
                <c:pt idx="1">
                  <c:v>9.0509920333708711E-3</c:v>
                </c:pt>
                <c:pt idx="2">
                  <c:v>8.8626966556673813E-3</c:v>
                </c:pt>
                <c:pt idx="3">
                  <c:v>8.8472330549823185E-3</c:v>
                </c:pt>
                <c:pt idx="4">
                  <c:v>8.8821365012888634E-3</c:v>
                </c:pt>
                <c:pt idx="5">
                  <c:v>9.0410484708080847E-3</c:v>
                </c:pt>
                <c:pt idx="6">
                  <c:v>9.497385793097007E-3</c:v>
                </c:pt>
                <c:pt idx="7">
                  <c:v>9.8669593262856112E-3</c:v>
                </c:pt>
                <c:pt idx="8">
                  <c:v>1.0197687926443938E-2</c:v>
                </c:pt>
                <c:pt idx="9">
                  <c:v>1.1025205012828354E-2</c:v>
                </c:pt>
                <c:pt idx="10">
                  <c:v>1.3017046733849161E-2</c:v>
                </c:pt>
              </c:numCache>
            </c:numRef>
          </c:val>
          <c:extLst>
            <c:ext xmlns:c16="http://schemas.microsoft.com/office/drawing/2014/chart" uri="{C3380CC4-5D6E-409C-BE32-E72D297353CC}">
              <c16:uniqueId val="{00000009-8338-4B33-9382-8B5E19BF3BEE}"/>
            </c:ext>
          </c:extLst>
        </c:ser>
        <c:dLbls>
          <c:showLegendKey val="0"/>
          <c:showVal val="0"/>
          <c:showCatName val="0"/>
          <c:showSerName val="0"/>
          <c:showPercent val="0"/>
          <c:showBubbleSize val="0"/>
        </c:dLbls>
        <c:gapWidth val="20"/>
        <c:overlap val="100"/>
        <c:axId val="1253721152"/>
        <c:axId val="1452306752"/>
      </c:barChart>
      <c:catAx>
        <c:axId val="12537211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452306752"/>
        <c:crosses val="autoZero"/>
        <c:auto val="1"/>
        <c:lblAlgn val="ctr"/>
        <c:lblOffset val="100"/>
        <c:noMultiLvlLbl val="0"/>
      </c:catAx>
      <c:valAx>
        <c:axId val="1452306752"/>
        <c:scaling>
          <c:orientation val="minMax"/>
          <c:max val="1"/>
          <c:min val="0"/>
        </c:scaling>
        <c:delete val="0"/>
        <c:axPos val="l"/>
        <c:majorGridlines>
          <c:spPr>
            <a:ln w="9525" cap="flat" cmpd="sng" algn="ctr">
              <a:noFill/>
              <a:round/>
            </a:ln>
            <a:effectLst/>
          </c:spPr>
        </c:majorGridlines>
        <c:numFmt formatCode="0%" sourceLinked="0"/>
        <c:majorTickMark val="none"/>
        <c:minorTickMark val="none"/>
        <c:tickLblPos val="none"/>
        <c:spPr>
          <a:noFill/>
          <a:ln>
            <a:noFill/>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pt-PT"/>
          </a:p>
        </c:txPr>
        <c:crossAx val="1253721152"/>
        <c:crosses val="autoZero"/>
        <c:crossBetween val="between"/>
        <c:majorUnit val="0.1"/>
        <c:minorUnit val="5.0000000000000012E-4"/>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579149606299213"/>
          <c:y val="0.12026229508196722"/>
          <c:w val="0.74945871766029237"/>
          <c:h val="0.77416152489135581"/>
        </c:manualLayout>
      </c:layout>
      <c:lineChart>
        <c:grouping val="standard"/>
        <c:varyColors val="0"/>
        <c:ser>
          <c:idx val="0"/>
          <c:order val="0"/>
          <c:tx>
            <c:strRef>
              <c:f>q15_q22_q31_Fig!$A$5</c:f>
              <c:strCache>
                <c:ptCount val="1"/>
                <c:pt idx="0">
                  <c:v>Total</c:v>
                </c:pt>
              </c:strCache>
            </c:strRef>
          </c:tx>
          <c:spPr>
            <a:ln w="31750" cap="rnd">
              <a:solidFill>
                <a:srgbClr val="C0504D"/>
              </a:solidFill>
              <a:round/>
            </a:ln>
            <a:effectLst>
              <a:outerShdw blurRad="40000" dist="23000" dir="5400000" rotWithShape="0">
                <a:srgbClr val="000000">
                  <a:alpha val="35000"/>
                </a:srgbClr>
              </a:outerShdw>
            </a:effectLst>
          </c:spPr>
          <c:marker>
            <c:symbol val="none"/>
          </c:marker>
          <c:cat>
            <c:numRef>
              <c:f>q15_q22_q31_Fig!$B$4:$L$4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q15_q22_q31_Fig!$B$5:$L$5</c:f>
              <c:numCache>
                <c:formatCode>#,##0</c:formatCode>
                <c:ptCount val="11"/>
                <c:pt idx="0">
                  <c:v>2387386</c:v>
                </c:pt>
                <c:pt idx="1">
                  <c:v>2384121</c:v>
                </c:pt>
                <c:pt idx="2">
                  <c:v>2458163</c:v>
                </c:pt>
                <c:pt idx="3">
                  <c:v>2537653</c:v>
                </c:pt>
                <c:pt idx="4">
                  <c:v>2641919</c:v>
                </c:pt>
                <c:pt idx="5">
                  <c:v>2767521</c:v>
                </c:pt>
                <c:pt idx="6">
                  <c:v>2877918</c:v>
                </c:pt>
                <c:pt idx="7">
                  <c:v>2930482</c:v>
                </c:pt>
                <c:pt idx="8">
                  <c:v>2902825</c:v>
                </c:pt>
                <c:pt idx="9">
                  <c:v>2922343</c:v>
                </c:pt>
                <c:pt idx="10">
                  <c:v>3148147</c:v>
                </c:pt>
              </c:numCache>
            </c:numRef>
          </c:val>
          <c:smooth val="0"/>
          <c:extLst xmlns:c15="http://schemas.microsoft.com/office/drawing/2012/chart">
            <c:ext xmlns:c16="http://schemas.microsoft.com/office/drawing/2014/chart" uri="{C3380CC4-5D6E-409C-BE32-E72D297353CC}">
              <c16:uniqueId val="{00000000-2499-4221-9725-565BF95CA3A6}"/>
            </c:ext>
          </c:extLst>
        </c:ser>
        <c:ser>
          <c:idx val="1"/>
          <c:order val="1"/>
          <c:tx>
            <c:strRef>
              <c:f>q15_q22_q31_Fig!$A$6</c:f>
              <c:strCache>
                <c:ptCount val="1"/>
                <c:pt idx="0">
                  <c:v>Contrato Coletivo de Trabalho (CCT)</c:v>
                </c:pt>
              </c:strCache>
            </c:strRef>
          </c:tx>
          <c:spPr>
            <a:ln w="31750" cap="rnd">
              <a:solidFill>
                <a:schemeClr val="accent1">
                  <a:shade val="70000"/>
                </a:schemeClr>
              </a:solidFill>
              <a:round/>
            </a:ln>
            <a:effectLst>
              <a:outerShdw blurRad="40000" dist="23000" dir="5400000" rotWithShape="0">
                <a:srgbClr val="000000">
                  <a:alpha val="35000"/>
                </a:srgbClr>
              </a:outerShdw>
            </a:effectLst>
          </c:spPr>
          <c:marker>
            <c:symbol val="none"/>
          </c:marker>
          <c:cat>
            <c:numRef>
              <c:f>q15_q22_q31_Fig!$B$4:$L$4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q15_q22_q31_Fig!$B$6:$L$6</c:f>
              <c:numCache>
                <c:formatCode>#,##0</c:formatCode>
                <c:ptCount val="11"/>
                <c:pt idx="0">
                  <c:v>1775773</c:v>
                </c:pt>
                <c:pt idx="1">
                  <c:v>1752648</c:v>
                </c:pt>
                <c:pt idx="2">
                  <c:v>1802130</c:v>
                </c:pt>
                <c:pt idx="3">
                  <c:v>1855203</c:v>
                </c:pt>
                <c:pt idx="4">
                  <c:v>1911498</c:v>
                </c:pt>
                <c:pt idx="5">
                  <c:v>1975887</c:v>
                </c:pt>
                <c:pt idx="6">
                  <c:v>2073822</c:v>
                </c:pt>
                <c:pt idx="7">
                  <c:v>2078465</c:v>
                </c:pt>
                <c:pt idx="8">
                  <c:v>2014412</c:v>
                </c:pt>
                <c:pt idx="9">
                  <c:v>2031422</c:v>
                </c:pt>
                <c:pt idx="10">
                  <c:v>2174986</c:v>
                </c:pt>
              </c:numCache>
            </c:numRef>
          </c:val>
          <c:smooth val="0"/>
          <c:extLst>
            <c:ext xmlns:c16="http://schemas.microsoft.com/office/drawing/2014/chart" uri="{C3380CC4-5D6E-409C-BE32-E72D297353CC}">
              <c16:uniqueId val="{00000001-2499-4221-9725-565BF95CA3A6}"/>
            </c:ext>
          </c:extLst>
        </c:ser>
        <c:ser>
          <c:idx val="2"/>
          <c:order val="2"/>
          <c:tx>
            <c:strRef>
              <c:f>q15_q22_q31_Fig!$A$7</c:f>
              <c:strCache>
                <c:ptCount val="1"/>
                <c:pt idx="0">
                  <c:v>Acordo Coletivo de Trabalho (ACT)</c:v>
                </c:pt>
              </c:strCache>
            </c:strRef>
          </c:tx>
          <c:spPr>
            <a:ln w="31750" cap="rnd">
              <a:solidFill>
                <a:schemeClr val="accent1">
                  <a:shade val="90000"/>
                </a:schemeClr>
              </a:solidFill>
              <a:prstDash val="sysDash"/>
              <a:round/>
            </a:ln>
            <a:effectLst>
              <a:outerShdw blurRad="40000" dist="23000" dir="5400000" rotWithShape="0">
                <a:srgbClr val="000000">
                  <a:alpha val="35000"/>
                </a:srgbClr>
              </a:outerShdw>
            </a:effectLst>
          </c:spPr>
          <c:marker>
            <c:symbol val="none"/>
          </c:marker>
          <c:cat>
            <c:numRef>
              <c:f>q15_q22_q31_Fig!$B$4:$L$4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q15_q22_q31_Fig!$B$7:$L$7</c:f>
              <c:numCache>
                <c:formatCode>#,##0</c:formatCode>
                <c:ptCount val="11"/>
                <c:pt idx="0">
                  <c:v>97097</c:v>
                </c:pt>
                <c:pt idx="1">
                  <c:v>97694</c:v>
                </c:pt>
                <c:pt idx="2">
                  <c:v>97038</c:v>
                </c:pt>
                <c:pt idx="3">
                  <c:v>99532</c:v>
                </c:pt>
                <c:pt idx="4">
                  <c:v>101183</c:v>
                </c:pt>
                <c:pt idx="5">
                  <c:v>106693</c:v>
                </c:pt>
                <c:pt idx="6">
                  <c:v>109690</c:v>
                </c:pt>
                <c:pt idx="7">
                  <c:v>104297</c:v>
                </c:pt>
                <c:pt idx="8">
                  <c:v>118636</c:v>
                </c:pt>
                <c:pt idx="9">
                  <c:v>118983</c:v>
                </c:pt>
                <c:pt idx="10">
                  <c:v>122759</c:v>
                </c:pt>
              </c:numCache>
            </c:numRef>
          </c:val>
          <c:smooth val="0"/>
          <c:extLst>
            <c:ext xmlns:c16="http://schemas.microsoft.com/office/drawing/2014/chart" uri="{C3380CC4-5D6E-409C-BE32-E72D297353CC}">
              <c16:uniqueId val="{00000002-2499-4221-9725-565BF95CA3A6}"/>
            </c:ext>
          </c:extLst>
        </c:ser>
        <c:ser>
          <c:idx val="3"/>
          <c:order val="3"/>
          <c:tx>
            <c:strRef>
              <c:f>q15_q22_q31_Fig!$A$8</c:f>
              <c:strCache>
                <c:ptCount val="1"/>
                <c:pt idx="0">
                  <c:v>Portaria de Cond. de Trabalho (PCT)</c:v>
                </c:pt>
              </c:strCache>
            </c:strRef>
          </c:tx>
          <c:spPr>
            <a:ln w="31750" cap="rnd">
              <a:solidFill>
                <a:schemeClr val="accent1">
                  <a:tint val="90000"/>
                </a:schemeClr>
              </a:solidFill>
              <a:round/>
            </a:ln>
            <a:effectLst>
              <a:outerShdw blurRad="40000" dist="23000" dir="5400000" rotWithShape="0">
                <a:srgbClr val="000000">
                  <a:alpha val="35000"/>
                </a:srgbClr>
              </a:outerShdw>
            </a:effectLst>
          </c:spPr>
          <c:marker>
            <c:symbol val="none"/>
          </c:marker>
          <c:cat>
            <c:numRef>
              <c:f>q15_q22_q31_Fig!$B$4:$L$4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q15_q22_q31_Fig!$B$8:$L$8</c:f>
              <c:numCache>
                <c:formatCode>#,##0</c:formatCode>
                <c:ptCount val="11"/>
                <c:pt idx="0">
                  <c:v>186893</c:v>
                </c:pt>
                <c:pt idx="1">
                  <c:v>194848</c:v>
                </c:pt>
                <c:pt idx="2">
                  <c:v>205896</c:v>
                </c:pt>
                <c:pt idx="3">
                  <c:v>212238</c:v>
                </c:pt>
                <c:pt idx="4">
                  <c:v>219677</c:v>
                </c:pt>
                <c:pt idx="5">
                  <c:v>226793</c:v>
                </c:pt>
                <c:pt idx="6">
                  <c:v>211503</c:v>
                </c:pt>
                <c:pt idx="7">
                  <c:v>219272</c:v>
                </c:pt>
                <c:pt idx="8">
                  <c:v>221568</c:v>
                </c:pt>
                <c:pt idx="9">
                  <c:v>214401</c:v>
                </c:pt>
                <c:pt idx="10">
                  <c:v>232081</c:v>
                </c:pt>
              </c:numCache>
            </c:numRef>
          </c:val>
          <c:smooth val="0"/>
          <c:extLst>
            <c:ext xmlns:c16="http://schemas.microsoft.com/office/drawing/2014/chart" uri="{C3380CC4-5D6E-409C-BE32-E72D297353CC}">
              <c16:uniqueId val="{00000003-2499-4221-9725-565BF95CA3A6}"/>
            </c:ext>
          </c:extLst>
        </c:ser>
        <c:ser>
          <c:idx val="4"/>
          <c:order val="4"/>
          <c:tx>
            <c:strRef>
              <c:f>q15_q22_q31_Fig!$A$9</c:f>
              <c:strCache>
                <c:ptCount val="1"/>
                <c:pt idx="0">
                  <c:v>Acordo de Empresa (AE)</c:v>
                </c:pt>
              </c:strCache>
            </c:strRef>
          </c:tx>
          <c:spPr>
            <a:ln w="31750" cap="rnd">
              <a:solidFill>
                <a:schemeClr val="accent1">
                  <a:tint val="70000"/>
                </a:schemeClr>
              </a:solidFill>
              <a:round/>
            </a:ln>
            <a:effectLst>
              <a:outerShdw blurRad="40000" dist="23000" dir="5400000" rotWithShape="0">
                <a:srgbClr val="000000">
                  <a:alpha val="35000"/>
                </a:srgbClr>
              </a:outerShdw>
            </a:effectLst>
          </c:spPr>
          <c:marker>
            <c:symbol val="none"/>
          </c:marker>
          <c:cat>
            <c:numRef>
              <c:f>q15_q22_q31_Fig!$B$4:$L$4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q15_q22_q31_Fig!$B$9:$L$9</c:f>
              <c:numCache>
                <c:formatCode>#,##0</c:formatCode>
                <c:ptCount val="11"/>
                <c:pt idx="0">
                  <c:v>82486</c:v>
                </c:pt>
                <c:pt idx="1">
                  <c:v>80074</c:v>
                </c:pt>
                <c:pt idx="2">
                  <c:v>80029</c:v>
                </c:pt>
                <c:pt idx="3">
                  <c:v>78163</c:v>
                </c:pt>
                <c:pt idx="4">
                  <c:v>79933</c:v>
                </c:pt>
                <c:pt idx="5">
                  <c:v>85752</c:v>
                </c:pt>
                <c:pt idx="6">
                  <c:v>86043</c:v>
                </c:pt>
                <c:pt idx="7">
                  <c:v>91984</c:v>
                </c:pt>
                <c:pt idx="8">
                  <c:v>90179</c:v>
                </c:pt>
                <c:pt idx="9">
                  <c:v>89882</c:v>
                </c:pt>
                <c:pt idx="10">
                  <c:v>92151</c:v>
                </c:pt>
              </c:numCache>
            </c:numRef>
          </c:val>
          <c:smooth val="0"/>
          <c:extLst>
            <c:ext xmlns:c16="http://schemas.microsoft.com/office/drawing/2014/chart" uri="{C3380CC4-5D6E-409C-BE32-E72D297353CC}">
              <c16:uniqueId val="{00000004-2499-4221-9725-565BF95CA3A6}"/>
            </c:ext>
          </c:extLst>
        </c:ser>
        <c:ser>
          <c:idx val="5"/>
          <c:order val="5"/>
          <c:tx>
            <c:strRef>
              <c:f>q15_q22_q31_Fig!$A$10</c:f>
              <c:strCache>
                <c:ptCount val="1"/>
                <c:pt idx="0">
                  <c:v>Não Abrangidos por Regulamentação Coletiva</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cat>
            <c:numRef>
              <c:f>q15_q22_q31_Fig!$B$4:$L$4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q15_q22_q31_Fig!$B$10:$L$10</c:f>
              <c:numCache>
                <c:formatCode>#,##0</c:formatCode>
                <c:ptCount val="11"/>
                <c:pt idx="0">
                  <c:v>245137</c:v>
                </c:pt>
                <c:pt idx="1">
                  <c:v>258857</c:v>
                </c:pt>
                <c:pt idx="2">
                  <c:v>273070</c:v>
                </c:pt>
                <c:pt idx="3">
                  <c:v>292517</c:v>
                </c:pt>
                <c:pt idx="4">
                  <c:v>329628</c:v>
                </c:pt>
                <c:pt idx="5">
                  <c:v>372396</c:v>
                </c:pt>
                <c:pt idx="6">
                  <c:v>396860</c:v>
                </c:pt>
                <c:pt idx="7">
                  <c:v>436464</c:v>
                </c:pt>
                <c:pt idx="8">
                  <c:v>458030</c:v>
                </c:pt>
                <c:pt idx="9">
                  <c:v>467655</c:v>
                </c:pt>
                <c:pt idx="10">
                  <c:v>526170</c:v>
                </c:pt>
              </c:numCache>
            </c:numRef>
          </c:val>
          <c:smooth val="0"/>
          <c:extLst>
            <c:ext xmlns:c16="http://schemas.microsoft.com/office/drawing/2014/chart" uri="{C3380CC4-5D6E-409C-BE32-E72D297353CC}">
              <c16:uniqueId val="{00000005-2499-4221-9725-565BF95CA3A6}"/>
            </c:ext>
          </c:extLst>
        </c:ser>
        <c:dLbls>
          <c:showLegendKey val="0"/>
          <c:showVal val="0"/>
          <c:showCatName val="0"/>
          <c:showSerName val="0"/>
          <c:showPercent val="0"/>
          <c:showBubbleSize val="0"/>
        </c:dLbls>
        <c:smooth val="0"/>
        <c:axId val="164075663"/>
        <c:axId val="442964127"/>
        <c:extLst/>
      </c:lineChart>
      <c:catAx>
        <c:axId val="16407566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442964127"/>
        <c:crosses val="autoZero"/>
        <c:auto val="1"/>
        <c:lblAlgn val="ctr"/>
        <c:lblOffset val="100"/>
        <c:noMultiLvlLbl val="0"/>
      </c:catAx>
      <c:valAx>
        <c:axId val="442964127"/>
        <c:scaling>
          <c:orientation val="minMax"/>
          <c:max val="3500000"/>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64075663"/>
        <c:crosses val="autoZero"/>
        <c:crossBetween val="between"/>
        <c:majorUnit val="50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1960500801841724E-2"/>
          <c:y val="6.5949345426542308E-2"/>
          <c:w val="0.77681941078122041"/>
          <c:h val="0.74648887800473851"/>
        </c:manualLayout>
      </c:layout>
      <c:lineChart>
        <c:grouping val="standard"/>
        <c:varyColors val="0"/>
        <c:ser>
          <c:idx val="0"/>
          <c:order val="0"/>
          <c:tx>
            <c:strRef>
              <c:f>q15_q22_q31_Fig!$A$15</c:f>
              <c:strCache>
                <c:ptCount val="1"/>
                <c:pt idx="0">
                  <c:v>Total</c:v>
                </c:pt>
              </c:strCache>
            </c:strRef>
          </c:tx>
          <c:spPr>
            <a:ln w="31750" cap="rnd">
              <a:solidFill>
                <a:srgbClr val="C0504D"/>
              </a:solidFill>
              <a:round/>
            </a:ln>
            <a:effectLst>
              <a:outerShdw blurRad="40000" dist="23000" dir="5400000" rotWithShape="0">
                <a:srgbClr val="000000">
                  <a:alpha val="35000"/>
                </a:srgbClr>
              </a:outerShdw>
            </a:effectLst>
          </c:spPr>
          <c:marker>
            <c:symbol val="none"/>
          </c:marker>
          <c:cat>
            <c:numRef>
              <c:f>q15_q22_q31_Fig!$B$14:$L$14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q15_q22_q31_Fig!$B$15:$L$15</c:f>
              <c:numCache>
                <c:formatCode>#,##0.00\ "€"</c:formatCode>
                <c:ptCount val="11"/>
                <c:pt idx="0">
                  <c:v>915.01247006081212</c:v>
                </c:pt>
                <c:pt idx="1">
                  <c:v>912.18298170177309</c:v>
                </c:pt>
                <c:pt idx="2">
                  <c:v>909.49144915721399</c:v>
                </c:pt>
                <c:pt idx="3">
                  <c:v>913.92544791377406</c:v>
                </c:pt>
                <c:pt idx="4">
                  <c:v>924.9392153090821</c:v>
                </c:pt>
                <c:pt idx="5">
                  <c:v>943.00107511786211</c:v>
                </c:pt>
                <c:pt idx="6">
                  <c:v>970.41689676342503</c:v>
                </c:pt>
                <c:pt idx="7">
                  <c:v>1005.08927925103</c:v>
                </c:pt>
                <c:pt idx="8">
                  <c:v>1041.9948771786001</c:v>
                </c:pt>
                <c:pt idx="9">
                  <c:v>1082.7724697513502</c:v>
                </c:pt>
                <c:pt idx="10">
                  <c:v>1143.44558285689</c:v>
                </c:pt>
              </c:numCache>
            </c:numRef>
          </c:val>
          <c:smooth val="0"/>
          <c:extLst xmlns:c15="http://schemas.microsoft.com/office/drawing/2012/chart">
            <c:ext xmlns:c16="http://schemas.microsoft.com/office/drawing/2014/chart" uri="{C3380CC4-5D6E-409C-BE32-E72D297353CC}">
              <c16:uniqueId val="{00000000-3069-4241-A62D-75E234B813F9}"/>
            </c:ext>
          </c:extLst>
        </c:ser>
        <c:ser>
          <c:idx val="1"/>
          <c:order val="1"/>
          <c:tx>
            <c:strRef>
              <c:f>q15_q22_q31_Fig!$A$16</c:f>
              <c:strCache>
                <c:ptCount val="1"/>
                <c:pt idx="0">
                  <c:v>Contrato Coletivo de Trabalho (CCT)</c:v>
                </c:pt>
              </c:strCache>
            </c:strRef>
          </c:tx>
          <c:spPr>
            <a:ln w="31750" cap="rnd">
              <a:solidFill>
                <a:schemeClr val="accent1">
                  <a:shade val="70000"/>
                </a:schemeClr>
              </a:solidFill>
              <a:round/>
            </a:ln>
            <a:effectLst>
              <a:outerShdw blurRad="40000" dist="23000" dir="5400000" rotWithShape="0">
                <a:srgbClr val="000000">
                  <a:alpha val="35000"/>
                </a:srgbClr>
              </a:outerShdw>
            </a:effectLst>
          </c:spPr>
          <c:marker>
            <c:symbol val="none"/>
          </c:marker>
          <c:cat>
            <c:numRef>
              <c:f>q15_q22_q31_Fig!$B$14:$L$14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q15_q22_q31_Fig!$B$16:$L$16</c:f>
              <c:numCache>
                <c:formatCode>#,##0.00\ "€"</c:formatCode>
                <c:ptCount val="11"/>
                <c:pt idx="0">
                  <c:v>815.73128304117904</c:v>
                </c:pt>
                <c:pt idx="1">
                  <c:v>813.4881747481711</c:v>
                </c:pt>
                <c:pt idx="2">
                  <c:v>814.02083717980508</c:v>
                </c:pt>
                <c:pt idx="3">
                  <c:v>822.04129906714195</c:v>
                </c:pt>
                <c:pt idx="4">
                  <c:v>834.10363666816204</c:v>
                </c:pt>
                <c:pt idx="5">
                  <c:v>851.63060290086014</c:v>
                </c:pt>
                <c:pt idx="6">
                  <c:v>878.73251009240107</c:v>
                </c:pt>
                <c:pt idx="7">
                  <c:v>910.69524433091101</c:v>
                </c:pt>
                <c:pt idx="8">
                  <c:v>946.92533128891898</c:v>
                </c:pt>
                <c:pt idx="9">
                  <c:v>985.25969996655317</c:v>
                </c:pt>
                <c:pt idx="10">
                  <c:v>1034.9080896734201</c:v>
                </c:pt>
              </c:numCache>
            </c:numRef>
          </c:val>
          <c:smooth val="0"/>
          <c:extLst>
            <c:ext xmlns:c16="http://schemas.microsoft.com/office/drawing/2014/chart" uri="{C3380CC4-5D6E-409C-BE32-E72D297353CC}">
              <c16:uniqueId val="{00000001-3069-4241-A62D-75E234B813F9}"/>
            </c:ext>
          </c:extLst>
        </c:ser>
        <c:ser>
          <c:idx val="2"/>
          <c:order val="2"/>
          <c:tx>
            <c:strRef>
              <c:f>q15_q22_q31_Fig!$A$17</c:f>
              <c:strCache>
                <c:ptCount val="1"/>
                <c:pt idx="0">
                  <c:v>Acordo Coletivo de Trabalho (ACT)</c:v>
                </c:pt>
              </c:strCache>
            </c:strRef>
          </c:tx>
          <c:spPr>
            <a:ln w="31750" cap="rnd">
              <a:solidFill>
                <a:schemeClr val="accent1">
                  <a:shade val="90000"/>
                </a:schemeClr>
              </a:solidFill>
              <a:prstDash val="sysDash"/>
              <a:round/>
            </a:ln>
            <a:effectLst>
              <a:outerShdw blurRad="40000" dist="23000" dir="5400000" rotWithShape="0">
                <a:srgbClr val="000000">
                  <a:alpha val="35000"/>
                </a:srgbClr>
              </a:outerShdw>
            </a:effectLst>
          </c:spPr>
          <c:marker>
            <c:symbol val="none"/>
          </c:marker>
          <c:cat>
            <c:numRef>
              <c:f>q15_q22_q31_Fig!$B$14:$L$14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q15_q22_q31_Fig!$B$17:$L$17</c:f>
              <c:numCache>
                <c:formatCode>#,##0.00\ "€"</c:formatCode>
                <c:ptCount val="11"/>
                <c:pt idx="0">
                  <c:v>1376.0270876395</c:v>
                </c:pt>
                <c:pt idx="1">
                  <c:v>1378.6244393776801</c:v>
                </c:pt>
                <c:pt idx="2">
                  <c:v>1355.4958168956603</c:v>
                </c:pt>
                <c:pt idx="3">
                  <c:v>1369.2197336380902</c:v>
                </c:pt>
                <c:pt idx="4">
                  <c:v>1380.3391355302501</c:v>
                </c:pt>
                <c:pt idx="5">
                  <c:v>1384.8914383662</c:v>
                </c:pt>
                <c:pt idx="6">
                  <c:v>1383.0974336944701</c:v>
                </c:pt>
                <c:pt idx="7">
                  <c:v>1377.83383152794</c:v>
                </c:pt>
                <c:pt idx="8">
                  <c:v>1398.0384962477801</c:v>
                </c:pt>
                <c:pt idx="9">
                  <c:v>1401.2704292384501</c:v>
                </c:pt>
                <c:pt idx="10">
                  <c:v>1434.7019205004801</c:v>
                </c:pt>
              </c:numCache>
            </c:numRef>
          </c:val>
          <c:smooth val="0"/>
          <c:extLst>
            <c:ext xmlns:c16="http://schemas.microsoft.com/office/drawing/2014/chart" uri="{C3380CC4-5D6E-409C-BE32-E72D297353CC}">
              <c16:uniqueId val="{00000002-3069-4241-A62D-75E234B813F9}"/>
            </c:ext>
          </c:extLst>
        </c:ser>
        <c:ser>
          <c:idx val="3"/>
          <c:order val="3"/>
          <c:tx>
            <c:strRef>
              <c:f>q15_q22_q31_Fig!$A$18</c:f>
              <c:strCache>
                <c:ptCount val="1"/>
                <c:pt idx="0">
                  <c:v>Portaria de Cond. de Trabalho (PCT)</c:v>
                </c:pt>
              </c:strCache>
            </c:strRef>
          </c:tx>
          <c:spPr>
            <a:ln w="31750" cap="rnd">
              <a:solidFill>
                <a:schemeClr val="accent1">
                  <a:tint val="90000"/>
                </a:schemeClr>
              </a:solidFill>
              <a:round/>
            </a:ln>
            <a:effectLst>
              <a:outerShdw blurRad="40000" dist="23000" dir="5400000" rotWithShape="0">
                <a:srgbClr val="000000">
                  <a:alpha val="35000"/>
                </a:srgbClr>
              </a:outerShdw>
            </a:effectLst>
          </c:spPr>
          <c:marker>
            <c:symbol val="none"/>
          </c:marker>
          <c:cat>
            <c:numRef>
              <c:f>q15_q22_q31_Fig!$B$14:$L$14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q15_q22_q31_Fig!$B$18:$L$18</c:f>
              <c:numCache>
                <c:formatCode>#,##0.00\ "€"</c:formatCode>
                <c:ptCount val="11"/>
                <c:pt idx="0">
                  <c:v>1003.3186551071301</c:v>
                </c:pt>
                <c:pt idx="1">
                  <c:v>977.849031240415</c:v>
                </c:pt>
                <c:pt idx="2">
                  <c:v>972.19149983404202</c:v>
                </c:pt>
                <c:pt idx="3">
                  <c:v>967.53260618618606</c:v>
                </c:pt>
                <c:pt idx="4">
                  <c:v>971.00655059601308</c:v>
                </c:pt>
                <c:pt idx="5">
                  <c:v>992.05088961973115</c:v>
                </c:pt>
                <c:pt idx="6">
                  <c:v>1032.1050968847201</c:v>
                </c:pt>
                <c:pt idx="7">
                  <c:v>1074.6061146719401</c:v>
                </c:pt>
                <c:pt idx="8">
                  <c:v>1119.85925536184</c:v>
                </c:pt>
                <c:pt idx="9">
                  <c:v>1179.74805091185</c:v>
                </c:pt>
                <c:pt idx="10">
                  <c:v>1261.6534208195703</c:v>
                </c:pt>
              </c:numCache>
            </c:numRef>
          </c:val>
          <c:smooth val="0"/>
          <c:extLst>
            <c:ext xmlns:c16="http://schemas.microsoft.com/office/drawing/2014/chart" uri="{C3380CC4-5D6E-409C-BE32-E72D297353CC}">
              <c16:uniqueId val="{00000003-3069-4241-A62D-75E234B813F9}"/>
            </c:ext>
          </c:extLst>
        </c:ser>
        <c:ser>
          <c:idx val="4"/>
          <c:order val="4"/>
          <c:tx>
            <c:strRef>
              <c:f>q15_q22_q31_Fig!$A$19</c:f>
              <c:strCache>
                <c:ptCount val="1"/>
                <c:pt idx="0">
                  <c:v>Acordo de Empresa (AE)</c:v>
                </c:pt>
              </c:strCache>
            </c:strRef>
          </c:tx>
          <c:spPr>
            <a:ln w="31750" cap="rnd">
              <a:solidFill>
                <a:schemeClr val="accent1">
                  <a:tint val="70000"/>
                </a:schemeClr>
              </a:solidFill>
              <a:round/>
            </a:ln>
            <a:effectLst>
              <a:outerShdw blurRad="40000" dist="23000" dir="5400000" rotWithShape="0">
                <a:srgbClr val="000000">
                  <a:alpha val="35000"/>
                </a:srgbClr>
              </a:outerShdw>
            </a:effectLst>
          </c:spPr>
          <c:marker>
            <c:symbol val="none"/>
          </c:marker>
          <c:cat>
            <c:numRef>
              <c:f>q15_q22_q31_Fig!$B$14:$L$14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q15_q22_q31_Fig!$B$19:$L$19</c:f>
              <c:numCache>
                <c:formatCode>#,##0.00\ "€"</c:formatCode>
                <c:ptCount val="11"/>
                <c:pt idx="0">
                  <c:v>1435.5730436060301</c:v>
                </c:pt>
                <c:pt idx="1">
                  <c:v>1450.62996858208</c:v>
                </c:pt>
                <c:pt idx="2">
                  <c:v>1444.7042007547402</c:v>
                </c:pt>
                <c:pt idx="3">
                  <c:v>1449.0004375586902</c:v>
                </c:pt>
                <c:pt idx="4">
                  <c:v>1443.0238781438302</c:v>
                </c:pt>
                <c:pt idx="5">
                  <c:v>1460.9444853935702</c:v>
                </c:pt>
                <c:pt idx="6">
                  <c:v>1499.23372940582</c:v>
                </c:pt>
                <c:pt idx="7">
                  <c:v>1520.6541635813298</c:v>
                </c:pt>
                <c:pt idx="8">
                  <c:v>1451.8981710683702</c:v>
                </c:pt>
                <c:pt idx="9">
                  <c:v>1476.8648039653601</c:v>
                </c:pt>
                <c:pt idx="10">
                  <c:v>1594.67102138462</c:v>
                </c:pt>
              </c:numCache>
            </c:numRef>
          </c:val>
          <c:smooth val="0"/>
          <c:extLst>
            <c:ext xmlns:c16="http://schemas.microsoft.com/office/drawing/2014/chart" uri="{C3380CC4-5D6E-409C-BE32-E72D297353CC}">
              <c16:uniqueId val="{00000004-3069-4241-A62D-75E234B813F9}"/>
            </c:ext>
          </c:extLst>
        </c:ser>
        <c:ser>
          <c:idx val="5"/>
          <c:order val="5"/>
          <c:tx>
            <c:strRef>
              <c:f>q15_q22_q31_Fig!$A$20</c:f>
              <c:strCache>
                <c:ptCount val="1"/>
                <c:pt idx="0">
                  <c:v>Não Abrangidos por Regulamentação Coletiva</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cat>
            <c:numRef>
              <c:f>q15_q22_q31_Fig!$B$14:$L$14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q15_q22_q31_Fig!$B$20:$L$20</c:f>
              <c:numCache>
                <c:formatCode>#,##0.00\ "€"</c:formatCode>
                <c:ptCount val="11"/>
                <c:pt idx="0">
                  <c:v>1145.50271467018</c:v>
                </c:pt>
                <c:pt idx="1">
                  <c:v>1130.79594059595</c:v>
                </c:pt>
                <c:pt idx="2">
                  <c:v>1121.3991062045302</c:v>
                </c:pt>
                <c:pt idx="3">
                  <c:v>1104.3485605287301</c:v>
                </c:pt>
                <c:pt idx="4">
                  <c:v>1107.4664177878999</c:v>
                </c:pt>
                <c:pt idx="5">
                  <c:v>1109.8148570103201</c:v>
                </c:pt>
                <c:pt idx="6">
                  <c:v>1145.6190469043202</c:v>
                </c:pt>
                <c:pt idx="7">
                  <c:v>1184.11156501853</c:v>
                </c:pt>
                <c:pt idx="8">
                  <c:v>1211.96760098903</c:v>
                </c:pt>
                <c:pt idx="9">
                  <c:v>1273.5616838785299</c:v>
                </c:pt>
                <c:pt idx="10">
                  <c:v>1356.6058294637401</c:v>
                </c:pt>
              </c:numCache>
            </c:numRef>
          </c:val>
          <c:smooth val="0"/>
          <c:extLst>
            <c:ext xmlns:c16="http://schemas.microsoft.com/office/drawing/2014/chart" uri="{C3380CC4-5D6E-409C-BE32-E72D297353CC}">
              <c16:uniqueId val="{00000005-3069-4241-A62D-75E234B813F9}"/>
            </c:ext>
          </c:extLst>
        </c:ser>
        <c:dLbls>
          <c:showLegendKey val="0"/>
          <c:showVal val="0"/>
          <c:showCatName val="0"/>
          <c:showSerName val="0"/>
          <c:showPercent val="0"/>
          <c:showBubbleSize val="0"/>
        </c:dLbls>
        <c:smooth val="0"/>
        <c:axId val="164075663"/>
        <c:axId val="442964127"/>
      </c:lineChart>
      <c:catAx>
        <c:axId val="16407566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442964127"/>
        <c:crosses val="autoZero"/>
        <c:auto val="1"/>
        <c:lblAlgn val="ctr"/>
        <c:lblOffset val="100"/>
        <c:noMultiLvlLbl val="0"/>
      </c:catAx>
      <c:valAx>
        <c:axId val="442964127"/>
        <c:scaling>
          <c:orientation val="minMax"/>
          <c:max val="2500"/>
          <c:min val="0"/>
        </c:scaling>
        <c:delete val="0"/>
        <c:axPos val="l"/>
        <c:majorGridlines>
          <c:spPr>
            <a:ln w="9525" cap="flat" cmpd="sng" algn="ctr">
              <a:noFill/>
              <a:round/>
            </a:ln>
            <a:effectLst/>
          </c:spPr>
        </c:majorGridlines>
        <c:numFmt formatCode="#,##0\ &quot;€&quot;" sourceLinked="0"/>
        <c:majorTickMark val="none"/>
        <c:minorTickMark val="none"/>
        <c:tickLblPos val="high"/>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64075663"/>
        <c:crosses val="autoZero"/>
        <c:crossBetween val="between"/>
        <c:majorUnit val="500"/>
        <c:minorUnit val="5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22003499562555"/>
          <c:y val="0.13152482269503546"/>
          <c:w val="0.84854399038524708"/>
          <c:h val="0.68091324320084134"/>
        </c:manualLayout>
      </c:layout>
      <c:lineChart>
        <c:grouping val="standard"/>
        <c:varyColors val="0"/>
        <c:ser>
          <c:idx val="0"/>
          <c:order val="0"/>
          <c:tx>
            <c:strRef>
              <c:f>q15_q22_q31_Fig!$A$26</c:f>
              <c:strCache>
                <c:ptCount val="1"/>
                <c:pt idx="0">
                  <c:v>Total</c:v>
                </c:pt>
              </c:strCache>
            </c:strRef>
          </c:tx>
          <c:spPr>
            <a:ln w="31750" cap="rnd">
              <a:solidFill>
                <a:srgbClr val="C0504D"/>
              </a:solidFill>
              <a:round/>
            </a:ln>
            <a:effectLst>
              <a:outerShdw blurRad="40000" dist="23000" dir="5400000" rotWithShape="0">
                <a:srgbClr val="000000">
                  <a:alpha val="35000"/>
                </a:srgbClr>
              </a:outerShdw>
            </a:effectLst>
          </c:spPr>
          <c:marker>
            <c:symbol val="none"/>
          </c:marker>
          <c:cat>
            <c:numRef>
              <c:f>q15_q22_q31_Fig!$B$25:$L$25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q15_q22_q31_Fig!$B$26:$L$26</c:f>
              <c:numCache>
                <c:formatCode>#,##0.00\ "€"</c:formatCode>
                <c:ptCount val="11"/>
                <c:pt idx="0">
                  <c:v>1095.58619281857</c:v>
                </c:pt>
                <c:pt idx="1">
                  <c:v>1093.8178723953499</c:v>
                </c:pt>
                <c:pt idx="2">
                  <c:v>1093.20854089105</c:v>
                </c:pt>
                <c:pt idx="3">
                  <c:v>1096.65734127991</c:v>
                </c:pt>
                <c:pt idx="4">
                  <c:v>1107.85636561875</c:v>
                </c:pt>
                <c:pt idx="5">
                  <c:v>1133.34288689707</c:v>
                </c:pt>
                <c:pt idx="6">
                  <c:v>1170.2525051678801</c:v>
                </c:pt>
                <c:pt idx="7">
                  <c:v>1209.93900485576</c:v>
                </c:pt>
                <c:pt idx="8">
                  <c:v>1250.75197084447</c:v>
                </c:pt>
                <c:pt idx="9">
                  <c:v>1294.10894067238</c:v>
                </c:pt>
                <c:pt idx="10">
                  <c:v>1367.9952489883699</c:v>
                </c:pt>
              </c:numCache>
            </c:numRef>
          </c:val>
          <c:smooth val="0"/>
          <c:extLst xmlns:c15="http://schemas.microsoft.com/office/drawing/2012/chart">
            <c:ext xmlns:c16="http://schemas.microsoft.com/office/drawing/2014/chart" uri="{C3380CC4-5D6E-409C-BE32-E72D297353CC}">
              <c16:uniqueId val="{00000000-157C-4427-8EF2-DAAEF1342F78}"/>
            </c:ext>
          </c:extLst>
        </c:ser>
        <c:ser>
          <c:idx val="1"/>
          <c:order val="1"/>
          <c:tx>
            <c:strRef>
              <c:f>q15_q22_q31_Fig!$A$27</c:f>
              <c:strCache>
                <c:ptCount val="1"/>
                <c:pt idx="0">
                  <c:v>Contrato Coletivo de Trabalho (CCT)</c:v>
                </c:pt>
              </c:strCache>
            </c:strRef>
          </c:tx>
          <c:spPr>
            <a:ln w="31750" cap="rnd">
              <a:solidFill>
                <a:schemeClr val="accent1">
                  <a:shade val="70000"/>
                </a:schemeClr>
              </a:solidFill>
              <a:round/>
            </a:ln>
            <a:effectLst>
              <a:outerShdw blurRad="40000" dist="23000" dir="5400000" rotWithShape="0">
                <a:srgbClr val="000000">
                  <a:alpha val="35000"/>
                </a:srgbClr>
              </a:outerShdw>
            </a:effectLst>
          </c:spPr>
          <c:marker>
            <c:symbol val="none"/>
          </c:marker>
          <c:cat>
            <c:numRef>
              <c:f>q15_q22_q31_Fig!$B$25:$L$25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q15_q22_q31_Fig!$B$27:$L$27</c:f>
              <c:numCache>
                <c:formatCode>#,##0.00\ "€"</c:formatCode>
                <c:ptCount val="11"/>
                <c:pt idx="0">
                  <c:v>955.64682588255505</c:v>
                </c:pt>
                <c:pt idx="1">
                  <c:v>956.89344447295503</c:v>
                </c:pt>
                <c:pt idx="2">
                  <c:v>958.20500277867404</c:v>
                </c:pt>
                <c:pt idx="3">
                  <c:v>967.67646106531708</c:v>
                </c:pt>
                <c:pt idx="4">
                  <c:v>981.32448671217503</c:v>
                </c:pt>
                <c:pt idx="5">
                  <c:v>1003.5898675700201</c:v>
                </c:pt>
                <c:pt idx="6">
                  <c:v>1039.9638386526601</c:v>
                </c:pt>
                <c:pt idx="7">
                  <c:v>1077.2172660102301</c:v>
                </c:pt>
                <c:pt idx="8">
                  <c:v>1117.69800789342</c:v>
                </c:pt>
                <c:pt idx="9">
                  <c:v>1159.7548195397701</c:v>
                </c:pt>
                <c:pt idx="10">
                  <c:v>1221.48294868422</c:v>
                </c:pt>
              </c:numCache>
            </c:numRef>
          </c:val>
          <c:smooth val="0"/>
          <c:extLst>
            <c:ext xmlns:c16="http://schemas.microsoft.com/office/drawing/2014/chart" uri="{C3380CC4-5D6E-409C-BE32-E72D297353CC}">
              <c16:uniqueId val="{00000001-157C-4427-8EF2-DAAEF1342F78}"/>
            </c:ext>
          </c:extLst>
        </c:ser>
        <c:ser>
          <c:idx val="2"/>
          <c:order val="2"/>
          <c:tx>
            <c:strRef>
              <c:f>q15_q22_q31_Fig!$A$28</c:f>
              <c:strCache>
                <c:ptCount val="1"/>
                <c:pt idx="0">
                  <c:v>Acordo Coletivo de Trabalho (ACT)</c:v>
                </c:pt>
              </c:strCache>
            </c:strRef>
          </c:tx>
          <c:spPr>
            <a:ln w="31750" cap="rnd">
              <a:solidFill>
                <a:schemeClr val="accent1">
                  <a:shade val="90000"/>
                </a:schemeClr>
              </a:solidFill>
              <a:prstDash val="sysDash"/>
              <a:round/>
            </a:ln>
            <a:effectLst>
              <a:outerShdw blurRad="40000" dist="23000" dir="5400000" rotWithShape="0">
                <a:srgbClr val="000000">
                  <a:alpha val="35000"/>
                </a:srgbClr>
              </a:outerShdw>
            </a:effectLst>
          </c:spPr>
          <c:marker>
            <c:symbol val="none"/>
          </c:marker>
          <c:cat>
            <c:numRef>
              <c:f>q15_q22_q31_Fig!$B$25:$L$25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q15_q22_q31_Fig!$B$28:$L$28</c:f>
              <c:numCache>
                <c:formatCode>#,##0.00\ "€"</c:formatCode>
                <c:ptCount val="11"/>
                <c:pt idx="0">
                  <c:v>1908.18202827296</c:v>
                </c:pt>
                <c:pt idx="1">
                  <c:v>1912.2494346834803</c:v>
                </c:pt>
                <c:pt idx="2">
                  <c:v>1928.42994649254</c:v>
                </c:pt>
                <c:pt idx="3">
                  <c:v>1936.6701349091302</c:v>
                </c:pt>
                <c:pt idx="4">
                  <c:v>1944.8063643980902</c:v>
                </c:pt>
                <c:pt idx="5">
                  <c:v>1970.6722500314002</c:v>
                </c:pt>
                <c:pt idx="6">
                  <c:v>1974.6872306305902</c:v>
                </c:pt>
                <c:pt idx="7">
                  <c:v>1933.53496137507</c:v>
                </c:pt>
                <c:pt idx="8">
                  <c:v>1966.24727405526</c:v>
                </c:pt>
                <c:pt idx="9">
                  <c:v>1956.6139353409799</c:v>
                </c:pt>
                <c:pt idx="10">
                  <c:v>2014.5990164783902</c:v>
                </c:pt>
              </c:numCache>
            </c:numRef>
          </c:val>
          <c:smooth val="0"/>
          <c:extLst>
            <c:ext xmlns:c16="http://schemas.microsoft.com/office/drawing/2014/chart" uri="{C3380CC4-5D6E-409C-BE32-E72D297353CC}">
              <c16:uniqueId val="{00000002-157C-4427-8EF2-DAAEF1342F78}"/>
            </c:ext>
          </c:extLst>
        </c:ser>
        <c:ser>
          <c:idx val="3"/>
          <c:order val="3"/>
          <c:tx>
            <c:strRef>
              <c:f>q15_q22_q31_Fig!$A$29</c:f>
              <c:strCache>
                <c:ptCount val="1"/>
                <c:pt idx="0">
                  <c:v>Portaria de Cond. de Trabalho (PCT)</c:v>
                </c:pt>
              </c:strCache>
            </c:strRef>
          </c:tx>
          <c:spPr>
            <a:ln w="31750" cap="rnd">
              <a:solidFill>
                <a:schemeClr val="accent1">
                  <a:tint val="90000"/>
                </a:schemeClr>
              </a:solidFill>
              <a:round/>
            </a:ln>
            <a:effectLst>
              <a:outerShdw blurRad="40000" dist="23000" dir="5400000" rotWithShape="0">
                <a:srgbClr val="000000">
                  <a:alpha val="35000"/>
                </a:srgbClr>
              </a:outerShdw>
            </a:effectLst>
          </c:spPr>
          <c:marker>
            <c:symbol val="none"/>
          </c:marker>
          <c:cat>
            <c:numRef>
              <c:f>q15_q22_q31_Fig!$B$25:$L$25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q15_q22_q31_Fig!$B$29:$L$29</c:f>
              <c:numCache>
                <c:formatCode>#,##0.00\ "€"</c:formatCode>
                <c:ptCount val="11"/>
                <c:pt idx="0">
                  <c:v>1144.29696067706</c:v>
                </c:pt>
                <c:pt idx="1">
                  <c:v>1115.6638568862202</c:v>
                </c:pt>
                <c:pt idx="2">
                  <c:v>1112.8313962765201</c:v>
                </c:pt>
                <c:pt idx="3">
                  <c:v>1108.65016876663</c:v>
                </c:pt>
                <c:pt idx="4">
                  <c:v>1109.6858952647199</c:v>
                </c:pt>
                <c:pt idx="5">
                  <c:v>1137.2384368102601</c:v>
                </c:pt>
                <c:pt idx="6">
                  <c:v>1189.5224226442501</c:v>
                </c:pt>
                <c:pt idx="7">
                  <c:v>1243.7106344106001</c:v>
                </c:pt>
                <c:pt idx="8">
                  <c:v>1290.4686455113201</c:v>
                </c:pt>
                <c:pt idx="9">
                  <c:v>1355.9643424749001</c:v>
                </c:pt>
                <c:pt idx="10">
                  <c:v>1448.6308246580702</c:v>
                </c:pt>
              </c:numCache>
            </c:numRef>
          </c:val>
          <c:smooth val="0"/>
          <c:extLst>
            <c:ext xmlns:c16="http://schemas.microsoft.com/office/drawing/2014/chart" uri="{C3380CC4-5D6E-409C-BE32-E72D297353CC}">
              <c16:uniqueId val="{00000003-157C-4427-8EF2-DAAEF1342F78}"/>
            </c:ext>
          </c:extLst>
        </c:ser>
        <c:ser>
          <c:idx val="4"/>
          <c:order val="4"/>
          <c:tx>
            <c:strRef>
              <c:f>q15_q22_q31_Fig!$A$30</c:f>
              <c:strCache>
                <c:ptCount val="1"/>
                <c:pt idx="0">
                  <c:v>Acordo de Empresa (AE)</c:v>
                </c:pt>
              </c:strCache>
            </c:strRef>
          </c:tx>
          <c:spPr>
            <a:ln w="31750" cap="rnd">
              <a:solidFill>
                <a:schemeClr val="accent1">
                  <a:tint val="70000"/>
                </a:schemeClr>
              </a:solidFill>
              <a:round/>
            </a:ln>
            <a:effectLst>
              <a:outerShdw blurRad="40000" dist="23000" dir="5400000" rotWithShape="0">
                <a:srgbClr val="000000">
                  <a:alpha val="35000"/>
                </a:srgbClr>
              </a:outerShdw>
            </a:effectLst>
          </c:spPr>
          <c:marker>
            <c:symbol val="none"/>
          </c:marker>
          <c:cat>
            <c:numRef>
              <c:f>q15_q22_q31_Fig!$B$25:$L$25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q15_q22_q31_Fig!$B$30:$L$30</c:f>
              <c:numCache>
                <c:formatCode>#,##0.00\ "€"</c:formatCode>
                <c:ptCount val="11"/>
                <c:pt idx="0">
                  <c:v>1974.4607654846202</c:v>
                </c:pt>
                <c:pt idx="1">
                  <c:v>1992.38037628094</c:v>
                </c:pt>
                <c:pt idx="2">
                  <c:v>2002.28224822838</c:v>
                </c:pt>
                <c:pt idx="3">
                  <c:v>1985.4069352112701</c:v>
                </c:pt>
                <c:pt idx="4">
                  <c:v>1982.6261480277801</c:v>
                </c:pt>
                <c:pt idx="5">
                  <c:v>2024.6800829673002</c:v>
                </c:pt>
                <c:pt idx="6">
                  <c:v>2085.6040009542803</c:v>
                </c:pt>
                <c:pt idx="7">
                  <c:v>2111.39594203463</c:v>
                </c:pt>
                <c:pt idx="8">
                  <c:v>1993.2370089608601</c:v>
                </c:pt>
                <c:pt idx="9">
                  <c:v>2027.84448523796</c:v>
                </c:pt>
                <c:pt idx="10">
                  <c:v>2202.5417862601503</c:v>
                </c:pt>
              </c:numCache>
            </c:numRef>
          </c:val>
          <c:smooth val="0"/>
          <c:extLst>
            <c:ext xmlns:c16="http://schemas.microsoft.com/office/drawing/2014/chart" uri="{C3380CC4-5D6E-409C-BE32-E72D297353CC}">
              <c16:uniqueId val="{00000004-157C-4427-8EF2-DAAEF1342F78}"/>
            </c:ext>
          </c:extLst>
        </c:ser>
        <c:ser>
          <c:idx val="5"/>
          <c:order val="5"/>
          <c:tx>
            <c:strRef>
              <c:f>q15_q22_q31_Fig!$A$31</c:f>
              <c:strCache>
                <c:ptCount val="1"/>
                <c:pt idx="0">
                  <c:v>Não Abrangidos por Regulamentação Coletiva</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cat>
            <c:numRef>
              <c:f>q15_q22_q31_Fig!$B$25:$L$25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q15_q22_q31_Fig!$B$31:$L$31</c:f>
              <c:numCache>
                <c:formatCode>#,##0.00\ "€"</c:formatCode>
                <c:ptCount val="11"/>
                <c:pt idx="0">
                  <c:v>1354.0202409758001</c:v>
                </c:pt>
                <c:pt idx="1">
                  <c:v>1327.3704807214201</c:v>
                </c:pt>
                <c:pt idx="2">
                  <c:v>1313.2961630600998</c:v>
                </c:pt>
                <c:pt idx="3">
                  <c:v>1292.2137049949001</c:v>
                </c:pt>
                <c:pt idx="4">
                  <c:v>1292.3703148746301</c:v>
                </c:pt>
                <c:pt idx="5">
                  <c:v>1303.6216947245603</c:v>
                </c:pt>
                <c:pt idx="6">
                  <c:v>1350.4270558646601</c:v>
                </c:pt>
                <c:pt idx="7">
                  <c:v>1400.2172910262402</c:v>
                </c:pt>
                <c:pt idx="8">
                  <c:v>1426.5992051012902</c:v>
                </c:pt>
                <c:pt idx="9">
                  <c:v>1489.7074562074399</c:v>
                </c:pt>
                <c:pt idx="10">
                  <c:v>1584.34668862377</c:v>
                </c:pt>
              </c:numCache>
            </c:numRef>
          </c:val>
          <c:smooth val="0"/>
          <c:extLst>
            <c:ext xmlns:c16="http://schemas.microsoft.com/office/drawing/2014/chart" uri="{C3380CC4-5D6E-409C-BE32-E72D297353CC}">
              <c16:uniqueId val="{00000005-157C-4427-8EF2-DAAEF1342F78}"/>
            </c:ext>
          </c:extLst>
        </c:ser>
        <c:dLbls>
          <c:showLegendKey val="0"/>
          <c:showVal val="0"/>
          <c:showCatName val="0"/>
          <c:showSerName val="0"/>
          <c:showPercent val="0"/>
          <c:showBubbleSize val="0"/>
        </c:dLbls>
        <c:smooth val="0"/>
        <c:axId val="164075663"/>
        <c:axId val="442964127"/>
      </c:lineChart>
      <c:catAx>
        <c:axId val="16407566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442964127"/>
        <c:crosses val="autoZero"/>
        <c:auto val="1"/>
        <c:lblAlgn val="ctr"/>
        <c:lblOffset val="100"/>
        <c:noMultiLvlLbl val="0"/>
      </c:catAx>
      <c:valAx>
        <c:axId val="442964127"/>
        <c:scaling>
          <c:orientation val="minMax"/>
          <c:max val="2500"/>
          <c:min val="0"/>
        </c:scaling>
        <c:delete val="1"/>
        <c:axPos val="l"/>
        <c:majorGridlines>
          <c:spPr>
            <a:ln w="9525" cap="flat" cmpd="sng" algn="ctr">
              <a:noFill/>
              <a:round/>
            </a:ln>
            <a:effectLst/>
          </c:spPr>
        </c:majorGridlines>
        <c:numFmt formatCode="#,##0\ &quot;€&quot;" sourceLinked="0"/>
        <c:majorTickMark val="out"/>
        <c:minorTickMark val="none"/>
        <c:tickLblPos val="nextTo"/>
        <c:crossAx val="164075663"/>
        <c:crosses val="autoZero"/>
        <c:crossBetween val="between"/>
        <c:majorUnit val="500"/>
        <c:minorUnit val="5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9379245171948E-2"/>
          <c:y val="6.5306379971734316E-2"/>
          <c:w val="0.84283504026558664"/>
          <c:h val="0.84110942862911364"/>
        </c:manualLayout>
      </c:layout>
      <c:barChart>
        <c:barDir val="col"/>
        <c:grouping val="clustered"/>
        <c:varyColors val="0"/>
        <c:ser>
          <c:idx val="0"/>
          <c:order val="0"/>
          <c:tx>
            <c:strRef>
              <c:f>q24_Fig!$A$46</c:f>
              <c:strCache>
                <c:ptCount val="1"/>
              </c:strCache>
            </c:strRef>
          </c:tx>
          <c:spPr>
            <a:pattFill prst="narHorz">
              <a:fgClr>
                <a:srgbClr val="4F81BD"/>
              </a:fgClr>
              <a:bgClr>
                <a:schemeClr val="bg1"/>
              </a:bgClr>
            </a:pattFill>
            <a:ln>
              <a:noFill/>
            </a:ln>
            <a:effectLst>
              <a:innerShdw blurRad="114300">
                <a:schemeClr val="accent1"/>
              </a:innerShdw>
            </a:effectLst>
          </c:spPr>
          <c:invertIfNegative val="0"/>
          <c:dPt>
            <c:idx val="0"/>
            <c:invertIfNegative val="0"/>
            <c:bubble3D val="0"/>
            <c:spPr>
              <a:pattFill prst="narHorz">
                <a:fgClr>
                  <a:srgbClr val="4F81BD"/>
                </a:fgClr>
                <a:bgClr>
                  <a:schemeClr val="bg1"/>
                </a:bgClr>
              </a:pattFill>
              <a:ln>
                <a:noFill/>
              </a:ln>
              <a:effectLst>
                <a:innerShdw blurRad="114300">
                  <a:schemeClr val="accent1"/>
                </a:innerShdw>
              </a:effectLst>
            </c:spPr>
            <c:extLst>
              <c:ext xmlns:c16="http://schemas.microsoft.com/office/drawing/2014/chart" uri="{C3380CC4-5D6E-409C-BE32-E72D297353CC}">
                <c16:uniqueId val="{00000005-EBA7-4528-9EA4-D97DD2A1E9FB}"/>
              </c:ext>
            </c:extLst>
          </c:dPt>
          <c:cat>
            <c:numRef>
              <c:f>q24_Fig!$B$45:$L$45</c:f>
              <c:numCache>
                <c:formatCode>General</c:formatCode>
                <c:ptCount val="11"/>
              </c:numCache>
            </c:numRef>
          </c:cat>
          <c:val>
            <c:numRef>
              <c:f>q24_Fig!$B$46:$L$46</c:f>
              <c:numCache>
                <c:formatCode>#,##0\ "€"</c:formatCode>
                <c:ptCount val="11"/>
              </c:numCache>
            </c:numRef>
          </c:val>
          <c:extLst>
            <c:ext xmlns:c16="http://schemas.microsoft.com/office/drawing/2014/chart" uri="{C3380CC4-5D6E-409C-BE32-E72D297353CC}">
              <c16:uniqueId val="{00000000-EBA7-4528-9EA4-D97DD2A1E9FB}"/>
            </c:ext>
          </c:extLst>
        </c:ser>
        <c:ser>
          <c:idx val="1"/>
          <c:order val="1"/>
          <c:tx>
            <c:strRef>
              <c:f>q24_Fig!$A$47</c:f>
              <c:strCache>
                <c:ptCount val="1"/>
              </c:strCache>
            </c:strRef>
          </c:tx>
          <c:spPr>
            <a:pattFill prst="narHorz">
              <a:fgClr>
                <a:srgbClr val="FFC000"/>
              </a:fgClr>
              <a:bgClr>
                <a:schemeClr val="bg1"/>
              </a:bgClr>
            </a:pattFill>
            <a:ln>
              <a:solidFill>
                <a:srgbClr val="1F497D">
                  <a:alpha val="92000"/>
                </a:srgbClr>
              </a:solidFill>
            </a:ln>
            <a:effectLst>
              <a:innerShdw blurRad="114300">
                <a:schemeClr val="accent2"/>
              </a:innerShdw>
            </a:effectLst>
          </c:spPr>
          <c:invertIfNegative val="0"/>
          <c:cat>
            <c:numRef>
              <c:f>q24_Fig!$B$45:$L$45</c:f>
              <c:numCache>
                <c:formatCode>General</c:formatCode>
                <c:ptCount val="11"/>
              </c:numCache>
            </c:numRef>
          </c:cat>
          <c:val>
            <c:numRef>
              <c:f>q24_Fig!$B$47:$L$47</c:f>
              <c:numCache>
                <c:formatCode>#,##0\ "€"</c:formatCode>
                <c:ptCount val="11"/>
              </c:numCache>
            </c:numRef>
          </c:val>
          <c:extLst>
            <c:ext xmlns:c16="http://schemas.microsoft.com/office/drawing/2014/chart" uri="{C3380CC4-5D6E-409C-BE32-E72D297353CC}">
              <c16:uniqueId val="{00000001-EBA7-4528-9EA4-D97DD2A1E9FB}"/>
            </c:ext>
          </c:extLst>
        </c:ser>
        <c:dLbls>
          <c:showLegendKey val="0"/>
          <c:showVal val="0"/>
          <c:showCatName val="0"/>
          <c:showSerName val="0"/>
          <c:showPercent val="0"/>
          <c:showBubbleSize val="0"/>
        </c:dLbls>
        <c:gapWidth val="67"/>
        <c:overlap val="45"/>
        <c:axId val="419314736"/>
        <c:axId val="1816610448"/>
      </c:barChart>
      <c:lineChart>
        <c:grouping val="standard"/>
        <c:varyColors val="0"/>
        <c:ser>
          <c:idx val="2"/>
          <c:order val="2"/>
          <c:tx>
            <c:strRef>
              <c:f>q24_Fig!$A$48</c:f>
              <c:strCache>
                <c:ptCount val="1"/>
              </c:strCache>
            </c:strRef>
          </c:tx>
          <c:spPr>
            <a:ln w="28575" cap="rnd">
              <a:solidFill>
                <a:schemeClr val="accent2"/>
              </a:solidFill>
              <a:round/>
            </a:ln>
            <a:effectLst/>
          </c:spPr>
          <c:marker>
            <c:symbol val="circle"/>
            <c:size val="6"/>
            <c:spPr>
              <a:solidFill>
                <a:schemeClr val="accent2"/>
              </a:solidFill>
              <a:ln>
                <a:noFill/>
              </a:ln>
              <a:effectLst/>
            </c:spPr>
          </c:marker>
          <c:cat>
            <c:numRef>
              <c:f>q24_Fig!$B$45:$L$45</c:f>
              <c:numCache>
                <c:formatCode>General</c:formatCode>
                <c:ptCount val="11"/>
              </c:numCache>
            </c:numRef>
          </c:cat>
          <c:val>
            <c:numRef>
              <c:f>q24_Fig!$B$48:$L$48</c:f>
              <c:numCache>
                <c:formatCode>0.00</c:formatCode>
                <c:ptCount val="11"/>
              </c:numCache>
            </c:numRef>
          </c:val>
          <c:smooth val="0"/>
          <c:extLst>
            <c:ext xmlns:c16="http://schemas.microsoft.com/office/drawing/2014/chart" uri="{C3380CC4-5D6E-409C-BE32-E72D297353CC}">
              <c16:uniqueId val="{00000002-EBA7-4528-9EA4-D97DD2A1E9FB}"/>
            </c:ext>
          </c:extLst>
        </c:ser>
        <c:ser>
          <c:idx val="3"/>
          <c:order val="3"/>
          <c:tx>
            <c:strRef>
              <c:f>q24_Fig!$A$49</c:f>
              <c:strCache>
                <c:ptCount val="1"/>
              </c:strCache>
            </c:strRef>
          </c:tx>
          <c:spPr>
            <a:ln w="28575" cap="rnd">
              <a:solidFill>
                <a:srgbClr val="4F81BD"/>
              </a:solidFill>
              <a:round/>
            </a:ln>
            <a:effectLst/>
          </c:spPr>
          <c:marker>
            <c:symbol val="circle"/>
            <c:size val="6"/>
            <c:spPr>
              <a:solidFill>
                <a:srgbClr val="4F81BD"/>
              </a:solidFill>
              <a:ln>
                <a:noFill/>
              </a:ln>
              <a:effectLst/>
            </c:spPr>
          </c:marker>
          <c:cat>
            <c:numRef>
              <c:f>q24_Fig!$B$45:$L$45</c:f>
              <c:numCache>
                <c:formatCode>General</c:formatCode>
                <c:ptCount val="11"/>
              </c:numCache>
            </c:numRef>
          </c:cat>
          <c:val>
            <c:numRef>
              <c:f>q24_Fig!$B$49:$L$49</c:f>
              <c:numCache>
                <c:formatCode>#,##0\ "€"</c:formatCode>
                <c:ptCount val="11"/>
                <c:pt idx="1">
                  <c:v>0</c:v>
                </c:pt>
                <c:pt idx="2">
                  <c:v>0</c:v>
                </c:pt>
              </c:numCache>
            </c:numRef>
          </c:val>
          <c:smooth val="0"/>
          <c:extLst>
            <c:ext xmlns:c16="http://schemas.microsoft.com/office/drawing/2014/chart" uri="{C3380CC4-5D6E-409C-BE32-E72D297353CC}">
              <c16:uniqueId val="{00000003-EBA7-4528-9EA4-D97DD2A1E9FB}"/>
            </c:ext>
          </c:extLst>
        </c:ser>
        <c:ser>
          <c:idx val="4"/>
          <c:order val="4"/>
          <c:tx>
            <c:strRef>
              <c:f>q24_Fig!$A$50</c:f>
              <c:strCache>
                <c:ptCount val="1"/>
              </c:strCache>
            </c:strRef>
          </c:tx>
          <c:spPr>
            <a:ln w="28575" cap="rnd">
              <a:solidFill>
                <a:srgbClr val="FFC000"/>
              </a:solidFill>
              <a:round/>
            </a:ln>
            <a:effectLst/>
          </c:spPr>
          <c:marker>
            <c:symbol val="circle"/>
            <c:size val="6"/>
            <c:spPr>
              <a:solidFill>
                <a:srgbClr val="FFC000"/>
              </a:solidFill>
              <a:ln>
                <a:noFill/>
              </a:ln>
              <a:effectLst/>
            </c:spPr>
          </c:marker>
          <c:cat>
            <c:numRef>
              <c:f>q24_Fig!$B$45:$L$45</c:f>
              <c:numCache>
                <c:formatCode>General</c:formatCode>
                <c:ptCount val="11"/>
              </c:numCache>
            </c:numRef>
          </c:cat>
          <c:val>
            <c:numRef>
              <c:f>q24_Fig!$B$50:$L$50</c:f>
              <c:numCache>
                <c:formatCode>#,##0\ "€"</c:formatCode>
                <c:ptCount val="11"/>
              </c:numCache>
            </c:numRef>
          </c:val>
          <c:smooth val="0"/>
          <c:extLst>
            <c:ext xmlns:c16="http://schemas.microsoft.com/office/drawing/2014/chart" uri="{C3380CC4-5D6E-409C-BE32-E72D297353CC}">
              <c16:uniqueId val="{00000004-EBA7-4528-9EA4-D97DD2A1E9FB}"/>
            </c:ext>
          </c:extLst>
        </c:ser>
        <c:dLbls>
          <c:showLegendKey val="0"/>
          <c:showVal val="0"/>
          <c:showCatName val="0"/>
          <c:showSerName val="0"/>
          <c:showPercent val="0"/>
          <c:showBubbleSize val="0"/>
        </c:dLbls>
        <c:marker val="1"/>
        <c:smooth val="0"/>
        <c:axId val="419348736"/>
        <c:axId val="255688080"/>
      </c:lineChart>
      <c:catAx>
        <c:axId val="4193147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800" b="1" i="0" u="none" strike="noStrike" kern="1200" baseline="0">
                <a:solidFill>
                  <a:schemeClr val="tx2"/>
                </a:solidFill>
                <a:latin typeface="+mn-lt"/>
                <a:ea typeface="+mn-ea"/>
                <a:cs typeface="+mn-cs"/>
              </a:defRPr>
            </a:pPr>
            <a:endParaRPr lang="pt-PT"/>
          </a:p>
        </c:txPr>
        <c:crossAx val="1816610448"/>
        <c:crosses val="autoZero"/>
        <c:auto val="1"/>
        <c:lblAlgn val="ctr"/>
        <c:lblOffset val="100"/>
        <c:noMultiLvlLbl val="0"/>
      </c:catAx>
      <c:valAx>
        <c:axId val="1816610448"/>
        <c:scaling>
          <c:orientation val="minMax"/>
        </c:scaling>
        <c:delete val="0"/>
        <c:axPos val="l"/>
        <c:majorGridlines>
          <c:spPr>
            <a:ln>
              <a:noFill/>
            </a:ln>
            <a:effectLst/>
          </c:spPr>
        </c:majorGridlines>
        <c:numFmt formatCode="#,##0\ &quot;€&quot;"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pt-PT"/>
          </a:p>
        </c:txPr>
        <c:crossAx val="419314736"/>
        <c:crosses val="autoZero"/>
        <c:crossBetween val="between"/>
      </c:valAx>
      <c:valAx>
        <c:axId val="255688080"/>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pt-PT"/>
          </a:p>
        </c:txPr>
        <c:crossAx val="419348736"/>
        <c:crosses val="max"/>
        <c:crossBetween val="between"/>
      </c:valAx>
      <c:catAx>
        <c:axId val="419348736"/>
        <c:scaling>
          <c:orientation val="minMax"/>
        </c:scaling>
        <c:delete val="1"/>
        <c:axPos val="b"/>
        <c:numFmt formatCode="General" sourceLinked="1"/>
        <c:majorTickMark val="none"/>
        <c:minorTickMark val="none"/>
        <c:tickLblPos val="nextTo"/>
        <c:crossAx val="255688080"/>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endParaRPr lang="pt-PT"/>
        </a:p>
      </c:txPr>
    </c:title>
    <c:autoTitleDeleted val="0"/>
    <c:plotArea>
      <c:layout>
        <c:manualLayout>
          <c:layoutTarget val="inner"/>
          <c:xMode val="edge"/>
          <c:yMode val="edge"/>
          <c:x val="4.0807028631546345E-2"/>
          <c:y val="3.567815386713024E-2"/>
          <c:w val="0.93031205225533231"/>
          <c:h val="0.92049561986569861"/>
        </c:manualLayout>
      </c:layout>
      <c:barChart>
        <c:barDir val="bar"/>
        <c:grouping val="clustered"/>
        <c:varyColors val="0"/>
        <c:ser>
          <c:idx val="0"/>
          <c:order val="0"/>
          <c:tx>
            <c:strRef>
              <c:f>q3_q6_q9_q12_q19_q27_Fig!$AT$19</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horzOverflow="clip" vert="horz" wrap="non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0C14-4F04-819A-C076A41DC744}"/>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6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q3_q6_q9_q12_q19_q27_Fig!$AS$38</c:f>
              <c:strCache>
                <c:ptCount val="1"/>
                <c:pt idx="0">
                  <c:v>Continente</c:v>
                </c:pt>
              </c:strCache>
            </c:strRef>
          </c:cat>
          <c:val>
            <c:numRef>
              <c:f>q3_q6_q9_q12_q19_q27_Fig!$AT$38</c:f>
              <c:numCache>
                <c:formatCode>#,##0</c:formatCode>
                <c:ptCount val="1"/>
                <c:pt idx="0">
                  <c:v>3337082</c:v>
                </c:pt>
              </c:numCache>
            </c:numRef>
          </c:val>
          <c:extLst>
            <c:ext xmlns:c16="http://schemas.microsoft.com/office/drawing/2014/chart" uri="{C3380CC4-5D6E-409C-BE32-E72D297353CC}">
              <c16:uniqueId val="{00000001-0C14-4F04-819A-C076A41DC744}"/>
            </c:ext>
          </c:extLst>
        </c:ser>
        <c:ser>
          <c:idx val="1"/>
          <c:order val="1"/>
          <c:tx>
            <c:strRef>
              <c:f>q3_q6_q9_q12_q19_q27_Fig!$AU$19</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layout>
                <c:manualLayout>
                  <c:x val="-0.32908443900534484"/>
                  <c:y val="1.8754372112998842E-6"/>
                </c:manualLayout>
              </c:layout>
              <c:numFmt formatCode="#,##0" sourceLinked="0"/>
              <c:spPr>
                <a:noFill/>
                <a:ln>
                  <a:noFill/>
                </a:ln>
                <a:effectLst/>
              </c:spPr>
              <c:txPr>
                <a:bodyPr rot="0" spcFirstLastPara="1" vertOverflow="ellipsis" horzOverflow="clip"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38273118034296499"/>
                      <c:h val="0.4785046764026864"/>
                    </c:manualLayout>
                  </c15:layout>
                </c:ext>
                <c:ext xmlns:c16="http://schemas.microsoft.com/office/drawing/2014/chart" uri="{C3380CC4-5D6E-409C-BE32-E72D297353CC}">
                  <c16:uniqueId val="{00000002-0C14-4F04-819A-C076A41DC744}"/>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600" b="0"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q3_q6_q9_q12_q19_q27_Fig!$AS$38</c:f>
              <c:strCache>
                <c:ptCount val="1"/>
                <c:pt idx="0">
                  <c:v>Continente</c:v>
                </c:pt>
              </c:strCache>
            </c:strRef>
          </c:cat>
          <c:val>
            <c:numRef>
              <c:f>q3_q6_q9_q12_q19_q27_Fig!$AU$38</c:f>
              <c:numCache>
                <c:formatCode>#,##0</c:formatCode>
                <c:ptCount val="1"/>
                <c:pt idx="0">
                  <c:v>3148147</c:v>
                </c:pt>
              </c:numCache>
            </c:numRef>
          </c:val>
          <c:extLst>
            <c:ext xmlns:c16="http://schemas.microsoft.com/office/drawing/2014/chart" uri="{C3380CC4-5D6E-409C-BE32-E72D297353CC}">
              <c16:uniqueId val="{00000003-0C14-4F04-819A-C076A41DC744}"/>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619722949665792E-2"/>
          <c:y val="9.5615259059443292E-2"/>
          <c:w val="0.80138464480865856"/>
          <c:h val="0.85481219311037926"/>
        </c:manualLayout>
      </c:layout>
      <c:lineChart>
        <c:grouping val="standard"/>
        <c:varyColors val="0"/>
        <c:ser>
          <c:idx val="3"/>
          <c:order val="0"/>
          <c:tx>
            <c:strRef>
              <c:f>q24_Fig!$A$38</c:f>
              <c:strCache>
                <c:ptCount val="1"/>
                <c:pt idx="0">
                  <c:v>D2</c:v>
                </c:pt>
              </c:strCache>
            </c:strRef>
          </c:tx>
          <c:spPr>
            <a:ln w="28575" cap="rnd">
              <a:noFill/>
              <a:round/>
            </a:ln>
            <a:effectLst/>
          </c:spPr>
          <c:marker>
            <c:symbol val="dash"/>
            <c:size val="5"/>
            <c:spPr>
              <a:solidFill>
                <a:schemeClr val="accent4"/>
              </a:solidFill>
              <a:ln w="25400">
                <a:solidFill>
                  <a:schemeClr val="accent1"/>
                </a:solidFill>
              </a:ln>
              <a:effectLst/>
            </c:spPr>
          </c:marker>
          <c:dLbls>
            <c:dLbl>
              <c:idx val="0"/>
              <c:layout>
                <c:manualLayout>
                  <c:x val="1.0749222928015713E-3"/>
                  <c:y val="-1.241027247890967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328A-458C-BA0B-8CD76B234446}"/>
                </c:ext>
              </c:extLst>
            </c:dLbl>
            <c:dLbl>
              <c:idx val="1"/>
              <c:layout>
                <c:manualLayout>
                  <c:x val="4.6665343448171184E-3"/>
                  <c:y val="-1.90650180415898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8A-458C-BA0B-8CD76B234446}"/>
                </c:ext>
              </c:extLst>
            </c:dLbl>
            <c:dLbl>
              <c:idx val="2"/>
              <c:layout>
                <c:manualLayout>
                  <c:x val="-9.7794939380095179E-4"/>
                  <c:y val="-2.1664057416465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8A-458C-BA0B-8CD76B234446}"/>
                </c:ext>
              </c:extLst>
            </c:dLbl>
            <c:dLbl>
              <c:idx val="3"/>
              <c:layout>
                <c:manualLayout>
                  <c:x val="2.5610041042107554E-3"/>
                  <c:y val="-1.90649468867967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8A-458C-BA0B-8CD76B234446}"/>
                </c:ext>
              </c:extLst>
            </c:dLbl>
            <c:dLbl>
              <c:idx val="4"/>
              <c:layout>
                <c:manualLayout>
                  <c:x val="7.6421889514150453E-4"/>
                  <c:y val="-2.1969619865218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8A-458C-BA0B-8CD76B234446}"/>
                </c:ext>
              </c:extLst>
            </c:dLbl>
            <c:dLbl>
              <c:idx val="5"/>
              <c:layout>
                <c:manualLayout>
                  <c:x val="-9.7794939380088674E-4"/>
                  <c:y val="-2.16640574164649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8A-458C-BA0B-8CD76B234446}"/>
                </c:ext>
              </c:extLst>
            </c:dLbl>
            <c:dLbl>
              <c:idx val="6"/>
              <c:layout>
                <c:manualLayout>
                  <c:x val="2.5610041042107554E-3"/>
                  <c:y val="-2.16640574164649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8A-458C-BA0B-8CD76B234446}"/>
                </c:ext>
              </c:extLst>
            </c:dLbl>
            <c:dLbl>
              <c:idx val="7"/>
              <c:layout>
                <c:manualLayout>
                  <c:x val="2.6154816954596758E-3"/>
                  <c:y val="-1.8759384438042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28A-458C-BA0B-8CD76B234446}"/>
                </c:ext>
              </c:extLst>
            </c:dLbl>
            <c:dLbl>
              <c:idx val="8"/>
              <c:layout>
                <c:manualLayout>
                  <c:x val="2.5610041042107554E-3"/>
                  <c:y val="-2.45687303948869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8A-458C-BA0B-8CD76B234446}"/>
                </c:ext>
              </c:extLst>
            </c:dLbl>
            <c:dLbl>
              <c:idx val="9"/>
              <c:layout>
                <c:manualLayout>
                  <c:x val="-9.7794939380108146E-4"/>
                  <c:y val="-2.48742928436406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8A-458C-BA0B-8CD76B234446}"/>
                </c:ext>
              </c:extLst>
            </c:dLbl>
            <c:dLbl>
              <c:idx val="10"/>
              <c:layout>
                <c:manualLayout>
                  <c:x val="6.0999886164291202E-3"/>
                  <c:y val="-2.46344027325466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8A-458C-BA0B-8CD76B234446}"/>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ysClr val="windowText" lastClr="000000">
                          <a:lumMod val="35000"/>
                          <a:lumOff val="65000"/>
                        </a:sysClr>
                      </a:solidFill>
                      <a:prstDash val="sysDot"/>
                      <a:round/>
                    </a:ln>
                    <a:effectLst/>
                  </c:spPr>
                </c15:leaderLines>
              </c:ext>
            </c:extLst>
          </c:dLbls>
          <c:cat>
            <c:numRef>
              <c:extLst>
                <c:ext xmlns:c15="http://schemas.microsoft.com/office/drawing/2012/chart" uri="{02D57815-91ED-43cb-92C2-25804820EDAC}">
                  <c15:fullRef>
                    <c15:sqref>q24_Fig!$B$34:$N$34</c15:sqref>
                  </c15:fullRef>
                </c:ext>
              </c:extLst>
              <c:f>q24_Fig!$B$34:$L$34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extLst>
                <c:ext xmlns:c15="http://schemas.microsoft.com/office/drawing/2012/chart" uri="{02D57815-91ED-43cb-92C2-25804820EDAC}">
                  <c15:fullRef>
                    <c15:sqref>q24_Fig!$B$38:$N$38</c15:sqref>
                  </c15:fullRef>
                </c:ext>
              </c:extLst>
              <c:f>q24_Fig!$B$38:$L$38</c:f>
              <c:numCache>
                <c:formatCode>#,##0\ "€"</c:formatCode>
                <c:ptCount val="11"/>
                <c:pt idx="0">
                  <c:v>565.5751362665934</c:v>
                </c:pt>
                <c:pt idx="1">
                  <c:v>565.7498561763756</c:v>
                </c:pt>
                <c:pt idx="2">
                  <c:v>580.52165849888434</c:v>
                </c:pt>
                <c:pt idx="3">
                  <c:v>581.94133065143672</c:v>
                </c:pt>
                <c:pt idx="4">
                  <c:v>600.67778729967426</c:v>
                </c:pt>
                <c:pt idx="5">
                  <c:v>630.59844048145249</c:v>
                </c:pt>
                <c:pt idx="6">
                  <c:v>660.07862068964494</c:v>
                </c:pt>
                <c:pt idx="7">
                  <c:v>687.03886328615431</c:v>
                </c:pt>
                <c:pt idx="8">
                  <c:v>720.80295843114152</c:v>
                </c:pt>
                <c:pt idx="9">
                  <c:v>751.72831558808321</c:v>
                </c:pt>
                <c:pt idx="10">
                  <c:v>795.5286698062497</c:v>
                </c:pt>
              </c:numCache>
            </c:numRef>
          </c:val>
          <c:smooth val="0"/>
          <c:extLst>
            <c:ext xmlns:c15="http://schemas.microsoft.com/office/drawing/2012/chart" uri="{02D57815-91ED-43cb-92C2-25804820EDAC}">
              <c15:categoryFilterExceptions>
                <c15:categoryFilterException>
                  <c15:sqref>q24_Fig!$M$38</c15:sqref>
                  <c15:dLbl>
                    <c:idx val="10"/>
                    <c:layout>
                      <c:manualLayout>
                        <c:x val="-2.2266218149659376E-2"/>
                        <c:y val="-4.2607806767563865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DF26-4AA2-8EE5-2F417B033ED5}"/>
                      </c:ext>
                    </c:extLst>
                  </c15:dLbl>
                </c15:categoryFilterException>
              </c15:categoryFilterExceptions>
            </c:ext>
            <c:ext xmlns:c16="http://schemas.microsoft.com/office/drawing/2014/chart" uri="{C3380CC4-5D6E-409C-BE32-E72D297353CC}">
              <c16:uniqueId val="{0000000C-328A-458C-BA0B-8CD76B234446}"/>
            </c:ext>
          </c:extLst>
        </c:ser>
        <c:ser>
          <c:idx val="0"/>
          <c:order val="1"/>
          <c:tx>
            <c:strRef>
              <c:f>q24_Fig!$A$35</c:f>
              <c:strCache>
                <c:ptCount val="1"/>
                <c:pt idx="0">
                  <c:v>D10</c:v>
                </c:pt>
              </c:strCache>
            </c:strRef>
          </c:tx>
          <c:spPr>
            <a:ln w="28575" cap="rnd">
              <a:noFill/>
              <a:round/>
            </a:ln>
            <a:effectLst/>
          </c:spPr>
          <c:marker>
            <c:symbol val="dash"/>
            <c:size val="5"/>
            <c:spPr>
              <a:solidFill>
                <a:schemeClr val="accent1"/>
              </a:solidFill>
              <a:ln w="25400">
                <a:solidFill>
                  <a:schemeClr val="accent1"/>
                </a:solidFill>
              </a:ln>
              <a:effectLst/>
            </c:spPr>
          </c:marker>
          <c:dLbls>
            <c:dLbl>
              <c:idx val="0"/>
              <c:layout>
                <c:manualLayout>
                  <c:x val="-3.3801464430103803E-2"/>
                  <c:y val="-4.1457002263129095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328A-458C-BA0B-8CD76B234446}"/>
                </c:ext>
              </c:extLst>
            </c:dLbl>
            <c:dLbl>
              <c:idx val="1"/>
              <c:layout>
                <c:manualLayout>
                  <c:x val="-3.4448048412030474E-2"/>
                  <c:y val="-4.58767469754188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28A-458C-BA0B-8CD76B234446}"/>
                </c:ext>
              </c:extLst>
            </c:dLbl>
            <c:dLbl>
              <c:idx val="2"/>
              <c:layout>
                <c:manualLayout>
                  <c:x val="-3.4448048412030474E-2"/>
                  <c:y val="-4.2662405850809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28A-458C-BA0B-8CD76B234446}"/>
                </c:ext>
              </c:extLst>
            </c:dLbl>
            <c:dLbl>
              <c:idx val="3"/>
              <c:layout>
                <c:manualLayout>
                  <c:x val="-3.4448048412030509E-2"/>
                  <c:y val="-3.94480647262001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28A-458C-BA0B-8CD76B234446}"/>
                </c:ext>
              </c:extLst>
            </c:dLbl>
            <c:dLbl>
              <c:idx val="4"/>
              <c:layout>
                <c:manualLayout>
                  <c:x val="-3.4448048412030544E-2"/>
                  <c:y val="-4.58767469754189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28A-458C-BA0B-8CD76B234446}"/>
                </c:ext>
              </c:extLst>
            </c:dLbl>
            <c:dLbl>
              <c:idx val="5"/>
              <c:layout>
                <c:manualLayout>
                  <c:x val="-3.4448048412030544E-2"/>
                  <c:y val="-3.94480647262001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28A-458C-BA0B-8CD76B234446}"/>
                </c:ext>
              </c:extLst>
            </c:dLbl>
            <c:dLbl>
              <c:idx val="6"/>
              <c:layout>
                <c:manualLayout>
                  <c:x val="-3.4448048412030474E-2"/>
                  <c:y val="-3.94480647262001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28A-458C-BA0B-8CD76B234446}"/>
                </c:ext>
              </c:extLst>
            </c:dLbl>
            <c:dLbl>
              <c:idx val="7"/>
              <c:layout>
                <c:manualLayout>
                  <c:x val="-3.4448048412030474E-2"/>
                  <c:y val="-4.2662405850809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28A-458C-BA0B-8CD76B234446}"/>
                </c:ext>
              </c:extLst>
            </c:dLbl>
            <c:dLbl>
              <c:idx val="8"/>
              <c:layout>
                <c:manualLayout>
                  <c:x val="-3.4448048412030544E-2"/>
                  <c:y val="-3.94480647262001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28A-458C-BA0B-8CD76B234446}"/>
                </c:ext>
              </c:extLst>
            </c:dLbl>
            <c:dLbl>
              <c:idx val="9"/>
              <c:layout>
                <c:manualLayout>
                  <c:x val="-3.4448048412030474E-2"/>
                  <c:y val="-3.94480647262001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28A-458C-BA0B-8CD76B234446}"/>
                </c:ext>
              </c:extLst>
            </c:dLbl>
            <c:dLbl>
              <c:idx val="10"/>
              <c:layout>
                <c:manualLayout>
                  <c:x val="-3.4448048412030474E-2"/>
                  <c:y val="-4.2662405850809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28A-458C-BA0B-8CD76B234446}"/>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ysClr val="windowText" lastClr="000000">
                          <a:lumMod val="35000"/>
                          <a:lumOff val="65000"/>
                        </a:sysClr>
                      </a:solidFill>
                      <a:prstDash val="sysDash"/>
                      <a:round/>
                    </a:ln>
                    <a:effectLst/>
                  </c:spPr>
                </c15:leaderLines>
              </c:ext>
            </c:extLst>
          </c:dLbls>
          <c:cat>
            <c:numRef>
              <c:extLst>
                <c:ext xmlns:c15="http://schemas.microsoft.com/office/drawing/2012/chart" uri="{02D57815-91ED-43cb-92C2-25804820EDAC}">
                  <c15:fullRef>
                    <c15:sqref>q24_Fig!$B$34:$N$34</c15:sqref>
                  </c15:fullRef>
                </c:ext>
              </c:extLst>
              <c:f>q24_Fig!$B$34:$L$34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extLst>
                <c:ext xmlns:c15="http://schemas.microsoft.com/office/drawing/2012/chart" uri="{02D57815-91ED-43cb-92C2-25804820EDAC}">
                  <c15:fullRef>
                    <c15:sqref>q24_Fig!$B$35:$N$35</c15:sqref>
                  </c15:fullRef>
                </c:ext>
              </c:extLst>
              <c:f>q24_Fig!$B$35:$L$35</c:f>
              <c:numCache>
                <c:formatCode>#,##0\ "€"</c:formatCode>
                <c:ptCount val="11"/>
                <c:pt idx="0">
                  <c:v>3237.2320345794701</c:v>
                </c:pt>
                <c:pt idx="1">
                  <c:v>3225.2026519687684</c:v>
                </c:pt>
                <c:pt idx="2">
                  <c:v>3193.7647381385727</c:v>
                </c:pt>
                <c:pt idx="3">
                  <c:v>3206.8831967113601</c:v>
                </c:pt>
                <c:pt idx="4">
                  <c:v>3219.9590582602186</c:v>
                </c:pt>
                <c:pt idx="5">
                  <c:v>3248.7812157883491</c:v>
                </c:pt>
                <c:pt idx="6">
                  <c:v>3312.3170080029313</c:v>
                </c:pt>
                <c:pt idx="7">
                  <c:v>3378.2847015767798</c:v>
                </c:pt>
                <c:pt idx="8">
                  <c:v>3432.7647053305991</c:v>
                </c:pt>
                <c:pt idx="9">
                  <c:v>3525.7980851130819</c:v>
                </c:pt>
                <c:pt idx="10">
                  <c:v>3729.8200154454453</c:v>
                </c:pt>
              </c:numCache>
            </c:numRef>
          </c:val>
          <c:smooth val="0"/>
          <c:extLst>
            <c:ext xmlns:c15="http://schemas.microsoft.com/office/drawing/2012/chart" uri="{02D57815-91ED-43cb-92C2-25804820EDAC}">
              <c15:categoryFilterExceptions>
                <c15:categoryFilterException>
                  <c15:sqref>q24_Fig!$M$35</c15:sqref>
                  <c15:dLbl>
                    <c:idx val="10"/>
                    <c:layout>
                      <c:manualLayout>
                        <c:x val="-3.4448048412030474E-2"/>
                        <c:y val="-4.587674697541890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DF26-4AA2-8EE5-2F417B033ED5}"/>
                      </c:ext>
                    </c:extLst>
                  </c15:dLbl>
                </c15:categoryFilterException>
              </c15:categoryFilterExceptions>
            </c:ext>
            <c:ext xmlns:c16="http://schemas.microsoft.com/office/drawing/2014/chart" uri="{C3380CC4-5D6E-409C-BE32-E72D297353CC}">
              <c16:uniqueId val="{00000019-328A-458C-BA0B-8CD76B234446}"/>
            </c:ext>
          </c:extLst>
        </c:ser>
        <c:ser>
          <c:idx val="2"/>
          <c:order val="2"/>
          <c:tx>
            <c:strRef>
              <c:f>q24_Fig!$A$37</c:f>
              <c:strCache>
                <c:ptCount val="1"/>
                <c:pt idx="0">
                  <c:v>D5</c:v>
                </c:pt>
              </c:strCache>
            </c:strRef>
          </c:tx>
          <c:spPr>
            <a:ln w="28575" cap="rnd">
              <a:noFill/>
              <a:round/>
            </a:ln>
            <a:effectLst/>
          </c:spPr>
          <c:marker>
            <c:symbol val="dash"/>
            <c:size val="5"/>
            <c:spPr>
              <a:solidFill>
                <a:schemeClr val="accent3"/>
              </a:solidFill>
              <a:ln w="25400">
                <a:solidFill>
                  <a:schemeClr val="accent1"/>
                </a:solidFill>
              </a:ln>
              <a:effectLst/>
            </c:spPr>
          </c:marker>
          <c:dLbls>
            <c:dLbl>
              <c:idx val="0"/>
              <c:layout>
                <c:manualLayout>
                  <c:x val="-1.5038601762259513E-2"/>
                  <c:y val="-3.290674284381207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328A-458C-BA0B-8CD76B234446}"/>
                </c:ext>
              </c:extLst>
            </c:dLbl>
            <c:dLbl>
              <c:idx val="1"/>
              <c:layout>
                <c:manualLayout>
                  <c:x val="-2.2266218149659407E-2"/>
                  <c:y val="-4.2607806767563865E-2"/>
                </c:manualLayout>
              </c:layout>
              <c:spPr>
                <a:noFill/>
                <a:ln>
                  <a:noFill/>
                </a:ln>
                <a:effectLst/>
              </c:spPr>
              <c:txPr>
                <a:bodyPr rot="0" spcFirstLastPara="1" vertOverflow="ellipsis" vert="horz" wrap="none" lIns="38100" tIns="19050" rIns="38100" bIns="19050" anchor="ctr" anchorCtr="1">
                  <a:noAutofit/>
                </a:bodyPr>
                <a:lstStyle/>
                <a:p>
                  <a:pPr>
                    <a:defRPr sz="700" b="1" i="0" u="none" strike="noStrike" kern="1200" baseline="0">
                      <a:solidFill>
                        <a:schemeClr val="tx1"/>
                      </a:solidFill>
                      <a:latin typeface="+mn-lt"/>
                      <a:ea typeface="+mn-ea"/>
                      <a:cs typeface="+mn-cs"/>
                    </a:defRPr>
                  </a:pPr>
                  <a:endParaRPr lang="pt-PT"/>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B-328A-458C-BA0B-8CD76B234446}"/>
                </c:ext>
              </c:extLst>
            </c:dLbl>
            <c:dLbl>
              <c:idx val="2"/>
              <c:layout>
                <c:manualLayout>
                  <c:x val="-1.8863859092054406E-2"/>
                  <c:y val="-4.278879281798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28A-458C-BA0B-8CD76B234446}"/>
                </c:ext>
              </c:extLst>
            </c:dLbl>
            <c:dLbl>
              <c:idx val="3"/>
              <c:layout>
                <c:manualLayout>
                  <c:x val="-2.0660605735639714E-2"/>
                  <c:y val="-4.5999020248699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28A-458C-BA0B-8CD76B234446}"/>
                </c:ext>
              </c:extLst>
            </c:dLbl>
            <c:dLbl>
              <c:idx val="4"/>
              <c:layout>
                <c:manualLayout>
                  <c:x val="-1.8863859092054406E-2"/>
                  <c:y val="-4.5999020248699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28A-458C-BA0B-8CD76B234446}"/>
                </c:ext>
              </c:extLst>
            </c:dLbl>
            <c:dLbl>
              <c:idx val="5"/>
              <c:layout>
                <c:manualLayout>
                  <c:x val="-2.0660605735639714E-2"/>
                  <c:y val="-4.278879281798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28A-458C-BA0B-8CD76B234446}"/>
                </c:ext>
              </c:extLst>
            </c:dLbl>
            <c:dLbl>
              <c:idx val="6"/>
              <c:layout>
                <c:manualLayout>
                  <c:x val="-2.066060573563978E-2"/>
                  <c:y val="-4.27887928179883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328A-458C-BA0B-8CD76B234446}"/>
                </c:ext>
              </c:extLst>
            </c:dLbl>
            <c:dLbl>
              <c:idx val="7"/>
              <c:layout>
                <c:manualLayout>
                  <c:x val="-2.0660605735639714E-2"/>
                  <c:y val="-4.278879281798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28A-458C-BA0B-8CD76B234446}"/>
                </c:ext>
              </c:extLst>
            </c:dLbl>
            <c:dLbl>
              <c:idx val="8"/>
              <c:layout>
                <c:manualLayout>
                  <c:x val="-1.3246681980974843E-2"/>
                  <c:y val="-4.9209223083827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328A-458C-BA0B-8CD76B234446}"/>
                </c:ext>
              </c:extLst>
            </c:dLbl>
            <c:dLbl>
              <c:idx val="9"/>
              <c:layout>
                <c:manualLayout>
                  <c:x val="-1.7067112448469226E-2"/>
                  <c:y val="-4.599902024869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328A-458C-BA0B-8CD76B234446}"/>
                </c:ext>
              </c:extLst>
            </c:dLbl>
            <c:dLbl>
              <c:idx val="10"/>
              <c:layout>
                <c:manualLayout>
                  <c:x val="-1.5270365804883784E-2"/>
                  <c:y val="-4.5999020248699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328A-458C-BA0B-8CD76B234446}"/>
                </c:ext>
              </c:extLst>
            </c:dLbl>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ysClr val="windowText" lastClr="000000">
                          <a:lumMod val="35000"/>
                          <a:lumOff val="65000"/>
                        </a:sysClr>
                      </a:solidFill>
                      <a:prstDash val="sysDot"/>
                      <a:round/>
                    </a:ln>
                    <a:effectLst/>
                  </c:spPr>
                </c15:leaderLines>
              </c:ext>
            </c:extLst>
          </c:dLbls>
          <c:cat>
            <c:numRef>
              <c:extLst>
                <c:ext xmlns:c15="http://schemas.microsoft.com/office/drawing/2012/chart" uri="{02D57815-91ED-43cb-92C2-25804820EDAC}">
                  <c15:fullRef>
                    <c15:sqref>q24_Fig!$B$34:$N$34</c15:sqref>
                  </c15:fullRef>
                </c:ext>
              </c:extLst>
              <c:f>q24_Fig!$B$34:$L$34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extLst>
                <c:ext xmlns:c15="http://schemas.microsoft.com/office/drawing/2012/chart" uri="{02D57815-91ED-43cb-92C2-25804820EDAC}">
                  <c15:fullRef>
                    <c15:sqref>q24_Fig!$B$37:$N$37</c15:sqref>
                  </c15:fullRef>
                </c:ext>
              </c:extLst>
              <c:f>q24_Fig!$B$37:$L$37</c:f>
              <c:numCache>
                <c:formatCode>#,##0\ "€"</c:formatCode>
                <c:ptCount val="11"/>
                <c:pt idx="0">
                  <c:v>743.86513124293003</c:v>
                </c:pt>
                <c:pt idx="1">
                  <c:v>742.51328868929033</c:v>
                </c:pt>
                <c:pt idx="2">
                  <c:v>744.94285374240394</c:v>
                </c:pt>
                <c:pt idx="3">
                  <c:v>748.81502242445231</c:v>
                </c:pt>
                <c:pt idx="4">
                  <c:v>758.29326067808086</c:v>
                </c:pt>
                <c:pt idx="5">
                  <c:v>782.49168771165557</c:v>
                </c:pt>
                <c:pt idx="6">
                  <c:v>814.41363286402702</c:v>
                </c:pt>
                <c:pt idx="7">
                  <c:v>849.91984268052602</c:v>
                </c:pt>
                <c:pt idx="8">
                  <c:v>884.64735596917114</c:v>
                </c:pt>
                <c:pt idx="9">
                  <c:v>918.7463113528612</c:v>
                </c:pt>
                <c:pt idx="10">
                  <c:v>971.89205958477703</c:v>
                </c:pt>
              </c:numCache>
            </c:numRef>
          </c:val>
          <c:smooth val="0"/>
          <c:extLst>
            <c:ext xmlns:c15="http://schemas.microsoft.com/office/drawing/2012/chart" uri="{02D57815-91ED-43cb-92C2-25804820EDAC}">
              <c15:categoryFilterExceptions>
                <c15:categoryFilterException>
                  <c15:sqref>q24_Fig!$M$37</c15:sqref>
                  <c15:dLbl>
                    <c:idx val="10"/>
                    <c:layout>
                      <c:manualLayout>
                        <c:x val="-1.8863859092054406E-2"/>
                        <c:y val="-5.241947511012096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DF26-4AA2-8EE5-2F417B033ED5}"/>
                      </c:ext>
                    </c:extLst>
                  </c15:dLbl>
                </c15:categoryFilterException>
              </c15:categoryFilterExceptions>
            </c:ext>
            <c:ext xmlns:c16="http://schemas.microsoft.com/office/drawing/2014/chart" uri="{C3380CC4-5D6E-409C-BE32-E72D297353CC}">
              <c16:uniqueId val="{00000026-328A-458C-BA0B-8CD76B234446}"/>
            </c:ext>
          </c:extLst>
        </c:ser>
        <c:ser>
          <c:idx val="4"/>
          <c:order val="3"/>
          <c:tx>
            <c:strRef>
              <c:f>q24_Fig!$A$39</c:f>
              <c:strCache>
                <c:ptCount val="1"/>
                <c:pt idx="0">
                  <c:v>D1</c:v>
                </c:pt>
              </c:strCache>
            </c:strRef>
          </c:tx>
          <c:spPr>
            <a:ln w="28575" cap="rnd">
              <a:noFill/>
              <a:round/>
            </a:ln>
            <a:effectLst/>
          </c:spPr>
          <c:marker>
            <c:symbol val="dash"/>
            <c:size val="5"/>
            <c:spPr>
              <a:solidFill>
                <a:schemeClr val="accent5"/>
              </a:solidFill>
              <a:ln w="25400">
                <a:solidFill>
                  <a:schemeClr val="accent1"/>
                </a:solidFill>
              </a:ln>
              <a:effectLst/>
            </c:spPr>
          </c:marker>
          <c:dLbls>
            <c:dLbl>
              <c:idx val="0"/>
              <c:layout>
                <c:manualLayout>
                  <c:x val="-2.9006182440297939E-2"/>
                  <c:y val="4.1457002263129067E-2"/>
                </c:manualLayout>
              </c:layout>
              <c:spPr>
                <a:noFill/>
                <a:ln>
                  <a:noFill/>
                </a:ln>
                <a:effectLst/>
              </c:spPr>
              <c:txPr>
                <a:bodyPr rot="0" spcFirstLastPara="1" vertOverflow="ellipsis" horzOverflow="clip" vert="horz" wrap="square" lIns="38100" tIns="19050" rIns="38100" bIns="19050" anchor="ctr" anchorCtr="1">
                  <a:noAutofit/>
                </a:bodyPr>
                <a:lstStyle/>
                <a:p>
                  <a:pPr>
                    <a:defRPr sz="700" b="1" i="0" u="none" strike="noStrike" kern="1200" baseline="0">
                      <a:solidFill>
                        <a:schemeClr val="tx1"/>
                      </a:solidFill>
                      <a:latin typeface="+mn-lt"/>
                      <a:ea typeface="+mn-ea"/>
                      <a:cs typeface="+mn-cs"/>
                    </a:defRPr>
                  </a:pPr>
                  <a:endParaRPr lang="pt-PT"/>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7-328A-458C-BA0B-8CD76B234446}"/>
                </c:ext>
              </c:extLst>
            </c:dLbl>
            <c:dLbl>
              <c:idx val="1"/>
              <c:layout>
                <c:manualLayout>
                  <c:x val="-2.9561038073299333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8-328A-458C-BA0B-8CD76B234446}"/>
                </c:ext>
              </c:extLst>
            </c:dLbl>
            <c:dLbl>
              <c:idx val="2"/>
              <c:layout>
                <c:manualLayout>
                  <c:x val="-2.9561038073299368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9-328A-458C-BA0B-8CD76B234446}"/>
                </c:ext>
              </c:extLst>
            </c:dLbl>
            <c:dLbl>
              <c:idx val="3"/>
              <c:layout>
                <c:manualLayout>
                  <c:x val="-2.9561038073299333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A-328A-458C-BA0B-8CD76B234446}"/>
                </c:ext>
              </c:extLst>
            </c:dLbl>
            <c:dLbl>
              <c:idx val="4"/>
              <c:layout>
                <c:manualLayout>
                  <c:x val="-2.9561038073299399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B-328A-458C-BA0B-8CD76B234446}"/>
                </c:ext>
              </c:extLst>
            </c:dLbl>
            <c:dLbl>
              <c:idx val="5"/>
              <c:layout>
                <c:manualLayout>
                  <c:x val="-2.9561038073299333E-2"/>
                  <c:y val="4.2662405850809403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C-328A-458C-BA0B-8CD76B234446}"/>
                </c:ext>
              </c:extLst>
            </c:dLbl>
            <c:dLbl>
              <c:idx val="6"/>
              <c:layout>
                <c:manualLayout>
                  <c:x val="-2.9561038073299333E-2"/>
                  <c:y val="4.5876746975418776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D-328A-458C-BA0B-8CD76B234446}"/>
                </c:ext>
              </c:extLst>
            </c:dLbl>
            <c:dLbl>
              <c:idx val="7"/>
              <c:layout>
                <c:manualLayout>
                  <c:x val="-2.9561038073299399E-2"/>
                  <c:y val="4.2662405850809403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E-328A-458C-BA0B-8CD76B234446}"/>
                </c:ext>
              </c:extLst>
            </c:dLbl>
            <c:dLbl>
              <c:idx val="8"/>
              <c:layout>
                <c:manualLayout>
                  <c:x val="-2.9561038073299333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F-328A-458C-BA0B-8CD76B234446}"/>
                </c:ext>
              </c:extLst>
            </c:dLbl>
            <c:dLbl>
              <c:idx val="9"/>
              <c:layout>
                <c:manualLayout>
                  <c:x val="-2.9561038073299333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30-328A-458C-BA0B-8CD76B234446}"/>
                </c:ext>
              </c:extLst>
            </c:dLbl>
            <c:dLbl>
              <c:idx val="10"/>
              <c:layout>
                <c:manualLayout>
                  <c:x val="-2.9561038073299333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31-328A-458C-BA0B-8CD76B234446}"/>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mn-lt"/>
                    <a:ea typeface="+mn-ea"/>
                    <a:cs typeface="+mn-cs"/>
                  </a:defRPr>
                </a:pPr>
                <a:endParaRPr lang="pt-PT"/>
              </a:p>
            </c:txPr>
            <c:dLblPos val="b"/>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ysClr val="windowText" lastClr="000000">
                          <a:lumMod val="35000"/>
                          <a:lumOff val="65000"/>
                        </a:sysClr>
                      </a:solidFill>
                      <a:prstDash val="sysDash"/>
                      <a:round/>
                    </a:ln>
                    <a:effectLst/>
                  </c:spPr>
                </c15:leaderLines>
              </c:ext>
            </c:extLst>
          </c:dLbls>
          <c:cat>
            <c:numRef>
              <c:extLst>
                <c:ext xmlns:c15="http://schemas.microsoft.com/office/drawing/2012/chart" uri="{02D57815-91ED-43cb-92C2-25804820EDAC}">
                  <c15:fullRef>
                    <c15:sqref>q24_Fig!$B$34:$N$34</c15:sqref>
                  </c15:fullRef>
                </c:ext>
              </c:extLst>
              <c:f>q24_Fig!$B$34:$L$34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extLst>
                <c:ext xmlns:c15="http://schemas.microsoft.com/office/drawing/2012/chart" uri="{02D57815-91ED-43cb-92C2-25804820EDAC}">
                  <c15:fullRef>
                    <c15:sqref>q24_Fig!$B$39:$N$39</c15:sqref>
                  </c15:fullRef>
                </c:ext>
              </c:extLst>
              <c:f>q24_Fig!$B$39:$L$39</c:f>
              <c:numCache>
                <c:formatCode>#,##0\ "€"</c:formatCode>
                <c:ptCount val="11"/>
                <c:pt idx="0">
                  <c:v>502.07716596457396</c:v>
                </c:pt>
                <c:pt idx="1">
                  <c:v>502.40683714977052</c:v>
                </c:pt>
                <c:pt idx="2">
                  <c:v>517.55081553700325</c:v>
                </c:pt>
                <c:pt idx="3">
                  <c:v>518.95086292709823</c:v>
                </c:pt>
                <c:pt idx="4">
                  <c:v>541.0921528923551</c:v>
                </c:pt>
                <c:pt idx="5">
                  <c:v>568.88173063030297</c:v>
                </c:pt>
                <c:pt idx="6">
                  <c:v>593.05121495030642</c:v>
                </c:pt>
                <c:pt idx="7">
                  <c:v>615.49473382906092</c:v>
                </c:pt>
                <c:pt idx="8">
                  <c:v>651.89250749731025</c:v>
                </c:pt>
                <c:pt idx="9">
                  <c:v>684.62343435169566</c:v>
                </c:pt>
                <c:pt idx="10">
                  <c:v>726.78693402241106</c:v>
                </c:pt>
              </c:numCache>
            </c:numRef>
          </c:val>
          <c:smooth val="0"/>
          <c:extLst>
            <c:ext xmlns:c15="http://schemas.microsoft.com/office/drawing/2012/chart" uri="{02D57815-91ED-43cb-92C2-25804820EDAC}">
              <c15:categoryFilterExceptions>
                <c15:categoryFilterException>
                  <c15:sqref>q24_Fig!$M$39</c15:sqref>
                  <c15:dLbl>
                    <c:idx val="10"/>
                    <c:layout>
                      <c:manualLayout>
                        <c:x val="-2.9561038073299333E-2"/>
                        <c:y val="4.5876746975418894E-2"/>
                      </c:manualLayout>
                    </c:layout>
                    <c:dLblPos val="r"/>
                    <c:showLegendKey val="0"/>
                    <c:showVal val="1"/>
                    <c:showCatName val="0"/>
                    <c:showSerName val="0"/>
                    <c:showPercent val="0"/>
                    <c:showBubbleSize val="0"/>
                    <c:separator>
</c:separator>
                    <c:extLst>
                      <c:ext uri="{CE6537A1-D6FC-4f65-9D91-7224C49458BB}"/>
                      <c:ext xmlns:c16="http://schemas.microsoft.com/office/drawing/2014/chart" uri="{C3380CC4-5D6E-409C-BE32-E72D297353CC}">
                        <c16:uniqueId val="{00000003-DF26-4AA2-8EE5-2F417B033ED5}"/>
                      </c:ext>
                    </c:extLst>
                  </c15:dLbl>
                </c15:categoryFilterException>
              </c15:categoryFilterExceptions>
            </c:ext>
            <c:ext xmlns:c16="http://schemas.microsoft.com/office/drawing/2014/chart" uri="{C3380CC4-5D6E-409C-BE32-E72D297353CC}">
              <c16:uniqueId val="{00000033-328A-458C-BA0B-8CD76B234446}"/>
            </c:ext>
          </c:extLst>
        </c:ser>
        <c:ser>
          <c:idx val="1"/>
          <c:order val="4"/>
          <c:tx>
            <c:strRef>
              <c:f>q24_Fig!$A$36</c:f>
              <c:strCache>
                <c:ptCount val="1"/>
                <c:pt idx="0">
                  <c:v>D9</c:v>
                </c:pt>
              </c:strCache>
            </c:strRef>
          </c:tx>
          <c:spPr>
            <a:ln w="28575" cap="rnd">
              <a:noFill/>
              <a:round/>
            </a:ln>
            <a:effectLst/>
          </c:spPr>
          <c:marker>
            <c:symbol val="dash"/>
            <c:size val="5"/>
            <c:spPr>
              <a:solidFill>
                <a:schemeClr val="accent2"/>
              </a:solidFill>
              <a:ln w="25400">
                <a:solidFill>
                  <a:schemeClr val="accent1"/>
                </a:solidFill>
              </a:ln>
              <a:effectLst/>
            </c:spPr>
          </c:marker>
          <c:dLbls>
            <c:dLbl>
              <c:idx val="0"/>
              <c:layout>
                <c:manualLayout>
                  <c:x val="-1.2567743442033544E-2"/>
                  <c:y val="-3.855232928470712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34-328A-458C-BA0B-8CD76B234446}"/>
                </c:ext>
              </c:extLst>
            </c:dLbl>
            <c:dLbl>
              <c:idx val="1"/>
              <c:layout>
                <c:manualLayout>
                  <c:x val="-2.5338654910190255E-2"/>
                  <c:y val="-4.2607806767563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328A-458C-BA0B-8CD76B234446}"/>
                </c:ext>
              </c:extLst>
            </c:dLbl>
            <c:dLbl>
              <c:idx val="2"/>
              <c:layout>
                <c:manualLayout>
                  <c:x val="-2.7135401553775598E-2"/>
                  <c:y val="-3.9397579336853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328A-458C-BA0B-8CD76B234446}"/>
                </c:ext>
              </c:extLst>
            </c:dLbl>
            <c:dLbl>
              <c:idx val="3"/>
              <c:layout>
                <c:manualLayout>
                  <c:x val="-2.1745161623019604E-2"/>
                  <c:y val="-3.9397579336853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328A-458C-BA0B-8CD76B234446}"/>
                </c:ext>
              </c:extLst>
            </c:dLbl>
            <c:dLbl>
              <c:idx val="4"/>
              <c:layout>
                <c:manualLayout>
                  <c:x val="-2.7135401553775567E-2"/>
                  <c:y val="-4.2607806767563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328A-458C-BA0B-8CD76B234446}"/>
                </c:ext>
              </c:extLst>
            </c:dLbl>
            <c:dLbl>
              <c:idx val="5"/>
              <c:layout>
                <c:manualLayout>
                  <c:x val="-2.5338654910190255E-2"/>
                  <c:y val="-4.2607806767563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328A-458C-BA0B-8CD76B234446}"/>
                </c:ext>
              </c:extLst>
            </c:dLbl>
            <c:dLbl>
              <c:idx val="6"/>
              <c:layout>
                <c:manualLayout>
                  <c:x val="-2.5338654910190255E-2"/>
                  <c:y val="-3.9397579336853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328A-458C-BA0B-8CD76B234446}"/>
                </c:ext>
              </c:extLst>
            </c:dLbl>
            <c:dLbl>
              <c:idx val="7"/>
              <c:layout>
                <c:manualLayout>
                  <c:x val="-2.1745161623019635E-2"/>
                  <c:y val="-4.260780676756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328A-458C-BA0B-8CD76B234446}"/>
                </c:ext>
              </c:extLst>
            </c:dLbl>
            <c:dLbl>
              <c:idx val="8"/>
              <c:layout>
                <c:manualLayout>
                  <c:x val="-2.5338654910190189E-2"/>
                  <c:y val="-4.2607806767563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328A-458C-BA0B-8CD76B234446}"/>
                </c:ext>
              </c:extLst>
            </c:dLbl>
            <c:dLbl>
              <c:idx val="9"/>
              <c:layout>
                <c:manualLayout>
                  <c:x val="-2.5338654910190255E-2"/>
                  <c:y val="-4.260780676756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328A-458C-BA0B-8CD76B234446}"/>
                </c:ext>
              </c:extLst>
            </c:dLbl>
            <c:dLbl>
              <c:idx val="10"/>
              <c:layout>
                <c:manualLayout>
                  <c:x val="-2.7135401553775699E-2"/>
                  <c:y val="-4.260780676756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328A-458C-BA0B-8CD76B234446}"/>
                </c:ext>
              </c:extLst>
            </c:dLbl>
            <c:numFmt formatCode="#,##0\ &quot;€&quot;"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mn-lt"/>
                    <a:ea typeface="+mn-ea"/>
                    <a:cs typeface="+mn-cs"/>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ysClr val="windowText" lastClr="000000">
                          <a:lumMod val="35000"/>
                          <a:lumOff val="65000"/>
                        </a:sysClr>
                      </a:solidFill>
                      <a:prstDash val="sysDot"/>
                      <a:round/>
                    </a:ln>
                    <a:effectLst/>
                  </c:spPr>
                </c15:leaderLines>
              </c:ext>
            </c:extLst>
          </c:dLbls>
          <c:cat>
            <c:numRef>
              <c:extLst>
                <c:ext xmlns:c15="http://schemas.microsoft.com/office/drawing/2012/chart" uri="{02D57815-91ED-43cb-92C2-25804820EDAC}">
                  <c15:fullRef>
                    <c15:sqref>q24_Fig!$B$34:$N$34</c15:sqref>
                  </c15:fullRef>
                </c:ext>
              </c:extLst>
              <c:f>q24_Fig!$B$34:$L$34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extLst>
                <c:ext xmlns:c15="http://schemas.microsoft.com/office/drawing/2012/chart" uri="{02D57815-91ED-43cb-92C2-25804820EDAC}">
                  <c15:fullRef>
                    <c15:sqref>q24_Fig!$B$36:$N$36</c15:sqref>
                  </c15:fullRef>
                </c:ext>
              </c:extLst>
              <c:f>q24_Fig!$B$36:$L$36</c:f>
              <c:numCache>
                <c:formatCode>#,##0\ "€"</c:formatCode>
                <c:ptCount val="11"/>
                <c:pt idx="0">
                  <c:v>1607.4547352116317</c:v>
                </c:pt>
                <c:pt idx="1">
                  <c:v>1606.653907940198</c:v>
                </c:pt>
                <c:pt idx="2">
                  <c:v>1596.1907082886196</c:v>
                </c:pt>
                <c:pt idx="3">
                  <c:v>1593.9948363994288</c:v>
                </c:pt>
                <c:pt idx="4">
                  <c:v>1597.2320548345199</c:v>
                </c:pt>
                <c:pt idx="5">
                  <c:v>1617.012724232394</c:v>
                </c:pt>
                <c:pt idx="6">
                  <c:v>1663.9378675553935</c:v>
                </c:pt>
                <c:pt idx="7">
                  <c:v>1717.1863239114855</c:v>
                </c:pt>
                <c:pt idx="8">
                  <c:v>1773.488763007615</c:v>
                </c:pt>
                <c:pt idx="9">
                  <c:v>1827.6018119231919</c:v>
                </c:pt>
                <c:pt idx="10">
                  <c:v>1929.9838421200914</c:v>
                </c:pt>
              </c:numCache>
            </c:numRef>
          </c:val>
          <c:smooth val="0"/>
          <c:extLst>
            <c:ext xmlns:c15="http://schemas.microsoft.com/office/drawing/2012/chart" uri="{02D57815-91ED-43cb-92C2-25804820EDAC}">
              <c15:categoryFilterExceptions>
                <c15:categoryFilterException>
                  <c15:sqref>q24_Fig!$M$36</c15:sqref>
                  <c15:dLbl>
                    <c:idx val="10"/>
                    <c:layout>
                      <c:manualLayout>
                        <c:x val="-2.7135401553775567E-2"/>
                        <c:y val="-4.581803419827482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DF26-4AA2-8EE5-2F417B033ED5}"/>
                      </c:ext>
                    </c:extLst>
                  </c15:dLbl>
                </c15:categoryFilterException>
              </c15:categoryFilterExceptions>
            </c:ext>
            <c:ext xmlns:c16="http://schemas.microsoft.com/office/drawing/2014/chart" uri="{C3380CC4-5D6E-409C-BE32-E72D297353CC}">
              <c16:uniqueId val="{00000040-328A-458C-BA0B-8CD76B234446}"/>
            </c:ext>
          </c:extLst>
        </c:ser>
        <c:dLbls>
          <c:showLegendKey val="0"/>
          <c:showVal val="0"/>
          <c:showCatName val="0"/>
          <c:showSerName val="0"/>
          <c:showPercent val="0"/>
          <c:showBubbleSize val="0"/>
        </c:dLbls>
        <c:hiLowLines>
          <c:spPr>
            <a:ln w="9525" cap="flat" cmpd="sng" algn="ctr">
              <a:solidFill>
                <a:schemeClr val="tx1">
                  <a:lumMod val="75000"/>
                  <a:lumOff val="25000"/>
                  <a:alpha val="21000"/>
                </a:schemeClr>
              </a:solidFill>
              <a:round/>
            </a:ln>
            <a:effectLst/>
          </c:spPr>
        </c:hiLowLines>
        <c:upDownBars>
          <c:gapWidth val="219"/>
          <c:upBars>
            <c:spPr>
              <a:solidFill>
                <a:srgbClr val="4F81BD">
                  <a:lumMod val="60000"/>
                  <a:lumOff val="40000"/>
                  <a:alpha val="57000"/>
                </a:srgbClr>
              </a:solidFill>
              <a:ln w="34925">
                <a:solidFill>
                  <a:schemeClr val="tx2">
                    <a:lumMod val="20000"/>
                    <a:lumOff val="80000"/>
                  </a:schemeClr>
                </a:solidFill>
              </a:ln>
              <a:effectLst/>
              <a:scene3d>
                <a:camera prst="orthographicFront"/>
                <a:lightRig rig="threePt" dir="t"/>
              </a:scene3d>
              <a:sp3d>
                <a:bevelB w="133350"/>
              </a:sp3d>
            </c:spPr>
          </c:upBars>
          <c:downBars>
            <c:spPr>
              <a:solidFill>
                <a:schemeClr val="dk1">
                  <a:lumMod val="65000"/>
                  <a:lumOff val="35000"/>
                </a:schemeClr>
              </a:solidFill>
              <a:ln w="9525">
                <a:solidFill>
                  <a:schemeClr val="tx1">
                    <a:lumMod val="65000"/>
                    <a:lumOff val="35000"/>
                  </a:schemeClr>
                </a:solidFill>
              </a:ln>
              <a:effectLst/>
            </c:spPr>
          </c:downBars>
        </c:upDownBars>
        <c:marker val="1"/>
        <c:smooth val="0"/>
        <c:axId val="1516193728"/>
        <c:axId val="243822752"/>
      </c:lineChart>
      <c:catAx>
        <c:axId val="151619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243822752"/>
        <c:crosses val="autoZero"/>
        <c:auto val="1"/>
        <c:lblAlgn val="ctr"/>
        <c:lblOffset val="100"/>
        <c:noMultiLvlLbl val="0"/>
      </c:catAx>
      <c:valAx>
        <c:axId val="243822752"/>
        <c:scaling>
          <c:orientation val="minMax"/>
          <c:max val="4000"/>
        </c:scaling>
        <c:delete val="0"/>
        <c:axPos val="l"/>
        <c:majorGridlines>
          <c:spPr>
            <a:ln w="9525" cap="flat" cmpd="sng" algn="ctr">
              <a:noFill/>
              <a:round/>
            </a:ln>
            <a:effectLst/>
          </c:spPr>
        </c:majorGridlines>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516193728"/>
        <c:crosses val="autoZero"/>
        <c:crossBetween val="between"/>
        <c:majorUnit val="400"/>
        <c:minorUnit val="2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313135065521442E-2"/>
          <c:y val="0.12367253030827709"/>
          <c:w val="0.88699439169412064"/>
          <c:h val="0.6110622271565731"/>
        </c:manualLayout>
      </c:layout>
      <c:barChart>
        <c:barDir val="col"/>
        <c:grouping val="clustered"/>
        <c:varyColors val="0"/>
        <c:ser>
          <c:idx val="0"/>
          <c:order val="0"/>
          <c:tx>
            <c:strRef>
              <c:f>q24_Fig!$A$72</c:f>
              <c:strCache>
                <c:ptCount val="1"/>
                <c:pt idx="0">
                  <c:v>Ganho mensal mediano (euros)</c:v>
                </c:pt>
              </c:strCache>
            </c:strRef>
          </c:tx>
          <c:spPr>
            <a:solidFill>
              <a:schemeClr val="accent1"/>
            </a:solidFill>
            <a:ln>
              <a:noFill/>
            </a:ln>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E6-4012-BA50-08563B573A7D}"/>
                </c:ext>
              </c:extLst>
            </c:dLbl>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q24_Fig!$B$71:$L$71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q24_Fig!$B$72:$L$72</c:f>
              <c:numCache>
                <c:formatCode>#,##0\ "€"</c:formatCode>
                <c:ptCount val="11"/>
                <c:pt idx="0">
                  <c:v>783.62</c:v>
                </c:pt>
                <c:pt idx="1">
                  <c:v>785.45</c:v>
                </c:pt>
                <c:pt idx="2">
                  <c:v>786.99</c:v>
                </c:pt>
                <c:pt idx="3">
                  <c:v>790.03</c:v>
                </c:pt>
                <c:pt idx="4">
                  <c:v>800</c:v>
                </c:pt>
                <c:pt idx="5">
                  <c:v>822.95</c:v>
                </c:pt>
                <c:pt idx="6">
                  <c:v>854.8</c:v>
                </c:pt>
                <c:pt idx="7">
                  <c:v>892.01</c:v>
                </c:pt>
                <c:pt idx="8">
                  <c:v>926.14</c:v>
                </c:pt>
                <c:pt idx="9">
                  <c:v>962.2</c:v>
                </c:pt>
                <c:pt idx="10">
                  <c:v>1017.5</c:v>
                </c:pt>
              </c:numCache>
            </c:numRef>
          </c:val>
          <c:extLst>
            <c:ext xmlns:c16="http://schemas.microsoft.com/office/drawing/2014/chart" uri="{C3380CC4-5D6E-409C-BE32-E72D297353CC}">
              <c16:uniqueId val="{00000001-9AE6-4012-BA50-08563B573A7D}"/>
            </c:ext>
          </c:extLst>
        </c:ser>
        <c:ser>
          <c:idx val="1"/>
          <c:order val="1"/>
          <c:tx>
            <c:strRef>
              <c:f>q24_Fig!$A$73</c:f>
              <c:strCache>
                <c:ptCount val="1"/>
                <c:pt idx="0">
                  <c:v>Limiar de baixos salários (euros)</c:v>
                </c:pt>
              </c:strCache>
            </c:strRef>
          </c:tx>
          <c:spPr>
            <a:solidFill>
              <a:schemeClr val="accent1">
                <a:lumMod val="20000"/>
                <a:lumOff val="80000"/>
              </a:schemeClr>
            </a:solidFill>
            <a:ln>
              <a:noFill/>
            </a:ln>
            <a:effectLst/>
          </c:spPr>
          <c:invertIfNegative val="0"/>
          <c:dLbls>
            <c:spPr>
              <a:noFill/>
              <a:ln>
                <a:noFill/>
              </a:ln>
              <a:effectLst/>
            </c:spPr>
            <c:txPr>
              <a:bodyPr rot="-5400000" spcFirstLastPara="1" vertOverflow="ellipsis" wrap="square" anchor="ctr" anchorCtr="1"/>
              <a:lstStyle/>
              <a:p>
                <a:pPr>
                  <a:defRPr sz="700" b="0"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q24_Fig!$B$71:$L$71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q24_Fig!$B$73:$L$73</c:f>
              <c:numCache>
                <c:formatCode>#,##0\ "€"</c:formatCode>
                <c:ptCount val="11"/>
                <c:pt idx="0">
                  <c:v>522.41333333333353</c:v>
                </c:pt>
                <c:pt idx="1">
                  <c:v>523.63333333333355</c:v>
                </c:pt>
                <c:pt idx="2">
                  <c:v>524.6600000000002</c:v>
                </c:pt>
                <c:pt idx="3">
                  <c:v>526.68666666666684</c:v>
                </c:pt>
                <c:pt idx="4">
                  <c:v>533.3333333333336</c:v>
                </c:pt>
                <c:pt idx="5">
                  <c:v>548.63333333333355</c:v>
                </c:pt>
                <c:pt idx="6">
                  <c:v>569.8666666666669</c:v>
                </c:pt>
                <c:pt idx="7">
                  <c:v>594.67333333333363</c:v>
                </c:pt>
                <c:pt idx="8">
                  <c:v>617.42666666666696</c:v>
                </c:pt>
                <c:pt idx="9">
                  <c:v>641.46666666666704</c:v>
                </c:pt>
                <c:pt idx="10">
                  <c:v>678.3333333333336</c:v>
                </c:pt>
              </c:numCache>
            </c:numRef>
          </c:val>
          <c:extLst>
            <c:ext xmlns:c16="http://schemas.microsoft.com/office/drawing/2014/chart" uri="{C3380CC4-5D6E-409C-BE32-E72D297353CC}">
              <c16:uniqueId val="{00000002-9AE6-4012-BA50-08563B573A7D}"/>
            </c:ext>
          </c:extLst>
        </c:ser>
        <c:ser>
          <c:idx val="2"/>
          <c:order val="2"/>
          <c:tx>
            <c:strRef>
              <c:f>q24_Fig!$A$74</c:f>
              <c:strCache>
                <c:ptCount val="1"/>
                <c:pt idx="0">
                  <c:v>Retribuição Mínima Mensal Garantida (RMMG)</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q24_Fig!$B$71:$L$71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q24_Fig!$B$74:$L$74</c:f>
              <c:numCache>
                <c:formatCode>#,##0\ "€"</c:formatCode>
                <c:ptCount val="11"/>
                <c:pt idx="0">
                  <c:v>485</c:v>
                </c:pt>
                <c:pt idx="1">
                  <c:v>485</c:v>
                </c:pt>
                <c:pt idx="2">
                  <c:v>505</c:v>
                </c:pt>
                <c:pt idx="3">
                  <c:v>505</c:v>
                </c:pt>
                <c:pt idx="4">
                  <c:v>530</c:v>
                </c:pt>
                <c:pt idx="5">
                  <c:v>557</c:v>
                </c:pt>
                <c:pt idx="6">
                  <c:v>580</c:v>
                </c:pt>
                <c:pt idx="7">
                  <c:v>600</c:v>
                </c:pt>
                <c:pt idx="8">
                  <c:v>635</c:v>
                </c:pt>
                <c:pt idx="9">
                  <c:v>665</c:v>
                </c:pt>
                <c:pt idx="10">
                  <c:v>705</c:v>
                </c:pt>
              </c:numCache>
            </c:numRef>
          </c:val>
          <c:extLst>
            <c:ext xmlns:c16="http://schemas.microsoft.com/office/drawing/2014/chart" uri="{C3380CC4-5D6E-409C-BE32-E72D297353CC}">
              <c16:uniqueId val="{00000003-9AE6-4012-BA50-08563B573A7D}"/>
            </c:ext>
          </c:extLst>
        </c:ser>
        <c:dLbls>
          <c:showLegendKey val="0"/>
          <c:showVal val="0"/>
          <c:showCatName val="0"/>
          <c:showSerName val="0"/>
          <c:showPercent val="0"/>
          <c:showBubbleSize val="0"/>
        </c:dLbls>
        <c:gapWidth val="150"/>
        <c:axId val="1417600943"/>
        <c:axId val="1841201583"/>
      </c:barChart>
      <c:lineChart>
        <c:grouping val="standard"/>
        <c:varyColors val="0"/>
        <c:ser>
          <c:idx val="3"/>
          <c:order val="3"/>
          <c:tx>
            <c:strRef>
              <c:f>q24_Fig!$A$75</c:f>
              <c:strCache>
                <c:ptCount val="1"/>
                <c:pt idx="0">
                  <c:v>Incidência de baixos salários (%) - Total</c:v>
                </c:pt>
              </c:strCache>
            </c:strRef>
          </c:tx>
          <c:spPr>
            <a:ln w="15875" cap="rnd">
              <a:solidFill>
                <a:srgbClr val="C27535"/>
              </a:solidFill>
              <a:round/>
            </a:ln>
            <a:effectLst/>
          </c:spPr>
          <c:marker>
            <c:symbol val="none"/>
          </c:marker>
          <c:cat>
            <c:numRef>
              <c:f>q24_Fig!$B$71:$L$71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q24_Fig!$B$75:$L$75</c:f>
              <c:numCache>
                <c:formatCode>0.00</c:formatCode>
                <c:ptCount val="11"/>
                <c:pt idx="0">
                  <c:v>7.5149780973616878</c:v>
                </c:pt>
                <c:pt idx="1">
                  <c:v>7.5899584821246746</c:v>
                </c:pt>
                <c:pt idx="2">
                  <c:v>6.7784331021979378</c:v>
                </c:pt>
                <c:pt idx="3">
                  <c:v>6.7010658766299152</c:v>
                </c:pt>
                <c:pt idx="4">
                  <c:v>5.8595725070331515</c:v>
                </c:pt>
                <c:pt idx="5">
                  <c:v>0.18870110504830601</c:v>
                </c:pt>
                <c:pt idx="6">
                  <c:v>0.15593196668796241</c:v>
                </c:pt>
                <c:pt idx="7">
                  <c:v>0.17702920623544169</c:v>
                </c:pt>
                <c:pt idx="8">
                  <c:v>0.13543623776522351</c:v>
                </c:pt>
                <c:pt idx="9">
                  <c:v>0.10733465600651461</c:v>
                </c:pt>
                <c:pt idx="10">
                  <c:v>0.1091277147781147</c:v>
                </c:pt>
              </c:numCache>
            </c:numRef>
          </c:val>
          <c:smooth val="0"/>
          <c:extLst>
            <c:ext xmlns:c16="http://schemas.microsoft.com/office/drawing/2014/chart" uri="{C3380CC4-5D6E-409C-BE32-E72D297353CC}">
              <c16:uniqueId val="{00000004-9AE6-4012-BA50-08563B573A7D}"/>
            </c:ext>
          </c:extLst>
        </c:ser>
        <c:ser>
          <c:idx val="4"/>
          <c:order val="4"/>
          <c:tx>
            <c:strRef>
              <c:f>q24_Fig!$A$76</c:f>
              <c:strCache>
                <c:ptCount val="1"/>
                <c:pt idx="0">
                  <c:v>Incidência de baixos salários (%) - Homens</c:v>
                </c:pt>
              </c:strCache>
            </c:strRef>
          </c:tx>
          <c:spPr>
            <a:ln w="15875" cap="rnd">
              <a:solidFill>
                <a:srgbClr val="F8AA79"/>
              </a:solidFill>
              <a:round/>
            </a:ln>
            <a:effectLst/>
          </c:spPr>
          <c:marker>
            <c:symbol val="none"/>
          </c:marker>
          <c:cat>
            <c:numRef>
              <c:f>q24_Fig!$B$71:$L$71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q24_Fig!$B$76:$L$76</c:f>
              <c:numCache>
                <c:formatCode>0.00</c:formatCode>
                <c:ptCount val="11"/>
                <c:pt idx="0">
                  <c:v>5.3068902514943241</c:v>
                </c:pt>
                <c:pt idx="1">
                  <c:v>5.4625410099206819</c:v>
                </c:pt>
                <c:pt idx="2">
                  <c:v>5.0116386066610552</c:v>
                </c:pt>
                <c:pt idx="3">
                  <c:v>4.9913920624282868</c:v>
                </c:pt>
                <c:pt idx="4">
                  <c:v>4.3825424272112032</c:v>
                </c:pt>
                <c:pt idx="5">
                  <c:v>9.97587431783898E-2</c:v>
                </c:pt>
                <c:pt idx="6">
                  <c:v>8.4876832710097258E-2</c:v>
                </c:pt>
                <c:pt idx="7">
                  <c:v>9.2477839402294204E-2</c:v>
                </c:pt>
                <c:pt idx="8">
                  <c:v>7.2591368700993461E-2</c:v>
                </c:pt>
                <c:pt idx="9">
                  <c:v>6.9531474441978686E-2</c:v>
                </c:pt>
                <c:pt idx="10">
                  <c:v>7.5603829772818959E-2</c:v>
                </c:pt>
              </c:numCache>
            </c:numRef>
          </c:val>
          <c:smooth val="0"/>
          <c:extLst>
            <c:ext xmlns:c16="http://schemas.microsoft.com/office/drawing/2014/chart" uri="{C3380CC4-5D6E-409C-BE32-E72D297353CC}">
              <c16:uniqueId val="{00000005-9AE6-4012-BA50-08563B573A7D}"/>
            </c:ext>
          </c:extLst>
        </c:ser>
        <c:ser>
          <c:idx val="5"/>
          <c:order val="5"/>
          <c:tx>
            <c:strRef>
              <c:f>q24_Fig!$A$77</c:f>
              <c:strCache>
                <c:ptCount val="1"/>
                <c:pt idx="0">
                  <c:v>Incidência de baixos salários (%) - Mulheres</c:v>
                </c:pt>
              </c:strCache>
            </c:strRef>
          </c:tx>
          <c:spPr>
            <a:ln w="15875" cap="rnd">
              <a:solidFill>
                <a:srgbClr val="FACBB4"/>
              </a:solidFill>
              <a:round/>
            </a:ln>
            <a:effectLst/>
          </c:spPr>
          <c:marker>
            <c:symbol val="none"/>
          </c:marker>
          <c:cat>
            <c:numRef>
              <c:f>q24_Fig!$B$71:$L$71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q24_Fig!$B$77:$L$77</c:f>
              <c:numCache>
                <c:formatCode>0.00</c:formatCode>
                <c:ptCount val="11"/>
                <c:pt idx="0">
                  <c:v>10.129962165807491</c:v>
                </c:pt>
                <c:pt idx="1">
                  <c:v>10.091769518431597</c:v>
                </c:pt>
                <c:pt idx="2">
                  <c:v>8.8658933092592473</c:v>
                </c:pt>
                <c:pt idx="3">
                  <c:v>8.6985072156326364</c:v>
                </c:pt>
                <c:pt idx="4">
                  <c:v>7.5861333761159182</c:v>
                </c:pt>
                <c:pt idx="5">
                  <c:v>0.29381153693828099</c:v>
                </c:pt>
                <c:pt idx="6">
                  <c:v>0.24064075446492469</c:v>
                </c:pt>
                <c:pt idx="7">
                  <c:v>0.27847549937870203</c:v>
                </c:pt>
                <c:pt idx="8">
                  <c:v>0.21184683545470276</c:v>
                </c:pt>
                <c:pt idx="9">
                  <c:v>0.15274597653893823</c:v>
                </c:pt>
                <c:pt idx="10">
                  <c:v>0.1495489858796423</c:v>
                </c:pt>
              </c:numCache>
            </c:numRef>
          </c:val>
          <c:smooth val="0"/>
          <c:extLst>
            <c:ext xmlns:c16="http://schemas.microsoft.com/office/drawing/2014/chart" uri="{C3380CC4-5D6E-409C-BE32-E72D297353CC}">
              <c16:uniqueId val="{00000006-9AE6-4012-BA50-08563B573A7D}"/>
            </c:ext>
          </c:extLst>
        </c:ser>
        <c:dLbls>
          <c:showLegendKey val="0"/>
          <c:showVal val="0"/>
          <c:showCatName val="0"/>
          <c:showSerName val="0"/>
          <c:showPercent val="0"/>
          <c:showBubbleSize val="0"/>
        </c:dLbls>
        <c:marker val="1"/>
        <c:smooth val="0"/>
        <c:axId val="1043261775"/>
        <c:axId val="636615199"/>
      </c:lineChart>
      <c:catAx>
        <c:axId val="141760094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1F497D"/>
                </a:solidFill>
                <a:latin typeface="+mn-lt"/>
                <a:ea typeface="+mn-ea"/>
                <a:cs typeface="+mn-cs"/>
              </a:defRPr>
            </a:pPr>
            <a:endParaRPr lang="pt-PT"/>
          </a:p>
        </c:txPr>
        <c:crossAx val="1841201583"/>
        <c:crosses val="autoZero"/>
        <c:auto val="1"/>
        <c:lblAlgn val="ctr"/>
        <c:lblOffset val="100"/>
        <c:noMultiLvlLbl val="0"/>
      </c:catAx>
      <c:valAx>
        <c:axId val="1841201583"/>
        <c:scaling>
          <c:orientation val="minMax"/>
          <c:max val="1200"/>
          <c:min val="0"/>
        </c:scaling>
        <c:delete val="0"/>
        <c:axPos val="l"/>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pt-PT" b="1"/>
                  <a:t>Euros</a:t>
                </a:r>
              </a:p>
            </c:rich>
          </c:tx>
          <c:layout>
            <c:manualLayout>
              <c:xMode val="edge"/>
              <c:yMode val="edge"/>
              <c:x val="8.6198295445675723E-3"/>
              <c:y val="1.9930596498683378E-2"/>
            </c:manualLayout>
          </c:layout>
          <c:overlay val="0"/>
          <c:spPr>
            <a:solidFill>
              <a:sysClr val="window" lastClr="FFFFFF">
                <a:lumMod val="95000"/>
              </a:sysClr>
            </a:solid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title>
        <c:numFmt formatCode="#,##0\ &quot;€&quot;"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rgbClr val="1F497D"/>
                </a:solidFill>
                <a:latin typeface="+mn-lt"/>
                <a:ea typeface="+mn-ea"/>
                <a:cs typeface="+mn-cs"/>
              </a:defRPr>
            </a:pPr>
            <a:endParaRPr lang="pt-PT"/>
          </a:p>
        </c:txPr>
        <c:crossAx val="1417600943"/>
        <c:crosses val="autoZero"/>
        <c:crossBetween val="between"/>
        <c:majorUnit val="200"/>
      </c:valAx>
      <c:valAx>
        <c:axId val="636615199"/>
        <c:scaling>
          <c:orientation val="minMax"/>
          <c:max val="20"/>
        </c:scaling>
        <c:delete val="0"/>
        <c:axPos val="r"/>
        <c:title>
          <c:tx>
            <c:rich>
              <a:bodyPr rot="0" spcFirstLastPara="1" vertOverflow="ellipsis" wrap="square" anchor="ctr" anchorCtr="1"/>
              <a:lstStyle/>
              <a:p>
                <a:pPr>
                  <a:defRPr sz="700" b="1" i="0" u="none" strike="noStrike" kern="1200" baseline="0">
                    <a:solidFill>
                      <a:schemeClr val="tx1">
                        <a:lumMod val="65000"/>
                        <a:lumOff val="35000"/>
                      </a:schemeClr>
                    </a:solidFill>
                    <a:latin typeface="+mn-lt"/>
                    <a:ea typeface="+mn-ea"/>
                    <a:cs typeface="+mn-cs"/>
                  </a:defRPr>
                </a:pPr>
                <a:r>
                  <a:rPr lang="pt-PT" b="1"/>
                  <a:t>%</a:t>
                </a:r>
              </a:p>
            </c:rich>
          </c:tx>
          <c:layout>
            <c:manualLayout>
              <c:xMode val="edge"/>
              <c:yMode val="edge"/>
              <c:x val="0.95799269735280734"/>
              <c:y val="1.839825347767661E-2"/>
            </c:manualLayout>
          </c:layout>
          <c:overlay val="0"/>
          <c:spPr>
            <a:solidFill>
              <a:sysClr val="window" lastClr="FFFFFF">
                <a:lumMod val="95000"/>
              </a:sysClr>
            </a:solidFill>
            <a:ln>
              <a:noFill/>
            </a:ln>
            <a:effectLst/>
          </c:spPr>
          <c:txPr>
            <a:bodyPr rot="0" spcFirstLastPara="1" vertOverflow="ellipsis"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1043261775"/>
        <c:crosses val="max"/>
        <c:crossBetween val="between"/>
        <c:majorUnit val="2"/>
      </c:valAx>
      <c:catAx>
        <c:axId val="1043261775"/>
        <c:scaling>
          <c:orientation val="minMax"/>
        </c:scaling>
        <c:delete val="1"/>
        <c:axPos val="b"/>
        <c:numFmt formatCode="General" sourceLinked="1"/>
        <c:majorTickMark val="out"/>
        <c:minorTickMark val="none"/>
        <c:tickLblPos val="nextTo"/>
        <c:crossAx val="636615199"/>
        <c:crosses val="autoZero"/>
        <c:auto val="1"/>
        <c:lblAlgn val="ctr"/>
        <c:lblOffset val="100"/>
        <c:noMultiLvlLbl val="0"/>
      </c:cat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700"/>
      </a:pPr>
      <a:endParaRPr lang="pt-PT"/>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endParaRPr lang="pt-PT"/>
        </a:p>
      </c:txPr>
    </c:title>
    <c:autoTitleDeleted val="0"/>
    <c:plotArea>
      <c:layout>
        <c:manualLayout>
          <c:layoutTarget val="inner"/>
          <c:xMode val="edge"/>
          <c:yMode val="edge"/>
          <c:x val="5.6924250327103458E-2"/>
          <c:y val="3.567815386713024E-2"/>
          <c:w val="0.86584316547310392"/>
          <c:h val="0.92049561986569861"/>
        </c:manualLayout>
      </c:layout>
      <c:barChart>
        <c:barDir val="bar"/>
        <c:grouping val="clustered"/>
        <c:varyColors val="0"/>
        <c:ser>
          <c:idx val="0"/>
          <c:order val="0"/>
          <c:tx>
            <c:strRef>
              <c:f>q3_q6_q9_q12_q19_q27_Fig!$BA$19</c:f>
              <c:strCache>
                <c:ptCount val="1"/>
                <c:pt idx="0">
                  <c:v>Base</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layout>
                <c:manualLayout>
                  <c:x val="-0.35554527606770248"/>
                  <c:y val="2.2621082621082648E-2"/>
                </c:manualLayout>
              </c:layout>
              <c:numFmt formatCode="#,##0\ &quot;€&quot;" sourceLinked="0"/>
              <c:spPr>
                <a:noFill/>
                <a:ln>
                  <a:noFill/>
                </a:ln>
                <a:effectLst/>
              </c:spPr>
              <c:txPr>
                <a:bodyPr rot="0" spcFirstLastPara="1" vertOverflow="ellipsis" horzOverflow="clip" vert="horz" wrap="non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37972174314732537"/>
                      <c:h val="0.32394586894586896"/>
                    </c:manualLayout>
                  </c15:layout>
                </c:ext>
                <c:ext xmlns:c16="http://schemas.microsoft.com/office/drawing/2014/chart" uri="{C3380CC4-5D6E-409C-BE32-E72D297353CC}">
                  <c16:uniqueId val="{00000000-74C7-495F-872D-4C9FA90E437D}"/>
                </c:ext>
              </c:extLst>
            </c:dLbl>
            <c:numFmt formatCode="#,##0\ &quot;€&quot;" sourceLinked="0"/>
            <c:spPr>
              <a:noFill/>
              <a:ln>
                <a:noFill/>
              </a:ln>
              <a:effectLst/>
            </c:spPr>
            <c:txPr>
              <a:bodyPr rot="0" spcFirstLastPara="1" vertOverflow="overflow" horzOverflow="overflow" vert="horz" wrap="none" lIns="38100" tIns="19050" rIns="38100" bIns="19050" anchor="ctr" anchorCtr="1">
                <a:noAutofit/>
              </a:bodyPr>
              <a:lstStyle/>
              <a:p>
                <a:pPr>
                  <a:defRPr sz="6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q3_q6_q9_q12_q19_q27_Fig!$AZ$38</c:f>
              <c:strCache>
                <c:ptCount val="1"/>
                <c:pt idx="0">
                  <c:v>Continente</c:v>
                </c:pt>
              </c:strCache>
            </c:strRef>
          </c:cat>
          <c:val>
            <c:numRef>
              <c:f>q3_q6_q9_q12_q19_q27_Fig!$BA$38</c:f>
              <c:numCache>
                <c:formatCode>#,##0\ "€"</c:formatCode>
                <c:ptCount val="1"/>
                <c:pt idx="0">
                  <c:v>1143.44558285689</c:v>
                </c:pt>
              </c:numCache>
            </c:numRef>
          </c:val>
          <c:extLst>
            <c:ext xmlns:c16="http://schemas.microsoft.com/office/drawing/2014/chart" uri="{C3380CC4-5D6E-409C-BE32-E72D297353CC}">
              <c16:uniqueId val="{00000001-74C7-495F-872D-4C9FA90E437D}"/>
            </c:ext>
          </c:extLst>
        </c:ser>
        <c:ser>
          <c:idx val="1"/>
          <c:order val="1"/>
          <c:tx>
            <c:strRef>
              <c:f>q3_q6_q9_q12_q19_q27_Fig!$BB$19</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quot;€&quot;" sourceLinked="0"/>
              <c:spPr>
                <a:noFill/>
                <a:ln>
                  <a:noFill/>
                </a:ln>
                <a:effectLst/>
              </c:spPr>
              <c:txPr>
                <a:bodyPr rot="0" spcFirstLastPara="1" vertOverflow="ellipsis" horzOverflow="clip"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74C7-495F-872D-4C9FA90E437D}"/>
                </c:ext>
              </c:extLst>
            </c:dLbl>
            <c:numFmt formatCode="#,##0\ &quot;€&quot;" sourceLinked="0"/>
            <c:spPr>
              <a:noFill/>
              <a:ln>
                <a:noFill/>
              </a:ln>
              <a:effectLst/>
            </c:spPr>
            <c:txPr>
              <a:bodyPr rot="0" spcFirstLastPara="1" vertOverflow="overflow" horzOverflow="overflow" vert="horz" wrap="none" lIns="38100" tIns="19050" rIns="38100" bIns="19050" anchor="ctr" anchorCtr="1">
                <a:noAutofit/>
              </a:bodyPr>
              <a:lstStyle/>
              <a:p>
                <a:pPr>
                  <a:defRPr sz="600" b="0"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q3_q6_q9_q12_q19_q27_Fig!$AZ$38</c:f>
              <c:strCache>
                <c:ptCount val="1"/>
                <c:pt idx="0">
                  <c:v>Continente</c:v>
                </c:pt>
              </c:strCache>
            </c:strRef>
          </c:cat>
          <c:val>
            <c:numRef>
              <c:f>q3_q6_q9_q12_q19_q27_Fig!$BB$38</c:f>
              <c:numCache>
                <c:formatCode>#,##0\ "€"</c:formatCode>
                <c:ptCount val="1"/>
                <c:pt idx="0">
                  <c:v>1367.9952489883699</c:v>
                </c:pt>
              </c:numCache>
            </c:numRef>
          </c:val>
          <c:extLst>
            <c:ext xmlns:c16="http://schemas.microsoft.com/office/drawing/2014/chart" uri="{C3380CC4-5D6E-409C-BE32-E72D297353CC}">
              <c16:uniqueId val="{00000003-74C7-495F-872D-4C9FA90E437D}"/>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58601375008343493"/>
          <c:h val="0.61909228840533581"/>
        </c:manualLayout>
      </c:layout>
      <c:barChart>
        <c:barDir val="col"/>
        <c:grouping val="clustered"/>
        <c:varyColors val="0"/>
        <c:ser>
          <c:idx val="0"/>
          <c:order val="0"/>
          <c:tx>
            <c:strRef>
              <c:f>q3_q6_q9_q12_q19_q27_Fig!$S$22</c:f>
              <c:strCache>
                <c:ptCount val="1"/>
                <c:pt idx="0">
                  <c:v>Empresas</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3.9156548280025974E-2"/>
                  <c:y val="1.5162518104348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C3-4D61-97D6-049FCE50A9A0}"/>
                </c:ext>
              </c:extLst>
            </c:dLbl>
            <c:dLbl>
              <c:idx val="10"/>
              <c:layout>
                <c:manualLayout>
                  <c:x val="2.1382411301039447E-2"/>
                  <c:y val="7.05177001583077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C3-4D61-97D6-049FCE50A9A0}"/>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C3-4D61-97D6-049FCE50A9A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q3_q6_q9_q12_q19_q27_Fig!$T$21:$AD$21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q3_q6_q9_q12_q19_q27_Fig!$T$22:$AD$22</c:f>
              <c:numCache>
                <c:formatCode>#\ ###\ ##0</c:formatCode>
                <c:ptCount val="11"/>
                <c:pt idx="0">
                  <c:v>59928</c:v>
                </c:pt>
                <c:pt idx="1">
                  <c:v>59109</c:v>
                </c:pt>
                <c:pt idx="2">
                  <c:v>59911</c:v>
                </c:pt>
                <c:pt idx="3">
                  <c:v>60537</c:v>
                </c:pt>
                <c:pt idx="4">
                  <c:v>60939</c:v>
                </c:pt>
                <c:pt idx="5">
                  <c:v>61816</c:v>
                </c:pt>
                <c:pt idx="6">
                  <c:v>62991</c:v>
                </c:pt>
                <c:pt idx="7">
                  <c:v>61257</c:v>
                </c:pt>
                <c:pt idx="8">
                  <c:v>62466</c:v>
                </c:pt>
                <c:pt idx="9">
                  <c:v>60609</c:v>
                </c:pt>
                <c:pt idx="10" formatCode="#,##0">
                  <c:v>63924</c:v>
                </c:pt>
              </c:numCache>
            </c:numRef>
          </c:val>
          <c:extLst>
            <c:ext xmlns:c16="http://schemas.microsoft.com/office/drawing/2014/chart" uri="{C3380CC4-5D6E-409C-BE32-E72D297353CC}">
              <c16:uniqueId val="{00000003-D0C3-4D61-97D6-049FCE50A9A0}"/>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q3_q6_q9_q12_q19_q27_Fig!$S$23</c:f>
              <c:strCache>
                <c:ptCount val="1"/>
                <c:pt idx="0">
                  <c:v>Estabelecimentos</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D0C3-4D61-97D6-049FCE50A9A0}"/>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D0C3-4D61-97D6-049FCE50A9A0}"/>
              </c:ext>
            </c:extLst>
          </c:dPt>
          <c:dLbls>
            <c:dLbl>
              <c:idx val="0"/>
              <c:layout>
                <c:manualLayout>
                  <c:x val="2.8066432441944428E-2"/>
                  <c:y val="-5.9913435952709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0C3-4D61-97D6-049FCE50A9A0}"/>
                </c:ext>
              </c:extLst>
            </c:dLbl>
            <c:dLbl>
              <c:idx val="10"/>
              <c:layout>
                <c:manualLayout>
                  <c:x val="-8.8428567051686627E-2"/>
                  <c:y val="-6.8324732023237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0C3-4D61-97D6-049FCE50A9A0}"/>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0C3-4D61-97D6-049FCE50A9A0}"/>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q3_q6_q9_q12_q19_q27_Fig!$T$21:$AD$21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q3_q6_q9_q12_q19_q27_Fig!$T$23:$AD$23</c:f>
              <c:numCache>
                <c:formatCode>#\ ###\ ##0</c:formatCode>
                <c:ptCount val="11"/>
                <c:pt idx="0">
                  <c:v>72164</c:v>
                </c:pt>
                <c:pt idx="1">
                  <c:v>70961</c:v>
                </c:pt>
                <c:pt idx="2">
                  <c:v>71690</c:v>
                </c:pt>
                <c:pt idx="3">
                  <c:v>72246</c:v>
                </c:pt>
                <c:pt idx="4">
                  <c:v>72756</c:v>
                </c:pt>
                <c:pt idx="5">
                  <c:v>73389</c:v>
                </c:pt>
                <c:pt idx="6">
                  <c:v>74689</c:v>
                </c:pt>
                <c:pt idx="7">
                  <c:v>72677</c:v>
                </c:pt>
                <c:pt idx="8">
                  <c:v>73809</c:v>
                </c:pt>
                <c:pt idx="9">
                  <c:v>71616</c:v>
                </c:pt>
                <c:pt idx="10">
                  <c:v>75266</c:v>
                </c:pt>
              </c:numCache>
            </c:numRef>
          </c:val>
          <c:smooth val="0"/>
          <c:extLst>
            <c:ext xmlns:c16="http://schemas.microsoft.com/office/drawing/2014/chart" uri="{C3380CC4-5D6E-409C-BE32-E72D297353CC}">
              <c16:uniqueId val="{00000007-D0C3-4D61-97D6-049FCE50A9A0}"/>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88994062500000004"/>
          <c:w val="0.66415393518518528"/>
          <c:h val="7.919131944444443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480007681966582"/>
          <c:y val="3.567815386713024E-2"/>
          <c:w val="0.60796750997841242"/>
          <c:h val="0.92049561986569861"/>
        </c:manualLayout>
      </c:layout>
      <c:barChart>
        <c:barDir val="bar"/>
        <c:grouping val="clustered"/>
        <c:varyColors val="0"/>
        <c:ser>
          <c:idx val="0"/>
          <c:order val="0"/>
          <c:tx>
            <c:strRef>
              <c:f>q3_q6_q9_q12_q19_q27_Fig!$AM$19</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q3_q6_q9_q12_q19_q27_Fig!$AL$20:$AL$38</c15:sqref>
                  </c15:fullRef>
                </c:ext>
              </c:extLst>
              <c:f>q3_q6_q9_q12_q19_q27_Fig!$AL$20:$AL$37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extLst>
                <c:ext xmlns:c15="http://schemas.microsoft.com/office/drawing/2012/chart" uri="{02D57815-91ED-43cb-92C2-25804820EDAC}">
                  <c15:fullRef>
                    <c15:sqref>q3_q6_q9_q12_q19_q27_Fig!$AM$20:$AM$38</c15:sqref>
                  </c15:fullRef>
                </c:ext>
              </c:extLst>
              <c:f>q3_q6_q9_q12_q19_q27_Fig!$AM$20:$AM$37</c:f>
              <c:numCache>
                <c:formatCode>#,##0</c:formatCode>
                <c:ptCount val="18"/>
                <c:pt idx="0">
                  <c:v>19850</c:v>
                </c:pt>
                <c:pt idx="1">
                  <c:v>4593</c:v>
                </c:pt>
                <c:pt idx="2">
                  <c:v>28579</c:v>
                </c:pt>
                <c:pt idx="3">
                  <c:v>3640</c:v>
                </c:pt>
                <c:pt idx="4">
                  <c:v>4718</c:v>
                </c:pt>
                <c:pt idx="5">
                  <c:v>10273</c:v>
                </c:pt>
                <c:pt idx="6">
                  <c:v>5048</c:v>
                </c:pt>
                <c:pt idx="7">
                  <c:v>17066</c:v>
                </c:pt>
                <c:pt idx="8">
                  <c:v>4127</c:v>
                </c:pt>
                <c:pt idx="9">
                  <c:v>15824</c:v>
                </c:pt>
                <c:pt idx="10">
                  <c:v>63924</c:v>
                </c:pt>
                <c:pt idx="11">
                  <c:v>2877</c:v>
                </c:pt>
                <c:pt idx="12">
                  <c:v>53630</c:v>
                </c:pt>
                <c:pt idx="13">
                  <c:v>11687</c:v>
                </c:pt>
                <c:pt idx="14">
                  <c:v>16564</c:v>
                </c:pt>
                <c:pt idx="15">
                  <c:v>7227</c:v>
                </c:pt>
                <c:pt idx="16">
                  <c:v>5152</c:v>
                </c:pt>
                <c:pt idx="17">
                  <c:v>10081</c:v>
                </c:pt>
              </c:numCache>
            </c:numRef>
          </c:val>
          <c:extLst>
            <c:ext xmlns:c16="http://schemas.microsoft.com/office/drawing/2014/chart" uri="{C3380CC4-5D6E-409C-BE32-E72D297353CC}">
              <c16:uniqueId val="{00000000-6D2B-424E-BA1B-75F5787AF016}"/>
            </c:ext>
          </c:extLst>
        </c:ser>
        <c:ser>
          <c:idx val="1"/>
          <c:order val="1"/>
          <c:tx>
            <c:strRef>
              <c:f>q3_q6_q9_q12_q19_q27_Fig!$AN$19</c:f>
              <c:strCache>
                <c:ptCount val="1"/>
                <c:pt idx="0">
                  <c:v>Estabele-
cimentos</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q3_q6_q9_q12_q19_q27_Fig!$AL$20:$AL$38</c15:sqref>
                  </c15:fullRef>
                </c:ext>
              </c:extLst>
              <c:f>q3_q6_q9_q12_q19_q27_Fig!$AL$20:$AL$37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extLst>
                <c:ext xmlns:c15="http://schemas.microsoft.com/office/drawing/2012/chart" uri="{02D57815-91ED-43cb-92C2-25804820EDAC}">
                  <c15:fullRef>
                    <c15:sqref>q3_q6_q9_q12_q19_q27_Fig!$AN$20:$AN$38</c15:sqref>
                  </c15:fullRef>
                </c:ext>
              </c:extLst>
              <c:f>q3_q6_q9_q12_q19_q27_Fig!$AN$20:$AN$37</c:f>
              <c:numCache>
                <c:formatCode>#,##0</c:formatCode>
                <c:ptCount val="18"/>
                <c:pt idx="0">
                  <c:v>22628</c:v>
                </c:pt>
                <c:pt idx="1">
                  <c:v>5312</c:v>
                </c:pt>
                <c:pt idx="2">
                  <c:v>31910</c:v>
                </c:pt>
                <c:pt idx="3">
                  <c:v>4210</c:v>
                </c:pt>
                <c:pt idx="4">
                  <c:v>5592</c:v>
                </c:pt>
                <c:pt idx="5">
                  <c:v>12457</c:v>
                </c:pt>
                <c:pt idx="6">
                  <c:v>6051</c:v>
                </c:pt>
                <c:pt idx="7">
                  <c:v>20699</c:v>
                </c:pt>
                <c:pt idx="8">
                  <c:v>4760</c:v>
                </c:pt>
                <c:pt idx="9">
                  <c:v>18449</c:v>
                </c:pt>
                <c:pt idx="10">
                  <c:v>75266</c:v>
                </c:pt>
                <c:pt idx="11">
                  <c:v>3433</c:v>
                </c:pt>
                <c:pt idx="12">
                  <c:v>61907</c:v>
                </c:pt>
                <c:pt idx="13">
                  <c:v>13899</c:v>
                </c:pt>
                <c:pt idx="14">
                  <c:v>20105</c:v>
                </c:pt>
                <c:pt idx="15">
                  <c:v>8261</c:v>
                </c:pt>
                <c:pt idx="16">
                  <c:v>6063</c:v>
                </c:pt>
                <c:pt idx="17">
                  <c:v>11681</c:v>
                </c:pt>
              </c:numCache>
            </c:numRef>
          </c:val>
          <c:extLst>
            <c:ext xmlns:c16="http://schemas.microsoft.com/office/drawing/2014/chart" uri="{C3380CC4-5D6E-409C-BE32-E72D297353CC}">
              <c16:uniqueId val="{00000001-6D2B-424E-BA1B-75F5787AF016}"/>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legend>
      <c:legendPos val="b"/>
      <c:layout>
        <c:manualLayout>
          <c:xMode val="edge"/>
          <c:yMode val="edge"/>
          <c:x val="0.59894841213051209"/>
          <c:y val="0.8958285000206182"/>
          <c:w val="0.29038922336032225"/>
          <c:h val="7.684796893293005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59894576291867485"/>
          <c:h val="0.61909228840533581"/>
        </c:manualLayout>
      </c:layout>
      <c:barChart>
        <c:barDir val="col"/>
        <c:grouping val="clustered"/>
        <c:varyColors val="0"/>
        <c:ser>
          <c:idx val="0"/>
          <c:order val="0"/>
          <c:tx>
            <c:strRef>
              <c:f>q3_q6_q9_q12_q19_q27_Fig!$S$62</c:f>
              <c:strCache>
                <c:ptCount val="1"/>
                <c:pt idx="0">
                  <c:v>Pessoas ao serviço</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8.4266266327603992E-2"/>
                  <c:y val="-4.2501465984511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F9-4298-81D7-A53EFE6A7603}"/>
                </c:ext>
              </c:extLst>
            </c:dLbl>
            <c:dLbl>
              <c:idx val="10"/>
              <c:layout>
                <c:manualLayout>
                  <c:x val="3.2564212067598075E-2"/>
                  <c:y val="-1.3277644918993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F9-4298-81D7-A53EFE6A7603}"/>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F9-4298-81D7-A53EFE6A760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q3_q6_q9_q12_q19_q27_Fig!$T$61:$AD$61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q3_q6_q9_q12_q19_q27_Fig!$T$62:$AD$62</c:f>
              <c:numCache>
                <c:formatCode>#\ ###\ ##0</c:formatCode>
                <c:ptCount val="11"/>
                <c:pt idx="0">
                  <c:v>737138</c:v>
                </c:pt>
                <c:pt idx="1">
                  <c:v>739291</c:v>
                </c:pt>
                <c:pt idx="2">
                  <c:v>764524</c:v>
                </c:pt>
                <c:pt idx="3">
                  <c:v>780947</c:v>
                </c:pt>
                <c:pt idx="4">
                  <c:v>817508</c:v>
                </c:pt>
                <c:pt idx="5">
                  <c:v>847011</c:v>
                </c:pt>
                <c:pt idx="6">
                  <c:v>886123</c:v>
                </c:pt>
                <c:pt idx="7">
                  <c:v>905022</c:v>
                </c:pt>
                <c:pt idx="8">
                  <c:v>895425</c:v>
                </c:pt>
                <c:pt idx="9">
                  <c:v>900307</c:v>
                </c:pt>
                <c:pt idx="10">
                  <c:v>981424</c:v>
                </c:pt>
              </c:numCache>
            </c:numRef>
          </c:val>
          <c:extLst>
            <c:ext xmlns:c16="http://schemas.microsoft.com/office/drawing/2014/chart" uri="{C3380CC4-5D6E-409C-BE32-E72D297353CC}">
              <c16:uniqueId val="{00000003-04F9-4298-81D7-A53EFE6A7603}"/>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q3_q6_q9_q12_q19_q27_Fig!$S$63</c:f>
              <c:strCache>
                <c:ptCount val="1"/>
                <c:pt idx="0">
                  <c:v>TCO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04F9-4298-81D7-A53EFE6A7603}"/>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04F9-4298-81D7-A53EFE6A7603}"/>
              </c:ext>
            </c:extLst>
          </c:dPt>
          <c:dLbls>
            <c:dLbl>
              <c:idx val="0"/>
              <c:layout>
                <c:manualLayout>
                  <c:x val="2.3703935185185186E-2"/>
                  <c:y val="-5.57400793650793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F9-4298-81D7-A53EFE6A7603}"/>
                </c:ext>
              </c:extLst>
            </c:dLbl>
            <c:dLbl>
              <c:idx val="10"/>
              <c:layout>
                <c:manualLayout>
                  <c:x val="-0.18669245317552327"/>
                  <c:y val="-0.108327326619286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4F9-4298-81D7-A53EFE6A7603}"/>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4F9-4298-81D7-A53EFE6A7603}"/>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q3_q6_q9_q12_q19_q27_Fig!$T$61:$AD$61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q3_q6_q9_q12_q19_q27_Fig!$T$63:$AD$63</c:f>
              <c:numCache>
                <c:formatCode>#\ ###\ ##0</c:formatCode>
                <c:ptCount val="11"/>
                <c:pt idx="0">
                  <c:v>696796</c:v>
                </c:pt>
                <c:pt idx="1">
                  <c:v>699433</c:v>
                </c:pt>
                <c:pt idx="2">
                  <c:v>722854</c:v>
                </c:pt>
                <c:pt idx="3">
                  <c:v>739126</c:v>
                </c:pt>
                <c:pt idx="4">
                  <c:v>776535</c:v>
                </c:pt>
                <c:pt idx="5">
                  <c:v>805619</c:v>
                </c:pt>
                <c:pt idx="6">
                  <c:v>843599</c:v>
                </c:pt>
                <c:pt idx="7">
                  <c:v>863493</c:v>
                </c:pt>
                <c:pt idx="8">
                  <c:v>853268</c:v>
                </c:pt>
                <c:pt idx="9">
                  <c:v>859051</c:v>
                </c:pt>
                <c:pt idx="10">
                  <c:v>937531</c:v>
                </c:pt>
              </c:numCache>
            </c:numRef>
          </c:val>
          <c:smooth val="0"/>
          <c:extLst>
            <c:ext xmlns:c16="http://schemas.microsoft.com/office/drawing/2014/chart" uri="{C3380CC4-5D6E-409C-BE32-E72D297353CC}">
              <c16:uniqueId val="{00000007-04F9-4298-81D7-A53EFE6A7603}"/>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88764639535528711"/>
          <c:w val="0.62299652777777781"/>
          <c:h val="8.1485416666666671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58909629306003075"/>
          <c:h val="0.61909228840533581"/>
        </c:manualLayout>
      </c:layout>
      <c:barChart>
        <c:barDir val="col"/>
        <c:grouping val="clustered"/>
        <c:varyColors val="0"/>
        <c:ser>
          <c:idx val="0"/>
          <c:order val="0"/>
          <c:tx>
            <c:strRef>
              <c:f>q3_q6_q9_q12_q19_q27_Fig!$S$102</c:f>
              <c:strCache>
                <c:ptCount val="1"/>
                <c:pt idx="0">
                  <c:v>Base</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chemeClr val="accent1">
                  <a:shade val="76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0-4CF7-45B9-B770-F1F62AA7BE34}"/>
              </c:ext>
            </c:extLst>
          </c:dPt>
          <c:dLbls>
            <c:dLbl>
              <c:idx val="0"/>
              <c:layout>
                <c:manualLayout>
                  <c:x val="5.4788924690077005E-2"/>
                  <c:y val="-8.2851332325181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F7-45B9-B770-F1F62AA7BE34}"/>
                </c:ext>
              </c:extLst>
            </c:dLbl>
            <c:dLbl>
              <c:idx val="10"/>
              <c:layout>
                <c:manualLayout>
                  <c:x val="-9.5602764579882163E-2"/>
                  <c:y val="-4.8872433992108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F7-45B9-B770-F1F62AA7BE34}"/>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F7-45B9-B770-F1F62AA7BE34}"/>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q3_q6_q9_q12_q19_q27_Fig!$T$101:$AD$101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q3_q6_q9_q12_q19_q27_Fig!$T$102:$AD$102</c:f>
              <c:numCache>
                <c:formatCode>#,##0.00</c:formatCode>
                <c:ptCount val="11"/>
                <c:pt idx="0">
                  <c:v>1167.6580160847802</c:v>
                </c:pt>
                <c:pt idx="1">
                  <c:v>1160.86936374842</c:v>
                </c:pt>
                <c:pt idx="2">
                  <c:v>1150.4698448745501</c:v>
                </c:pt>
                <c:pt idx="3">
                  <c:v>1151.63595646608</c:v>
                </c:pt>
                <c:pt idx="4">
                  <c:v>1155.93299539847</c:v>
                </c:pt>
                <c:pt idx="5">
                  <c:v>1171.8790741674702</c:v>
                </c:pt>
                <c:pt idx="6">
                  <c:v>1194.2196335718302</c:v>
                </c:pt>
                <c:pt idx="7">
                  <c:v>1230.1318842360802</c:v>
                </c:pt>
                <c:pt idx="8">
                  <c:v>1266.69296096934</c:v>
                </c:pt>
                <c:pt idx="9">
                  <c:v>1312.06898770012</c:v>
                </c:pt>
                <c:pt idx="10">
                  <c:v>1388.3698339134201</c:v>
                </c:pt>
              </c:numCache>
            </c:numRef>
          </c:val>
          <c:extLst>
            <c:ext xmlns:c16="http://schemas.microsoft.com/office/drawing/2014/chart" uri="{C3380CC4-5D6E-409C-BE32-E72D297353CC}">
              <c16:uniqueId val="{00000003-4CF7-45B9-B770-F1F62AA7BE34}"/>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q3_q6_q9_q12_q19_q27_Fig!$S$103</c:f>
              <c:strCache>
                <c:ptCount val="1"/>
                <c:pt idx="0">
                  <c:v>Ganho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4CF7-45B9-B770-F1F62AA7BE34}"/>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4CF7-45B9-B770-F1F62AA7BE34}"/>
              </c:ext>
            </c:extLst>
          </c:dPt>
          <c:dLbls>
            <c:dLbl>
              <c:idx val="0"/>
              <c:layout>
                <c:manualLayout>
                  <c:x val="2.2241993710124357E-2"/>
                  <c:y val="-0.120134169866146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F7-45B9-B770-F1F62AA7BE34}"/>
                </c:ext>
              </c:extLst>
            </c:dLbl>
            <c:dLbl>
              <c:idx val="10"/>
              <c:layout>
                <c:manualLayout>
                  <c:x val="-0.22687549822754238"/>
                  <c:y val="-7.9306513723648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F7-45B9-B770-F1F62AA7BE34}"/>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F7-45B9-B770-F1F62AA7BE34}"/>
                </c:ext>
              </c:extLst>
            </c:dLbl>
            <c:numFmt formatCode="#,##0.00\ &quot;€&quot;"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q3_q6_q9_q12_q19_q27_Fig!$T$101:$AD$101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q3_q6_q9_q12_q19_q27_Fig!$T$103:$AD$103</c:f>
              <c:numCache>
                <c:formatCode>#,##0.00</c:formatCode>
                <c:ptCount val="11"/>
                <c:pt idx="0">
                  <c:v>1405.9388575032701</c:v>
                </c:pt>
                <c:pt idx="1">
                  <c:v>1399.09217671998</c:v>
                </c:pt>
                <c:pt idx="2">
                  <c:v>1392.4169824671101</c:v>
                </c:pt>
                <c:pt idx="3">
                  <c:v>1391.1672518277201</c:v>
                </c:pt>
                <c:pt idx="4">
                  <c:v>1395.7455929932601</c:v>
                </c:pt>
                <c:pt idx="5">
                  <c:v>1416.5629019995702</c:v>
                </c:pt>
                <c:pt idx="6">
                  <c:v>1449.4349569758201</c:v>
                </c:pt>
                <c:pt idx="7">
                  <c:v>1487.75002061441</c:v>
                </c:pt>
                <c:pt idx="8">
                  <c:v>1526.7734244358101</c:v>
                </c:pt>
                <c:pt idx="9">
                  <c:v>1576.1486947511598</c:v>
                </c:pt>
                <c:pt idx="10">
                  <c:v>1668.91834858224</c:v>
                </c:pt>
              </c:numCache>
            </c:numRef>
          </c:val>
          <c:smooth val="0"/>
          <c:extLst>
            <c:ext xmlns:c16="http://schemas.microsoft.com/office/drawing/2014/chart" uri="{C3380CC4-5D6E-409C-BE32-E72D297353CC}">
              <c16:uniqueId val="{00000007-4CF7-45B9-B770-F1F62AA7BE34}"/>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1800"/>
          <c:min val="0"/>
        </c:scaling>
        <c:delete val="0"/>
        <c:axPos val="l"/>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88112118055555555"/>
          <c:w val="0.49070486111111111"/>
          <c:h val="8.360104166666665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pt-PT" sz="900">
                <a:solidFill>
                  <a:schemeClr val="tx2">
                    <a:lumMod val="75000"/>
                  </a:schemeClr>
                </a:solidFill>
              </a:rPr>
              <a:t>...por dimensão</a:t>
            </a:r>
          </a:p>
        </c:rich>
      </c:tx>
      <c:layout>
        <c:manualLayout>
          <c:xMode val="edge"/>
          <c:yMode val="edge"/>
          <c:x val="0.69405849673202613"/>
          <c:y val="1.9544901065449011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pt-PT"/>
        </a:p>
      </c:txPr>
    </c:title>
    <c:autoTitleDeleted val="0"/>
    <c:plotArea>
      <c:layout>
        <c:manualLayout>
          <c:layoutTarget val="inner"/>
          <c:xMode val="edge"/>
          <c:yMode val="edge"/>
          <c:x val="0.14150043257940922"/>
          <c:y val="0.11372189638318671"/>
          <c:w val="0.81533432208626866"/>
          <c:h val="0.69414711632453563"/>
        </c:manualLayout>
      </c:layout>
      <c:lineChart>
        <c:grouping val="standard"/>
        <c:varyColors val="0"/>
        <c:ser>
          <c:idx val="0"/>
          <c:order val="0"/>
          <c:tx>
            <c:strRef>
              <c:f>q1_q2_q4_q5_Fig!$R$31</c:f>
              <c:strCache>
                <c:ptCount val="1"/>
                <c:pt idx="0">
                  <c:v>Micro (1-9 pessoas)</c:v>
                </c:pt>
              </c:strCache>
            </c:strRef>
          </c:tx>
          <c:spPr>
            <a:ln w="25400" cap="rnd">
              <a:solidFill>
                <a:srgbClr val="3C1692"/>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45CE-43A9-93F2-729F247558C2}"/>
                </c:ext>
              </c:extLst>
            </c:dLbl>
            <c:dLbl>
              <c:idx val="1"/>
              <c:delete val="1"/>
              <c:extLst>
                <c:ext xmlns:c15="http://schemas.microsoft.com/office/drawing/2012/chart" uri="{CE6537A1-D6FC-4f65-9D91-7224C49458BB}"/>
                <c:ext xmlns:c16="http://schemas.microsoft.com/office/drawing/2014/chart" uri="{C3380CC4-5D6E-409C-BE32-E72D297353CC}">
                  <c16:uniqueId val="{00000001-45CE-43A9-93F2-729F247558C2}"/>
                </c:ext>
              </c:extLst>
            </c:dLbl>
            <c:dLbl>
              <c:idx val="2"/>
              <c:delete val="1"/>
              <c:extLst>
                <c:ext xmlns:c15="http://schemas.microsoft.com/office/drawing/2012/chart" uri="{CE6537A1-D6FC-4f65-9D91-7224C49458BB}"/>
                <c:ext xmlns:c16="http://schemas.microsoft.com/office/drawing/2014/chart" uri="{C3380CC4-5D6E-409C-BE32-E72D297353CC}">
                  <c16:uniqueId val="{00000002-45CE-43A9-93F2-729F247558C2}"/>
                </c:ext>
              </c:extLst>
            </c:dLbl>
            <c:dLbl>
              <c:idx val="3"/>
              <c:layout>
                <c:manualLayout>
                  <c:x val="0.22531828099800777"/>
                  <c:y val="0.10212761394868422"/>
                </c:manualLayout>
              </c:layout>
              <c:tx>
                <c:rich>
                  <a:bodyPr/>
                  <a:lstStyle/>
                  <a:p>
                    <a:fld id="{7AE942E9-FA11-48D9-B659-61D94B19015C}" type="SERIESNAME">
                      <a:rPr lang="en-US">
                        <a:solidFill>
                          <a:srgbClr val="3C1692"/>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45CE-43A9-93F2-729F247558C2}"/>
                </c:ext>
              </c:extLst>
            </c:dLbl>
            <c:dLbl>
              <c:idx val="4"/>
              <c:delete val="1"/>
              <c:extLst>
                <c:ext xmlns:c15="http://schemas.microsoft.com/office/drawing/2012/chart" uri="{CE6537A1-D6FC-4f65-9D91-7224C49458BB}"/>
                <c:ext xmlns:c16="http://schemas.microsoft.com/office/drawing/2014/chart" uri="{C3380CC4-5D6E-409C-BE32-E72D297353CC}">
                  <c16:uniqueId val="{00000004-45CE-43A9-93F2-729F247558C2}"/>
                </c:ext>
              </c:extLst>
            </c:dLbl>
            <c:dLbl>
              <c:idx val="5"/>
              <c:delete val="1"/>
              <c:extLst>
                <c:ext xmlns:c15="http://schemas.microsoft.com/office/drawing/2012/chart" uri="{CE6537A1-D6FC-4f65-9D91-7224C49458BB}"/>
                <c:ext xmlns:c16="http://schemas.microsoft.com/office/drawing/2014/chart" uri="{C3380CC4-5D6E-409C-BE32-E72D297353CC}">
                  <c16:uniqueId val="{00000005-45CE-43A9-93F2-729F247558C2}"/>
                </c:ext>
              </c:extLst>
            </c:dLbl>
            <c:dLbl>
              <c:idx val="6"/>
              <c:delete val="1"/>
              <c:extLst>
                <c:ext xmlns:c15="http://schemas.microsoft.com/office/drawing/2012/chart" uri="{CE6537A1-D6FC-4f65-9D91-7224C49458BB}"/>
                <c:ext xmlns:c16="http://schemas.microsoft.com/office/drawing/2014/chart" uri="{C3380CC4-5D6E-409C-BE32-E72D297353CC}">
                  <c16:uniqueId val="{00000006-45CE-43A9-93F2-729F247558C2}"/>
                </c:ext>
              </c:extLst>
            </c:dLbl>
            <c:dLbl>
              <c:idx val="7"/>
              <c:delete val="1"/>
              <c:extLst>
                <c:ext xmlns:c15="http://schemas.microsoft.com/office/drawing/2012/chart" uri="{CE6537A1-D6FC-4f65-9D91-7224C49458BB}"/>
                <c:ext xmlns:c16="http://schemas.microsoft.com/office/drawing/2014/chart" uri="{C3380CC4-5D6E-409C-BE32-E72D297353CC}">
                  <c16:uniqueId val="{00000007-45CE-43A9-93F2-729F247558C2}"/>
                </c:ext>
              </c:extLst>
            </c:dLbl>
            <c:dLbl>
              <c:idx val="8"/>
              <c:delete val="1"/>
              <c:extLst>
                <c:ext xmlns:c15="http://schemas.microsoft.com/office/drawing/2012/chart" uri="{CE6537A1-D6FC-4f65-9D91-7224C49458BB}"/>
                <c:ext xmlns:c16="http://schemas.microsoft.com/office/drawing/2014/chart" uri="{C3380CC4-5D6E-409C-BE32-E72D297353CC}">
                  <c16:uniqueId val="{00000008-45CE-43A9-93F2-729F247558C2}"/>
                </c:ext>
              </c:extLst>
            </c:dLbl>
            <c:dLbl>
              <c:idx val="9"/>
              <c:delete val="1"/>
              <c:extLst>
                <c:ext xmlns:c15="http://schemas.microsoft.com/office/drawing/2012/chart" uri="{CE6537A1-D6FC-4f65-9D91-7224C49458BB}"/>
                <c:ext xmlns:c16="http://schemas.microsoft.com/office/drawing/2014/chart" uri="{C3380CC4-5D6E-409C-BE32-E72D297353CC}">
                  <c16:uniqueId val="{00000009-45CE-43A9-93F2-729F247558C2}"/>
                </c:ext>
              </c:extLst>
            </c:dLbl>
            <c:dLbl>
              <c:idx val="10"/>
              <c:delete val="1"/>
              <c:extLst>
                <c:ext xmlns:c15="http://schemas.microsoft.com/office/drawing/2012/chart" uri="{CE6537A1-D6FC-4f65-9D91-7224C49458BB}"/>
                <c:ext xmlns:c16="http://schemas.microsoft.com/office/drawing/2014/chart" uri="{C3380CC4-5D6E-409C-BE32-E72D297353CC}">
                  <c16:uniqueId val="{0000000A-45CE-43A9-93F2-729F247558C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3C1692"/>
                      </a:solidFill>
                    </a:ln>
                    <a:effectLst/>
                  </c:spPr>
                </c15:leaderLines>
              </c:ext>
            </c:extLst>
          </c:dLbls>
          <c:cat>
            <c:numRef>
              <c:f>q1_q2_q4_q5_Fig!$S$30:$AC$30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q1_q2_q4_q5_Fig!$S$31:$AC$31</c:f>
              <c:numCache>
                <c:formatCode>General</c:formatCode>
                <c:ptCount val="11"/>
                <c:pt idx="0">
                  <c:v>227936</c:v>
                </c:pt>
                <c:pt idx="1">
                  <c:v>226260</c:v>
                </c:pt>
                <c:pt idx="2">
                  <c:v>229443</c:v>
                </c:pt>
                <c:pt idx="3">
                  <c:v>231010</c:v>
                </c:pt>
                <c:pt idx="4">
                  <c:v>233017</c:v>
                </c:pt>
                <c:pt idx="5">
                  <c:v>233890</c:v>
                </c:pt>
                <c:pt idx="6">
                  <c:v>235060</c:v>
                </c:pt>
                <c:pt idx="7">
                  <c:v>227923</c:v>
                </c:pt>
                <c:pt idx="8">
                  <c:v>230042</c:v>
                </c:pt>
                <c:pt idx="9">
                  <c:v>224301</c:v>
                </c:pt>
                <c:pt idx="10">
                  <c:v>233783</c:v>
                </c:pt>
              </c:numCache>
            </c:numRef>
          </c:val>
          <c:smooth val="0"/>
          <c:extLst>
            <c:ext xmlns:c16="http://schemas.microsoft.com/office/drawing/2014/chart" uri="{C3380CC4-5D6E-409C-BE32-E72D297353CC}">
              <c16:uniqueId val="{0000000B-45CE-43A9-93F2-729F247558C2}"/>
            </c:ext>
          </c:extLst>
        </c:ser>
        <c:ser>
          <c:idx val="1"/>
          <c:order val="1"/>
          <c:tx>
            <c:strRef>
              <c:f>q1_q2_q4_q5_Fig!$R$32</c:f>
              <c:strCache>
                <c:ptCount val="1"/>
                <c:pt idx="0">
                  <c:v>Pequenas (10 - 49 pessoas)</c:v>
                </c:pt>
              </c:strCache>
            </c:strRef>
          </c:tx>
          <c:spPr>
            <a:ln w="25400" cap="rnd">
              <a:solidFill>
                <a:srgbClr val="1403EB"/>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C-45CE-43A9-93F2-729F247558C2}"/>
                </c:ext>
              </c:extLst>
            </c:dLbl>
            <c:dLbl>
              <c:idx val="1"/>
              <c:delete val="1"/>
              <c:extLst>
                <c:ext xmlns:c15="http://schemas.microsoft.com/office/drawing/2012/chart" uri="{CE6537A1-D6FC-4f65-9D91-7224C49458BB}"/>
                <c:ext xmlns:c16="http://schemas.microsoft.com/office/drawing/2014/chart" uri="{C3380CC4-5D6E-409C-BE32-E72D297353CC}">
                  <c16:uniqueId val="{0000000D-45CE-43A9-93F2-729F247558C2}"/>
                </c:ext>
              </c:extLst>
            </c:dLbl>
            <c:dLbl>
              <c:idx val="2"/>
              <c:delete val="1"/>
              <c:extLst>
                <c:ext xmlns:c15="http://schemas.microsoft.com/office/drawing/2012/chart" uri="{CE6537A1-D6FC-4f65-9D91-7224C49458BB}"/>
                <c:ext xmlns:c16="http://schemas.microsoft.com/office/drawing/2014/chart" uri="{C3380CC4-5D6E-409C-BE32-E72D297353CC}">
                  <c16:uniqueId val="{0000000E-45CE-43A9-93F2-729F247558C2}"/>
                </c:ext>
              </c:extLst>
            </c:dLbl>
            <c:dLbl>
              <c:idx val="3"/>
              <c:layout>
                <c:manualLayout>
                  <c:x val="5.0748505834361066E-2"/>
                  <c:y val="-0.17021268991447372"/>
                </c:manualLayout>
              </c:layout>
              <c:tx>
                <c:rich>
                  <a:bodyPr/>
                  <a:lstStyle/>
                  <a:p>
                    <a:fld id="{FF27E1B3-1137-4F82-AAC9-A7D282C22438}" type="SERIESNAME">
                      <a:rPr lang="en-US">
                        <a:solidFill>
                          <a:srgbClr val="1403EB"/>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45CE-43A9-93F2-729F247558C2}"/>
                </c:ext>
              </c:extLst>
            </c:dLbl>
            <c:dLbl>
              <c:idx val="4"/>
              <c:delete val="1"/>
              <c:extLst>
                <c:ext xmlns:c15="http://schemas.microsoft.com/office/drawing/2012/chart" uri="{CE6537A1-D6FC-4f65-9D91-7224C49458BB}"/>
                <c:ext xmlns:c16="http://schemas.microsoft.com/office/drawing/2014/chart" uri="{C3380CC4-5D6E-409C-BE32-E72D297353CC}">
                  <c16:uniqueId val="{00000010-45CE-43A9-93F2-729F247558C2}"/>
                </c:ext>
              </c:extLst>
            </c:dLbl>
            <c:dLbl>
              <c:idx val="5"/>
              <c:delete val="1"/>
              <c:extLst>
                <c:ext xmlns:c15="http://schemas.microsoft.com/office/drawing/2012/chart" uri="{CE6537A1-D6FC-4f65-9D91-7224C49458BB}"/>
                <c:ext xmlns:c16="http://schemas.microsoft.com/office/drawing/2014/chart" uri="{C3380CC4-5D6E-409C-BE32-E72D297353CC}">
                  <c16:uniqueId val="{00000011-45CE-43A9-93F2-729F247558C2}"/>
                </c:ext>
              </c:extLst>
            </c:dLbl>
            <c:dLbl>
              <c:idx val="6"/>
              <c:delete val="1"/>
              <c:extLst>
                <c:ext xmlns:c15="http://schemas.microsoft.com/office/drawing/2012/chart" uri="{CE6537A1-D6FC-4f65-9D91-7224C49458BB}"/>
                <c:ext xmlns:c16="http://schemas.microsoft.com/office/drawing/2014/chart" uri="{C3380CC4-5D6E-409C-BE32-E72D297353CC}">
                  <c16:uniqueId val="{00000012-45CE-43A9-93F2-729F247558C2}"/>
                </c:ext>
              </c:extLst>
            </c:dLbl>
            <c:dLbl>
              <c:idx val="7"/>
              <c:delete val="1"/>
              <c:extLst>
                <c:ext xmlns:c15="http://schemas.microsoft.com/office/drawing/2012/chart" uri="{CE6537A1-D6FC-4f65-9D91-7224C49458BB}"/>
                <c:ext xmlns:c16="http://schemas.microsoft.com/office/drawing/2014/chart" uri="{C3380CC4-5D6E-409C-BE32-E72D297353CC}">
                  <c16:uniqueId val="{00000013-45CE-43A9-93F2-729F247558C2}"/>
                </c:ext>
              </c:extLst>
            </c:dLbl>
            <c:dLbl>
              <c:idx val="8"/>
              <c:delete val="1"/>
              <c:extLst>
                <c:ext xmlns:c15="http://schemas.microsoft.com/office/drawing/2012/chart" uri="{CE6537A1-D6FC-4f65-9D91-7224C49458BB}"/>
                <c:ext xmlns:c16="http://schemas.microsoft.com/office/drawing/2014/chart" uri="{C3380CC4-5D6E-409C-BE32-E72D297353CC}">
                  <c16:uniqueId val="{00000014-45CE-43A9-93F2-729F247558C2}"/>
                </c:ext>
              </c:extLst>
            </c:dLbl>
            <c:dLbl>
              <c:idx val="9"/>
              <c:delete val="1"/>
              <c:extLst>
                <c:ext xmlns:c15="http://schemas.microsoft.com/office/drawing/2012/chart" uri="{CE6537A1-D6FC-4f65-9D91-7224C49458BB}"/>
                <c:ext xmlns:c16="http://schemas.microsoft.com/office/drawing/2014/chart" uri="{C3380CC4-5D6E-409C-BE32-E72D297353CC}">
                  <c16:uniqueId val="{00000015-45CE-43A9-93F2-729F247558C2}"/>
                </c:ext>
              </c:extLst>
            </c:dLbl>
            <c:dLbl>
              <c:idx val="10"/>
              <c:delete val="1"/>
              <c:extLst>
                <c:ext xmlns:c15="http://schemas.microsoft.com/office/drawing/2012/chart" uri="{CE6537A1-D6FC-4f65-9D91-7224C49458BB}"/>
                <c:ext xmlns:c16="http://schemas.microsoft.com/office/drawing/2014/chart" uri="{C3380CC4-5D6E-409C-BE32-E72D297353CC}">
                  <c16:uniqueId val="{00000016-45CE-43A9-93F2-729F247558C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1403EB"/>
                      </a:solidFill>
                    </a:ln>
                    <a:effectLst/>
                  </c:spPr>
                </c15:leaderLines>
              </c:ext>
            </c:extLst>
          </c:dLbls>
          <c:cat>
            <c:numRef>
              <c:f>q1_q2_q4_q5_Fig!$S$30:$AC$30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q1_q2_q4_q5_Fig!$S$32:$AC$32</c:f>
              <c:numCache>
                <c:formatCode>General</c:formatCode>
                <c:ptCount val="11"/>
                <c:pt idx="0">
                  <c:v>32460</c:v>
                </c:pt>
                <c:pt idx="1">
                  <c:v>31941</c:v>
                </c:pt>
                <c:pt idx="2">
                  <c:v>32961</c:v>
                </c:pt>
                <c:pt idx="3">
                  <c:v>34146</c:v>
                </c:pt>
                <c:pt idx="4">
                  <c:v>35096</c:v>
                </c:pt>
                <c:pt idx="5">
                  <c:v>36761</c:v>
                </c:pt>
                <c:pt idx="6">
                  <c:v>38306</c:v>
                </c:pt>
                <c:pt idx="7">
                  <c:v>38760</c:v>
                </c:pt>
                <c:pt idx="8">
                  <c:v>38234</c:v>
                </c:pt>
                <c:pt idx="9">
                  <c:v>38248</c:v>
                </c:pt>
                <c:pt idx="10">
                  <c:v>41070</c:v>
                </c:pt>
              </c:numCache>
            </c:numRef>
          </c:val>
          <c:smooth val="0"/>
          <c:extLst>
            <c:ext xmlns:c16="http://schemas.microsoft.com/office/drawing/2014/chart" uri="{C3380CC4-5D6E-409C-BE32-E72D297353CC}">
              <c16:uniqueId val="{00000017-45CE-43A9-93F2-729F247558C2}"/>
            </c:ext>
          </c:extLst>
        </c:ser>
        <c:ser>
          <c:idx val="2"/>
          <c:order val="2"/>
          <c:tx>
            <c:strRef>
              <c:f>q1_q2_q4_q5_Fig!$R$33</c:f>
              <c:strCache>
                <c:ptCount val="1"/>
                <c:pt idx="0">
                  <c:v>Médias (50 - 249 pessoas)</c:v>
                </c:pt>
              </c:strCache>
            </c:strRef>
          </c:tx>
          <c:spPr>
            <a:ln w="25400" cap="rnd">
              <a:solidFill>
                <a:schemeClr val="tx2">
                  <a:lumMod val="60000"/>
                  <a:lumOff val="40000"/>
                </a:schemeClr>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8-45CE-43A9-93F2-729F247558C2}"/>
                </c:ext>
              </c:extLst>
            </c:dLbl>
            <c:dLbl>
              <c:idx val="1"/>
              <c:delete val="1"/>
              <c:extLst>
                <c:ext xmlns:c15="http://schemas.microsoft.com/office/drawing/2012/chart" uri="{CE6537A1-D6FC-4f65-9D91-7224C49458BB}"/>
                <c:ext xmlns:c16="http://schemas.microsoft.com/office/drawing/2014/chart" uri="{C3380CC4-5D6E-409C-BE32-E72D297353CC}">
                  <c16:uniqueId val="{00000019-45CE-43A9-93F2-729F247558C2}"/>
                </c:ext>
              </c:extLst>
            </c:dLbl>
            <c:dLbl>
              <c:idx val="2"/>
              <c:layout>
                <c:manualLayout>
                  <c:x val="-0.18290891349424698"/>
                  <c:y val="-0.20992898422785092"/>
                </c:manualLayout>
              </c:layout>
              <c:tx>
                <c:rich>
                  <a:bodyPr/>
                  <a:lstStyle/>
                  <a:p>
                    <a:fld id="{BBF6D15E-DC9B-4ED3-B3CB-790E242BBF83}" type="SERIESNAME">
                      <a:rPr lang="en-US">
                        <a:solidFill>
                          <a:srgbClr val="558ED5"/>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45CE-43A9-93F2-729F247558C2}"/>
                </c:ext>
              </c:extLst>
            </c:dLbl>
            <c:dLbl>
              <c:idx val="3"/>
              <c:delete val="1"/>
              <c:extLst>
                <c:ext xmlns:c15="http://schemas.microsoft.com/office/drawing/2012/chart" uri="{CE6537A1-D6FC-4f65-9D91-7224C49458BB}"/>
                <c:ext xmlns:c16="http://schemas.microsoft.com/office/drawing/2014/chart" uri="{C3380CC4-5D6E-409C-BE32-E72D297353CC}">
                  <c16:uniqueId val="{0000001B-45CE-43A9-93F2-729F247558C2}"/>
                </c:ext>
              </c:extLst>
            </c:dLbl>
            <c:dLbl>
              <c:idx val="4"/>
              <c:delete val="1"/>
              <c:extLst>
                <c:ext xmlns:c15="http://schemas.microsoft.com/office/drawing/2012/chart" uri="{CE6537A1-D6FC-4f65-9D91-7224C49458BB}"/>
                <c:ext xmlns:c16="http://schemas.microsoft.com/office/drawing/2014/chart" uri="{C3380CC4-5D6E-409C-BE32-E72D297353CC}">
                  <c16:uniqueId val="{0000001C-45CE-43A9-93F2-729F247558C2}"/>
                </c:ext>
              </c:extLst>
            </c:dLbl>
            <c:dLbl>
              <c:idx val="5"/>
              <c:delete val="1"/>
              <c:extLst>
                <c:ext xmlns:c15="http://schemas.microsoft.com/office/drawing/2012/chart" uri="{CE6537A1-D6FC-4f65-9D91-7224C49458BB}"/>
                <c:ext xmlns:c16="http://schemas.microsoft.com/office/drawing/2014/chart" uri="{C3380CC4-5D6E-409C-BE32-E72D297353CC}">
                  <c16:uniqueId val="{0000001D-45CE-43A9-93F2-729F247558C2}"/>
                </c:ext>
              </c:extLst>
            </c:dLbl>
            <c:dLbl>
              <c:idx val="6"/>
              <c:delete val="1"/>
              <c:extLst>
                <c:ext xmlns:c15="http://schemas.microsoft.com/office/drawing/2012/chart" uri="{CE6537A1-D6FC-4f65-9D91-7224C49458BB}"/>
                <c:ext xmlns:c16="http://schemas.microsoft.com/office/drawing/2014/chart" uri="{C3380CC4-5D6E-409C-BE32-E72D297353CC}">
                  <c16:uniqueId val="{0000001E-45CE-43A9-93F2-729F247558C2}"/>
                </c:ext>
              </c:extLst>
            </c:dLbl>
            <c:dLbl>
              <c:idx val="7"/>
              <c:delete val="1"/>
              <c:extLst>
                <c:ext xmlns:c15="http://schemas.microsoft.com/office/drawing/2012/chart" uri="{CE6537A1-D6FC-4f65-9D91-7224C49458BB}"/>
                <c:ext xmlns:c16="http://schemas.microsoft.com/office/drawing/2014/chart" uri="{C3380CC4-5D6E-409C-BE32-E72D297353CC}">
                  <c16:uniqueId val="{0000001F-45CE-43A9-93F2-729F247558C2}"/>
                </c:ext>
              </c:extLst>
            </c:dLbl>
            <c:dLbl>
              <c:idx val="8"/>
              <c:delete val="1"/>
              <c:extLst>
                <c:ext xmlns:c15="http://schemas.microsoft.com/office/drawing/2012/chart" uri="{CE6537A1-D6FC-4f65-9D91-7224C49458BB}"/>
                <c:ext xmlns:c16="http://schemas.microsoft.com/office/drawing/2014/chart" uri="{C3380CC4-5D6E-409C-BE32-E72D297353CC}">
                  <c16:uniqueId val="{00000020-45CE-43A9-93F2-729F247558C2}"/>
                </c:ext>
              </c:extLst>
            </c:dLbl>
            <c:dLbl>
              <c:idx val="9"/>
              <c:delete val="1"/>
              <c:extLst>
                <c:ext xmlns:c15="http://schemas.microsoft.com/office/drawing/2012/chart" uri="{CE6537A1-D6FC-4f65-9D91-7224C49458BB}"/>
                <c:ext xmlns:c16="http://schemas.microsoft.com/office/drawing/2014/chart" uri="{C3380CC4-5D6E-409C-BE32-E72D297353CC}">
                  <c16:uniqueId val="{00000021-45CE-43A9-93F2-729F247558C2}"/>
                </c:ext>
              </c:extLst>
            </c:dLbl>
            <c:dLbl>
              <c:idx val="10"/>
              <c:delete val="1"/>
              <c:extLst>
                <c:ext xmlns:c15="http://schemas.microsoft.com/office/drawing/2012/chart" uri="{CE6537A1-D6FC-4f65-9D91-7224C49458BB}"/>
                <c:ext xmlns:c16="http://schemas.microsoft.com/office/drawing/2014/chart" uri="{C3380CC4-5D6E-409C-BE32-E72D297353CC}">
                  <c16:uniqueId val="{00000022-45CE-43A9-93F2-729F247558C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558ED5"/>
                      </a:solidFill>
                    </a:ln>
                    <a:effectLst/>
                  </c:spPr>
                </c15:leaderLines>
              </c:ext>
            </c:extLst>
          </c:dLbls>
          <c:cat>
            <c:numRef>
              <c:f>q1_q2_q4_q5_Fig!$S$30:$AC$30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q1_q2_q4_q5_Fig!$S$33:$AC$33</c:f>
              <c:numCache>
                <c:formatCode>General</c:formatCode>
                <c:ptCount val="11"/>
                <c:pt idx="0">
                  <c:v>5385</c:v>
                </c:pt>
                <c:pt idx="1">
                  <c:v>5440</c:v>
                </c:pt>
                <c:pt idx="2">
                  <c:v>5596</c:v>
                </c:pt>
                <c:pt idx="3">
                  <c:v>5749</c:v>
                </c:pt>
                <c:pt idx="4">
                  <c:v>5981</c:v>
                </c:pt>
                <c:pt idx="5">
                  <c:v>6271</c:v>
                </c:pt>
                <c:pt idx="6">
                  <c:v>6560</c:v>
                </c:pt>
                <c:pt idx="7">
                  <c:v>6679</c:v>
                </c:pt>
                <c:pt idx="8">
                  <c:v>6566</c:v>
                </c:pt>
                <c:pt idx="9">
                  <c:v>6728</c:v>
                </c:pt>
                <c:pt idx="10">
                  <c:v>7348</c:v>
                </c:pt>
              </c:numCache>
            </c:numRef>
          </c:val>
          <c:smooth val="0"/>
          <c:extLst>
            <c:ext xmlns:c16="http://schemas.microsoft.com/office/drawing/2014/chart" uri="{C3380CC4-5D6E-409C-BE32-E72D297353CC}">
              <c16:uniqueId val="{00000023-45CE-43A9-93F2-729F247558C2}"/>
            </c:ext>
          </c:extLst>
        </c:ser>
        <c:ser>
          <c:idx val="3"/>
          <c:order val="3"/>
          <c:tx>
            <c:strRef>
              <c:f>q1_q2_q4_q5_Fig!$R$34</c:f>
              <c:strCache>
                <c:ptCount val="1"/>
                <c:pt idx="0">
                  <c:v>Grandes (250 ou + pessoas)</c:v>
                </c:pt>
              </c:strCache>
            </c:strRef>
          </c:tx>
          <c:spPr>
            <a:ln w="25400" cap="rnd">
              <a:solidFill>
                <a:srgbClr val="B6C3FF"/>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4-45CE-43A9-93F2-729F247558C2}"/>
                </c:ext>
              </c:extLst>
            </c:dLbl>
            <c:dLbl>
              <c:idx val="1"/>
              <c:delete val="1"/>
              <c:extLst>
                <c:ext xmlns:c15="http://schemas.microsoft.com/office/drawing/2012/chart" uri="{CE6537A1-D6FC-4f65-9D91-7224C49458BB}"/>
                <c:ext xmlns:c16="http://schemas.microsoft.com/office/drawing/2014/chart" uri="{C3380CC4-5D6E-409C-BE32-E72D297353CC}">
                  <c16:uniqueId val="{00000025-45CE-43A9-93F2-729F247558C2}"/>
                </c:ext>
              </c:extLst>
            </c:dLbl>
            <c:dLbl>
              <c:idx val="2"/>
              <c:delete val="1"/>
              <c:extLst>
                <c:ext xmlns:c15="http://schemas.microsoft.com/office/drawing/2012/chart" uri="{CE6537A1-D6FC-4f65-9D91-7224C49458BB}"/>
                <c:ext xmlns:c16="http://schemas.microsoft.com/office/drawing/2014/chart" uri="{C3380CC4-5D6E-409C-BE32-E72D297353CC}">
                  <c16:uniqueId val="{00000026-45CE-43A9-93F2-729F247558C2}"/>
                </c:ext>
              </c:extLst>
            </c:dLbl>
            <c:dLbl>
              <c:idx val="3"/>
              <c:delete val="1"/>
              <c:extLst>
                <c:ext xmlns:c15="http://schemas.microsoft.com/office/drawing/2012/chart" uri="{CE6537A1-D6FC-4f65-9D91-7224C49458BB}"/>
                <c:ext xmlns:c16="http://schemas.microsoft.com/office/drawing/2014/chart" uri="{C3380CC4-5D6E-409C-BE32-E72D297353CC}">
                  <c16:uniqueId val="{00000027-45CE-43A9-93F2-729F247558C2}"/>
                </c:ext>
              </c:extLst>
            </c:dLbl>
            <c:dLbl>
              <c:idx val="4"/>
              <c:delete val="1"/>
              <c:extLst>
                <c:ext xmlns:c15="http://schemas.microsoft.com/office/drawing/2012/chart" uri="{CE6537A1-D6FC-4f65-9D91-7224C49458BB}"/>
                <c:ext xmlns:c16="http://schemas.microsoft.com/office/drawing/2014/chart" uri="{C3380CC4-5D6E-409C-BE32-E72D297353CC}">
                  <c16:uniqueId val="{00000028-45CE-43A9-93F2-729F247558C2}"/>
                </c:ext>
              </c:extLst>
            </c:dLbl>
            <c:dLbl>
              <c:idx val="5"/>
              <c:delete val="1"/>
              <c:extLst>
                <c:ext xmlns:c15="http://schemas.microsoft.com/office/drawing/2012/chart" uri="{CE6537A1-D6FC-4f65-9D91-7224C49458BB}"/>
                <c:ext xmlns:c16="http://schemas.microsoft.com/office/drawing/2014/chart" uri="{C3380CC4-5D6E-409C-BE32-E72D297353CC}">
                  <c16:uniqueId val="{00000029-45CE-43A9-93F2-729F247558C2}"/>
                </c:ext>
              </c:extLst>
            </c:dLbl>
            <c:dLbl>
              <c:idx val="6"/>
              <c:delete val="1"/>
              <c:extLst>
                <c:ext xmlns:c15="http://schemas.microsoft.com/office/drawing/2012/chart" uri="{CE6537A1-D6FC-4f65-9D91-7224C49458BB}"/>
                <c:ext xmlns:c16="http://schemas.microsoft.com/office/drawing/2014/chart" uri="{C3380CC4-5D6E-409C-BE32-E72D297353CC}">
                  <c16:uniqueId val="{0000002A-45CE-43A9-93F2-729F247558C2}"/>
                </c:ext>
              </c:extLst>
            </c:dLbl>
            <c:dLbl>
              <c:idx val="7"/>
              <c:delete val="1"/>
              <c:extLst>
                <c:ext xmlns:c15="http://schemas.microsoft.com/office/drawing/2012/chart" uri="{CE6537A1-D6FC-4f65-9D91-7224C49458BB}"/>
                <c:ext xmlns:c16="http://schemas.microsoft.com/office/drawing/2014/chart" uri="{C3380CC4-5D6E-409C-BE32-E72D297353CC}">
                  <c16:uniqueId val="{0000002B-45CE-43A9-93F2-729F247558C2}"/>
                </c:ext>
              </c:extLst>
            </c:dLbl>
            <c:dLbl>
              <c:idx val="8"/>
              <c:layout>
                <c:manualLayout>
                  <c:x val="-1.1325301204819277E-2"/>
                  <c:y val="-0.19858147156688605"/>
                </c:manualLayout>
              </c:layout>
              <c:tx>
                <c:rich>
                  <a:bodyPr/>
                  <a:lstStyle/>
                  <a:p>
                    <a:fld id="{47492D47-E9A8-4AC7-B31C-7C4B0314522E}" type="SERIESNAME">
                      <a:rPr lang="en-US">
                        <a:solidFill>
                          <a:srgbClr val="B6C3FF"/>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C-45CE-43A9-93F2-729F247558C2}"/>
                </c:ext>
              </c:extLst>
            </c:dLbl>
            <c:dLbl>
              <c:idx val="9"/>
              <c:delete val="1"/>
              <c:extLst>
                <c:ext xmlns:c15="http://schemas.microsoft.com/office/drawing/2012/chart" uri="{CE6537A1-D6FC-4f65-9D91-7224C49458BB}"/>
                <c:ext xmlns:c16="http://schemas.microsoft.com/office/drawing/2014/chart" uri="{C3380CC4-5D6E-409C-BE32-E72D297353CC}">
                  <c16:uniqueId val="{0000002D-45CE-43A9-93F2-729F247558C2}"/>
                </c:ext>
              </c:extLst>
            </c:dLbl>
            <c:dLbl>
              <c:idx val="10"/>
              <c:delete val="1"/>
              <c:extLst>
                <c:ext xmlns:c15="http://schemas.microsoft.com/office/drawing/2012/chart" uri="{CE6537A1-D6FC-4f65-9D91-7224C49458BB}"/>
                <c:ext xmlns:c16="http://schemas.microsoft.com/office/drawing/2014/chart" uri="{C3380CC4-5D6E-409C-BE32-E72D297353CC}">
                  <c16:uniqueId val="{0000002E-45CE-43A9-93F2-729F247558C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B6C3FF"/>
                      </a:solidFill>
                    </a:ln>
                    <a:effectLst/>
                  </c:spPr>
                </c15:leaderLines>
              </c:ext>
            </c:extLst>
          </c:dLbls>
          <c:cat>
            <c:numRef>
              <c:f>q1_q2_q4_q5_Fig!$S$30:$AC$30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q1_q2_q4_q5_Fig!$S$34:$AC$34</c:f>
              <c:numCache>
                <c:formatCode>General</c:formatCode>
                <c:ptCount val="11"/>
                <c:pt idx="0">
                  <c:v>806</c:v>
                </c:pt>
                <c:pt idx="1">
                  <c:v>798</c:v>
                </c:pt>
                <c:pt idx="2">
                  <c:v>813</c:v>
                </c:pt>
                <c:pt idx="3">
                  <c:v>847</c:v>
                </c:pt>
                <c:pt idx="4">
                  <c:v>902</c:v>
                </c:pt>
                <c:pt idx="5">
                  <c:v>958</c:v>
                </c:pt>
                <c:pt idx="6">
                  <c:v>1011</c:v>
                </c:pt>
                <c:pt idx="7">
                  <c:v>1055</c:v>
                </c:pt>
                <c:pt idx="8">
                  <c:v>1019</c:v>
                </c:pt>
                <c:pt idx="9">
                  <c:v>1033</c:v>
                </c:pt>
                <c:pt idx="10">
                  <c:v>1136</c:v>
                </c:pt>
              </c:numCache>
            </c:numRef>
          </c:val>
          <c:smooth val="0"/>
          <c:extLst>
            <c:ext xmlns:c16="http://schemas.microsoft.com/office/drawing/2014/chart" uri="{C3380CC4-5D6E-409C-BE32-E72D297353CC}">
              <c16:uniqueId val="{0000002F-45CE-43A9-93F2-729F247558C2}"/>
            </c:ext>
          </c:extLst>
        </c:ser>
        <c:dLbls>
          <c:dLblPos val="ctr"/>
          <c:showLegendKey val="0"/>
          <c:showVal val="1"/>
          <c:showCatName val="0"/>
          <c:showSerName val="0"/>
          <c:showPercent val="0"/>
          <c:showBubbleSize val="0"/>
        </c:dLbls>
        <c:smooth val="0"/>
        <c:axId val="1734530655"/>
        <c:axId val="1715689631"/>
      </c:lineChart>
      <c:catAx>
        <c:axId val="1734530655"/>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715689631"/>
        <c:crosses val="autoZero"/>
        <c:auto val="1"/>
        <c:lblAlgn val="ctr"/>
        <c:lblOffset val="100"/>
        <c:tickMarkSkip val="1"/>
        <c:noMultiLvlLbl val="0"/>
      </c:catAx>
      <c:valAx>
        <c:axId val="1715689631"/>
        <c:scaling>
          <c:orientation val="minMax"/>
          <c:max val="3000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1734530655"/>
        <c:crosses val="autoZero"/>
        <c:crossBetween val="between"/>
        <c:majorUnit val="5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480007681966582"/>
          <c:y val="3.567815386713024E-2"/>
          <c:w val="0.60796750997841242"/>
          <c:h val="0.92049561986569861"/>
        </c:manualLayout>
      </c:layout>
      <c:barChart>
        <c:barDir val="bar"/>
        <c:grouping val="clustered"/>
        <c:varyColors val="0"/>
        <c:ser>
          <c:idx val="0"/>
          <c:order val="0"/>
          <c:tx>
            <c:strRef>
              <c:f>q3_q6_q9_q12_q19_q27_Fig!$AT$19</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q3_q6_q9_q12_q19_q27_Fig!$AS$20:$AS$37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f>q3_q6_q9_q12_q19_q27_Fig!$AT$20:$AT$37</c:f>
              <c:numCache>
                <c:formatCode>#,##0</c:formatCode>
                <c:ptCount val="18"/>
                <c:pt idx="0">
                  <c:v>250317</c:v>
                </c:pt>
                <c:pt idx="1">
                  <c:v>45331</c:v>
                </c:pt>
                <c:pt idx="2">
                  <c:v>304660</c:v>
                </c:pt>
                <c:pt idx="3">
                  <c:v>23249</c:v>
                </c:pt>
                <c:pt idx="4">
                  <c:v>42765</c:v>
                </c:pt>
                <c:pt idx="5">
                  <c:v>109304</c:v>
                </c:pt>
                <c:pt idx="6">
                  <c:v>43523</c:v>
                </c:pt>
                <c:pt idx="7">
                  <c:v>165503</c:v>
                </c:pt>
                <c:pt idx="8">
                  <c:v>31779</c:v>
                </c:pt>
                <c:pt idx="9">
                  <c:v>157094</c:v>
                </c:pt>
                <c:pt idx="10">
                  <c:v>981424</c:v>
                </c:pt>
                <c:pt idx="11">
                  <c:v>23056</c:v>
                </c:pt>
                <c:pt idx="12">
                  <c:v>647496</c:v>
                </c:pt>
                <c:pt idx="13">
                  <c:v>116005</c:v>
                </c:pt>
                <c:pt idx="14">
                  <c:v>189206</c:v>
                </c:pt>
                <c:pt idx="15">
                  <c:v>68558</c:v>
                </c:pt>
                <c:pt idx="16">
                  <c:v>38651</c:v>
                </c:pt>
                <c:pt idx="17">
                  <c:v>99161</c:v>
                </c:pt>
              </c:numCache>
            </c:numRef>
          </c:val>
          <c:extLst>
            <c:ext xmlns:c16="http://schemas.microsoft.com/office/drawing/2014/chart" uri="{C3380CC4-5D6E-409C-BE32-E72D297353CC}">
              <c16:uniqueId val="{00000000-CB79-419E-8DD5-4F91E0054810}"/>
            </c:ext>
          </c:extLst>
        </c:ser>
        <c:ser>
          <c:idx val="1"/>
          <c:order val="1"/>
          <c:tx>
            <c:strRef>
              <c:f>q3_q6_q9_q12_q19_q27_Fig!$AU$19</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q3_q6_q9_q12_q19_q27_Fig!$AS$20:$AS$37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f>q3_q6_q9_q12_q19_q27_Fig!$AU$20:$AU$37</c:f>
              <c:numCache>
                <c:formatCode>#,##0</c:formatCode>
                <c:ptCount val="18"/>
                <c:pt idx="0">
                  <c:v>234940</c:v>
                </c:pt>
                <c:pt idx="1">
                  <c:v>43289</c:v>
                </c:pt>
                <c:pt idx="2">
                  <c:v>285498</c:v>
                </c:pt>
                <c:pt idx="3">
                  <c:v>21226</c:v>
                </c:pt>
                <c:pt idx="4">
                  <c:v>39840</c:v>
                </c:pt>
                <c:pt idx="5">
                  <c:v>101940</c:v>
                </c:pt>
                <c:pt idx="6">
                  <c:v>40691</c:v>
                </c:pt>
                <c:pt idx="7">
                  <c:v>154670</c:v>
                </c:pt>
                <c:pt idx="8">
                  <c:v>29721</c:v>
                </c:pt>
                <c:pt idx="9">
                  <c:v>145795</c:v>
                </c:pt>
                <c:pt idx="10">
                  <c:v>937531</c:v>
                </c:pt>
                <c:pt idx="11">
                  <c:v>21623</c:v>
                </c:pt>
                <c:pt idx="12">
                  <c:v>611659</c:v>
                </c:pt>
                <c:pt idx="13">
                  <c:v>108232</c:v>
                </c:pt>
                <c:pt idx="14">
                  <c:v>178440</c:v>
                </c:pt>
                <c:pt idx="15">
                  <c:v>64187</c:v>
                </c:pt>
                <c:pt idx="16">
                  <c:v>35875</c:v>
                </c:pt>
                <c:pt idx="17">
                  <c:v>92990</c:v>
                </c:pt>
              </c:numCache>
            </c:numRef>
          </c:val>
          <c:extLst>
            <c:ext xmlns:c16="http://schemas.microsoft.com/office/drawing/2014/chart" uri="{C3380CC4-5D6E-409C-BE32-E72D297353CC}">
              <c16:uniqueId val="{00000001-CB79-419E-8DD5-4F91E0054810}"/>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59894841213051209"/>
          <c:y val="0.8958285000206182"/>
          <c:w val="0.29038922336032225"/>
          <c:h val="7.684796893293005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480007681966582"/>
          <c:y val="3.567815386713024E-2"/>
          <c:w val="0.60796750997841242"/>
          <c:h val="0.92049561986569861"/>
        </c:manualLayout>
      </c:layout>
      <c:barChart>
        <c:barDir val="bar"/>
        <c:grouping val="clustered"/>
        <c:varyColors val="0"/>
        <c:ser>
          <c:idx val="0"/>
          <c:order val="0"/>
          <c:tx>
            <c:strRef>
              <c:f>q3_q6_q9_q12_q19_q27_Fig!$BA$19</c:f>
              <c:strCache>
                <c:ptCount val="1"/>
                <c:pt idx="0">
                  <c:v>Base</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q3_q6_q9_q12_q19_q27_Fig!$AZ$20:$AZ$37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f>q3_q6_q9_q12_q19_q27_Fig!$BA$20:$BA$37</c:f>
              <c:numCache>
                <c:formatCode>#,##0\ "€"</c:formatCode>
                <c:ptCount val="18"/>
                <c:pt idx="0">
                  <c:v>1052.7972743375899</c:v>
                </c:pt>
                <c:pt idx="1">
                  <c:v>947.74026093299312</c:v>
                </c:pt>
                <c:pt idx="2">
                  <c:v>988.00150691903912</c:v>
                </c:pt>
                <c:pt idx="3">
                  <c:v>892.75012004236817</c:v>
                </c:pt>
                <c:pt idx="4">
                  <c:v>932.85300061654311</c:v>
                </c:pt>
                <c:pt idx="5">
                  <c:v>1016.0729735121099</c:v>
                </c:pt>
                <c:pt idx="6">
                  <c:v>984.10746899954609</c:v>
                </c:pt>
                <c:pt idx="7">
                  <c:v>965.82601351644109</c:v>
                </c:pt>
                <c:pt idx="8">
                  <c:v>905.20674300469909</c:v>
                </c:pt>
                <c:pt idx="9">
                  <c:v>1007.35363342332</c:v>
                </c:pt>
                <c:pt idx="10">
                  <c:v>1388.3698339134201</c:v>
                </c:pt>
                <c:pt idx="11">
                  <c:v>939.134315018758</c:v>
                </c:pt>
                <c:pt idx="12">
                  <c:v>1135.72575816629</c:v>
                </c:pt>
                <c:pt idx="13">
                  <c:v>975.11611004518909</c:v>
                </c:pt>
                <c:pt idx="14">
                  <c:v>1127.3913262441799</c:v>
                </c:pt>
                <c:pt idx="15">
                  <c:v>955.66561814916508</c:v>
                </c:pt>
                <c:pt idx="16">
                  <c:v>927.78715854618304</c:v>
                </c:pt>
                <c:pt idx="17">
                  <c:v>932.68407294832809</c:v>
                </c:pt>
              </c:numCache>
            </c:numRef>
          </c:val>
          <c:extLst>
            <c:ext xmlns:c16="http://schemas.microsoft.com/office/drawing/2014/chart" uri="{C3380CC4-5D6E-409C-BE32-E72D297353CC}">
              <c16:uniqueId val="{00000000-1C77-420B-914C-3497A1ED8771}"/>
            </c:ext>
          </c:extLst>
        </c:ser>
        <c:ser>
          <c:idx val="1"/>
          <c:order val="1"/>
          <c:tx>
            <c:strRef>
              <c:f>q3_q6_q9_q12_q19_q27_Fig!$BB$19</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q3_q6_q9_q12_q19_q27_Fig!$AZ$20:$AZ$37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f>q3_q6_q9_q12_q19_q27_Fig!$BB$20:$BB$37</c:f>
              <c:numCache>
                <c:formatCode>#,##0\ "€"</c:formatCode>
                <c:ptCount val="18"/>
                <c:pt idx="0">
                  <c:v>1252.0317901891301</c:v>
                </c:pt>
                <c:pt idx="1">
                  <c:v>1192.7577344915603</c:v>
                </c:pt>
                <c:pt idx="2">
                  <c:v>1156.32258506215</c:v>
                </c:pt>
                <c:pt idx="3">
                  <c:v>1054.3714764034401</c:v>
                </c:pt>
                <c:pt idx="4">
                  <c:v>1106.65014764578</c:v>
                </c:pt>
                <c:pt idx="5">
                  <c:v>1222.9665008964</c:v>
                </c:pt>
                <c:pt idx="6">
                  <c:v>1190.5704398493799</c:v>
                </c:pt>
                <c:pt idx="7">
                  <c:v>1150.8139774726001</c:v>
                </c:pt>
                <c:pt idx="8">
                  <c:v>1100.1031647123602</c:v>
                </c:pt>
                <c:pt idx="9">
                  <c:v>1211.2745490185598</c:v>
                </c:pt>
                <c:pt idx="10">
                  <c:v>1668.91834858224</c:v>
                </c:pt>
                <c:pt idx="11">
                  <c:v>1126.59658901125</c:v>
                </c:pt>
                <c:pt idx="12">
                  <c:v>1343.1844642727101</c:v>
                </c:pt>
                <c:pt idx="13">
                  <c:v>1182.0420284769402</c:v>
                </c:pt>
                <c:pt idx="14">
                  <c:v>1373.2480942960999</c:v>
                </c:pt>
                <c:pt idx="15">
                  <c:v>1154.3373996243001</c:v>
                </c:pt>
                <c:pt idx="16">
                  <c:v>1104.2442491235602</c:v>
                </c:pt>
                <c:pt idx="17">
                  <c:v>1127.39969363407</c:v>
                </c:pt>
              </c:numCache>
            </c:numRef>
          </c:val>
          <c:extLst>
            <c:ext xmlns:c16="http://schemas.microsoft.com/office/drawing/2014/chart" uri="{C3380CC4-5D6E-409C-BE32-E72D297353CC}">
              <c16:uniqueId val="{00000001-1C77-420B-914C-3497A1ED8771}"/>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8051136322373027"/>
          <c:y val="0.85028928160986517"/>
          <c:w val="0.18730661330692686"/>
          <c:h val="0.1087254218204571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'q3.1_6.1_9.1_12.1_19.1_27.1_Fig'!$AS$7</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A3AF-4097-9909-6CE9FD58CA74}"/>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'q3.1_6.1_9.1_12.1_19.1_27.1_Fig'!$AR$32</c:f>
              <c:strCache>
                <c:ptCount val="1"/>
                <c:pt idx="0">
                  <c:v>Continente</c:v>
                </c:pt>
              </c:strCache>
            </c:strRef>
          </c:cat>
          <c:val>
            <c:numRef>
              <c:f>'q3.1_6.1_9.1_12.1_19.1_27.1_Fig'!$AS$32</c:f>
              <c:numCache>
                <c:formatCode>#,##0</c:formatCode>
                <c:ptCount val="1"/>
                <c:pt idx="0">
                  <c:v>284860</c:v>
                </c:pt>
              </c:numCache>
            </c:numRef>
          </c:val>
          <c:extLst>
            <c:ext xmlns:c16="http://schemas.microsoft.com/office/drawing/2014/chart" uri="{C3380CC4-5D6E-409C-BE32-E72D297353CC}">
              <c16:uniqueId val="{00000001-A3AF-4097-9909-6CE9FD58CA74}"/>
            </c:ext>
          </c:extLst>
        </c:ser>
        <c:ser>
          <c:idx val="1"/>
          <c:order val="1"/>
          <c:tx>
            <c:strRef>
              <c:f>'q3.1_6.1_9.1_12.1_19.1_27.1_Fig'!$AT$7</c:f>
              <c:strCache>
                <c:ptCount val="1"/>
                <c:pt idx="0">
                  <c:v>Estabelecimentos</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layout>
                <c:manualLayout>
                  <c:x val="-0.20423521519576349"/>
                  <c:y val="-2.3821382281370079E-2"/>
                </c:manualLayout>
              </c:layout>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3393754759212016"/>
                      <c:h val="0.37912244133627981"/>
                    </c:manualLayout>
                  </c15:layout>
                </c:ext>
                <c:ext xmlns:c16="http://schemas.microsoft.com/office/drawing/2014/chart" uri="{C3380CC4-5D6E-409C-BE32-E72D297353CC}">
                  <c16:uniqueId val="{00000002-A3AF-4097-9909-6CE9FD58CA74}"/>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'q3.1_6.1_9.1_12.1_19.1_27.1_Fig'!$AR$32</c:f>
              <c:strCache>
                <c:ptCount val="1"/>
                <c:pt idx="0">
                  <c:v>Continente</c:v>
                </c:pt>
              </c:strCache>
            </c:strRef>
          </c:cat>
          <c:val>
            <c:numRef>
              <c:f>'q3.1_6.1_9.1_12.1_19.1_27.1_Fig'!$AT$32</c:f>
              <c:numCache>
                <c:formatCode>#,##0</c:formatCode>
                <c:ptCount val="1"/>
                <c:pt idx="0">
                  <c:v>332683</c:v>
                </c:pt>
              </c:numCache>
            </c:numRef>
          </c:val>
          <c:extLst>
            <c:ext xmlns:c16="http://schemas.microsoft.com/office/drawing/2014/chart" uri="{C3380CC4-5D6E-409C-BE32-E72D297353CC}">
              <c16:uniqueId val="{00000003-A3AF-4097-9909-6CE9FD58CA74}"/>
            </c:ext>
          </c:extLst>
        </c:ser>
        <c:dLbls>
          <c:dLblPos val="inEnd"/>
          <c:showLegendKey val="0"/>
          <c:showVal val="1"/>
          <c:showCatName val="0"/>
          <c:showSerName val="0"/>
          <c:showPercent val="0"/>
          <c:showBubbleSize val="0"/>
        </c:dLbls>
        <c:gapWidth val="309"/>
        <c:overlap val="-5"/>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58601375008343493"/>
          <c:h val="0.61909228840533581"/>
        </c:manualLayout>
      </c:layout>
      <c:barChart>
        <c:barDir val="col"/>
        <c:grouping val="clustered"/>
        <c:varyColors val="0"/>
        <c:ser>
          <c:idx val="0"/>
          <c:order val="0"/>
          <c:tx>
            <c:strRef>
              <c:f>'q3.1_6.1_9.1_12.1_19.1_27.1_Fig'!$R$6</c:f>
              <c:strCache>
                <c:ptCount val="1"/>
                <c:pt idx="0">
                  <c:v>Empresas</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3.9156548280025974E-2"/>
                  <c:y val="1.5162518104348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AF-409A-95B5-6251E8728EFC}"/>
                </c:ext>
              </c:extLst>
            </c:dLbl>
            <c:dLbl>
              <c:idx val="10"/>
              <c:layout>
                <c:manualLayout>
                  <c:x val="2.1382411301039447E-2"/>
                  <c:y val="7.05177001583077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AF-409A-95B5-6251E8728EFC}"/>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AF-409A-95B5-6251E8728EF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'q3.1_6.1_9.1_12.1_19.1_27.1_Fig'!$S$5:$AC$5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'q3.1_6.1_9.1_12.1_19.1_27.1_Fig'!$S$6:$AC$6</c:f>
              <c:numCache>
                <c:formatCode>#,##0</c:formatCode>
                <c:ptCount val="11"/>
                <c:pt idx="0">
                  <c:v>54272</c:v>
                </c:pt>
                <c:pt idx="1">
                  <c:v>53685</c:v>
                </c:pt>
                <c:pt idx="2">
                  <c:v>54415</c:v>
                </c:pt>
                <c:pt idx="3">
                  <c:v>55029</c:v>
                </c:pt>
                <c:pt idx="4">
                  <c:v>55354</c:v>
                </c:pt>
                <c:pt idx="5">
                  <c:v>56108</c:v>
                </c:pt>
                <c:pt idx="6">
                  <c:v>57209</c:v>
                </c:pt>
                <c:pt idx="7">
                  <c:v>55559</c:v>
                </c:pt>
                <c:pt idx="8">
                  <c:v>56643</c:v>
                </c:pt>
                <c:pt idx="9">
                  <c:v>54793</c:v>
                </c:pt>
                <c:pt idx="10">
                  <c:v>57854</c:v>
                </c:pt>
              </c:numCache>
            </c:numRef>
          </c:val>
          <c:extLst>
            <c:ext xmlns:c16="http://schemas.microsoft.com/office/drawing/2014/chart" uri="{C3380CC4-5D6E-409C-BE32-E72D297353CC}">
              <c16:uniqueId val="{00000003-2CAF-409A-95B5-6251E8728EFC}"/>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'q3.1_6.1_9.1_12.1_19.1_27.1_Fig'!$R$7</c:f>
              <c:strCache>
                <c:ptCount val="1"/>
                <c:pt idx="0">
                  <c:v>Estabelecimentos</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2CAF-409A-95B5-6251E8728EFC}"/>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2CAF-409A-95B5-6251E8728EFC}"/>
              </c:ext>
            </c:extLst>
          </c:dPt>
          <c:dLbls>
            <c:dLbl>
              <c:idx val="0"/>
              <c:layout>
                <c:manualLayout>
                  <c:x val="2.8066432441944428E-2"/>
                  <c:y val="-5.9913435952709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CAF-409A-95B5-6251E8728EFC}"/>
                </c:ext>
              </c:extLst>
            </c:dLbl>
            <c:dLbl>
              <c:idx val="10"/>
              <c:layout>
                <c:manualLayout>
                  <c:x val="-8.8428567051686627E-2"/>
                  <c:y val="-6.8324732023237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CAF-409A-95B5-6251E8728EFC}"/>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AF-409A-95B5-6251E8728EFC}"/>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'q3.1_6.1_9.1_12.1_19.1_27.1_Fig'!$S$5:$AC$5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'q3.1_6.1_9.1_12.1_19.1_27.1_Fig'!$S$7:$AC$7</c:f>
              <c:numCache>
                <c:formatCode>#,##0</c:formatCode>
                <c:ptCount val="11"/>
                <c:pt idx="0">
                  <c:v>65539</c:v>
                </c:pt>
                <c:pt idx="1">
                  <c:v>64587</c:v>
                </c:pt>
                <c:pt idx="2">
                  <c:v>65289</c:v>
                </c:pt>
                <c:pt idx="3">
                  <c:v>65847</c:v>
                </c:pt>
                <c:pt idx="4">
                  <c:v>66220</c:v>
                </c:pt>
                <c:pt idx="5">
                  <c:v>66764</c:v>
                </c:pt>
                <c:pt idx="6">
                  <c:v>67989</c:v>
                </c:pt>
                <c:pt idx="7">
                  <c:v>66115</c:v>
                </c:pt>
                <c:pt idx="8">
                  <c:v>67101</c:v>
                </c:pt>
                <c:pt idx="9">
                  <c:v>64927</c:v>
                </c:pt>
                <c:pt idx="10">
                  <c:v>68270</c:v>
                </c:pt>
              </c:numCache>
            </c:numRef>
          </c:val>
          <c:smooth val="0"/>
          <c:extLst>
            <c:ext xmlns:c16="http://schemas.microsoft.com/office/drawing/2014/chart" uri="{C3380CC4-5D6E-409C-BE32-E72D297353CC}">
              <c16:uniqueId val="{00000007-2CAF-409A-95B5-6251E8728EFC}"/>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88994062500000004"/>
          <c:w val="0.66415393518518528"/>
          <c:h val="7.919131944444443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59894576291867485"/>
          <c:h val="0.61909228840533581"/>
        </c:manualLayout>
      </c:layout>
      <c:barChart>
        <c:barDir val="col"/>
        <c:grouping val="clustered"/>
        <c:varyColors val="0"/>
        <c:ser>
          <c:idx val="0"/>
          <c:order val="0"/>
          <c:tx>
            <c:strRef>
              <c:f>'q3.1_6.1_9.1_12.1_19.1_27.1_Fig'!$R$38</c:f>
              <c:strCache>
                <c:ptCount val="1"/>
                <c:pt idx="0">
                  <c:v>Pessoas ao serviço</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8.4266288849565468E-2"/>
                  <c:y val="-6.38899929266731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EC-4079-BAED-9B7534B5ED59}"/>
                </c:ext>
              </c:extLst>
            </c:dLbl>
            <c:dLbl>
              <c:idx val="10"/>
              <c:layout>
                <c:manualLayout>
                  <c:x val="-9.4456226834674278E-2"/>
                  <c:y val="2.0943783893024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EC-4079-BAED-9B7534B5ED59}"/>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EC-4079-BAED-9B7534B5ED5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'q3.1_6.1_9.1_12.1_19.1_27.1_Fig'!$S$37:$AC$37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'q3.1_6.1_9.1_12.1_19.1_27.1_Fig'!$S$38:$AC$38</c:f>
              <c:numCache>
                <c:formatCode>#,##0</c:formatCode>
                <c:ptCount val="11"/>
                <c:pt idx="0">
                  <c:v>688888.00000000012</c:v>
                </c:pt>
                <c:pt idx="1">
                  <c:v>692704</c:v>
                </c:pt>
                <c:pt idx="2">
                  <c:v>715126</c:v>
                </c:pt>
                <c:pt idx="3">
                  <c:v>730551</c:v>
                </c:pt>
                <c:pt idx="4">
                  <c:v>765222</c:v>
                </c:pt>
                <c:pt idx="5">
                  <c:v>790694</c:v>
                </c:pt>
                <c:pt idx="6">
                  <c:v>826919</c:v>
                </c:pt>
                <c:pt idx="7">
                  <c:v>845336</c:v>
                </c:pt>
                <c:pt idx="8">
                  <c:v>835460</c:v>
                </c:pt>
                <c:pt idx="9">
                  <c:v>838586</c:v>
                </c:pt>
                <c:pt idx="10">
                  <c:v>915180</c:v>
                </c:pt>
              </c:numCache>
            </c:numRef>
          </c:val>
          <c:extLst>
            <c:ext xmlns:c16="http://schemas.microsoft.com/office/drawing/2014/chart" uri="{C3380CC4-5D6E-409C-BE32-E72D297353CC}">
              <c16:uniqueId val="{00000003-F8EC-4079-BAED-9B7534B5ED59}"/>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'q3.1_6.1_9.1_12.1_19.1_27.1_Fig'!$R$39</c:f>
              <c:strCache>
                <c:ptCount val="1"/>
                <c:pt idx="0">
                  <c:v>TCO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F8EC-4079-BAED-9B7534B5ED59}"/>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F8EC-4079-BAED-9B7534B5ED59}"/>
              </c:ext>
            </c:extLst>
          </c:dPt>
          <c:dLbls>
            <c:dLbl>
              <c:idx val="0"/>
              <c:layout>
                <c:manualLayout>
                  <c:x val="2.3703827300895902E-2"/>
                  <c:y val="-6.4295530331099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EC-4079-BAED-9B7534B5ED59}"/>
                </c:ext>
              </c:extLst>
            </c:dLbl>
            <c:dLbl>
              <c:idx val="10"/>
              <c:layout>
                <c:manualLayout>
                  <c:x val="-0.18669245317552327"/>
                  <c:y val="-0.108327326619286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EC-4079-BAED-9B7534B5ED59}"/>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EC-4079-BAED-9B7534B5ED59}"/>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'q3.1_6.1_9.1_12.1_19.1_27.1_Fig'!$S$37:$AC$37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'q3.1_6.1_9.1_12.1_19.1_27.1_Fig'!$S$39:$AC$39</c:f>
              <c:numCache>
                <c:formatCode>#,##0</c:formatCode>
                <c:ptCount val="11"/>
                <c:pt idx="0">
                  <c:v>652354</c:v>
                </c:pt>
                <c:pt idx="1">
                  <c:v>656569.99999999988</c:v>
                </c:pt>
                <c:pt idx="2">
                  <c:v>677265</c:v>
                </c:pt>
                <c:pt idx="3">
                  <c:v>692513</c:v>
                </c:pt>
                <c:pt idx="4">
                  <c:v>728120</c:v>
                </c:pt>
                <c:pt idx="5">
                  <c:v>753266.00000000012</c:v>
                </c:pt>
                <c:pt idx="6">
                  <c:v>788380.00000000012</c:v>
                </c:pt>
                <c:pt idx="7">
                  <c:v>807855</c:v>
                </c:pt>
                <c:pt idx="8">
                  <c:v>797460</c:v>
                </c:pt>
                <c:pt idx="9">
                  <c:v>801493</c:v>
                </c:pt>
                <c:pt idx="10">
                  <c:v>875584</c:v>
                </c:pt>
              </c:numCache>
            </c:numRef>
          </c:val>
          <c:smooth val="0"/>
          <c:extLst>
            <c:ext xmlns:c16="http://schemas.microsoft.com/office/drawing/2014/chart" uri="{C3380CC4-5D6E-409C-BE32-E72D297353CC}">
              <c16:uniqueId val="{00000007-F8EC-4079-BAED-9B7534B5ED59}"/>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88764639535528711"/>
          <c:w val="0.62299652777777781"/>
          <c:h val="8.1485416666666671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58909629306003075"/>
          <c:h val="0.61909228840533581"/>
        </c:manualLayout>
      </c:layout>
      <c:barChart>
        <c:barDir val="col"/>
        <c:grouping val="clustered"/>
        <c:varyColors val="0"/>
        <c:ser>
          <c:idx val="0"/>
          <c:order val="0"/>
          <c:tx>
            <c:strRef>
              <c:f>'q3.1_6.1_9.1_12.1_19.1_27.1_Fig'!$R$72</c:f>
              <c:strCache>
                <c:ptCount val="1"/>
                <c:pt idx="0">
                  <c:v>Base</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chemeClr val="accent1">
                  <a:shade val="76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A49C-4FCD-A897-DC1A25A30720}"/>
              </c:ext>
            </c:extLst>
          </c:dPt>
          <c:dLbls>
            <c:dLbl>
              <c:idx val="0"/>
              <c:layout>
                <c:manualLayout>
                  <c:x val="5.4788924690077005E-2"/>
                  <c:y val="-8.2851332325181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9C-4FCD-A897-DC1A25A30720}"/>
                </c:ext>
              </c:extLst>
            </c:dLbl>
            <c:dLbl>
              <c:idx val="10"/>
              <c:layout>
                <c:manualLayout>
                  <c:x val="-0.12032991129904101"/>
                  <c:y val="-4.8872433992108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9C-4FCD-A897-DC1A25A30720}"/>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9C-4FCD-A897-DC1A25A30720}"/>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'q3.1_6.1_9.1_12.1_19.1_27.1_Fig'!$S$71:$AC$71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'q3.1_6.1_9.1_12.1_19.1_27.1_Fig'!$S$72:$AC$72</c:f>
              <c:numCache>
                <c:formatCode>#,##0.00</c:formatCode>
                <c:ptCount val="11"/>
                <c:pt idx="0">
                  <c:v>1192.6909840284645</c:v>
                </c:pt>
                <c:pt idx="1">
                  <c:v>1184.3394968190814</c:v>
                </c:pt>
                <c:pt idx="2">
                  <c:v>1174.2335426887817</c:v>
                </c:pt>
                <c:pt idx="3">
                  <c:v>1175.5703698145885</c:v>
                </c:pt>
                <c:pt idx="4">
                  <c:v>1179.7804523135078</c:v>
                </c:pt>
                <c:pt idx="5">
                  <c:v>1197.3980544344977</c:v>
                </c:pt>
                <c:pt idx="6">
                  <c:v>1219.74446356669</c:v>
                </c:pt>
                <c:pt idx="7">
                  <c:v>1255.7750738574869</c:v>
                </c:pt>
                <c:pt idx="8">
                  <c:v>1293.0735258916031</c:v>
                </c:pt>
                <c:pt idx="9">
                  <c:v>1339.8023759541529</c:v>
                </c:pt>
                <c:pt idx="10">
                  <c:v>1418.3948630060115</c:v>
                </c:pt>
              </c:numCache>
            </c:numRef>
          </c:val>
          <c:extLst>
            <c:ext xmlns:c16="http://schemas.microsoft.com/office/drawing/2014/chart" uri="{C3380CC4-5D6E-409C-BE32-E72D297353CC}">
              <c16:uniqueId val="{00000004-A49C-4FCD-A897-DC1A25A30720}"/>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'q3.1_6.1_9.1_12.1_19.1_27.1_Fig'!$R$73</c:f>
              <c:strCache>
                <c:ptCount val="1"/>
                <c:pt idx="0">
                  <c:v>Ganho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5-A49C-4FCD-A897-DC1A25A30720}"/>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6-A49C-4FCD-A897-DC1A25A30720}"/>
              </c:ext>
            </c:extLst>
          </c:dPt>
          <c:dLbls>
            <c:dLbl>
              <c:idx val="0"/>
              <c:layout>
                <c:manualLayout>
                  <c:x val="2.2241993710124357E-2"/>
                  <c:y val="-0.120134169866146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9C-4FCD-A897-DC1A25A30720}"/>
                </c:ext>
              </c:extLst>
            </c:dLbl>
            <c:dLbl>
              <c:idx val="10"/>
              <c:layout>
                <c:manualLayout>
                  <c:x val="-0.22687549822754238"/>
                  <c:y val="-7.9306513723648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9C-4FCD-A897-DC1A25A30720}"/>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9C-4FCD-A897-DC1A25A30720}"/>
                </c:ext>
              </c:extLst>
            </c:dLbl>
            <c:numFmt formatCode="#,##0.00\ &quot;€&quot;"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'q3.1_6.1_9.1_12.1_19.1_27.1_Fig'!$S$71:$AC$71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'q3.1_6.1_9.1_12.1_19.1_27.1_Fig'!$S$73:$AC$73</c:f>
              <c:numCache>
                <c:formatCode>#,##0.00</c:formatCode>
                <c:ptCount val="11"/>
                <c:pt idx="0">
                  <c:v>1436.7508171929078</c:v>
                </c:pt>
                <c:pt idx="1">
                  <c:v>1427.9555868243838</c:v>
                </c:pt>
                <c:pt idx="2">
                  <c:v>1421.2480737947819</c:v>
                </c:pt>
                <c:pt idx="3">
                  <c:v>1420.2438087132427</c:v>
                </c:pt>
                <c:pt idx="4">
                  <c:v>1424.2804857352442</c:v>
                </c:pt>
                <c:pt idx="5">
                  <c:v>1447.5142165713758</c:v>
                </c:pt>
                <c:pt idx="6">
                  <c:v>1480.7625560860886</c:v>
                </c:pt>
                <c:pt idx="7">
                  <c:v>1518.6031180967984</c:v>
                </c:pt>
                <c:pt idx="8">
                  <c:v>1558.3371113726521</c:v>
                </c:pt>
                <c:pt idx="9">
                  <c:v>1609.1367002569812</c:v>
                </c:pt>
                <c:pt idx="10">
                  <c:v>1705.138574047387</c:v>
                </c:pt>
              </c:numCache>
            </c:numRef>
          </c:val>
          <c:smooth val="0"/>
          <c:extLst>
            <c:ext xmlns:c16="http://schemas.microsoft.com/office/drawing/2014/chart" uri="{C3380CC4-5D6E-409C-BE32-E72D297353CC}">
              <c16:uniqueId val="{00000008-A49C-4FCD-A897-DC1A25A30720}"/>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1800"/>
          <c:min val="0"/>
        </c:scaling>
        <c:delete val="0"/>
        <c:axPos val="l"/>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88112118055555555"/>
          <c:w val="0.49070486111111111"/>
          <c:h val="8.360104166666665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'q3.1_6.1_9.1_12.1_19.1_27.1_Fig'!$AS$37</c:f>
              <c:strCache>
                <c:ptCount val="1"/>
                <c:pt idx="0">
                  <c:v>Empresas</c:v>
                </c:pt>
              </c:strCache>
            </c:strRef>
          </c:tx>
          <c:spPr>
            <a:solidFill>
              <a:srgbClr val="4572A5"/>
            </a:solidFill>
            <a:ln w="15875" cmpd="sng">
              <a:noFill/>
              <a:prstDash val="soli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'q3.1_6.1_9.1_12.1_19.1_27.1_Fig'!$AR$38</c:f>
              <c:strCache>
                <c:ptCount val="1"/>
                <c:pt idx="0">
                  <c:v>Norte</c:v>
                </c:pt>
              </c:strCache>
            </c:strRef>
          </c:cat>
          <c:val>
            <c:numRef>
              <c:extLst>
                <c:ext xmlns:c15="http://schemas.microsoft.com/office/drawing/2012/chart" uri="{02D57815-91ED-43cb-92C2-25804820EDAC}">
                  <c15:fullRef>
                    <c15:sqref>'q3.1_6.1_9.1_12.1_19.1_27.1_Fig'!$AS$38:$AS$44</c15:sqref>
                  </c15:fullRef>
                </c:ext>
              </c:extLst>
              <c:f>'q3.1_6.1_9.1_12.1_19.1_27.1_Fig'!$AS$38</c:f>
              <c:numCache>
                <c:formatCode>#,##0</c:formatCode>
                <c:ptCount val="1"/>
                <c:pt idx="0">
                  <c:v>110941</c:v>
                </c:pt>
              </c:numCache>
            </c:numRef>
          </c:val>
          <c:extLst>
            <c:ext xmlns:c16="http://schemas.microsoft.com/office/drawing/2014/chart" uri="{C3380CC4-5D6E-409C-BE32-E72D297353CC}">
              <c16:uniqueId val="{00000000-3306-48D2-8CE1-BA805F620CB1}"/>
            </c:ext>
          </c:extLst>
        </c:ser>
        <c:ser>
          <c:idx val="1"/>
          <c:order val="1"/>
          <c:tx>
            <c:strRef>
              <c:f>'q3.1_6.1_9.1_12.1_19.1_27.1_Fig'!$AT$37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'q3.1_6.1_9.1_12.1_19.1_27.1_Fig'!$AR$38</c:f>
              <c:strCache>
                <c:ptCount val="1"/>
                <c:pt idx="0">
                  <c:v>Norte</c:v>
                </c:pt>
              </c:strCache>
            </c:strRef>
          </c:cat>
          <c:val>
            <c:numRef>
              <c:extLst>
                <c:ext xmlns:c15="http://schemas.microsoft.com/office/drawing/2012/chart" uri="{02D57815-91ED-43cb-92C2-25804820EDAC}">
                  <c15:fullRef>
                    <c15:sqref>'q3.1_6.1_9.1_12.1_19.1_27.1_Fig'!$AT$38:$AT$44</c15:sqref>
                  </c15:fullRef>
                </c:ext>
              </c:extLst>
              <c:f>'q3.1_6.1_9.1_12.1_19.1_27.1_Fig'!$AT$38</c:f>
              <c:numCache>
                <c:formatCode>#,##0</c:formatCode>
                <c:ptCount val="1"/>
                <c:pt idx="0">
                  <c:v>126463</c:v>
                </c:pt>
              </c:numCache>
            </c:numRef>
          </c:val>
          <c:extLst>
            <c:ext xmlns:c16="http://schemas.microsoft.com/office/drawing/2014/chart" uri="{C3380CC4-5D6E-409C-BE32-E72D297353CC}">
              <c16:uniqueId val="{00000001-3306-48D2-8CE1-BA805F620CB1}"/>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'q3.1_6.1_9.1_12.1_19.1_27.1_Fig'!$AR$39</c:f>
              <c:strCache>
                <c:ptCount val="1"/>
                <c:pt idx="0">
                  <c:v>Centro</c:v>
                </c:pt>
              </c:strCache>
            </c:strRef>
          </c:cat>
          <c:val>
            <c:numRef>
              <c:extLst>
                <c:ext xmlns:c15="http://schemas.microsoft.com/office/drawing/2012/chart" uri="{02D57815-91ED-43cb-92C2-25804820EDAC}">
                  <c15:fullRef>
                    <c15:sqref>'q3.1_6.1_9.1_12.1_19.1_27.1_Fig'!$AS$38:$AS$44</c15:sqref>
                  </c15:fullRef>
                </c:ext>
              </c:extLst>
              <c:f>'q3.1_6.1_9.1_12.1_19.1_27.1_Fig'!$AS$39</c:f>
              <c:numCache>
                <c:formatCode>#,##0</c:formatCode>
                <c:ptCount val="1"/>
                <c:pt idx="0">
                  <c:v>46520</c:v>
                </c:pt>
              </c:numCache>
            </c:numRef>
          </c:val>
          <c:extLst>
            <c:ext xmlns:c16="http://schemas.microsoft.com/office/drawing/2014/chart" uri="{C3380CC4-5D6E-409C-BE32-E72D297353CC}">
              <c16:uniqueId val="{00000000-17F5-4BC1-A117-99C450BF8C5C}"/>
            </c:ext>
          </c:extLst>
        </c:ser>
        <c:ser>
          <c:idx val="1"/>
          <c:order val="1"/>
          <c:tx>
            <c:strRef>
              <c:f>'q3.1_6.1_9.1_12.1_19.1_27.1_Fig'!$AT$37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'q3.1_6.1_9.1_12.1_19.1_27.1_Fig'!$AR$39</c:f>
              <c:strCache>
                <c:ptCount val="1"/>
                <c:pt idx="0">
                  <c:v>Centro</c:v>
                </c:pt>
              </c:strCache>
            </c:strRef>
          </c:cat>
          <c:val>
            <c:numRef>
              <c:extLst>
                <c:ext xmlns:c15="http://schemas.microsoft.com/office/drawing/2012/chart" uri="{02D57815-91ED-43cb-92C2-25804820EDAC}">
                  <c15:fullRef>
                    <c15:sqref>'q3.1_6.1_9.1_12.1_19.1_27.1_Fig'!$AT$38:$AT$44</c15:sqref>
                  </c15:fullRef>
                </c:ext>
              </c:extLst>
              <c:f>'q3.1_6.1_9.1_12.1_19.1_27.1_Fig'!$AT$39</c:f>
              <c:numCache>
                <c:formatCode>#,##0</c:formatCode>
                <c:ptCount val="1"/>
                <c:pt idx="0">
                  <c:v>54851</c:v>
                </c:pt>
              </c:numCache>
            </c:numRef>
          </c:val>
          <c:extLst>
            <c:ext xmlns:c16="http://schemas.microsoft.com/office/drawing/2014/chart" uri="{C3380CC4-5D6E-409C-BE32-E72D297353CC}">
              <c16:uniqueId val="{00000001-17F5-4BC1-A117-99C450BF8C5C}"/>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'q3.1_6.1_9.1_12.1_19.1_27.1_Fig'!$AR$40</c:f>
              <c:strCache>
                <c:ptCount val="1"/>
                <c:pt idx="0">
                  <c:v>Oeste e Vale do Tejo</c:v>
                </c:pt>
              </c:strCache>
            </c:strRef>
          </c:cat>
          <c:val>
            <c:numRef>
              <c:extLst>
                <c:ext xmlns:c15="http://schemas.microsoft.com/office/drawing/2012/chart" uri="{02D57815-91ED-43cb-92C2-25804820EDAC}">
                  <c15:fullRef>
                    <c15:sqref>'q3.1_6.1_9.1_12.1_19.1_27.1_Fig'!$AS$38:$AS$44</c15:sqref>
                  </c15:fullRef>
                </c:ext>
              </c:extLst>
              <c:f>'q3.1_6.1_9.1_12.1_19.1_27.1_Fig'!$AS$40</c:f>
              <c:numCache>
                <c:formatCode>#,##0</c:formatCode>
                <c:ptCount val="1"/>
                <c:pt idx="0">
                  <c:v>23397</c:v>
                </c:pt>
              </c:numCache>
            </c:numRef>
          </c:val>
          <c:extLst>
            <c:ext xmlns:c16="http://schemas.microsoft.com/office/drawing/2014/chart" uri="{C3380CC4-5D6E-409C-BE32-E72D297353CC}">
              <c16:uniqueId val="{00000000-C379-4AA7-984A-3B322BED12A4}"/>
            </c:ext>
          </c:extLst>
        </c:ser>
        <c:ser>
          <c:idx val="1"/>
          <c:order val="1"/>
          <c:tx>
            <c:strRef>
              <c:f>'q3.1_6.1_9.1_12.1_19.1_27.1_Fig'!$AT$37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'q3.1_6.1_9.1_12.1_19.1_27.1_Fig'!$AR$40</c:f>
              <c:strCache>
                <c:ptCount val="1"/>
                <c:pt idx="0">
                  <c:v>Oeste e Vale do Tejo</c:v>
                </c:pt>
              </c:strCache>
            </c:strRef>
          </c:cat>
          <c:val>
            <c:numRef>
              <c:extLst>
                <c:ext xmlns:c15="http://schemas.microsoft.com/office/drawing/2012/chart" uri="{02D57815-91ED-43cb-92C2-25804820EDAC}">
                  <c15:fullRef>
                    <c15:sqref>'q3.1_6.1_9.1_12.1_19.1_27.1_Fig'!$AT$38:$AT$44</c15:sqref>
                  </c15:fullRef>
                </c:ext>
              </c:extLst>
              <c:f>'q3.1_6.1_9.1_12.1_19.1_27.1_Fig'!$AT$40</c:f>
              <c:numCache>
                <c:formatCode>#,##0</c:formatCode>
                <c:ptCount val="1"/>
                <c:pt idx="0">
                  <c:v>27499</c:v>
                </c:pt>
              </c:numCache>
            </c:numRef>
          </c:val>
          <c:extLst>
            <c:ext xmlns:c16="http://schemas.microsoft.com/office/drawing/2014/chart" uri="{C3380CC4-5D6E-409C-BE32-E72D297353CC}">
              <c16:uniqueId val="{00000001-C379-4AA7-984A-3B322BED12A4}"/>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majorUnit val="4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'q3.1_6.1_9.1_12.1_19.1_27.1_Fig'!$AR$42</c:f>
              <c:strCache>
                <c:ptCount val="1"/>
                <c:pt idx="0">
                  <c:v>Península de Setúbal</c:v>
                </c:pt>
              </c:strCache>
            </c:strRef>
          </c:cat>
          <c:val>
            <c:numRef>
              <c:extLst>
                <c:ext xmlns:c15="http://schemas.microsoft.com/office/drawing/2012/chart" uri="{02D57815-91ED-43cb-92C2-25804820EDAC}">
                  <c15:fullRef>
                    <c15:sqref>'q3.1_6.1_9.1_12.1_19.1_27.1_Fig'!$AS$38:$AS$44</c15:sqref>
                  </c15:fullRef>
                </c:ext>
              </c:extLst>
              <c:f>'q3.1_6.1_9.1_12.1_19.1_27.1_Fig'!$AS$42</c:f>
              <c:numCache>
                <c:formatCode>#,##0</c:formatCode>
                <c:ptCount val="1"/>
                <c:pt idx="0">
                  <c:v>14699</c:v>
                </c:pt>
              </c:numCache>
            </c:numRef>
          </c:val>
          <c:extLst>
            <c:ext xmlns:c16="http://schemas.microsoft.com/office/drawing/2014/chart" uri="{C3380CC4-5D6E-409C-BE32-E72D297353CC}">
              <c16:uniqueId val="{00000000-DFFA-4B81-BF7C-68426DBE9865}"/>
            </c:ext>
          </c:extLst>
        </c:ser>
        <c:ser>
          <c:idx val="1"/>
          <c:order val="1"/>
          <c:tx>
            <c:strRef>
              <c:f>'q3.1_6.1_9.1_12.1_19.1_27.1_Fig'!$AT$37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'q3.1_6.1_9.1_12.1_19.1_27.1_Fig'!$AR$42</c:f>
              <c:strCache>
                <c:ptCount val="1"/>
                <c:pt idx="0">
                  <c:v>Península de Setúbal</c:v>
                </c:pt>
              </c:strCache>
            </c:strRef>
          </c:cat>
          <c:val>
            <c:numRef>
              <c:extLst>
                <c:ext xmlns:c15="http://schemas.microsoft.com/office/drawing/2012/chart" uri="{02D57815-91ED-43cb-92C2-25804820EDAC}">
                  <c15:fullRef>
                    <c15:sqref>'q3.1_6.1_9.1_12.1_19.1_27.1_Fig'!$AT$38:$AT$44</c15:sqref>
                  </c15:fullRef>
                </c:ext>
              </c:extLst>
              <c:f>'q3.1_6.1_9.1_12.1_19.1_27.1_Fig'!$AT$42</c:f>
              <c:numCache>
                <c:formatCode>#,##0</c:formatCode>
                <c:ptCount val="1"/>
                <c:pt idx="0">
                  <c:v>17786</c:v>
                </c:pt>
              </c:numCache>
            </c:numRef>
          </c:val>
          <c:extLst>
            <c:ext xmlns:c16="http://schemas.microsoft.com/office/drawing/2014/chart" uri="{C3380CC4-5D6E-409C-BE32-E72D297353CC}">
              <c16:uniqueId val="{00000001-DFFA-4B81-BF7C-68426DBE9865}"/>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00000"/>
          <c:min val="0"/>
        </c:scaling>
        <c:delete val="1"/>
        <c:axPos val="l"/>
        <c:numFmt formatCode="#,##0" sourceLinked="1"/>
        <c:majorTickMark val="out"/>
        <c:minorTickMark val="none"/>
        <c:tickLblPos val="nextTo"/>
        <c:crossAx val="636287087"/>
        <c:crosses val="autoZero"/>
        <c:crossBetween val="between"/>
        <c:majorUnit val="50000"/>
        <c:minorUnit val="1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PT" sz="900" b="1">
                <a:solidFill>
                  <a:schemeClr val="tx2">
                    <a:lumMod val="75000"/>
                  </a:schemeClr>
                </a:solidFill>
              </a:rPr>
              <a:t>...por Secção de Atividade Económica* do</a:t>
            </a:r>
            <a:r>
              <a:rPr lang="pt-PT" sz="900" b="1" baseline="0">
                <a:solidFill>
                  <a:schemeClr val="tx2">
                    <a:lumMod val="75000"/>
                  </a:schemeClr>
                </a:solidFill>
              </a:rPr>
              <a:t> estabelecimento</a:t>
            </a:r>
            <a:endParaRPr lang="pt-PT" sz="900" b="1">
              <a:solidFill>
                <a:schemeClr val="tx2">
                  <a:lumMod val="75000"/>
                </a:schemeClr>
              </a:solidFill>
            </a:endParaRPr>
          </a:p>
        </c:rich>
      </c:tx>
      <c:layout>
        <c:manualLayout>
          <c:xMode val="edge"/>
          <c:yMode val="edge"/>
          <c:x val="0.46600349040139616"/>
          <c:y val="3.71345029239766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PT"/>
        </a:p>
      </c:txPr>
    </c:title>
    <c:autoTitleDeleted val="0"/>
    <c:plotArea>
      <c:layout/>
      <c:barChart>
        <c:barDir val="col"/>
        <c:grouping val="stacked"/>
        <c:varyColors val="0"/>
        <c:ser>
          <c:idx val="0"/>
          <c:order val="0"/>
          <c:tx>
            <c:strRef>
              <c:f>q7_q8_q10_q11_Fig!$R$7</c:f>
              <c:strCache>
                <c:ptCount val="1"/>
                <c:pt idx="0">
                  <c:v>A</c:v>
                </c:pt>
              </c:strCache>
            </c:strRef>
          </c:tx>
          <c:spPr>
            <a:solidFill>
              <a:schemeClr val="accent1"/>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q7_q8_q10_q11_Fig!$S$7:$AC$7</c:f>
              <c:numCache>
                <c:formatCode>General</c:formatCode>
                <c:ptCount val="11"/>
                <c:pt idx="0">
                  <c:v>48046</c:v>
                </c:pt>
                <c:pt idx="1">
                  <c:v>52455</c:v>
                </c:pt>
                <c:pt idx="2">
                  <c:v>54661</c:v>
                </c:pt>
                <c:pt idx="3">
                  <c:v>57045</c:v>
                </c:pt>
                <c:pt idx="4">
                  <c:v>60375</c:v>
                </c:pt>
                <c:pt idx="5">
                  <c:v>61737</c:v>
                </c:pt>
                <c:pt idx="6">
                  <c:v>65121</c:v>
                </c:pt>
                <c:pt idx="7">
                  <c:v>66106</c:v>
                </c:pt>
                <c:pt idx="8">
                  <c:v>69923</c:v>
                </c:pt>
                <c:pt idx="9">
                  <c:v>68486</c:v>
                </c:pt>
                <c:pt idx="10">
                  <c:v>74274</c:v>
                </c:pt>
              </c:numCache>
            </c:numRef>
          </c:val>
          <c:extLst xmlns:c15="http://schemas.microsoft.com/office/drawing/2012/chart">
            <c:ext xmlns:c16="http://schemas.microsoft.com/office/drawing/2014/chart" uri="{C3380CC4-5D6E-409C-BE32-E72D297353CC}">
              <c16:uniqueId val="{00000000-6646-49E4-B77D-FBBB2FE74EB7}"/>
            </c:ext>
          </c:extLst>
        </c:ser>
        <c:ser>
          <c:idx val="1"/>
          <c:order val="1"/>
          <c:tx>
            <c:strRef>
              <c:f>q7_q8_q10_q11_Fig!$R$8</c:f>
              <c:strCache>
                <c:ptCount val="1"/>
                <c:pt idx="0">
                  <c:v>B</c:v>
                </c:pt>
              </c:strCache>
            </c:strRef>
          </c:tx>
          <c:spPr>
            <a:solidFill>
              <a:schemeClr val="accent3"/>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q7_q8_q10_q11_Fig!$S$8:$AC$8</c:f>
              <c:numCache>
                <c:formatCode>General</c:formatCode>
                <c:ptCount val="11"/>
                <c:pt idx="0">
                  <c:v>8294</c:v>
                </c:pt>
                <c:pt idx="1">
                  <c:v>8319</c:v>
                </c:pt>
                <c:pt idx="2">
                  <c:v>8158</c:v>
                </c:pt>
                <c:pt idx="3">
                  <c:v>8132</c:v>
                </c:pt>
                <c:pt idx="4">
                  <c:v>8049</c:v>
                </c:pt>
                <c:pt idx="5">
                  <c:v>8407</c:v>
                </c:pt>
                <c:pt idx="6">
                  <c:v>8338</c:v>
                </c:pt>
                <c:pt idx="7">
                  <c:v>8161</c:v>
                </c:pt>
                <c:pt idx="8">
                  <c:v>8029</c:v>
                </c:pt>
                <c:pt idx="9">
                  <c:v>8140</c:v>
                </c:pt>
                <c:pt idx="10">
                  <c:v>8518</c:v>
                </c:pt>
              </c:numCache>
            </c:numRef>
          </c:val>
          <c:extLst>
            <c:ext xmlns:c16="http://schemas.microsoft.com/office/drawing/2014/chart" uri="{C3380CC4-5D6E-409C-BE32-E72D297353CC}">
              <c16:uniqueId val="{00000001-6646-49E4-B77D-FBBB2FE74EB7}"/>
            </c:ext>
          </c:extLst>
        </c:ser>
        <c:ser>
          <c:idx val="2"/>
          <c:order val="2"/>
          <c:tx>
            <c:strRef>
              <c:f>q7_q8_q10_q11_Fig!$R$9</c:f>
              <c:strCache>
                <c:ptCount val="1"/>
                <c:pt idx="0">
                  <c:v>C</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q7_q8_q10_q11_Fig!$S$9:$AC$9</c:f>
              <c:numCache>
                <c:formatCode>General</c:formatCode>
                <c:ptCount val="11"/>
                <c:pt idx="0">
                  <c:v>539570</c:v>
                </c:pt>
                <c:pt idx="1">
                  <c:v>541161</c:v>
                </c:pt>
                <c:pt idx="2">
                  <c:v>557477</c:v>
                </c:pt>
                <c:pt idx="3">
                  <c:v>572207</c:v>
                </c:pt>
                <c:pt idx="4">
                  <c:v>589603</c:v>
                </c:pt>
                <c:pt idx="5">
                  <c:v>613379</c:v>
                </c:pt>
                <c:pt idx="6">
                  <c:v>633595</c:v>
                </c:pt>
                <c:pt idx="7">
                  <c:v>625633</c:v>
                </c:pt>
                <c:pt idx="8">
                  <c:v>614674</c:v>
                </c:pt>
                <c:pt idx="9">
                  <c:v>612054</c:v>
                </c:pt>
                <c:pt idx="10">
                  <c:v>642354</c:v>
                </c:pt>
              </c:numCache>
            </c:numRef>
          </c:val>
          <c:extLst>
            <c:ext xmlns:c16="http://schemas.microsoft.com/office/drawing/2014/chart" uri="{C3380CC4-5D6E-409C-BE32-E72D297353CC}">
              <c16:uniqueId val="{00000002-6646-49E4-B77D-FBBB2FE74EB7}"/>
            </c:ext>
          </c:extLst>
        </c:ser>
        <c:ser>
          <c:idx val="3"/>
          <c:order val="3"/>
          <c:tx>
            <c:strRef>
              <c:f>q7_q8_q10_q11_Fig!$R$10</c:f>
              <c:strCache>
                <c:ptCount val="1"/>
                <c:pt idx="0">
                  <c:v>D</c:v>
                </c:pt>
              </c:strCache>
            </c:strRef>
          </c:tx>
          <c:spPr>
            <a:solidFill>
              <a:schemeClr val="accent1">
                <a:lumMod val="60000"/>
              </a:schemeClr>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q7_q8_q10_q11_Fig!$S$10:$AC$10</c:f>
              <c:numCache>
                <c:formatCode>General</c:formatCode>
                <c:ptCount val="11"/>
                <c:pt idx="0">
                  <c:v>6828</c:v>
                </c:pt>
                <c:pt idx="1">
                  <c:v>6577</c:v>
                </c:pt>
                <c:pt idx="2">
                  <c:v>6277</c:v>
                </c:pt>
                <c:pt idx="3">
                  <c:v>6611</c:v>
                </c:pt>
                <c:pt idx="4">
                  <c:v>6390</c:v>
                </c:pt>
                <c:pt idx="5">
                  <c:v>6505</c:v>
                </c:pt>
                <c:pt idx="6">
                  <c:v>6748</c:v>
                </c:pt>
                <c:pt idx="7">
                  <c:v>6736</c:v>
                </c:pt>
                <c:pt idx="8">
                  <c:v>6671</c:v>
                </c:pt>
                <c:pt idx="9">
                  <c:v>6574</c:v>
                </c:pt>
                <c:pt idx="10">
                  <c:v>6551</c:v>
                </c:pt>
              </c:numCache>
            </c:numRef>
          </c:val>
          <c:extLst>
            <c:ext xmlns:c16="http://schemas.microsoft.com/office/drawing/2014/chart" uri="{C3380CC4-5D6E-409C-BE32-E72D297353CC}">
              <c16:uniqueId val="{00000003-6646-49E4-B77D-FBBB2FE74EB7}"/>
            </c:ext>
          </c:extLst>
        </c:ser>
        <c:ser>
          <c:idx val="4"/>
          <c:order val="4"/>
          <c:tx>
            <c:strRef>
              <c:f>q7_q8_q10_q11_Fig!$R$11</c:f>
              <c:strCache>
                <c:ptCount val="1"/>
                <c:pt idx="0">
                  <c:v>E</c:v>
                </c:pt>
              </c:strCache>
            </c:strRef>
          </c:tx>
          <c:spPr>
            <a:solidFill>
              <a:schemeClr val="accent3">
                <a:lumMod val="60000"/>
              </a:schemeClr>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q7_q8_q10_q11_Fig!$S$11:$AC$11</c:f>
              <c:numCache>
                <c:formatCode>General</c:formatCode>
                <c:ptCount val="11"/>
                <c:pt idx="0">
                  <c:v>19881</c:v>
                </c:pt>
                <c:pt idx="1">
                  <c:v>20353</c:v>
                </c:pt>
                <c:pt idx="2">
                  <c:v>20348</c:v>
                </c:pt>
                <c:pt idx="3">
                  <c:v>20860</c:v>
                </c:pt>
                <c:pt idx="4">
                  <c:v>22233</c:v>
                </c:pt>
                <c:pt idx="5">
                  <c:v>23079</c:v>
                </c:pt>
                <c:pt idx="6">
                  <c:v>23567</c:v>
                </c:pt>
                <c:pt idx="7">
                  <c:v>24904</c:v>
                </c:pt>
                <c:pt idx="8">
                  <c:v>25711</c:v>
                </c:pt>
                <c:pt idx="9">
                  <c:v>27469</c:v>
                </c:pt>
                <c:pt idx="10">
                  <c:v>28585</c:v>
                </c:pt>
              </c:numCache>
            </c:numRef>
          </c:val>
          <c:extLst>
            <c:ext xmlns:c16="http://schemas.microsoft.com/office/drawing/2014/chart" uri="{C3380CC4-5D6E-409C-BE32-E72D297353CC}">
              <c16:uniqueId val="{00000004-6646-49E4-B77D-FBBB2FE74EB7}"/>
            </c:ext>
          </c:extLst>
        </c:ser>
        <c:ser>
          <c:idx val="5"/>
          <c:order val="5"/>
          <c:tx>
            <c:strRef>
              <c:f>q7_q8_q10_q11_Fig!$R$12</c:f>
              <c:strCache>
                <c:ptCount val="1"/>
                <c:pt idx="0">
                  <c:v>F</c:v>
                </c:pt>
              </c:strCache>
            </c:strRef>
          </c:tx>
          <c:spPr>
            <a:solidFill>
              <a:schemeClr val="accent5">
                <a:lumMod val="60000"/>
              </a:schemeClr>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4DF5-4D5B-A7E8-8DA0DB9067D4}"/>
                </c:ext>
              </c:extLst>
            </c:dLbl>
            <c:dLbl>
              <c:idx val="4"/>
              <c:delete val="1"/>
              <c:extLst>
                <c:ext xmlns:c15="http://schemas.microsoft.com/office/drawing/2012/chart" uri="{CE6537A1-D6FC-4f65-9D91-7224C49458BB}"/>
                <c:ext xmlns:c16="http://schemas.microsoft.com/office/drawing/2014/chart" uri="{C3380CC4-5D6E-409C-BE32-E72D297353CC}">
                  <c16:uniqueId val="{00000005-6646-49E4-B77D-FBBB2FE74EB7}"/>
                </c:ext>
              </c:extLst>
            </c:dLbl>
            <c:dLbl>
              <c:idx val="5"/>
              <c:delete val="1"/>
              <c:extLst>
                <c:ext xmlns:c15="http://schemas.microsoft.com/office/drawing/2012/chart" uri="{CE6537A1-D6FC-4f65-9D91-7224C49458BB}"/>
                <c:ext xmlns:c16="http://schemas.microsoft.com/office/drawing/2014/chart" uri="{C3380CC4-5D6E-409C-BE32-E72D297353CC}">
                  <c16:uniqueId val="{00000006-6646-49E4-B77D-FBBB2FE74EB7}"/>
                </c:ext>
              </c:extLst>
            </c:dLbl>
            <c:dLbl>
              <c:idx val="6"/>
              <c:delete val="1"/>
              <c:extLst>
                <c:ext xmlns:c15="http://schemas.microsoft.com/office/drawing/2012/chart" uri="{CE6537A1-D6FC-4f65-9D91-7224C49458BB}"/>
                <c:ext xmlns:c16="http://schemas.microsoft.com/office/drawing/2014/chart" uri="{C3380CC4-5D6E-409C-BE32-E72D297353CC}">
                  <c16:uniqueId val="{00000007-6646-49E4-B77D-FBBB2FE74EB7}"/>
                </c:ext>
              </c:extLst>
            </c:dLbl>
            <c:dLbl>
              <c:idx val="7"/>
              <c:delete val="1"/>
              <c:extLst>
                <c:ext xmlns:c15="http://schemas.microsoft.com/office/drawing/2012/chart" uri="{CE6537A1-D6FC-4f65-9D91-7224C49458BB}"/>
                <c:ext xmlns:c16="http://schemas.microsoft.com/office/drawing/2014/chart" uri="{C3380CC4-5D6E-409C-BE32-E72D297353CC}">
                  <c16:uniqueId val="{00000008-6646-49E4-B77D-FBBB2FE74EB7}"/>
                </c:ext>
              </c:extLst>
            </c:dLbl>
            <c:dLbl>
              <c:idx val="10"/>
              <c:delete val="1"/>
              <c:extLst>
                <c:ext xmlns:c15="http://schemas.microsoft.com/office/drawing/2012/chart" uri="{CE6537A1-D6FC-4f65-9D91-7224C49458BB}"/>
                <c:ext xmlns:c16="http://schemas.microsoft.com/office/drawing/2014/chart" uri="{C3380CC4-5D6E-409C-BE32-E72D297353CC}">
                  <c16:uniqueId val="{00000002-4DF5-4D5B-A7E8-8DA0DB9067D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q7_q8_q10_q11_Fig!$S$12:$AC$12</c:f>
              <c:numCache>
                <c:formatCode>General</c:formatCode>
                <c:ptCount val="11"/>
                <c:pt idx="0">
                  <c:v>191754</c:v>
                </c:pt>
                <c:pt idx="1">
                  <c:v>178328</c:v>
                </c:pt>
                <c:pt idx="2">
                  <c:v>178366</c:v>
                </c:pt>
                <c:pt idx="3">
                  <c:v>178864</c:v>
                </c:pt>
                <c:pt idx="4">
                  <c:v>183547</c:v>
                </c:pt>
                <c:pt idx="5">
                  <c:v>195420</c:v>
                </c:pt>
                <c:pt idx="6">
                  <c:v>206868</c:v>
                </c:pt>
                <c:pt idx="7">
                  <c:v>219984</c:v>
                </c:pt>
                <c:pt idx="8">
                  <c:v>232381</c:v>
                </c:pt>
                <c:pt idx="9">
                  <c:v>234450</c:v>
                </c:pt>
                <c:pt idx="10">
                  <c:v>253501</c:v>
                </c:pt>
              </c:numCache>
            </c:numRef>
          </c:val>
          <c:extLst>
            <c:ext xmlns:c16="http://schemas.microsoft.com/office/drawing/2014/chart" uri="{C3380CC4-5D6E-409C-BE32-E72D297353CC}">
              <c16:uniqueId val="{0000000A-6646-49E4-B77D-FBBB2FE74EB7}"/>
            </c:ext>
          </c:extLst>
        </c:ser>
        <c:ser>
          <c:idx val="6"/>
          <c:order val="6"/>
          <c:tx>
            <c:strRef>
              <c:f>q7_q8_q10_q11_Fig!$R$13</c:f>
              <c:strCache>
                <c:ptCount val="1"/>
                <c:pt idx="0">
                  <c:v>G</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q7_q8_q10_q11_Fig!$S$13:$AC$13</c:f>
              <c:numCache>
                <c:formatCode>General</c:formatCode>
                <c:ptCount val="11"/>
                <c:pt idx="0">
                  <c:v>460720</c:v>
                </c:pt>
                <c:pt idx="1">
                  <c:v>452371</c:v>
                </c:pt>
                <c:pt idx="2">
                  <c:v>463519</c:v>
                </c:pt>
                <c:pt idx="3">
                  <c:v>478256</c:v>
                </c:pt>
                <c:pt idx="4">
                  <c:v>492250</c:v>
                </c:pt>
                <c:pt idx="5">
                  <c:v>507360</c:v>
                </c:pt>
                <c:pt idx="6">
                  <c:v>522673</c:v>
                </c:pt>
                <c:pt idx="7">
                  <c:v>538367</c:v>
                </c:pt>
                <c:pt idx="8">
                  <c:v>525816</c:v>
                </c:pt>
                <c:pt idx="9">
                  <c:v>533620</c:v>
                </c:pt>
                <c:pt idx="10">
                  <c:v>559353</c:v>
                </c:pt>
              </c:numCache>
            </c:numRef>
          </c:val>
          <c:extLst>
            <c:ext xmlns:c16="http://schemas.microsoft.com/office/drawing/2014/chart" uri="{C3380CC4-5D6E-409C-BE32-E72D297353CC}">
              <c16:uniqueId val="{0000000B-6646-49E4-B77D-FBBB2FE74EB7}"/>
            </c:ext>
          </c:extLst>
        </c:ser>
        <c:ser>
          <c:idx val="7"/>
          <c:order val="7"/>
          <c:tx>
            <c:strRef>
              <c:f>q7_q8_q10_q11_Fig!$R$14</c:f>
              <c:strCache>
                <c:ptCount val="1"/>
                <c:pt idx="0">
                  <c:v>H</c:v>
                </c:pt>
              </c:strCache>
            </c:strRef>
          </c:tx>
          <c:spPr>
            <a:solidFill>
              <a:schemeClr val="accent3">
                <a:lumMod val="80000"/>
                <a:lumOff val="20000"/>
              </a:schemeClr>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q7_q8_q10_q11_Fig!$S$14:$AC$14</c:f>
              <c:numCache>
                <c:formatCode>General</c:formatCode>
                <c:ptCount val="11"/>
                <c:pt idx="0">
                  <c:v>118244</c:v>
                </c:pt>
                <c:pt idx="1">
                  <c:v>116904</c:v>
                </c:pt>
                <c:pt idx="2">
                  <c:v>122986</c:v>
                </c:pt>
                <c:pt idx="3">
                  <c:v>127238</c:v>
                </c:pt>
                <c:pt idx="4">
                  <c:v>132842</c:v>
                </c:pt>
                <c:pt idx="5">
                  <c:v>140148</c:v>
                </c:pt>
                <c:pt idx="6">
                  <c:v>145741</c:v>
                </c:pt>
                <c:pt idx="7">
                  <c:v>147408</c:v>
                </c:pt>
                <c:pt idx="8">
                  <c:v>146314</c:v>
                </c:pt>
                <c:pt idx="9">
                  <c:v>142969</c:v>
                </c:pt>
                <c:pt idx="10">
                  <c:v>149925</c:v>
                </c:pt>
              </c:numCache>
            </c:numRef>
          </c:val>
          <c:extLst>
            <c:ext xmlns:c16="http://schemas.microsoft.com/office/drawing/2014/chart" uri="{C3380CC4-5D6E-409C-BE32-E72D297353CC}">
              <c16:uniqueId val="{0000000C-6646-49E4-B77D-FBBB2FE74EB7}"/>
            </c:ext>
          </c:extLst>
        </c:ser>
        <c:ser>
          <c:idx val="8"/>
          <c:order val="8"/>
          <c:tx>
            <c:strRef>
              <c:f>q7_q8_q10_q11_Fig!$R$15</c:f>
              <c:strCache>
                <c:ptCount val="1"/>
                <c:pt idx="0">
                  <c:v>I</c:v>
                </c:pt>
              </c:strCache>
            </c:strRef>
          </c:tx>
          <c:spPr>
            <a:solidFill>
              <a:schemeClr val="accent5">
                <a:lumMod val="80000"/>
                <a:lumOff val="2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6646-49E4-B77D-FBBB2FE74EB7}"/>
                </c:ext>
              </c:extLst>
            </c:dLbl>
            <c:dLbl>
              <c:idx val="1"/>
              <c:delete val="1"/>
              <c:extLst>
                <c:ext xmlns:c15="http://schemas.microsoft.com/office/drawing/2012/chart" uri="{CE6537A1-D6FC-4f65-9D91-7224C49458BB}"/>
                <c:ext xmlns:c16="http://schemas.microsoft.com/office/drawing/2014/chart" uri="{C3380CC4-5D6E-409C-BE32-E72D297353CC}">
                  <c16:uniqueId val="{0000000E-6646-49E4-B77D-FBBB2FE74EB7}"/>
                </c:ext>
              </c:extLst>
            </c:dLbl>
            <c:dLbl>
              <c:idx val="2"/>
              <c:delete val="1"/>
              <c:extLst>
                <c:ext xmlns:c15="http://schemas.microsoft.com/office/drawing/2012/chart" uri="{CE6537A1-D6FC-4f65-9D91-7224C49458BB}"/>
                <c:ext xmlns:c16="http://schemas.microsoft.com/office/drawing/2014/chart" uri="{C3380CC4-5D6E-409C-BE32-E72D297353CC}">
                  <c16:uniqueId val="{0000000F-6646-49E4-B77D-FBBB2FE74EB7}"/>
                </c:ext>
              </c:extLst>
            </c:dLbl>
            <c:dLbl>
              <c:idx val="8"/>
              <c:delete val="1"/>
              <c:extLst>
                <c:ext xmlns:c15="http://schemas.microsoft.com/office/drawing/2012/chart" uri="{CE6537A1-D6FC-4f65-9D91-7224C49458BB}"/>
                <c:ext xmlns:c16="http://schemas.microsoft.com/office/drawing/2014/chart" uri="{C3380CC4-5D6E-409C-BE32-E72D297353CC}">
                  <c16:uniqueId val="{00000001-4DF5-4D5B-A7E8-8DA0DB9067D4}"/>
                </c:ext>
              </c:extLst>
            </c:dLbl>
            <c:dLbl>
              <c:idx val="9"/>
              <c:delete val="1"/>
              <c:extLst>
                <c:ext xmlns:c15="http://schemas.microsoft.com/office/drawing/2012/chart" uri="{CE6537A1-D6FC-4f65-9D91-7224C49458BB}"/>
                <c:ext xmlns:c16="http://schemas.microsoft.com/office/drawing/2014/chart" uri="{C3380CC4-5D6E-409C-BE32-E72D297353CC}">
                  <c16:uniqueId val="{00000011-6646-49E4-B77D-FBBB2FE74EB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q7_q8_q10_q11_Fig!$S$15:$AC$15</c:f>
              <c:numCache>
                <c:formatCode>General</c:formatCode>
                <c:ptCount val="11"/>
                <c:pt idx="0">
                  <c:v>166346</c:v>
                </c:pt>
                <c:pt idx="1">
                  <c:v>166559</c:v>
                </c:pt>
                <c:pt idx="2">
                  <c:v>174663</c:v>
                </c:pt>
                <c:pt idx="3">
                  <c:v>189219</c:v>
                </c:pt>
                <c:pt idx="4">
                  <c:v>204110</c:v>
                </c:pt>
                <c:pt idx="5">
                  <c:v>223805</c:v>
                </c:pt>
                <c:pt idx="6">
                  <c:v>241853</c:v>
                </c:pt>
                <c:pt idx="7">
                  <c:v>251350</c:v>
                </c:pt>
                <c:pt idx="8">
                  <c:v>214079</c:v>
                </c:pt>
                <c:pt idx="9">
                  <c:v>220649</c:v>
                </c:pt>
                <c:pt idx="10">
                  <c:v>259660</c:v>
                </c:pt>
              </c:numCache>
            </c:numRef>
          </c:val>
          <c:extLst>
            <c:ext xmlns:c16="http://schemas.microsoft.com/office/drawing/2014/chart" uri="{C3380CC4-5D6E-409C-BE32-E72D297353CC}">
              <c16:uniqueId val="{00000013-6646-49E4-B77D-FBBB2FE74EB7}"/>
            </c:ext>
          </c:extLst>
        </c:ser>
        <c:ser>
          <c:idx val="9"/>
          <c:order val="9"/>
          <c:tx>
            <c:strRef>
              <c:f>q7_q8_q10_q11_Fig!$R$16</c:f>
              <c:strCache>
                <c:ptCount val="1"/>
                <c:pt idx="0">
                  <c:v>J</c:v>
                </c:pt>
              </c:strCache>
            </c:strRef>
          </c:tx>
          <c:spPr>
            <a:solidFill>
              <a:schemeClr val="accent1">
                <a:lumMod val="80000"/>
              </a:schemeClr>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q7_q8_q10_q11_Fig!$S$16:$AC$16</c:f>
              <c:numCache>
                <c:formatCode>General</c:formatCode>
                <c:ptCount val="11"/>
                <c:pt idx="0">
                  <c:v>63429</c:v>
                </c:pt>
                <c:pt idx="1">
                  <c:v>64630</c:v>
                </c:pt>
                <c:pt idx="2">
                  <c:v>67783</c:v>
                </c:pt>
                <c:pt idx="3">
                  <c:v>68812</c:v>
                </c:pt>
                <c:pt idx="4">
                  <c:v>72936</c:v>
                </c:pt>
                <c:pt idx="5">
                  <c:v>79205</c:v>
                </c:pt>
                <c:pt idx="6">
                  <c:v>86973</c:v>
                </c:pt>
                <c:pt idx="7">
                  <c:v>94794</c:v>
                </c:pt>
                <c:pt idx="8">
                  <c:v>102655</c:v>
                </c:pt>
                <c:pt idx="9">
                  <c:v>109224</c:v>
                </c:pt>
                <c:pt idx="10">
                  <c:v>127560</c:v>
                </c:pt>
              </c:numCache>
            </c:numRef>
          </c:val>
          <c:extLst>
            <c:ext xmlns:c16="http://schemas.microsoft.com/office/drawing/2014/chart" uri="{C3380CC4-5D6E-409C-BE32-E72D297353CC}">
              <c16:uniqueId val="{00000014-6646-49E4-B77D-FBBB2FE74EB7}"/>
            </c:ext>
          </c:extLst>
        </c:ser>
        <c:ser>
          <c:idx val="10"/>
          <c:order val="10"/>
          <c:tx>
            <c:strRef>
              <c:f>q7_q8_q10_q11_Fig!$R$17</c:f>
              <c:strCache>
                <c:ptCount val="1"/>
                <c:pt idx="0">
                  <c:v>K</c:v>
                </c:pt>
              </c:strCache>
            </c:strRef>
          </c:tx>
          <c:spPr>
            <a:solidFill>
              <a:schemeClr val="accent3">
                <a:lumMod val="80000"/>
              </a:schemeClr>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q7_q8_q10_q11_Fig!$S$17:$AC$17</c:f>
              <c:numCache>
                <c:formatCode>General</c:formatCode>
                <c:ptCount val="11"/>
                <c:pt idx="0">
                  <c:v>82456</c:v>
                </c:pt>
                <c:pt idx="1">
                  <c:v>80489</c:v>
                </c:pt>
                <c:pt idx="2">
                  <c:v>79315</c:v>
                </c:pt>
                <c:pt idx="3">
                  <c:v>77783</c:v>
                </c:pt>
                <c:pt idx="4">
                  <c:v>76080</c:v>
                </c:pt>
                <c:pt idx="5">
                  <c:v>74708</c:v>
                </c:pt>
                <c:pt idx="6">
                  <c:v>75395</c:v>
                </c:pt>
                <c:pt idx="7">
                  <c:v>69033</c:v>
                </c:pt>
                <c:pt idx="8">
                  <c:v>75376</c:v>
                </c:pt>
                <c:pt idx="9">
                  <c:v>74155</c:v>
                </c:pt>
                <c:pt idx="10">
                  <c:v>76725</c:v>
                </c:pt>
              </c:numCache>
            </c:numRef>
          </c:val>
          <c:extLst>
            <c:ext xmlns:c16="http://schemas.microsoft.com/office/drawing/2014/chart" uri="{C3380CC4-5D6E-409C-BE32-E72D297353CC}">
              <c16:uniqueId val="{00000015-6646-49E4-B77D-FBBB2FE74EB7}"/>
            </c:ext>
          </c:extLst>
        </c:ser>
        <c:ser>
          <c:idx val="11"/>
          <c:order val="11"/>
          <c:tx>
            <c:strRef>
              <c:f>q7_q8_q10_q11_Fig!$R$18</c:f>
              <c:strCache>
                <c:ptCount val="1"/>
                <c:pt idx="0">
                  <c:v>L</c:v>
                </c:pt>
              </c:strCache>
            </c:strRef>
          </c:tx>
          <c:spPr>
            <a:solidFill>
              <a:schemeClr val="accent5">
                <a:lumMod val="80000"/>
              </a:schemeClr>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q7_q8_q10_q11_Fig!$S$18:$AC$18</c:f>
              <c:numCache>
                <c:formatCode>General</c:formatCode>
                <c:ptCount val="11"/>
                <c:pt idx="0">
                  <c:v>15248</c:v>
                </c:pt>
                <c:pt idx="1">
                  <c:v>15074</c:v>
                </c:pt>
                <c:pt idx="2">
                  <c:v>16356</c:v>
                </c:pt>
                <c:pt idx="3">
                  <c:v>17668</c:v>
                </c:pt>
                <c:pt idx="4">
                  <c:v>18643</c:v>
                </c:pt>
                <c:pt idx="5">
                  <c:v>20754</c:v>
                </c:pt>
                <c:pt idx="6">
                  <c:v>23132</c:v>
                </c:pt>
                <c:pt idx="7">
                  <c:v>24348</c:v>
                </c:pt>
                <c:pt idx="8">
                  <c:v>24974</c:v>
                </c:pt>
                <c:pt idx="9">
                  <c:v>26345</c:v>
                </c:pt>
                <c:pt idx="10">
                  <c:v>28809</c:v>
                </c:pt>
              </c:numCache>
            </c:numRef>
          </c:val>
          <c:extLst>
            <c:ext xmlns:c16="http://schemas.microsoft.com/office/drawing/2014/chart" uri="{C3380CC4-5D6E-409C-BE32-E72D297353CC}">
              <c16:uniqueId val="{00000016-6646-49E4-B77D-FBBB2FE74EB7}"/>
            </c:ext>
          </c:extLst>
        </c:ser>
        <c:ser>
          <c:idx val="12"/>
          <c:order val="12"/>
          <c:tx>
            <c:strRef>
              <c:f>q7_q8_q10_q11_Fig!$R$19</c:f>
              <c:strCache>
                <c:ptCount val="1"/>
                <c:pt idx="0">
                  <c:v>M</c:v>
                </c:pt>
              </c:strCache>
            </c:strRef>
          </c:tx>
          <c:spPr>
            <a:solidFill>
              <a:schemeClr val="accent1">
                <a:lumMod val="60000"/>
                <a:lumOff val="40000"/>
              </a:schemeClr>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q7_q8_q10_q11_Fig!$S$19:$AC$19</c:f>
              <c:numCache>
                <c:formatCode>General</c:formatCode>
                <c:ptCount val="11"/>
                <c:pt idx="0">
                  <c:v>97711</c:v>
                </c:pt>
                <c:pt idx="1">
                  <c:v>97511</c:v>
                </c:pt>
                <c:pt idx="2">
                  <c:v>105085</c:v>
                </c:pt>
                <c:pt idx="3">
                  <c:v>109770</c:v>
                </c:pt>
                <c:pt idx="4">
                  <c:v>111974</c:v>
                </c:pt>
                <c:pt idx="5">
                  <c:v>113617</c:v>
                </c:pt>
                <c:pt idx="6">
                  <c:v>123636</c:v>
                </c:pt>
                <c:pt idx="7">
                  <c:v>132611</c:v>
                </c:pt>
                <c:pt idx="8">
                  <c:v>134408</c:v>
                </c:pt>
                <c:pt idx="9">
                  <c:v>139839</c:v>
                </c:pt>
                <c:pt idx="10">
                  <c:v>159252</c:v>
                </c:pt>
              </c:numCache>
            </c:numRef>
          </c:val>
          <c:extLst>
            <c:ext xmlns:c16="http://schemas.microsoft.com/office/drawing/2014/chart" uri="{C3380CC4-5D6E-409C-BE32-E72D297353CC}">
              <c16:uniqueId val="{00000017-6646-49E4-B77D-FBBB2FE74EB7}"/>
            </c:ext>
          </c:extLst>
        </c:ser>
        <c:ser>
          <c:idx val="13"/>
          <c:order val="13"/>
          <c:tx>
            <c:strRef>
              <c:f>q7_q8_q10_q11_Fig!$R$20</c:f>
              <c:strCache>
                <c:ptCount val="1"/>
                <c:pt idx="0">
                  <c:v>N</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q7_q8_q10_q11_Fig!$S$20:$AC$20</c:f>
              <c:numCache>
                <c:formatCode>General</c:formatCode>
                <c:ptCount val="11"/>
                <c:pt idx="0">
                  <c:v>214023</c:v>
                </c:pt>
                <c:pt idx="1">
                  <c:v>225603</c:v>
                </c:pt>
                <c:pt idx="2">
                  <c:v>238916</c:v>
                </c:pt>
                <c:pt idx="3">
                  <c:v>246451</c:v>
                </c:pt>
                <c:pt idx="4">
                  <c:v>268226</c:v>
                </c:pt>
                <c:pt idx="5">
                  <c:v>294174</c:v>
                </c:pt>
                <c:pt idx="6">
                  <c:v>293550</c:v>
                </c:pt>
                <c:pt idx="7">
                  <c:v>293948</c:v>
                </c:pt>
                <c:pt idx="8">
                  <c:v>285919</c:v>
                </c:pt>
                <c:pt idx="9">
                  <c:v>275843</c:v>
                </c:pt>
                <c:pt idx="10">
                  <c:v>307876</c:v>
                </c:pt>
              </c:numCache>
            </c:numRef>
          </c:val>
          <c:extLst>
            <c:ext xmlns:c16="http://schemas.microsoft.com/office/drawing/2014/chart" uri="{C3380CC4-5D6E-409C-BE32-E72D297353CC}">
              <c16:uniqueId val="{00000018-6646-49E4-B77D-FBBB2FE74EB7}"/>
            </c:ext>
          </c:extLst>
        </c:ser>
        <c:ser>
          <c:idx val="14"/>
          <c:order val="14"/>
          <c:tx>
            <c:strRef>
              <c:f>q7_q8_q10_q11_Fig!$R$21</c:f>
              <c:strCache>
                <c:ptCount val="1"/>
                <c:pt idx="0">
                  <c:v>O</c:v>
                </c:pt>
              </c:strCache>
            </c:strRef>
          </c:tx>
          <c:spPr>
            <a:solidFill>
              <a:schemeClr val="accent5">
                <a:lumMod val="60000"/>
                <a:lumOff val="40000"/>
              </a:schemeClr>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q7_q8_q10_q11_Fig!$S$21:$AC$21</c:f>
              <c:numCache>
                <c:formatCode>General</c:formatCode>
                <c:ptCount val="11"/>
                <c:pt idx="0">
                  <c:v>10463</c:v>
                </c:pt>
                <c:pt idx="1">
                  <c:v>10222</c:v>
                </c:pt>
                <c:pt idx="2">
                  <c:v>10787</c:v>
                </c:pt>
                <c:pt idx="3">
                  <c:v>10612</c:v>
                </c:pt>
                <c:pt idx="4">
                  <c:v>10688</c:v>
                </c:pt>
                <c:pt idx="5">
                  <c:v>11236</c:v>
                </c:pt>
                <c:pt idx="6">
                  <c:v>11602</c:v>
                </c:pt>
                <c:pt idx="7">
                  <c:v>11794</c:v>
                </c:pt>
                <c:pt idx="8">
                  <c:v>12327</c:v>
                </c:pt>
                <c:pt idx="9">
                  <c:v>11997</c:v>
                </c:pt>
                <c:pt idx="10">
                  <c:v>13111</c:v>
                </c:pt>
              </c:numCache>
            </c:numRef>
          </c:val>
          <c:extLst>
            <c:ext xmlns:c16="http://schemas.microsoft.com/office/drawing/2014/chart" uri="{C3380CC4-5D6E-409C-BE32-E72D297353CC}">
              <c16:uniqueId val="{00000019-6646-49E4-B77D-FBBB2FE74EB7}"/>
            </c:ext>
          </c:extLst>
        </c:ser>
        <c:ser>
          <c:idx val="15"/>
          <c:order val="15"/>
          <c:tx>
            <c:strRef>
              <c:f>q7_q8_q10_q11_Fig!$R$22</c:f>
              <c:strCache>
                <c:ptCount val="1"/>
                <c:pt idx="0">
                  <c:v>P</c:v>
                </c:pt>
              </c:strCache>
            </c:strRef>
          </c:tx>
          <c:spPr>
            <a:solidFill>
              <a:schemeClr val="accent1">
                <a:lumMod val="50000"/>
              </a:schemeClr>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q7_q8_q10_q11_Fig!$S$22:$AC$22</c:f>
              <c:numCache>
                <c:formatCode>General</c:formatCode>
                <c:ptCount val="11"/>
                <c:pt idx="0">
                  <c:v>51867</c:v>
                </c:pt>
                <c:pt idx="1">
                  <c:v>50566</c:v>
                </c:pt>
                <c:pt idx="2">
                  <c:v>50957</c:v>
                </c:pt>
                <c:pt idx="3">
                  <c:v>53876</c:v>
                </c:pt>
                <c:pt idx="4">
                  <c:v>53906</c:v>
                </c:pt>
                <c:pt idx="5">
                  <c:v>53502</c:v>
                </c:pt>
                <c:pt idx="6">
                  <c:v>57690</c:v>
                </c:pt>
                <c:pt idx="7">
                  <c:v>58269</c:v>
                </c:pt>
                <c:pt idx="8">
                  <c:v>59807</c:v>
                </c:pt>
                <c:pt idx="9">
                  <c:v>58921</c:v>
                </c:pt>
                <c:pt idx="10">
                  <c:v>62076</c:v>
                </c:pt>
              </c:numCache>
            </c:numRef>
          </c:val>
          <c:extLst>
            <c:ext xmlns:c16="http://schemas.microsoft.com/office/drawing/2014/chart" uri="{C3380CC4-5D6E-409C-BE32-E72D297353CC}">
              <c16:uniqueId val="{0000001A-6646-49E4-B77D-FBBB2FE74EB7}"/>
            </c:ext>
          </c:extLst>
        </c:ser>
        <c:ser>
          <c:idx val="16"/>
          <c:order val="16"/>
          <c:tx>
            <c:strRef>
              <c:f>q7_q8_q10_q11_Fig!$R$23</c:f>
              <c:strCache>
                <c:ptCount val="1"/>
                <c:pt idx="0">
                  <c:v>Q</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q7_q8_q10_q11_Fig!$S$23:$AC$23</c:f>
              <c:numCache>
                <c:formatCode>General</c:formatCode>
                <c:ptCount val="11"/>
                <c:pt idx="0">
                  <c:v>209941</c:v>
                </c:pt>
                <c:pt idx="1">
                  <c:v>215109</c:v>
                </c:pt>
                <c:pt idx="2">
                  <c:v>221126</c:v>
                </c:pt>
                <c:pt idx="3">
                  <c:v>232717</c:v>
                </c:pt>
                <c:pt idx="4">
                  <c:v>246800</c:v>
                </c:pt>
                <c:pt idx="5">
                  <c:v>257306</c:v>
                </c:pt>
                <c:pt idx="6">
                  <c:v>263021</c:v>
                </c:pt>
                <c:pt idx="7">
                  <c:v>269760</c:v>
                </c:pt>
                <c:pt idx="8">
                  <c:v>280115</c:v>
                </c:pt>
                <c:pt idx="9">
                  <c:v>286750</c:v>
                </c:pt>
                <c:pt idx="10">
                  <c:v>299622</c:v>
                </c:pt>
              </c:numCache>
            </c:numRef>
          </c:val>
          <c:extLst>
            <c:ext xmlns:c16="http://schemas.microsoft.com/office/drawing/2014/chart" uri="{C3380CC4-5D6E-409C-BE32-E72D297353CC}">
              <c16:uniqueId val="{0000001B-6646-49E4-B77D-FBBB2FE74EB7}"/>
            </c:ext>
          </c:extLst>
        </c:ser>
        <c:ser>
          <c:idx val="17"/>
          <c:order val="17"/>
          <c:tx>
            <c:strRef>
              <c:f>q7_q8_q10_q11_Fig!$R$24</c:f>
              <c:strCache>
                <c:ptCount val="1"/>
                <c:pt idx="0">
                  <c:v>R</c:v>
                </c:pt>
              </c:strCache>
            </c:strRef>
          </c:tx>
          <c:spPr>
            <a:solidFill>
              <a:schemeClr val="accent5">
                <a:lumMod val="50000"/>
              </a:schemeClr>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q7_q8_q10_q11_Fig!$S$24:$AC$24</c:f>
              <c:numCache>
                <c:formatCode>General</c:formatCode>
                <c:ptCount val="11"/>
                <c:pt idx="0">
                  <c:v>19721</c:v>
                </c:pt>
                <c:pt idx="1">
                  <c:v>19836</c:v>
                </c:pt>
                <c:pt idx="2">
                  <c:v>18760</c:v>
                </c:pt>
                <c:pt idx="3">
                  <c:v>21039</c:v>
                </c:pt>
                <c:pt idx="4">
                  <c:v>22077</c:v>
                </c:pt>
                <c:pt idx="5">
                  <c:v>24123</c:v>
                </c:pt>
                <c:pt idx="6">
                  <c:v>26529</c:v>
                </c:pt>
                <c:pt idx="7">
                  <c:v>28069</c:v>
                </c:pt>
                <c:pt idx="8">
                  <c:v>26263</c:v>
                </c:pt>
                <c:pt idx="9">
                  <c:v>28680</c:v>
                </c:pt>
                <c:pt idx="10">
                  <c:v>30827</c:v>
                </c:pt>
              </c:numCache>
            </c:numRef>
          </c:val>
          <c:extLst>
            <c:ext xmlns:c16="http://schemas.microsoft.com/office/drawing/2014/chart" uri="{C3380CC4-5D6E-409C-BE32-E72D297353CC}">
              <c16:uniqueId val="{0000001C-6646-49E4-B77D-FBBB2FE74EB7}"/>
            </c:ext>
          </c:extLst>
        </c:ser>
        <c:ser>
          <c:idx val="18"/>
          <c:order val="18"/>
          <c:tx>
            <c:strRef>
              <c:f>q7_q8_q10_q11_Fig!$R$25</c:f>
              <c:strCache>
                <c:ptCount val="1"/>
                <c:pt idx="0">
                  <c:v>S</c:v>
                </c:pt>
              </c:strCache>
            </c:strRef>
          </c:tx>
          <c:spPr>
            <a:solidFill>
              <a:schemeClr val="accent1">
                <a:lumMod val="70000"/>
                <a:lumOff val="30000"/>
              </a:schemeClr>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q7_q8_q10_q11_Fig!$S$25:$AC$25</c:f>
              <c:numCache>
                <c:formatCode>General</c:formatCode>
                <c:ptCount val="11"/>
                <c:pt idx="0">
                  <c:v>62791</c:v>
                </c:pt>
                <c:pt idx="1">
                  <c:v>61973</c:v>
                </c:pt>
                <c:pt idx="2">
                  <c:v>62532</c:v>
                </c:pt>
                <c:pt idx="3">
                  <c:v>60404</c:v>
                </c:pt>
                <c:pt idx="4">
                  <c:v>61086</c:v>
                </c:pt>
                <c:pt idx="5">
                  <c:v>58964</c:v>
                </c:pt>
                <c:pt idx="6">
                  <c:v>61792</c:v>
                </c:pt>
                <c:pt idx="7">
                  <c:v>59107</c:v>
                </c:pt>
                <c:pt idx="8">
                  <c:v>57266</c:v>
                </c:pt>
                <c:pt idx="9">
                  <c:v>56071</c:v>
                </c:pt>
                <c:pt idx="10">
                  <c:v>59443</c:v>
                </c:pt>
              </c:numCache>
            </c:numRef>
          </c:val>
          <c:extLst>
            <c:ext xmlns:c16="http://schemas.microsoft.com/office/drawing/2014/chart" uri="{C3380CC4-5D6E-409C-BE32-E72D297353CC}">
              <c16:uniqueId val="{0000001D-6646-49E4-B77D-FBBB2FE74EB7}"/>
            </c:ext>
          </c:extLst>
        </c:ser>
        <c:ser>
          <c:idx val="19"/>
          <c:order val="19"/>
          <c:tx>
            <c:strRef>
              <c:f>q7_q8_q10_q11_Fig!$R$26</c:f>
              <c:strCache>
                <c:ptCount val="1"/>
                <c:pt idx="0">
                  <c:v>U</c:v>
                </c:pt>
              </c:strCache>
            </c:strRef>
          </c:tx>
          <c:spPr>
            <a:solidFill>
              <a:schemeClr val="accent3">
                <a:lumMod val="70000"/>
                <a:lumOff val="30000"/>
              </a:schemeClr>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q7_q8_q10_q11_Fig!$S$26:$AC$26</c:f>
              <c:numCache>
                <c:formatCode>General</c:formatCode>
                <c:ptCount val="11"/>
                <c:pt idx="0">
                  <c:v>53</c:v>
                </c:pt>
                <c:pt idx="1">
                  <c:v>81</c:v>
                </c:pt>
                <c:pt idx="2">
                  <c:v>91</c:v>
                </c:pt>
                <c:pt idx="3">
                  <c:v>89</c:v>
                </c:pt>
                <c:pt idx="4">
                  <c:v>104</c:v>
                </c:pt>
                <c:pt idx="5">
                  <c:v>92</c:v>
                </c:pt>
                <c:pt idx="6">
                  <c:v>94</c:v>
                </c:pt>
                <c:pt idx="7">
                  <c:v>100</c:v>
                </c:pt>
                <c:pt idx="8">
                  <c:v>117</c:v>
                </c:pt>
                <c:pt idx="9">
                  <c:v>107</c:v>
                </c:pt>
                <c:pt idx="10">
                  <c:v>125</c:v>
                </c:pt>
              </c:numCache>
            </c:numRef>
          </c:val>
          <c:extLst>
            <c:ext xmlns:c16="http://schemas.microsoft.com/office/drawing/2014/chart" uri="{C3380CC4-5D6E-409C-BE32-E72D297353CC}">
              <c16:uniqueId val="{0000001E-6646-49E4-B77D-FBBB2FE74EB7}"/>
            </c:ext>
          </c:extLst>
        </c:ser>
        <c:dLbls>
          <c:showLegendKey val="0"/>
          <c:showVal val="0"/>
          <c:showCatName val="0"/>
          <c:showSerName val="0"/>
          <c:showPercent val="0"/>
          <c:showBubbleSize val="0"/>
        </c:dLbls>
        <c:gapWidth val="50"/>
        <c:overlap val="100"/>
        <c:axId val="211072368"/>
        <c:axId val="1682385520"/>
        <c:extLst/>
      </c:barChart>
      <c:catAx>
        <c:axId val="21107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crossAx val="1682385520"/>
        <c:crosses val="autoZero"/>
        <c:auto val="1"/>
        <c:lblAlgn val="ctr"/>
        <c:lblOffset val="100"/>
        <c:noMultiLvlLbl val="0"/>
      </c:catAx>
      <c:valAx>
        <c:axId val="1682385520"/>
        <c:scaling>
          <c:orientation val="minMax"/>
          <c:max val="3500000"/>
          <c:min val="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211072368"/>
        <c:crosses val="autoZero"/>
        <c:crossBetween val="between"/>
      </c:valAx>
      <c:spPr>
        <a:noFill/>
        <a:ln>
          <a:noFill/>
        </a:ln>
        <a:effectLst/>
      </c:spPr>
    </c:plotArea>
    <c:legend>
      <c:legendPos val="b"/>
      <c:layout>
        <c:manualLayout>
          <c:xMode val="edge"/>
          <c:yMode val="edge"/>
          <c:x val="3.7437102506546943E-2"/>
          <c:y val="0.89261540822590557"/>
          <c:w val="0.94198021885521888"/>
          <c:h val="7.953376304481277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'q3.1_6.1_9.1_12.1_19.1_27.1_Fig'!$AR$41</c:f>
              <c:strCache>
                <c:ptCount val="1"/>
                <c:pt idx="0">
                  <c:v>Grande Lisboa</c:v>
                </c:pt>
              </c:strCache>
            </c:strRef>
          </c:cat>
          <c:val>
            <c:numRef>
              <c:extLst>
                <c:ext xmlns:c15="http://schemas.microsoft.com/office/drawing/2012/chart" uri="{02D57815-91ED-43cb-92C2-25804820EDAC}">
                  <c15:fullRef>
                    <c15:sqref>'q3.1_6.1_9.1_12.1_19.1_27.1_Fig'!$AS$38:$AS$44</c15:sqref>
                  </c15:fullRef>
                </c:ext>
              </c:extLst>
              <c:f>'q3.1_6.1_9.1_12.1_19.1_27.1_Fig'!$AS$41</c:f>
              <c:numCache>
                <c:formatCode>#,##0</c:formatCode>
                <c:ptCount val="1"/>
                <c:pt idx="0">
                  <c:v>57854</c:v>
                </c:pt>
              </c:numCache>
            </c:numRef>
          </c:val>
          <c:extLst>
            <c:ext xmlns:c16="http://schemas.microsoft.com/office/drawing/2014/chart" uri="{C3380CC4-5D6E-409C-BE32-E72D297353CC}">
              <c16:uniqueId val="{00000000-B07C-4A48-912E-25270951C9D9}"/>
            </c:ext>
          </c:extLst>
        </c:ser>
        <c:ser>
          <c:idx val="1"/>
          <c:order val="1"/>
          <c:tx>
            <c:strRef>
              <c:f>'q3.1_6.1_9.1_12.1_19.1_27.1_Fig'!$AT$37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'q3.1_6.1_9.1_12.1_19.1_27.1_Fig'!$AR$41</c:f>
              <c:strCache>
                <c:ptCount val="1"/>
                <c:pt idx="0">
                  <c:v>Grande Lisboa</c:v>
                </c:pt>
              </c:strCache>
            </c:strRef>
          </c:cat>
          <c:val>
            <c:numRef>
              <c:extLst>
                <c:ext xmlns:c15="http://schemas.microsoft.com/office/drawing/2012/chart" uri="{02D57815-91ED-43cb-92C2-25804820EDAC}">
                  <c15:fullRef>
                    <c15:sqref>'q3.1_6.1_9.1_12.1_19.1_27.1_Fig'!$AT$38:$AT$44</c15:sqref>
                  </c15:fullRef>
                </c:ext>
              </c:extLst>
              <c:f>'q3.1_6.1_9.1_12.1_19.1_27.1_Fig'!$AT$41</c:f>
              <c:numCache>
                <c:formatCode>#,##0</c:formatCode>
                <c:ptCount val="1"/>
                <c:pt idx="0">
                  <c:v>68270</c:v>
                </c:pt>
              </c:numCache>
            </c:numRef>
          </c:val>
          <c:extLst>
            <c:ext xmlns:c16="http://schemas.microsoft.com/office/drawing/2014/chart" uri="{C3380CC4-5D6E-409C-BE32-E72D297353CC}">
              <c16:uniqueId val="{00000001-B07C-4A48-912E-25270951C9D9}"/>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'q3.1_6.1_9.1_12.1_19.1_27.1_Fig'!$AR$43</c:f>
              <c:strCache>
                <c:ptCount val="1"/>
                <c:pt idx="0">
                  <c:v>Alentejo</c:v>
                </c:pt>
              </c:strCache>
            </c:strRef>
          </c:cat>
          <c:val>
            <c:numRef>
              <c:extLst>
                <c:ext xmlns:c15="http://schemas.microsoft.com/office/drawing/2012/chart" uri="{02D57815-91ED-43cb-92C2-25804820EDAC}">
                  <c15:fullRef>
                    <c15:sqref>'q3.1_6.1_9.1_12.1_19.1_27.1_Fig'!$AS$38:$AS$44</c15:sqref>
                  </c15:fullRef>
                </c:ext>
              </c:extLst>
              <c:f>'q3.1_6.1_9.1_12.1_19.1_27.1_Fig'!$AS$43</c:f>
              <c:numCache>
                <c:formatCode>#,##0</c:formatCode>
                <c:ptCount val="1"/>
                <c:pt idx="0">
                  <c:v>14383</c:v>
                </c:pt>
              </c:numCache>
            </c:numRef>
          </c:val>
          <c:extLst>
            <c:ext xmlns:c16="http://schemas.microsoft.com/office/drawing/2014/chart" uri="{C3380CC4-5D6E-409C-BE32-E72D297353CC}">
              <c16:uniqueId val="{00000000-9BAE-4E89-8EEC-3378486AA5EC}"/>
            </c:ext>
          </c:extLst>
        </c:ser>
        <c:ser>
          <c:idx val="1"/>
          <c:order val="1"/>
          <c:tx>
            <c:strRef>
              <c:f>'q3.1_6.1_9.1_12.1_19.1_27.1_Fig'!$AT$37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'q3.1_6.1_9.1_12.1_19.1_27.1_Fig'!$AR$43</c:f>
              <c:strCache>
                <c:ptCount val="1"/>
                <c:pt idx="0">
                  <c:v>Alentejo</c:v>
                </c:pt>
              </c:strCache>
            </c:strRef>
          </c:cat>
          <c:val>
            <c:numRef>
              <c:extLst>
                <c:ext xmlns:c15="http://schemas.microsoft.com/office/drawing/2012/chart" uri="{02D57815-91ED-43cb-92C2-25804820EDAC}">
                  <c15:fullRef>
                    <c15:sqref>'q3.1_6.1_9.1_12.1_19.1_27.1_Fig'!$AT$38:$AT$44</c15:sqref>
                  </c15:fullRef>
                </c:ext>
              </c:extLst>
              <c:f>'q3.1_6.1_9.1_12.1_19.1_27.1_Fig'!$AT$43</c:f>
              <c:numCache>
                <c:formatCode>#,##0</c:formatCode>
                <c:ptCount val="1"/>
                <c:pt idx="0">
                  <c:v>17115</c:v>
                </c:pt>
              </c:numCache>
            </c:numRef>
          </c:val>
          <c:extLst>
            <c:ext xmlns:c16="http://schemas.microsoft.com/office/drawing/2014/chart" uri="{C3380CC4-5D6E-409C-BE32-E72D297353CC}">
              <c16:uniqueId val="{00000001-9BAE-4E89-8EEC-3378486AA5EC}"/>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0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'q3.1_6.1_9.1_12.1_19.1_27.1_Fig'!$AR$44</c:f>
              <c:strCache>
                <c:ptCount val="1"/>
                <c:pt idx="0">
                  <c:v>Algarve</c:v>
                </c:pt>
              </c:strCache>
            </c:strRef>
          </c:cat>
          <c:val>
            <c:numRef>
              <c:extLst>
                <c:ext xmlns:c15="http://schemas.microsoft.com/office/drawing/2012/chart" uri="{02D57815-91ED-43cb-92C2-25804820EDAC}">
                  <c15:fullRef>
                    <c15:sqref>'q3.1_6.1_9.1_12.1_19.1_27.1_Fig'!$AS$38:$AS$44</c15:sqref>
                  </c15:fullRef>
                </c:ext>
              </c:extLst>
              <c:f>'q3.1_6.1_9.1_12.1_19.1_27.1_Fig'!$AS$44</c:f>
              <c:numCache>
                <c:formatCode>#,##0</c:formatCode>
                <c:ptCount val="1"/>
                <c:pt idx="0">
                  <c:v>17066</c:v>
                </c:pt>
              </c:numCache>
            </c:numRef>
          </c:val>
          <c:extLst>
            <c:ext xmlns:c16="http://schemas.microsoft.com/office/drawing/2014/chart" uri="{C3380CC4-5D6E-409C-BE32-E72D297353CC}">
              <c16:uniqueId val="{00000000-E7ED-46D1-A658-2E529A2675E5}"/>
            </c:ext>
          </c:extLst>
        </c:ser>
        <c:ser>
          <c:idx val="1"/>
          <c:order val="1"/>
          <c:tx>
            <c:strRef>
              <c:f>'q3.1_6.1_9.1_12.1_19.1_27.1_Fig'!$AT$37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'q3.1_6.1_9.1_12.1_19.1_27.1_Fig'!$AR$44</c:f>
              <c:strCache>
                <c:ptCount val="1"/>
                <c:pt idx="0">
                  <c:v>Algarve</c:v>
                </c:pt>
              </c:strCache>
            </c:strRef>
          </c:cat>
          <c:val>
            <c:numRef>
              <c:extLst>
                <c:ext xmlns:c15="http://schemas.microsoft.com/office/drawing/2012/chart" uri="{02D57815-91ED-43cb-92C2-25804820EDAC}">
                  <c15:fullRef>
                    <c15:sqref>'q3.1_6.1_9.1_12.1_19.1_27.1_Fig'!$AT$38:$AT$44</c15:sqref>
                  </c15:fullRef>
                </c:ext>
              </c:extLst>
              <c:f>'q3.1_6.1_9.1_12.1_19.1_27.1_Fig'!$AT$44</c:f>
              <c:numCache>
                <c:formatCode>#,##0</c:formatCode>
                <c:ptCount val="1"/>
                <c:pt idx="0">
                  <c:v>20699</c:v>
                </c:pt>
              </c:numCache>
            </c:numRef>
          </c:val>
          <c:extLst>
            <c:ext xmlns:c16="http://schemas.microsoft.com/office/drawing/2014/chart" uri="{C3380CC4-5D6E-409C-BE32-E72D297353CC}">
              <c16:uniqueId val="{00000001-E7ED-46D1-A658-2E529A2675E5}"/>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0000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81286012579858"/>
          <c:y val="3.567815386713024E-2"/>
          <c:w val="0.58508829721255928"/>
          <c:h val="0.92049561986569861"/>
        </c:manualLayout>
      </c:layout>
      <c:barChart>
        <c:barDir val="bar"/>
        <c:grouping val="clustered"/>
        <c:varyColors val="0"/>
        <c:ser>
          <c:idx val="0"/>
          <c:order val="0"/>
          <c:tx>
            <c:strRef>
              <c:f>'q3.1_6.1_9.1_12.1_19.1_27.1_Fig'!$AS$7</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'q3.1_6.1_9.1_12.1_19.1_27.1_Fig'!$AR$8:$AR$31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'q3.1_6.1_9.1_12.1_19.1_27.1_Fig'!$AS$8:$AS$31</c:f>
              <c:numCache>
                <c:formatCode>#,##0</c:formatCode>
                <c:ptCount val="24"/>
                <c:pt idx="0">
                  <c:v>7227</c:v>
                </c:pt>
                <c:pt idx="1">
                  <c:v>14557</c:v>
                </c:pt>
                <c:pt idx="2">
                  <c:v>13716</c:v>
                </c:pt>
                <c:pt idx="3">
                  <c:v>51243</c:v>
                </c:pt>
                <c:pt idx="4">
                  <c:v>2409</c:v>
                </c:pt>
                <c:pt idx="5">
                  <c:v>13294</c:v>
                </c:pt>
                <c:pt idx="6">
                  <c:v>5301</c:v>
                </c:pt>
                <c:pt idx="7">
                  <c:v>3194</c:v>
                </c:pt>
                <c:pt idx="8">
                  <c:v>9676</c:v>
                </c:pt>
                <c:pt idx="9">
                  <c:v>11014</c:v>
                </c:pt>
                <c:pt idx="10">
                  <c:v>10184</c:v>
                </c:pt>
                <c:pt idx="11">
                  <c:v>7226</c:v>
                </c:pt>
                <c:pt idx="12">
                  <c:v>2733</c:v>
                </c:pt>
                <c:pt idx="13">
                  <c:v>5687</c:v>
                </c:pt>
                <c:pt idx="14">
                  <c:v>11295</c:v>
                </c:pt>
                <c:pt idx="15">
                  <c:v>5900</c:v>
                </c:pt>
                <c:pt idx="16">
                  <c:v>6202</c:v>
                </c:pt>
                <c:pt idx="17">
                  <c:v>57854</c:v>
                </c:pt>
                <c:pt idx="18">
                  <c:v>14699</c:v>
                </c:pt>
                <c:pt idx="19">
                  <c:v>2804</c:v>
                </c:pt>
                <c:pt idx="20">
                  <c:v>3654</c:v>
                </c:pt>
                <c:pt idx="21">
                  <c:v>2877</c:v>
                </c:pt>
                <c:pt idx="22">
                  <c:v>5048</c:v>
                </c:pt>
                <c:pt idx="23">
                  <c:v>17066</c:v>
                </c:pt>
              </c:numCache>
            </c:numRef>
          </c:val>
          <c:extLst>
            <c:ext xmlns:c16="http://schemas.microsoft.com/office/drawing/2014/chart" uri="{C3380CC4-5D6E-409C-BE32-E72D297353CC}">
              <c16:uniqueId val="{00000000-23EE-41F5-A33B-F00E06F2093A}"/>
            </c:ext>
          </c:extLst>
        </c:ser>
        <c:ser>
          <c:idx val="1"/>
          <c:order val="1"/>
          <c:tx>
            <c:strRef>
              <c:f>'q3.1_6.1_9.1_12.1_19.1_27.1_Fig'!$AT$7</c:f>
              <c:strCache>
                <c:ptCount val="1"/>
                <c:pt idx="0">
                  <c:v>Estabelecimentos</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'q3.1_6.1_9.1_12.1_19.1_27.1_Fig'!$AR$8:$AR$31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'q3.1_6.1_9.1_12.1_19.1_27.1_Fig'!$AT$8:$AT$31</c:f>
              <c:numCache>
                <c:formatCode>#,##0</c:formatCode>
                <c:ptCount val="24"/>
                <c:pt idx="0">
                  <c:v>8261</c:v>
                </c:pt>
                <c:pt idx="1">
                  <c:v>16345</c:v>
                </c:pt>
                <c:pt idx="2">
                  <c:v>15257</c:v>
                </c:pt>
                <c:pt idx="3">
                  <c:v>59479</c:v>
                </c:pt>
                <c:pt idx="4">
                  <c:v>2739</c:v>
                </c:pt>
                <c:pt idx="5">
                  <c:v>14461</c:v>
                </c:pt>
                <c:pt idx="6">
                  <c:v>6219</c:v>
                </c:pt>
                <c:pt idx="7">
                  <c:v>3702</c:v>
                </c:pt>
                <c:pt idx="8">
                  <c:v>11325</c:v>
                </c:pt>
                <c:pt idx="9">
                  <c:v>13325</c:v>
                </c:pt>
                <c:pt idx="10">
                  <c:v>11845</c:v>
                </c:pt>
                <c:pt idx="11">
                  <c:v>8478</c:v>
                </c:pt>
                <c:pt idx="12">
                  <c:v>3245</c:v>
                </c:pt>
                <c:pt idx="13">
                  <c:v>6633</c:v>
                </c:pt>
                <c:pt idx="14">
                  <c:v>13106</c:v>
                </c:pt>
                <c:pt idx="15">
                  <c:v>7027</c:v>
                </c:pt>
                <c:pt idx="16">
                  <c:v>7366</c:v>
                </c:pt>
                <c:pt idx="17">
                  <c:v>68270</c:v>
                </c:pt>
                <c:pt idx="18">
                  <c:v>17786</c:v>
                </c:pt>
                <c:pt idx="19">
                  <c:v>3368</c:v>
                </c:pt>
                <c:pt idx="20">
                  <c:v>4263</c:v>
                </c:pt>
                <c:pt idx="21">
                  <c:v>3433</c:v>
                </c:pt>
                <c:pt idx="22">
                  <c:v>6051</c:v>
                </c:pt>
                <c:pt idx="23">
                  <c:v>20699</c:v>
                </c:pt>
              </c:numCache>
            </c:numRef>
          </c:val>
          <c:extLst>
            <c:ext xmlns:c16="http://schemas.microsoft.com/office/drawing/2014/chart" uri="{C3380CC4-5D6E-409C-BE32-E72D297353CC}">
              <c16:uniqueId val="{00000001-23EE-41F5-A33B-F00E06F2093A}"/>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24551192435551517"/>
          <c:y val="0.9719496963216957"/>
          <c:w val="0.69325196057755245"/>
          <c:h val="2.7076310786953984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'q3.1_6.1_9.1_12.1_19.1_27.1_Fig'!$BN$7</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6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8DF6-4BD7-9089-B9EE99B63DF1}"/>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6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'q3.1_6.1_9.1_12.1_19.1_27.1_Fig'!$BM$32</c:f>
              <c:strCache>
                <c:ptCount val="1"/>
                <c:pt idx="0">
                  <c:v>Continente</c:v>
                </c:pt>
              </c:strCache>
            </c:strRef>
          </c:cat>
          <c:val>
            <c:numRef>
              <c:f>'q3.1_6.1_9.1_12.1_19.1_27.1_Fig'!$BN$32</c:f>
              <c:numCache>
                <c:formatCode>#,##0</c:formatCode>
                <c:ptCount val="1"/>
                <c:pt idx="0">
                  <c:v>3337082</c:v>
                </c:pt>
              </c:numCache>
            </c:numRef>
          </c:val>
          <c:extLst>
            <c:ext xmlns:c16="http://schemas.microsoft.com/office/drawing/2014/chart" uri="{C3380CC4-5D6E-409C-BE32-E72D297353CC}">
              <c16:uniqueId val="{00000001-8DF6-4BD7-9089-B9EE99B63DF1}"/>
            </c:ext>
          </c:extLst>
        </c:ser>
        <c:ser>
          <c:idx val="1"/>
          <c:order val="1"/>
          <c:tx>
            <c:strRef>
              <c:f>'q3.1_6.1_9.1_12.1_19.1_27.1_Fig'!$BO$7</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6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8DF6-4BD7-9089-B9EE99B63DF1}"/>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'q3.1_6.1_9.1_12.1_19.1_27.1_Fig'!$BM$32</c:f>
              <c:strCache>
                <c:ptCount val="1"/>
                <c:pt idx="0">
                  <c:v>Continente</c:v>
                </c:pt>
              </c:strCache>
            </c:strRef>
          </c:cat>
          <c:val>
            <c:numRef>
              <c:f>'q3.1_6.1_9.1_12.1_19.1_27.1_Fig'!$BO$32</c:f>
              <c:numCache>
                <c:formatCode>#,##0</c:formatCode>
                <c:ptCount val="1"/>
                <c:pt idx="0">
                  <c:v>3148146.9999999995</c:v>
                </c:pt>
              </c:numCache>
            </c:numRef>
          </c:val>
          <c:extLst>
            <c:ext xmlns:c16="http://schemas.microsoft.com/office/drawing/2014/chart" uri="{C3380CC4-5D6E-409C-BE32-E72D297353CC}">
              <c16:uniqueId val="{00000003-8DF6-4BD7-9089-B9EE99B63DF1}"/>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'q3.1_6.1_9.1_12.1_19.1_27.1_Fig'!$BM$38</c:f>
              <c:strCache>
                <c:ptCount val="1"/>
                <c:pt idx="0">
                  <c:v>Norte</c:v>
                </c:pt>
              </c:strCache>
            </c:strRef>
          </c:cat>
          <c:val>
            <c:numRef>
              <c:extLst>
                <c:ext xmlns:c15="http://schemas.microsoft.com/office/drawing/2012/chart" uri="{02D57815-91ED-43cb-92C2-25804820EDAC}">
                  <c15:fullRef>
                    <c15:sqref>'q3.1_6.1_9.1_12.1_19.1_27.1_Fig'!$BN$38:$BN$44</c15:sqref>
                  </c15:fullRef>
                </c:ext>
              </c:extLst>
              <c:f>'q3.1_6.1_9.1_12.1_19.1_27.1_Fig'!$BN$38</c:f>
              <c:numCache>
                <c:formatCode>#,##0</c:formatCode>
                <c:ptCount val="1"/>
                <c:pt idx="0">
                  <c:v>1215310.0000000002</c:v>
                </c:pt>
              </c:numCache>
            </c:numRef>
          </c:val>
          <c:extLst>
            <c:ext xmlns:c16="http://schemas.microsoft.com/office/drawing/2014/chart" uri="{C3380CC4-5D6E-409C-BE32-E72D297353CC}">
              <c16:uniqueId val="{00000000-9900-4B5F-9802-DAB6531C8B05}"/>
            </c:ext>
          </c:extLst>
        </c:ser>
        <c:ser>
          <c:idx val="1"/>
          <c:order val="1"/>
          <c:tx>
            <c:strRef>
              <c:f>'q3.1_6.1_9.1_12.1_19.1_27.1_Fig'!$BO$37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'q3.1_6.1_9.1_12.1_19.1_27.1_Fig'!$BM$38</c:f>
              <c:strCache>
                <c:ptCount val="1"/>
                <c:pt idx="0">
                  <c:v>Norte</c:v>
                </c:pt>
              </c:strCache>
            </c:strRef>
          </c:cat>
          <c:val>
            <c:numRef>
              <c:extLst>
                <c:ext xmlns:c15="http://schemas.microsoft.com/office/drawing/2012/chart" uri="{02D57815-91ED-43cb-92C2-25804820EDAC}">
                  <c15:fullRef>
                    <c15:sqref>'q3.1_6.1_9.1_12.1_19.1_27.1_Fig'!$BO$38:$BO$44</c15:sqref>
                  </c15:fullRef>
                </c:ext>
              </c:extLst>
              <c:f>'q3.1_6.1_9.1_12.1_19.1_27.1_Fig'!$BO$38</c:f>
              <c:numCache>
                <c:formatCode>#,##0</c:formatCode>
                <c:ptCount val="1"/>
                <c:pt idx="0">
                  <c:v>1142574.9999999998</c:v>
                </c:pt>
              </c:numCache>
            </c:numRef>
          </c:val>
          <c:extLst>
            <c:ext xmlns:c16="http://schemas.microsoft.com/office/drawing/2014/chart" uri="{C3380CC4-5D6E-409C-BE32-E72D297353CC}">
              <c16:uniqueId val="{00000001-9900-4B5F-9802-DAB6531C8B05}"/>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'q3.1_6.1_9.1_12.1_19.1_27.1_Fig'!$BM$39</c:f>
              <c:strCache>
                <c:ptCount val="1"/>
                <c:pt idx="0">
                  <c:v>Centro</c:v>
                </c:pt>
              </c:strCache>
            </c:strRef>
          </c:cat>
          <c:val>
            <c:numRef>
              <c:extLst>
                <c:ext xmlns:c15="http://schemas.microsoft.com/office/drawing/2012/chart" uri="{02D57815-91ED-43cb-92C2-25804820EDAC}">
                  <c15:fullRef>
                    <c15:sqref>'q3.1_6.1_9.1_12.1_19.1_27.1_Fig'!$BN$38:$BN$44</c15:sqref>
                  </c15:fullRef>
                </c:ext>
              </c:extLst>
              <c:f>'q3.1_6.1_9.1_12.1_19.1_27.1_Fig'!$BN$39</c:f>
              <c:numCache>
                <c:formatCode>#,##0</c:formatCode>
                <c:ptCount val="1"/>
                <c:pt idx="0">
                  <c:v>506309.99999999988</c:v>
                </c:pt>
              </c:numCache>
            </c:numRef>
          </c:val>
          <c:extLst>
            <c:ext xmlns:c16="http://schemas.microsoft.com/office/drawing/2014/chart" uri="{C3380CC4-5D6E-409C-BE32-E72D297353CC}">
              <c16:uniqueId val="{00000000-7C6A-4CDA-96F2-EA48998702AA}"/>
            </c:ext>
          </c:extLst>
        </c:ser>
        <c:ser>
          <c:idx val="1"/>
          <c:order val="1"/>
          <c:tx>
            <c:strRef>
              <c:f>'q3.1_6.1_9.1_12.1_19.1_27.1_Fig'!$BO$37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'q3.1_6.1_9.1_12.1_19.1_27.1_Fig'!$BM$39</c:f>
              <c:strCache>
                <c:ptCount val="1"/>
                <c:pt idx="0">
                  <c:v>Centro</c:v>
                </c:pt>
              </c:strCache>
            </c:strRef>
          </c:cat>
          <c:val>
            <c:numRef>
              <c:extLst>
                <c:ext xmlns:c15="http://schemas.microsoft.com/office/drawing/2012/chart" uri="{02D57815-91ED-43cb-92C2-25804820EDAC}">
                  <c15:fullRef>
                    <c15:sqref>'q3.1_6.1_9.1_12.1_19.1_27.1_Fig'!$BO$38:$BO$44</c15:sqref>
                  </c15:fullRef>
                </c:ext>
              </c:extLst>
              <c:f>'q3.1_6.1_9.1_12.1_19.1_27.1_Fig'!$BO$39</c:f>
              <c:numCache>
                <c:formatCode>#,##0</c:formatCode>
                <c:ptCount val="1"/>
                <c:pt idx="0">
                  <c:v>473399</c:v>
                </c:pt>
              </c:numCache>
            </c:numRef>
          </c:val>
          <c:extLst>
            <c:ext xmlns:c16="http://schemas.microsoft.com/office/drawing/2014/chart" uri="{C3380CC4-5D6E-409C-BE32-E72D297353CC}">
              <c16:uniqueId val="{00000001-7C6A-4CDA-96F2-EA48998702AA}"/>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'q3.1_6.1_9.1_12.1_19.1_27.1_Fig'!$BM$40</c:f>
              <c:strCache>
                <c:ptCount val="1"/>
                <c:pt idx="0">
                  <c:v>Oeste e Vale do Tejo</c:v>
                </c:pt>
              </c:strCache>
            </c:strRef>
          </c:cat>
          <c:val>
            <c:numRef>
              <c:extLst>
                <c:ext xmlns:c15="http://schemas.microsoft.com/office/drawing/2012/chart" uri="{02D57815-91ED-43cb-92C2-25804820EDAC}">
                  <c15:fullRef>
                    <c15:sqref>'q3.1_6.1_9.1_12.1_19.1_27.1_Fig'!$BN$38:$BN$44</c15:sqref>
                  </c15:fullRef>
                </c:ext>
              </c:extLst>
              <c:f>'q3.1_6.1_9.1_12.1_19.1_27.1_Fig'!$BN$40</c:f>
              <c:numCache>
                <c:formatCode>#,##0</c:formatCode>
                <c:ptCount val="1"/>
                <c:pt idx="0">
                  <c:v>233662.99999999994</c:v>
                </c:pt>
              </c:numCache>
            </c:numRef>
          </c:val>
          <c:extLst>
            <c:ext xmlns:c16="http://schemas.microsoft.com/office/drawing/2014/chart" uri="{C3380CC4-5D6E-409C-BE32-E72D297353CC}">
              <c16:uniqueId val="{00000000-785D-4D8C-B835-C6B7AD25E36A}"/>
            </c:ext>
          </c:extLst>
        </c:ser>
        <c:ser>
          <c:idx val="1"/>
          <c:order val="1"/>
          <c:tx>
            <c:strRef>
              <c:f>'q3.1_6.1_9.1_12.1_19.1_27.1_Fig'!$BO$37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'q3.1_6.1_9.1_12.1_19.1_27.1_Fig'!$BM$40</c:f>
              <c:strCache>
                <c:ptCount val="1"/>
                <c:pt idx="0">
                  <c:v>Oeste e Vale do Tejo</c:v>
                </c:pt>
              </c:strCache>
            </c:strRef>
          </c:cat>
          <c:val>
            <c:numRef>
              <c:extLst>
                <c:ext xmlns:c15="http://schemas.microsoft.com/office/drawing/2012/chart" uri="{02D57815-91ED-43cb-92C2-25804820EDAC}">
                  <c15:fullRef>
                    <c15:sqref>'q3.1_6.1_9.1_12.1_19.1_27.1_Fig'!$BO$38:$BO$44</c15:sqref>
                  </c15:fullRef>
                </c:ext>
              </c:extLst>
              <c:f>'q3.1_6.1_9.1_12.1_19.1_27.1_Fig'!$BO$40</c:f>
              <c:numCache>
                <c:formatCode>#,##0</c:formatCode>
                <c:ptCount val="1"/>
                <c:pt idx="0">
                  <c:v>217876.00000000006</c:v>
                </c:pt>
              </c:numCache>
            </c:numRef>
          </c:val>
          <c:extLst>
            <c:ext xmlns:c16="http://schemas.microsoft.com/office/drawing/2014/chart" uri="{C3380CC4-5D6E-409C-BE32-E72D297353CC}">
              <c16:uniqueId val="{00000001-785D-4D8C-B835-C6B7AD25E36A}"/>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'q3.1_6.1_9.1_12.1_19.1_27.1_Fig'!$BM$42</c:f>
              <c:strCache>
                <c:ptCount val="1"/>
                <c:pt idx="0">
                  <c:v>Península de Setúbal</c:v>
                </c:pt>
              </c:strCache>
            </c:strRef>
          </c:cat>
          <c:val>
            <c:numRef>
              <c:extLst>
                <c:ext xmlns:c15="http://schemas.microsoft.com/office/drawing/2012/chart" uri="{02D57815-91ED-43cb-92C2-25804820EDAC}">
                  <c15:fullRef>
                    <c15:sqref>'q3.1_6.1_9.1_12.1_19.1_27.1_Fig'!$BN$38:$BN$44</c15:sqref>
                  </c15:fullRef>
                </c:ext>
              </c:extLst>
              <c:f>'q3.1_6.1_9.1_12.1_19.1_27.1_Fig'!$BN$42</c:f>
              <c:numCache>
                <c:formatCode>#,##0</c:formatCode>
                <c:ptCount val="1"/>
                <c:pt idx="0">
                  <c:v>168606.00000000003</c:v>
                </c:pt>
              </c:numCache>
            </c:numRef>
          </c:val>
          <c:extLst>
            <c:ext xmlns:c16="http://schemas.microsoft.com/office/drawing/2014/chart" uri="{C3380CC4-5D6E-409C-BE32-E72D297353CC}">
              <c16:uniqueId val="{00000000-783A-4C34-B358-9057338425B9}"/>
            </c:ext>
          </c:extLst>
        </c:ser>
        <c:ser>
          <c:idx val="1"/>
          <c:order val="1"/>
          <c:tx>
            <c:strRef>
              <c:f>'q3.1_6.1_9.1_12.1_19.1_27.1_Fig'!$BO$37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'q3.1_6.1_9.1_12.1_19.1_27.1_Fig'!$BM$42</c:f>
              <c:strCache>
                <c:ptCount val="1"/>
                <c:pt idx="0">
                  <c:v>Península de Setúbal</c:v>
                </c:pt>
              </c:strCache>
            </c:strRef>
          </c:cat>
          <c:val>
            <c:numRef>
              <c:extLst>
                <c:ext xmlns:c15="http://schemas.microsoft.com/office/drawing/2012/chart" uri="{02D57815-91ED-43cb-92C2-25804820EDAC}">
                  <c15:fullRef>
                    <c15:sqref>'q3.1_6.1_9.1_12.1_19.1_27.1_Fig'!$BO$38:$BO$44</c15:sqref>
                  </c15:fullRef>
                </c:ext>
              </c:extLst>
              <c:f>'q3.1_6.1_9.1_12.1_19.1_27.1_Fig'!$BO$42</c:f>
              <c:numCache>
                <c:formatCode>#,##0</c:formatCode>
                <c:ptCount val="1"/>
                <c:pt idx="0">
                  <c:v>158898</c:v>
                </c:pt>
              </c:numCache>
            </c:numRef>
          </c:val>
          <c:extLst>
            <c:ext xmlns:c16="http://schemas.microsoft.com/office/drawing/2014/chart" uri="{C3380CC4-5D6E-409C-BE32-E72D297353CC}">
              <c16:uniqueId val="{00000001-783A-4C34-B358-9057338425B9}"/>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'q3.1_6.1_9.1_12.1_19.1_27.1_Fig'!$BM$41</c:f>
              <c:strCache>
                <c:ptCount val="1"/>
                <c:pt idx="0">
                  <c:v>Grande Lisboa</c:v>
                </c:pt>
              </c:strCache>
            </c:strRef>
          </c:cat>
          <c:val>
            <c:numRef>
              <c:extLst>
                <c:ext xmlns:c15="http://schemas.microsoft.com/office/drawing/2012/chart" uri="{02D57815-91ED-43cb-92C2-25804820EDAC}">
                  <c15:fullRef>
                    <c15:sqref>'q3.1_6.1_9.1_12.1_19.1_27.1_Fig'!$BN$38:$BN$44</c15:sqref>
                  </c15:fullRef>
                </c:ext>
              </c:extLst>
              <c:f>'q3.1_6.1_9.1_12.1_19.1_27.1_Fig'!$BN$41</c:f>
              <c:numCache>
                <c:formatCode>#,##0</c:formatCode>
                <c:ptCount val="1"/>
                <c:pt idx="0">
                  <c:v>915180</c:v>
                </c:pt>
              </c:numCache>
            </c:numRef>
          </c:val>
          <c:extLst>
            <c:ext xmlns:c16="http://schemas.microsoft.com/office/drawing/2014/chart" uri="{C3380CC4-5D6E-409C-BE32-E72D297353CC}">
              <c16:uniqueId val="{00000000-F05B-4124-A7B0-AF94280606D2}"/>
            </c:ext>
          </c:extLst>
        </c:ser>
        <c:ser>
          <c:idx val="1"/>
          <c:order val="1"/>
          <c:tx>
            <c:strRef>
              <c:f>'q3.1_6.1_9.1_12.1_19.1_27.1_Fig'!$BO$37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'q3.1_6.1_9.1_12.1_19.1_27.1_Fig'!$BM$41</c:f>
              <c:strCache>
                <c:ptCount val="1"/>
                <c:pt idx="0">
                  <c:v>Grande Lisboa</c:v>
                </c:pt>
              </c:strCache>
            </c:strRef>
          </c:cat>
          <c:val>
            <c:numRef>
              <c:extLst>
                <c:ext xmlns:c15="http://schemas.microsoft.com/office/drawing/2012/chart" uri="{02D57815-91ED-43cb-92C2-25804820EDAC}">
                  <c15:fullRef>
                    <c15:sqref>'q3.1_6.1_9.1_12.1_19.1_27.1_Fig'!$BO$38:$BO$44</c15:sqref>
                  </c15:fullRef>
                </c:ext>
              </c:extLst>
              <c:f>'q3.1_6.1_9.1_12.1_19.1_27.1_Fig'!$BO$41</c:f>
              <c:numCache>
                <c:formatCode>#,##0</c:formatCode>
                <c:ptCount val="1"/>
                <c:pt idx="0">
                  <c:v>875584</c:v>
                </c:pt>
              </c:numCache>
            </c:numRef>
          </c:val>
          <c:extLst>
            <c:ext xmlns:c16="http://schemas.microsoft.com/office/drawing/2014/chart" uri="{C3380CC4-5D6E-409C-BE32-E72D297353CC}">
              <c16:uniqueId val="{00000001-F05B-4124-A7B0-AF94280606D2}"/>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pt-PT" sz="900">
                <a:solidFill>
                  <a:schemeClr val="tx2">
                    <a:lumMod val="75000"/>
                  </a:schemeClr>
                </a:solidFill>
              </a:rPr>
              <a:t>...por dimensão do estabelecimento</a:t>
            </a:r>
          </a:p>
        </c:rich>
      </c:tx>
      <c:layout>
        <c:manualLayout>
          <c:xMode val="edge"/>
          <c:yMode val="edge"/>
          <c:x val="0.75006003767601337"/>
          <c:y val="3.404253798289474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pt-PT"/>
        </a:p>
      </c:txPr>
    </c:title>
    <c:autoTitleDeleted val="0"/>
    <c:plotArea>
      <c:layout/>
      <c:lineChart>
        <c:grouping val="standard"/>
        <c:varyColors val="0"/>
        <c:ser>
          <c:idx val="0"/>
          <c:order val="0"/>
          <c:tx>
            <c:strRef>
              <c:f>q7_q8_q10_q11_Fig!$R$31</c:f>
              <c:strCache>
                <c:ptCount val="1"/>
                <c:pt idx="0">
                  <c:v>Micro (1-9 pessoas)</c:v>
                </c:pt>
              </c:strCache>
            </c:strRef>
          </c:tx>
          <c:spPr>
            <a:ln w="25400" cap="rnd">
              <a:solidFill>
                <a:srgbClr val="3C1692"/>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F161-4D59-80A8-67394CF81024}"/>
                </c:ext>
              </c:extLst>
            </c:dLbl>
            <c:dLbl>
              <c:idx val="1"/>
              <c:delete val="1"/>
              <c:extLst>
                <c:ext xmlns:c15="http://schemas.microsoft.com/office/drawing/2012/chart" uri="{CE6537A1-D6FC-4f65-9D91-7224C49458BB}"/>
                <c:ext xmlns:c16="http://schemas.microsoft.com/office/drawing/2014/chart" uri="{C3380CC4-5D6E-409C-BE32-E72D297353CC}">
                  <c16:uniqueId val="{00000001-F161-4D59-80A8-67394CF81024}"/>
                </c:ext>
              </c:extLst>
            </c:dLbl>
            <c:dLbl>
              <c:idx val="2"/>
              <c:delete val="1"/>
              <c:extLst>
                <c:ext xmlns:c15="http://schemas.microsoft.com/office/drawing/2012/chart" uri="{CE6537A1-D6FC-4f65-9D91-7224C49458BB}"/>
                <c:ext xmlns:c16="http://schemas.microsoft.com/office/drawing/2014/chart" uri="{C3380CC4-5D6E-409C-BE32-E72D297353CC}">
                  <c16:uniqueId val="{00000002-F161-4D59-80A8-67394CF81024}"/>
                </c:ext>
              </c:extLst>
            </c:dLbl>
            <c:dLbl>
              <c:idx val="3"/>
              <c:layout>
                <c:manualLayout>
                  <c:x val="5.2322336290242126E-2"/>
                  <c:y val="8.1294291338582722E-2"/>
                </c:manualLayout>
              </c:layout>
              <c:tx>
                <c:rich>
                  <a:bodyPr/>
                  <a:lstStyle/>
                  <a:p>
                    <a:fld id="{A8C9B93E-BD4A-47C8-81CF-FD69EB3EB9F8}" type="SERIESNAME">
                      <a:rPr lang="en-US">
                        <a:solidFill>
                          <a:srgbClr val="3C1692"/>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F161-4D59-80A8-67394CF81024}"/>
                </c:ext>
              </c:extLst>
            </c:dLbl>
            <c:dLbl>
              <c:idx val="4"/>
              <c:delete val="1"/>
              <c:extLst>
                <c:ext xmlns:c15="http://schemas.microsoft.com/office/drawing/2012/chart" uri="{CE6537A1-D6FC-4f65-9D91-7224C49458BB}"/>
                <c:ext xmlns:c16="http://schemas.microsoft.com/office/drawing/2014/chart" uri="{C3380CC4-5D6E-409C-BE32-E72D297353CC}">
                  <c16:uniqueId val="{00000004-F161-4D59-80A8-67394CF81024}"/>
                </c:ext>
              </c:extLst>
            </c:dLbl>
            <c:dLbl>
              <c:idx val="5"/>
              <c:delete val="1"/>
              <c:extLst>
                <c:ext xmlns:c15="http://schemas.microsoft.com/office/drawing/2012/chart" uri="{CE6537A1-D6FC-4f65-9D91-7224C49458BB}"/>
                <c:ext xmlns:c16="http://schemas.microsoft.com/office/drawing/2014/chart" uri="{C3380CC4-5D6E-409C-BE32-E72D297353CC}">
                  <c16:uniqueId val="{00000005-F161-4D59-80A8-67394CF81024}"/>
                </c:ext>
              </c:extLst>
            </c:dLbl>
            <c:dLbl>
              <c:idx val="6"/>
              <c:delete val="1"/>
              <c:extLst>
                <c:ext xmlns:c15="http://schemas.microsoft.com/office/drawing/2012/chart" uri="{CE6537A1-D6FC-4f65-9D91-7224C49458BB}"/>
                <c:ext xmlns:c16="http://schemas.microsoft.com/office/drawing/2014/chart" uri="{C3380CC4-5D6E-409C-BE32-E72D297353CC}">
                  <c16:uniqueId val="{00000006-F161-4D59-80A8-67394CF81024}"/>
                </c:ext>
              </c:extLst>
            </c:dLbl>
            <c:dLbl>
              <c:idx val="7"/>
              <c:delete val="1"/>
              <c:extLst>
                <c:ext xmlns:c15="http://schemas.microsoft.com/office/drawing/2012/chart" uri="{CE6537A1-D6FC-4f65-9D91-7224C49458BB}"/>
                <c:ext xmlns:c16="http://schemas.microsoft.com/office/drawing/2014/chart" uri="{C3380CC4-5D6E-409C-BE32-E72D297353CC}">
                  <c16:uniqueId val="{00000007-F161-4D59-80A8-67394CF81024}"/>
                </c:ext>
              </c:extLst>
            </c:dLbl>
            <c:dLbl>
              <c:idx val="8"/>
              <c:delete val="1"/>
              <c:extLst>
                <c:ext xmlns:c15="http://schemas.microsoft.com/office/drawing/2012/chart" uri="{CE6537A1-D6FC-4f65-9D91-7224C49458BB}"/>
                <c:ext xmlns:c16="http://schemas.microsoft.com/office/drawing/2014/chart" uri="{C3380CC4-5D6E-409C-BE32-E72D297353CC}">
                  <c16:uniqueId val="{00000008-F161-4D59-80A8-67394CF81024}"/>
                </c:ext>
              </c:extLst>
            </c:dLbl>
            <c:dLbl>
              <c:idx val="9"/>
              <c:delete val="1"/>
              <c:extLst>
                <c:ext xmlns:c15="http://schemas.microsoft.com/office/drawing/2012/chart" uri="{CE6537A1-D6FC-4f65-9D91-7224C49458BB}"/>
                <c:ext xmlns:c16="http://schemas.microsoft.com/office/drawing/2014/chart" uri="{C3380CC4-5D6E-409C-BE32-E72D297353CC}">
                  <c16:uniqueId val="{00000009-F161-4D59-80A8-67394CF81024}"/>
                </c:ext>
              </c:extLst>
            </c:dLbl>
            <c:dLbl>
              <c:idx val="10"/>
              <c:delete val="1"/>
              <c:extLst>
                <c:ext xmlns:c15="http://schemas.microsoft.com/office/drawing/2012/chart" uri="{CE6537A1-D6FC-4f65-9D91-7224C49458BB}"/>
                <c:ext xmlns:c16="http://schemas.microsoft.com/office/drawing/2014/chart" uri="{C3380CC4-5D6E-409C-BE32-E72D297353CC}">
                  <c16:uniqueId val="{0000000A-F161-4D59-80A8-67394CF8102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3C1692"/>
                      </a:solidFill>
                    </a:ln>
                    <a:effectLst/>
                  </c:spPr>
                </c15:leaderLines>
              </c:ext>
            </c:extLst>
          </c:dLbls>
          <c:cat>
            <c:numRef>
              <c:f>q7_q8_q10_q11_Fig!$S$30:$AC$30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q7_q8_q10_q11_Fig!$S$31:$AC$31</c:f>
              <c:numCache>
                <c:formatCode>General</c:formatCode>
                <c:ptCount val="11"/>
                <c:pt idx="0">
                  <c:v>680793</c:v>
                </c:pt>
                <c:pt idx="1">
                  <c:v>666913</c:v>
                </c:pt>
                <c:pt idx="2">
                  <c:v>674602</c:v>
                </c:pt>
                <c:pt idx="3">
                  <c:v>686838</c:v>
                </c:pt>
                <c:pt idx="4">
                  <c:v>698455</c:v>
                </c:pt>
                <c:pt idx="5">
                  <c:v>707551</c:v>
                </c:pt>
                <c:pt idx="6">
                  <c:v>717867</c:v>
                </c:pt>
                <c:pt idx="7">
                  <c:v>705572</c:v>
                </c:pt>
                <c:pt idx="8">
                  <c:v>709290</c:v>
                </c:pt>
                <c:pt idx="9">
                  <c:v>697277</c:v>
                </c:pt>
                <c:pt idx="10">
                  <c:v>727177</c:v>
                </c:pt>
              </c:numCache>
            </c:numRef>
          </c:val>
          <c:smooth val="0"/>
          <c:extLst>
            <c:ext xmlns:c16="http://schemas.microsoft.com/office/drawing/2014/chart" uri="{C3380CC4-5D6E-409C-BE32-E72D297353CC}">
              <c16:uniqueId val="{0000000B-F161-4D59-80A8-67394CF81024}"/>
            </c:ext>
          </c:extLst>
        </c:ser>
        <c:ser>
          <c:idx val="1"/>
          <c:order val="1"/>
          <c:tx>
            <c:strRef>
              <c:f>q7_q8_q10_q11_Fig!$R$32</c:f>
              <c:strCache>
                <c:ptCount val="1"/>
                <c:pt idx="0">
                  <c:v>Pequenos (10 - 49 pessoas)</c:v>
                </c:pt>
              </c:strCache>
            </c:strRef>
          </c:tx>
          <c:spPr>
            <a:ln w="25400" cap="rnd">
              <a:solidFill>
                <a:srgbClr val="1403EB"/>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C-F161-4D59-80A8-67394CF81024}"/>
                </c:ext>
              </c:extLst>
            </c:dLbl>
            <c:dLbl>
              <c:idx val="1"/>
              <c:delete val="1"/>
              <c:extLst>
                <c:ext xmlns:c15="http://schemas.microsoft.com/office/drawing/2012/chart" uri="{CE6537A1-D6FC-4f65-9D91-7224C49458BB}"/>
                <c:ext xmlns:c16="http://schemas.microsoft.com/office/drawing/2014/chart" uri="{C3380CC4-5D6E-409C-BE32-E72D297353CC}">
                  <c16:uniqueId val="{0000000D-F161-4D59-80A8-67394CF81024}"/>
                </c:ext>
              </c:extLst>
            </c:dLbl>
            <c:dLbl>
              <c:idx val="2"/>
              <c:delete val="1"/>
              <c:extLst>
                <c:ext xmlns:c15="http://schemas.microsoft.com/office/drawing/2012/chart" uri="{CE6537A1-D6FC-4f65-9D91-7224C49458BB}"/>
                <c:ext xmlns:c16="http://schemas.microsoft.com/office/drawing/2014/chart" uri="{C3380CC4-5D6E-409C-BE32-E72D297353CC}">
                  <c16:uniqueId val="{0000000E-F161-4D59-80A8-67394CF81024}"/>
                </c:ext>
              </c:extLst>
            </c:dLbl>
            <c:dLbl>
              <c:idx val="3"/>
              <c:layout>
                <c:manualLayout>
                  <c:x val="-7.5833748629522579E-2"/>
                  <c:y val="-0.19104617782152231"/>
                </c:manualLayout>
              </c:layout>
              <c:tx>
                <c:rich>
                  <a:bodyPr/>
                  <a:lstStyle/>
                  <a:p>
                    <a:fld id="{BE7735F4-BAB8-4FFE-9997-93C135EB11A4}" type="SERIESNAME">
                      <a:rPr lang="en-US">
                        <a:solidFill>
                          <a:srgbClr val="1403EB"/>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F161-4D59-80A8-67394CF81024}"/>
                </c:ext>
              </c:extLst>
            </c:dLbl>
            <c:dLbl>
              <c:idx val="4"/>
              <c:delete val="1"/>
              <c:extLst>
                <c:ext xmlns:c15="http://schemas.microsoft.com/office/drawing/2012/chart" uri="{CE6537A1-D6FC-4f65-9D91-7224C49458BB}"/>
                <c:ext xmlns:c16="http://schemas.microsoft.com/office/drawing/2014/chart" uri="{C3380CC4-5D6E-409C-BE32-E72D297353CC}">
                  <c16:uniqueId val="{00000010-F161-4D59-80A8-67394CF81024}"/>
                </c:ext>
              </c:extLst>
            </c:dLbl>
            <c:dLbl>
              <c:idx val="5"/>
              <c:delete val="1"/>
              <c:extLst>
                <c:ext xmlns:c15="http://schemas.microsoft.com/office/drawing/2012/chart" uri="{CE6537A1-D6FC-4f65-9D91-7224C49458BB}"/>
                <c:ext xmlns:c16="http://schemas.microsoft.com/office/drawing/2014/chart" uri="{C3380CC4-5D6E-409C-BE32-E72D297353CC}">
                  <c16:uniqueId val="{00000011-F161-4D59-80A8-67394CF81024}"/>
                </c:ext>
              </c:extLst>
            </c:dLbl>
            <c:dLbl>
              <c:idx val="6"/>
              <c:delete val="1"/>
              <c:extLst>
                <c:ext xmlns:c15="http://schemas.microsoft.com/office/drawing/2012/chart" uri="{CE6537A1-D6FC-4f65-9D91-7224C49458BB}"/>
                <c:ext xmlns:c16="http://schemas.microsoft.com/office/drawing/2014/chart" uri="{C3380CC4-5D6E-409C-BE32-E72D297353CC}">
                  <c16:uniqueId val="{00000012-F161-4D59-80A8-67394CF81024}"/>
                </c:ext>
              </c:extLst>
            </c:dLbl>
            <c:dLbl>
              <c:idx val="7"/>
              <c:delete val="1"/>
              <c:extLst>
                <c:ext xmlns:c15="http://schemas.microsoft.com/office/drawing/2012/chart" uri="{CE6537A1-D6FC-4f65-9D91-7224C49458BB}"/>
                <c:ext xmlns:c16="http://schemas.microsoft.com/office/drawing/2014/chart" uri="{C3380CC4-5D6E-409C-BE32-E72D297353CC}">
                  <c16:uniqueId val="{00000013-F161-4D59-80A8-67394CF81024}"/>
                </c:ext>
              </c:extLst>
            </c:dLbl>
            <c:dLbl>
              <c:idx val="8"/>
              <c:delete val="1"/>
              <c:extLst>
                <c:ext xmlns:c15="http://schemas.microsoft.com/office/drawing/2012/chart" uri="{CE6537A1-D6FC-4f65-9D91-7224C49458BB}"/>
                <c:ext xmlns:c16="http://schemas.microsoft.com/office/drawing/2014/chart" uri="{C3380CC4-5D6E-409C-BE32-E72D297353CC}">
                  <c16:uniqueId val="{00000014-F161-4D59-80A8-67394CF81024}"/>
                </c:ext>
              </c:extLst>
            </c:dLbl>
            <c:dLbl>
              <c:idx val="9"/>
              <c:delete val="1"/>
              <c:extLst>
                <c:ext xmlns:c15="http://schemas.microsoft.com/office/drawing/2012/chart" uri="{CE6537A1-D6FC-4f65-9D91-7224C49458BB}"/>
                <c:ext xmlns:c16="http://schemas.microsoft.com/office/drawing/2014/chart" uri="{C3380CC4-5D6E-409C-BE32-E72D297353CC}">
                  <c16:uniqueId val="{00000015-F161-4D59-80A8-67394CF81024}"/>
                </c:ext>
              </c:extLst>
            </c:dLbl>
            <c:dLbl>
              <c:idx val="10"/>
              <c:delete val="1"/>
              <c:extLst>
                <c:ext xmlns:c15="http://schemas.microsoft.com/office/drawing/2012/chart" uri="{CE6537A1-D6FC-4f65-9D91-7224C49458BB}"/>
                <c:ext xmlns:c16="http://schemas.microsoft.com/office/drawing/2014/chart" uri="{C3380CC4-5D6E-409C-BE32-E72D297353CC}">
                  <c16:uniqueId val="{00000016-F161-4D59-80A8-67394CF8102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1403EB"/>
                      </a:solidFill>
                    </a:ln>
                    <a:effectLst/>
                  </c:spPr>
                </c15:leaderLines>
              </c:ext>
            </c:extLst>
          </c:dLbls>
          <c:cat>
            <c:numRef>
              <c:f>q7_q8_q10_q11_Fig!$S$30:$AC$30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q7_q8_q10_q11_Fig!$S$32:$AC$32</c:f>
              <c:numCache>
                <c:formatCode>General</c:formatCode>
                <c:ptCount val="11"/>
                <c:pt idx="0">
                  <c:v>735582</c:v>
                </c:pt>
                <c:pt idx="1">
                  <c:v>727923</c:v>
                </c:pt>
                <c:pt idx="2">
                  <c:v>752242</c:v>
                </c:pt>
                <c:pt idx="3">
                  <c:v>779942</c:v>
                </c:pt>
                <c:pt idx="4">
                  <c:v>808880</c:v>
                </c:pt>
                <c:pt idx="5">
                  <c:v>849173</c:v>
                </c:pt>
                <c:pt idx="6">
                  <c:v>884241</c:v>
                </c:pt>
                <c:pt idx="7">
                  <c:v>903699</c:v>
                </c:pt>
                <c:pt idx="8">
                  <c:v>890723</c:v>
                </c:pt>
                <c:pt idx="9">
                  <c:v>899808</c:v>
                </c:pt>
                <c:pt idx="10">
                  <c:v>969158</c:v>
                </c:pt>
              </c:numCache>
            </c:numRef>
          </c:val>
          <c:smooth val="0"/>
          <c:extLst>
            <c:ext xmlns:c16="http://schemas.microsoft.com/office/drawing/2014/chart" uri="{C3380CC4-5D6E-409C-BE32-E72D297353CC}">
              <c16:uniqueId val="{00000017-F161-4D59-80A8-67394CF81024}"/>
            </c:ext>
          </c:extLst>
        </c:ser>
        <c:ser>
          <c:idx val="2"/>
          <c:order val="2"/>
          <c:tx>
            <c:strRef>
              <c:f>q7_q8_q10_q11_Fig!$R$33</c:f>
              <c:strCache>
                <c:ptCount val="1"/>
                <c:pt idx="0">
                  <c:v>Médios (50 - 249 pessoas)</c:v>
                </c:pt>
              </c:strCache>
            </c:strRef>
          </c:tx>
          <c:spPr>
            <a:ln w="25400" cap="rnd">
              <a:solidFill>
                <a:schemeClr val="tx2">
                  <a:lumMod val="60000"/>
                  <a:lumOff val="40000"/>
                </a:schemeClr>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8-F161-4D59-80A8-67394CF81024}"/>
                </c:ext>
              </c:extLst>
            </c:dLbl>
            <c:dLbl>
              <c:idx val="1"/>
              <c:delete val="1"/>
              <c:extLst>
                <c:ext xmlns:c15="http://schemas.microsoft.com/office/drawing/2012/chart" uri="{CE6537A1-D6FC-4f65-9D91-7224C49458BB}"/>
                <c:ext xmlns:c16="http://schemas.microsoft.com/office/drawing/2014/chart" uri="{C3380CC4-5D6E-409C-BE32-E72D297353CC}">
                  <c16:uniqueId val="{00000019-F161-4D59-80A8-67394CF81024}"/>
                </c:ext>
              </c:extLst>
            </c:dLbl>
            <c:dLbl>
              <c:idx val="2"/>
              <c:layout>
                <c:manualLayout>
                  <c:x val="-2.2571514003787579E-2"/>
                  <c:y val="0.13382094816272966"/>
                </c:manualLayout>
              </c:layout>
              <c:tx>
                <c:rich>
                  <a:bodyPr/>
                  <a:lstStyle/>
                  <a:p>
                    <a:fld id="{66688D69-0E74-4700-B821-CD6491C19966}" type="SERIESNAME">
                      <a:rPr lang="en-US">
                        <a:solidFill>
                          <a:srgbClr val="558ED5"/>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F161-4D59-80A8-67394CF81024}"/>
                </c:ext>
              </c:extLst>
            </c:dLbl>
            <c:dLbl>
              <c:idx val="3"/>
              <c:delete val="1"/>
              <c:extLst>
                <c:ext xmlns:c15="http://schemas.microsoft.com/office/drawing/2012/chart" uri="{CE6537A1-D6FC-4f65-9D91-7224C49458BB}"/>
                <c:ext xmlns:c16="http://schemas.microsoft.com/office/drawing/2014/chart" uri="{C3380CC4-5D6E-409C-BE32-E72D297353CC}">
                  <c16:uniqueId val="{0000001B-F161-4D59-80A8-67394CF81024}"/>
                </c:ext>
              </c:extLst>
            </c:dLbl>
            <c:dLbl>
              <c:idx val="4"/>
              <c:delete val="1"/>
              <c:extLst>
                <c:ext xmlns:c15="http://schemas.microsoft.com/office/drawing/2012/chart" uri="{CE6537A1-D6FC-4f65-9D91-7224C49458BB}"/>
                <c:ext xmlns:c16="http://schemas.microsoft.com/office/drawing/2014/chart" uri="{C3380CC4-5D6E-409C-BE32-E72D297353CC}">
                  <c16:uniqueId val="{0000001C-F161-4D59-80A8-67394CF81024}"/>
                </c:ext>
              </c:extLst>
            </c:dLbl>
            <c:dLbl>
              <c:idx val="5"/>
              <c:delete val="1"/>
              <c:extLst>
                <c:ext xmlns:c15="http://schemas.microsoft.com/office/drawing/2012/chart" uri="{CE6537A1-D6FC-4f65-9D91-7224C49458BB}"/>
                <c:ext xmlns:c16="http://schemas.microsoft.com/office/drawing/2014/chart" uri="{C3380CC4-5D6E-409C-BE32-E72D297353CC}">
                  <c16:uniqueId val="{0000001D-F161-4D59-80A8-67394CF81024}"/>
                </c:ext>
              </c:extLst>
            </c:dLbl>
            <c:dLbl>
              <c:idx val="6"/>
              <c:delete val="1"/>
              <c:extLst>
                <c:ext xmlns:c15="http://schemas.microsoft.com/office/drawing/2012/chart" uri="{CE6537A1-D6FC-4f65-9D91-7224C49458BB}"/>
                <c:ext xmlns:c16="http://schemas.microsoft.com/office/drawing/2014/chart" uri="{C3380CC4-5D6E-409C-BE32-E72D297353CC}">
                  <c16:uniqueId val="{0000001E-F161-4D59-80A8-67394CF81024}"/>
                </c:ext>
              </c:extLst>
            </c:dLbl>
            <c:dLbl>
              <c:idx val="7"/>
              <c:delete val="1"/>
              <c:extLst>
                <c:ext xmlns:c15="http://schemas.microsoft.com/office/drawing/2012/chart" uri="{CE6537A1-D6FC-4f65-9D91-7224C49458BB}"/>
                <c:ext xmlns:c16="http://schemas.microsoft.com/office/drawing/2014/chart" uri="{C3380CC4-5D6E-409C-BE32-E72D297353CC}">
                  <c16:uniqueId val="{0000001F-F161-4D59-80A8-67394CF81024}"/>
                </c:ext>
              </c:extLst>
            </c:dLbl>
            <c:dLbl>
              <c:idx val="8"/>
              <c:delete val="1"/>
              <c:extLst>
                <c:ext xmlns:c15="http://schemas.microsoft.com/office/drawing/2012/chart" uri="{CE6537A1-D6FC-4f65-9D91-7224C49458BB}"/>
                <c:ext xmlns:c16="http://schemas.microsoft.com/office/drawing/2014/chart" uri="{C3380CC4-5D6E-409C-BE32-E72D297353CC}">
                  <c16:uniqueId val="{00000020-F161-4D59-80A8-67394CF81024}"/>
                </c:ext>
              </c:extLst>
            </c:dLbl>
            <c:dLbl>
              <c:idx val="9"/>
              <c:delete val="1"/>
              <c:extLst>
                <c:ext xmlns:c15="http://schemas.microsoft.com/office/drawing/2012/chart" uri="{CE6537A1-D6FC-4f65-9D91-7224C49458BB}"/>
                <c:ext xmlns:c16="http://schemas.microsoft.com/office/drawing/2014/chart" uri="{C3380CC4-5D6E-409C-BE32-E72D297353CC}">
                  <c16:uniqueId val="{00000021-F161-4D59-80A8-67394CF81024}"/>
                </c:ext>
              </c:extLst>
            </c:dLbl>
            <c:dLbl>
              <c:idx val="10"/>
              <c:delete val="1"/>
              <c:extLst>
                <c:ext xmlns:c15="http://schemas.microsoft.com/office/drawing/2012/chart" uri="{CE6537A1-D6FC-4f65-9D91-7224C49458BB}"/>
                <c:ext xmlns:c16="http://schemas.microsoft.com/office/drawing/2014/chart" uri="{C3380CC4-5D6E-409C-BE32-E72D297353CC}">
                  <c16:uniqueId val="{00000022-F161-4D59-80A8-67394CF8102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558ED5"/>
                      </a:solidFill>
                    </a:ln>
                    <a:effectLst/>
                  </c:spPr>
                </c15:leaderLines>
              </c:ext>
            </c:extLst>
          </c:dLbls>
          <c:cat>
            <c:numRef>
              <c:f>q7_q8_q10_q11_Fig!$S$30:$AC$30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q7_q8_q10_q11_Fig!$S$33:$AC$33</c:f>
              <c:numCache>
                <c:formatCode>General</c:formatCode>
                <c:ptCount val="11"/>
                <c:pt idx="0">
                  <c:v>559939</c:v>
                </c:pt>
                <c:pt idx="1">
                  <c:v>563970</c:v>
                </c:pt>
                <c:pt idx="2">
                  <c:v>581774</c:v>
                </c:pt>
                <c:pt idx="3">
                  <c:v>601283</c:v>
                </c:pt>
                <c:pt idx="4">
                  <c:v>628036</c:v>
                </c:pt>
                <c:pt idx="5">
                  <c:v>659773</c:v>
                </c:pt>
                <c:pt idx="6">
                  <c:v>694825</c:v>
                </c:pt>
                <c:pt idx="7">
                  <c:v>711328</c:v>
                </c:pt>
                <c:pt idx="8">
                  <c:v>700769</c:v>
                </c:pt>
                <c:pt idx="9">
                  <c:v>719552</c:v>
                </c:pt>
                <c:pt idx="10">
                  <c:v>788139</c:v>
                </c:pt>
              </c:numCache>
            </c:numRef>
          </c:val>
          <c:smooth val="0"/>
          <c:extLst>
            <c:ext xmlns:c16="http://schemas.microsoft.com/office/drawing/2014/chart" uri="{C3380CC4-5D6E-409C-BE32-E72D297353CC}">
              <c16:uniqueId val="{00000023-F161-4D59-80A8-67394CF81024}"/>
            </c:ext>
          </c:extLst>
        </c:ser>
        <c:ser>
          <c:idx val="3"/>
          <c:order val="3"/>
          <c:tx>
            <c:strRef>
              <c:f>q7_q8_q10_q11_Fig!$R$34</c:f>
              <c:strCache>
                <c:ptCount val="1"/>
                <c:pt idx="0">
                  <c:v>Grandes (250 ou + pessoas)</c:v>
                </c:pt>
              </c:strCache>
            </c:strRef>
          </c:tx>
          <c:spPr>
            <a:ln w="25400" cap="rnd">
              <a:solidFill>
                <a:srgbClr val="B6C3FF"/>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4-F161-4D59-80A8-67394CF81024}"/>
                </c:ext>
              </c:extLst>
            </c:dLbl>
            <c:dLbl>
              <c:idx val="1"/>
              <c:delete val="1"/>
              <c:extLst>
                <c:ext xmlns:c15="http://schemas.microsoft.com/office/drawing/2012/chart" uri="{CE6537A1-D6FC-4f65-9D91-7224C49458BB}"/>
                <c:ext xmlns:c16="http://schemas.microsoft.com/office/drawing/2014/chart" uri="{C3380CC4-5D6E-409C-BE32-E72D297353CC}">
                  <c16:uniqueId val="{00000025-F161-4D59-80A8-67394CF81024}"/>
                </c:ext>
              </c:extLst>
            </c:dLbl>
            <c:dLbl>
              <c:idx val="2"/>
              <c:delete val="1"/>
              <c:extLst>
                <c:ext xmlns:c15="http://schemas.microsoft.com/office/drawing/2012/chart" uri="{CE6537A1-D6FC-4f65-9D91-7224C49458BB}"/>
                <c:ext xmlns:c16="http://schemas.microsoft.com/office/drawing/2014/chart" uri="{C3380CC4-5D6E-409C-BE32-E72D297353CC}">
                  <c16:uniqueId val="{00000026-F161-4D59-80A8-67394CF81024}"/>
                </c:ext>
              </c:extLst>
            </c:dLbl>
            <c:dLbl>
              <c:idx val="3"/>
              <c:delete val="1"/>
              <c:extLst>
                <c:ext xmlns:c15="http://schemas.microsoft.com/office/drawing/2012/chart" uri="{CE6537A1-D6FC-4f65-9D91-7224C49458BB}"/>
                <c:ext xmlns:c16="http://schemas.microsoft.com/office/drawing/2014/chart" uri="{C3380CC4-5D6E-409C-BE32-E72D297353CC}">
                  <c16:uniqueId val="{00000027-F161-4D59-80A8-67394CF81024}"/>
                </c:ext>
              </c:extLst>
            </c:dLbl>
            <c:dLbl>
              <c:idx val="4"/>
              <c:delete val="1"/>
              <c:extLst>
                <c:ext xmlns:c15="http://schemas.microsoft.com/office/drawing/2012/chart" uri="{CE6537A1-D6FC-4f65-9D91-7224C49458BB}"/>
                <c:ext xmlns:c16="http://schemas.microsoft.com/office/drawing/2014/chart" uri="{C3380CC4-5D6E-409C-BE32-E72D297353CC}">
                  <c16:uniqueId val="{00000028-F161-4D59-80A8-67394CF81024}"/>
                </c:ext>
              </c:extLst>
            </c:dLbl>
            <c:dLbl>
              <c:idx val="5"/>
              <c:delete val="1"/>
              <c:extLst>
                <c:ext xmlns:c15="http://schemas.microsoft.com/office/drawing/2012/chart" uri="{CE6537A1-D6FC-4f65-9D91-7224C49458BB}"/>
                <c:ext xmlns:c16="http://schemas.microsoft.com/office/drawing/2014/chart" uri="{C3380CC4-5D6E-409C-BE32-E72D297353CC}">
                  <c16:uniqueId val="{00000029-F161-4D59-80A8-67394CF81024}"/>
                </c:ext>
              </c:extLst>
            </c:dLbl>
            <c:dLbl>
              <c:idx val="6"/>
              <c:delete val="1"/>
              <c:extLst>
                <c:ext xmlns:c15="http://schemas.microsoft.com/office/drawing/2012/chart" uri="{CE6537A1-D6FC-4f65-9D91-7224C49458BB}"/>
                <c:ext xmlns:c16="http://schemas.microsoft.com/office/drawing/2014/chart" uri="{C3380CC4-5D6E-409C-BE32-E72D297353CC}">
                  <c16:uniqueId val="{0000002A-F161-4D59-80A8-67394CF81024}"/>
                </c:ext>
              </c:extLst>
            </c:dLbl>
            <c:dLbl>
              <c:idx val="7"/>
              <c:delete val="1"/>
              <c:extLst>
                <c:ext xmlns:c15="http://schemas.microsoft.com/office/drawing/2012/chart" uri="{CE6537A1-D6FC-4f65-9D91-7224C49458BB}"/>
                <c:ext xmlns:c16="http://schemas.microsoft.com/office/drawing/2014/chart" uri="{C3380CC4-5D6E-409C-BE32-E72D297353CC}">
                  <c16:uniqueId val="{0000002B-F161-4D59-80A8-67394CF81024}"/>
                </c:ext>
              </c:extLst>
            </c:dLbl>
            <c:dLbl>
              <c:idx val="8"/>
              <c:layout>
                <c:manualLayout>
                  <c:x val="-1.9764111764510449E-2"/>
                  <c:y val="0.18162688648293954"/>
                </c:manualLayout>
              </c:layout>
              <c:tx>
                <c:rich>
                  <a:bodyPr/>
                  <a:lstStyle/>
                  <a:p>
                    <a:fld id="{2774078E-33D2-4E65-92A4-30963C09B901}" type="SERIESNAME">
                      <a:rPr lang="en-US">
                        <a:solidFill>
                          <a:srgbClr val="B6C3FF"/>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C-F161-4D59-80A8-67394CF81024}"/>
                </c:ext>
              </c:extLst>
            </c:dLbl>
            <c:dLbl>
              <c:idx val="9"/>
              <c:delete val="1"/>
              <c:extLst>
                <c:ext xmlns:c15="http://schemas.microsoft.com/office/drawing/2012/chart" uri="{CE6537A1-D6FC-4f65-9D91-7224C49458BB}"/>
                <c:ext xmlns:c16="http://schemas.microsoft.com/office/drawing/2014/chart" uri="{C3380CC4-5D6E-409C-BE32-E72D297353CC}">
                  <c16:uniqueId val="{0000002D-F161-4D59-80A8-67394CF81024}"/>
                </c:ext>
              </c:extLst>
            </c:dLbl>
            <c:dLbl>
              <c:idx val="10"/>
              <c:delete val="1"/>
              <c:extLst>
                <c:ext xmlns:c15="http://schemas.microsoft.com/office/drawing/2012/chart" uri="{CE6537A1-D6FC-4f65-9D91-7224C49458BB}"/>
                <c:ext xmlns:c16="http://schemas.microsoft.com/office/drawing/2014/chart" uri="{C3380CC4-5D6E-409C-BE32-E72D297353CC}">
                  <c16:uniqueId val="{0000002E-F161-4D59-80A8-67394CF8102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q7_q8_q10_q11_Fig!$S$30:$AC$30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q7_q8_q10_q11_Fig!$S$34:$AC$34</c:f>
              <c:numCache>
                <c:formatCode>General</c:formatCode>
                <c:ptCount val="11"/>
                <c:pt idx="0">
                  <c:v>408574</c:v>
                </c:pt>
                <c:pt idx="1">
                  <c:v>423096</c:v>
                </c:pt>
                <c:pt idx="2">
                  <c:v>447153</c:v>
                </c:pt>
                <c:pt idx="3">
                  <c:v>467633</c:v>
                </c:pt>
                <c:pt idx="4">
                  <c:v>504554</c:v>
                </c:pt>
                <c:pt idx="5">
                  <c:v>549108</c:v>
                </c:pt>
                <c:pt idx="6">
                  <c:v>579145</c:v>
                </c:pt>
                <c:pt idx="7">
                  <c:v>607584</c:v>
                </c:pt>
                <c:pt idx="8">
                  <c:v>598470</c:v>
                </c:pt>
                <c:pt idx="9">
                  <c:v>603335</c:v>
                </c:pt>
                <c:pt idx="10">
                  <c:v>661415</c:v>
                </c:pt>
              </c:numCache>
            </c:numRef>
          </c:val>
          <c:smooth val="0"/>
          <c:extLst>
            <c:ext xmlns:c16="http://schemas.microsoft.com/office/drawing/2014/chart" uri="{C3380CC4-5D6E-409C-BE32-E72D297353CC}">
              <c16:uniqueId val="{0000002F-F161-4D59-80A8-67394CF81024}"/>
            </c:ext>
          </c:extLst>
        </c:ser>
        <c:dLbls>
          <c:dLblPos val="ctr"/>
          <c:showLegendKey val="0"/>
          <c:showVal val="1"/>
          <c:showCatName val="0"/>
          <c:showSerName val="0"/>
          <c:showPercent val="0"/>
          <c:showBubbleSize val="0"/>
        </c:dLbls>
        <c:smooth val="0"/>
        <c:axId val="1734530655"/>
        <c:axId val="1715689631"/>
      </c:lineChart>
      <c:catAx>
        <c:axId val="1734530655"/>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715689631"/>
        <c:crosses val="autoZero"/>
        <c:auto val="1"/>
        <c:lblAlgn val="ctr"/>
        <c:lblOffset val="100"/>
        <c:tickMarkSkip val="1"/>
        <c:noMultiLvlLbl val="0"/>
      </c:catAx>
      <c:valAx>
        <c:axId val="1715689631"/>
        <c:scaling>
          <c:orientation val="minMax"/>
          <c:max val="1250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1734530655"/>
        <c:crosses val="autoZero"/>
        <c:crossBetween val="between"/>
        <c:majorUnit val="25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5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'q3.1_6.1_9.1_12.1_19.1_27.1_Fig'!$BM$43</c:f>
              <c:strCache>
                <c:ptCount val="1"/>
                <c:pt idx="0">
                  <c:v>Alentejo</c:v>
                </c:pt>
              </c:strCache>
            </c:strRef>
          </c:cat>
          <c:val>
            <c:numRef>
              <c:extLst>
                <c:ext xmlns:c15="http://schemas.microsoft.com/office/drawing/2012/chart" uri="{02D57815-91ED-43cb-92C2-25804820EDAC}">
                  <c15:fullRef>
                    <c15:sqref>'q3.1_6.1_9.1_12.1_19.1_27.1_Fig'!$BN$38:$BN$44</c15:sqref>
                  </c15:fullRef>
                </c:ext>
              </c:extLst>
              <c:f>'q3.1_6.1_9.1_12.1_19.1_27.1_Fig'!$BN$43</c:f>
              <c:numCache>
                <c:formatCode>#,##0</c:formatCode>
                <c:ptCount val="1"/>
                <c:pt idx="0">
                  <c:v>132510.00000000003</c:v>
                </c:pt>
              </c:numCache>
            </c:numRef>
          </c:val>
          <c:extLst>
            <c:ext xmlns:c16="http://schemas.microsoft.com/office/drawing/2014/chart" uri="{C3380CC4-5D6E-409C-BE32-E72D297353CC}">
              <c16:uniqueId val="{00000000-3709-4E9E-B1E8-2B596368D8EA}"/>
            </c:ext>
          </c:extLst>
        </c:ser>
        <c:ser>
          <c:idx val="1"/>
          <c:order val="1"/>
          <c:tx>
            <c:strRef>
              <c:f>'q3.1_6.1_9.1_12.1_19.1_27.1_Fig'!$BO$37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5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'q3.1_6.1_9.1_12.1_19.1_27.1_Fig'!$BM$43</c:f>
              <c:strCache>
                <c:ptCount val="1"/>
                <c:pt idx="0">
                  <c:v>Alentejo</c:v>
                </c:pt>
              </c:strCache>
            </c:strRef>
          </c:cat>
          <c:val>
            <c:numRef>
              <c:extLst>
                <c:ext xmlns:c15="http://schemas.microsoft.com/office/drawing/2012/chart" uri="{02D57815-91ED-43cb-92C2-25804820EDAC}">
                  <c15:fullRef>
                    <c15:sqref>'q3.1_6.1_9.1_12.1_19.1_27.1_Fig'!$BO$38:$BO$44</c15:sqref>
                  </c15:fullRef>
                </c:ext>
              </c:extLst>
              <c:f>'q3.1_6.1_9.1_12.1_19.1_27.1_Fig'!$BO$43</c:f>
              <c:numCache>
                <c:formatCode>#,##0</c:formatCode>
                <c:ptCount val="1"/>
                <c:pt idx="0">
                  <c:v>125145.00000000001</c:v>
                </c:pt>
              </c:numCache>
            </c:numRef>
          </c:val>
          <c:extLst>
            <c:ext xmlns:c16="http://schemas.microsoft.com/office/drawing/2014/chart" uri="{C3380CC4-5D6E-409C-BE32-E72D297353CC}">
              <c16:uniqueId val="{00000001-3709-4E9E-B1E8-2B596368D8EA}"/>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'q3.1_6.1_9.1_12.1_19.1_27.1_Fig'!$BN$37</c:f>
              <c:strCache>
                <c:ptCount val="1"/>
                <c:pt idx="0">
                  <c:v>Pessoas ao serviço</c:v>
                </c:pt>
              </c:strCache>
            </c:strRef>
          </c:tx>
          <c:spPr>
            <a:solidFill>
              <a:srgbClr val="4572A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'q3.1_6.1_9.1_12.1_19.1_27.1_Fig'!$BM$44</c:f>
              <c:strCache>
                <c:ptCount val="1"/>
                <c:pt idx="0">
                  <c:v>Algarve</c:v>
                </c:pt>
              </c:strCache>
            </c:strRef>
          </c:cat>
          <c:val>
            <c:numRef>
              <c:extLst>
                <c:ext xmlns:c15="http://schemas.microsoft.com/office/drawing/2012/chart" uri="{02D57815-91ED-43cb-92C2-25804820EDAC}">
                  <c15:fullRef>
                    <c15:sqref>'q3.1_6.1_9.1_12.1_19.1_27.1_Fig'!$BN$38:$BN$44</c15:sqref>
                  </c15:fullRef>
                </c:ext>
              </c:extLst>
              <c:f>'q3.1_6.1_9.1_12.1_19.1_27.1_Fig'!$BN$44</c:f>
              <c:numCache>
                <c:formatCode>#,##0</c:formatCode>
                <c:ptCount val="1"/>
                <c:pt idx="0">
                  <c:v>165503</c:v>
                </c:pt>
              </c:numCache>
            </c:numRef>
          </c:val>
          <c:extLst>
            <c:ext xmlns:c16="http://schemas.microsoft.com/office/drawing/2014/chart" uri="{C3380CC4-5D6E-409C-BE32-E72D297353CC}">
              <c16:uniqueId val="{00000000-4C6E-4C41-85F3-4518D3C98702}"/>
            </c:ext>
          </c:extLst>
        </c:ser>
        <c:ser>
          <c:idx val="1"/>
          <c:order val="1"/>
          <c:tx>
            <c:strRef>
              <c:f>'q3.1_6.1_9.1_12.1_19.1_27.1_Fig'!$BO$37</c:f>
              <c:strCache>
                <c:ptCount val="1"/>
                <c:pt idx="0">
                  <c:v>TCO</c:v>
                </c:pt>
              </c:strCache>
            </c:strRef>
          </c:tx>
          <c:spPr>
            <a:solidFill>
              <a:srgbClr val="FFC00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'q3.1_6.1_9.1_12.1_19.1_27.1_Fig'!$BM$38:$BM$44</c15:sqref>
                  </c15:fullRef>
                </c:ext>
              </c:extLst>
              <c:f>'q3.1_6.1_9.1_12.1_19.1_27.1_Fig'!$BM$44</c:f>
              <c:strCache>
                <c:ptCount val="1"/>
                <c:pt idx="0">
                  <c:v>Algarve</c:v>
                </c:pt>
              </c:strCache>
            </c:strRef>
          </c:cat>
          <c:val>
            <c:numRef>
              <c:extLst>
                <c:ext xmlns:c15="http://schemas.microsoft.com/office/drawing/2012/chart" uri="{02D57815-91ED-43cb-92C2-25804820EDAC}">
                  <c15:fullRef>
                    <c15:sqref>'q3.1_6.1_9.1_12.1_19.1_27.1_Fig'!$BO$38:$BO$44</c15:sqref>
                  </c15:fullRef>
                </c:ext>
              </c:extLst>
              <c:f>'q3.1_6.1_9.1_12.1_19.1_27.1_Fig'!$BO$44</c:f>
              <c:numCache>
                <c:formatCode>#,##0</c:formatCode>
                <c:ptCount val="1"/>
                <c:pt idx="0">
                  <c:v>154669.99999999997</c:v>
                </c:pt>
              </c:numCache>
            </c:numRef>
          </c:val>
          <c:extLst>
            <c:ext xmlns:c16="http://schemas.microsoft.com/office/drawing/2014/chart" uri="{C3380CC4-5D6E-409C-BE32-E72D297353CC}">
              <c16:uniqueId val="{00000001-4C6E-4C41-85F3-4518D3C98702}"/>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25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4153546419317925"/>
          <c:y val="3.567815386713024E-2"/>
          <c:w val="0.4688775475927614"/>
          <c:h val="0.92928226487152177"/>
        </c:manualLayout>
      </c:layout>
      <c:barChart>
        <c:barDir val="bar"/>
        <c:grouping val="clustered"/>
        <c:varyColors val="0"/>
        <c:ser>
          <c:idx val="0"/>
          <c:order val="0"/>
          <c:tx>
            <c:strRef>
              <c:f>'q3.1_6.1_9.1_12.1_19.1_27.1_Fig'!$BN$7</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'q3.1_6.1_9.1_12.1_19.1_27.1_Fig'!$BM$8:$BM$31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'q3.1_6.1_9.1_12.1_19.1_27.1_Fig'!$BN$8:$BN$31</c:f>
              <c:numCache>
                <c:formatCode>#,##0</c:formatCode>
                <c:ptCount val="24"/>
                <c:pt idx="0">
                  <c:v>68558</c:v>
                </c:pt>
                <c:pt idx="1">
                  <c:v>153121</c:v>
                </c:pt>
                <c:pt idx="2">
                  <c:v>149246</c:v>
                </c:pt>
                <c:pt idx="3">
                  <c:v>633694</c:v>
                </c:pt>
                <c:pt idx="4">
                  <c:v>15757.000000000002</c:v>
                </c:pt>
                <c:pt idx="5">
                  <c:v>134241</c:v>
                </c:pt>
                <c:pt idx="6">
                  <c:v>40025.000000000007</c:v>
                </c:pt>
                <c:pt idx="7">
                  <c:v>20667.999999999996</c:v>
                </c:pt>
                <c:pt idx="8">
                  <c:v>135023</c:v>
                </c:pt>
                <c:pt idx="9">
                  <c:v>119330.00000000001</c:v>
                </c:pt>
                <c:pt idx="10">
                  <c:v>105680</c:v>
                </c:pt>
                <c:pt idx="11">
                  <c:v>74206</c:v>
                </c:pt>
                <c:pt idx="12">
                  <c:v>22628</c:v>
                </c:pt>
                <c:pt idx="13">
                  <c:v>49443</c:v>
                </c:pt>
                <c:pt idx="14">
                  <c:v>105262</c:v>
                </c:pt>
                <c:pt idx="15">
                  <c:v>58043.999999999993</c:v>
                </c:pt>
                <c:pt idx="16">
                  <c:v>70357</c:v>
                </c:pt>
                <c:pt idx="17">
                  <c:v>915180</c:v>
                </c:pt>
                <c:pt idx="18">
                  <c:v>168606.00000000003</c:v>
                </c:pt>
                <c:pt idx="19">
                  <c:v>35947</c:v>
                </c:pt>
                <c:pt idx="20">
                  <c:v>29984</c:v>
                </c:pt>
                <c:pt idx="21">
                  <c:v>23056</c:v>
                </c:pt>
                <c:pt idx="22">
                  <c:v>43523</c:v>
                </c:pt>
                <c:pt idx="23">
                  <c:v>165503</c:v>
                </c:pt>
              </c:numCache>
            </c:numRef>
          </c:val>
          <c:extLst>
            <c:ext xmlns:c16="http://schemas.microsoft.com/office/drawing/2014/chart" uri="{C3380CC4-5D6E-409C-BE32-E72D297353CC}">
              <c16:uniqueId val="{00000000-A268-4844-A80D-DCA0F0E75040}"/>
            </c:ext>
          </c:extLst>
        </c:ser>
        <c:ser>
          <c:idx val="1"/>
          <c:order val="1"/>
          <c:tx>
            <c:strRef>
              <c:f>'q3.1_6.1_9.1_12.1_19.1_27.1_Fig'!$BO$7</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'q3.1_6.1_9.1_12.1_19.1_27.1_Fig'!$BM$8:$BM$31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'q3.1_6.1_9.1_12.1_19.1_27.1_Fig'!$BO$8:$BO$31</c:f>
              <c:numCache>
                <c:formatCode>#,##0</c:formatCode>
                <c:ptCount val="24"/>
                <c:pt idx="0">
                  <c:v>64187</c:v>
                </c:pt>
                <c:pt idx="1">
                  <c:v>143159</c:v>
                </c:pt>
                <c:pt idx="2">
                  <c:v>140262</c:v>
                </c:pt>
                <c:pt idx="3">
                  <c:v>598036</c:v>
                </c:pt>
                <c:pt idx="4">
                  <c:v>14446</c:v>
                </c:pt>
                <c:pt idx="5">
                  <c:v>126317.99999999999</c:v>
                </c:pt>
                <c:pt idx="6">
                  <c:v>37314</c:v>
                </c:pt>
                <c:pt idx="7">
                  <c:v>18853</c:v>
                </c:pt>
                <c:pt idx="8">
                  <c:v>127100</c:v>
                </c:pt>
                <c:pt idx="9">
                  <c:v>111437</c:v>
                </c:pt>
                <c:pt idx="10">
                  <c:v>98098</c:v>
                </c:pt>
                <c:pt idx="11">
                  <c:v>69493</c:v>
                </c:pt>
                <c:pt idx="12">
                  <c:v>21005</c:v>
                </c:pt>
                <c:pt idx="13">
                  <c:v>46266</c:v>
                </c:pt>
                <c:pt idx="14">
                  <c:v>97506</c:v>
                </c:pt>
                <c:pt idx="15">
                  <c:v>53904.000000000007</c:v>
                </c:pt>
                <c:pt idx="16">
                  <c:v>66465.999999999985</c:v>
                </c:pt>
                <c:pt idx="17">
                  <c:v>875584</c:v>
                </c:pt>
                <c:pt idx="18">
                  <c:v>158898</c:v>
                </c:pt>
                <c:pt idx="19">
                  <c:v>34475</c:v>
                </c:pt>
                <c:pt idx="20">
                  <c:v>28355.999999999996</c:v>
                </c:pt>
                <c:pt idx="21">
                  <c:v>21623.000000000007</c:v>
                </c:pt>
                <c:pt idx="22">
                  <c:v>40691</c:v>
                </c:pt>
                <c:pt idx="23">
                  <c:v>154669.99999999997</c:v>
                </c:pt>
              </c:numCache>
            </c:numRef>
          </c:val>
          <c:extLst>
            <c:ext xmlns:c16="http://schemas.microsoft.com/office/drawing/2014/chart" uri="{C3380CC4-5D6E-409C-BE32-E72D297353CC}">
              <c16:uniqueId val="{00000001-A268-4844-A80D-DCA0F0E75040}"/>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44011161149168404"/>
          <c:y val="0.96954452342956621"/>
          <c:w val="0.53621439080593625"/>
          <c:h val="2.475601334687364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'q3.1_6.1_9.1_12.1_19.1_27.1_Fig'!$CG$38</c:f>
              <c:strCache>
                <c:ptCount val="1"/>
                <c:pt idx="0">
                  <c:v>Norte</c:v>
                </c:pt>
              </c:strCache>
            </c:strRef>
          </c:cat>
          <c:val>
            <c:numRef>
              <c:extLst>
                <c:ext xmlns:c15="http://schemas.microsoft.com/office/drawing/2012/chart" uri="{02D57815-91ED-43cb-92C2-25804820EDAC}">
                  <c15:fullRef>
                    <c15:sqref>'q3.1_6.1_9.1_12.1_19.1_27.1_Fig'!$CH$38:$CH$44</c15:sqref>
                  </c15:fullRef>
                </c:ext>
              </c:extLst>
              <c:f>'q3.1_6.1_9.1_12.1_19.1_27.1_Fig'!$CH$38</c:f>
              <c:numCache>
                <c:formatCode>#,##0\ "€"</c:formatCode>
                <c:ptCount val="1"/>
                <c:pt idx="0">
                  <c:v>1063.2116885853982</c:v>
                </c:pt>
              </c:numCache>
            </c:numRef>
          </c:val>
          <c:extLst>
            <c:ext xmlns:c16="http://schemas.microsoft.com/office/drawing/2014/chart" uri="{C3380CC4-5D6E-409C-BE32-E72D297353CC}">
              <c16:uniqueId val="{00000000-E1AF-44C9-BD8E-D11549E96083}"/>
            </c:ext>
          </c:extLst>
        </c:ser>
        <c:ser>
          <c:idx val="1"/>
          <c:order val="1"/>
          <c:tx>
            <c:strRef>
              <c:f>'q3.1_6.1_9.1_12.1_19.1_27.1_Fig'!$CI$37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'q3.1_6.1_9.1_12.1_19.1_27.1_Fig'!$CG$38</c:f>
              <c:strCache>
                <c:ptCount val="1"/>
                <c:pt idx="0">
                  <c:v>Norte</c:v>
                </c:pt>
              </c:strCache>
            </c:strRef>
          </c:cat>
          <c:val>
            <c:numRef>
              <c:extLst>
                <c:ext xmlns:c15="http://schemas.microsoft.com/office/drawing/2012/chart" uri="{02D57815-91ED-43cb-92C2-25804820EDAC}">
                  <c15:fullRef>
                    <c15:sqref>'q3.1_6.1_9.1_12.1_19.1_27.1_Fig'!$CI$38:$CI$44</c15:sqref>
                  </c15:fullRef>
                </c:ext>
              </c:extLst>
              <c:f>'q3.1_6.1_9.1_12.1_19.1_27.1_Fig'!$CI$38</c:f>
              <c:numCache>
                <c:formatCode>#,##0\ "€"</c:formatCode>
                <c:ptCount val="1"/>
                <c:pt idx="0">
                  <c:v>1253.4606441915191</c:v>
                </c:pt>
              </c:numCache>
            </c:numRef>
          </c:val>
          <c:extLst>
            <c:ext xmlns:c16="http://schemas.microsoft.com/office/drawing/2014/chart" uri="{C3380CC4-5D6E-409C-BE32-E72D297353CC}">
              <c16:uniqueId val="{00000001-E1AF-44C9-BD8E-D11549E96083}"/>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'q3.1_6.1_9.1_12.1_19.1_27.1_Fig'!$CG$39</c:f>
              <c:strCache>
                <c:ptCount val="1"/>
                <c:pt idx="0">
                  <c:v>Centro</c:v>
                </c:pt>
              </c:strCache>
            </c:strRef>
          </c:cat>
          <c:val>
            <c:numRef>
              <c:extLst>
                <c:ext xmlns:c15="http://schemas.microsoft.com/office/drawing/2012/chart" uri="{02D57815-91ED-43cb-92C2-25804820EDAC}">
                  <c15:fullRef>
                    <c15:sqref>'q3.1_6.1_9.1_12.1_19.1_27.1_Fig'!$CH$38:$CH$44</c15:sqref>
                  </c15:fullRef>
                </c:ext>
              </c:extLst>
              <c:f>'q3.1_6.1_9.1_12.1_19.1_27.1_Fig'!$CH$39</c:f>
              <c:numCache>
                <c:formatCode>#,##0\ "€"</c:formatCode>
                <c:ptCount val="1"/>
                <c:pt idx="0">
                  <c:v>1007.642687752657</c:v>
                </c:pt>
              </c:numCache>
            </c:numRef>
          </c:val>
          <c:extLst>
            <c:ext xmlns:c16="http://schemas.microsoft.com/office/drawing/2014/chart" uri="{C3380CC4-5D6E-409C-BE32-E72D297353CC}">
              <c16:uniqueId val="{00000000-A370-4EE1-8D6C-B73623DCF3F1}"/>
            </c:ext>
          </c:extLst>
        </c:ser>
        <c:ser>
          <c:idx val="1"/>
          <c:order val="1"/>
          <c:tx>
            <c:strRef>
              <c:f>'q3.1_6.1_9.1_12.1_19.1_27.1_Fig'!$CI$37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'q3.1_6.1_9.1_12.1_19.1_27.1_Fig'!$CG$39</c:f>
              <c:strCache>
                <c:ptCount val="1"/>
                <c:pt idx="0">
                  <c:v>Centro</c:v>
                </c:pt>
              </c:strCache>
            </c:strRef>
          </c:cat>
          <c:val>
            <c:numRef>
              <c:extLst>
                <c:ext xmlns:c15="http://schemas.microsoft.com/office/drawing/2012/chart" uri="{02D57815-91ED-43cb-92C2-25804820EDAC}">
                  <c15:fullRef>
                    <c15:sqref>'q3.1_6.1_9.1_12.1_19.1_27.1_Fig'!$CI$38:$CI$44</c15:sqref>
                  </c15:fullRef>
                </c:ext>
              </c:extLst>
              <c:f>'q3.1_6.1_9.1_12.1_19.1_27.1_Fig'!$CI$39</c:f>
              <c:numCache>
                <c:formatCode>#,##0\ "€"</c:formatCode>
                <c:ptCount val="1"/>
                <c:pt idx="0">
                  <c:v>1218.0718507496965</c:v>
                </c:pt>
              </c:numCache>
            </c:numRef>
          </c:val>
          <c:extLst>
            <c:ext xmlns:c16="http://schemas.microsoft.com/office/drawing/2014/chart" uri="{C3380CC4-5D6E-409C-BE32-E72D297353CC}">
              <c16:uniqueId val="{00000001-A370-4EE1-8D6C-B73623DCF3F1}"/>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'q3.1_6.1_9.1_12.1_19.1_27.1_Fig'!$CG$40</c:f>
              <c:strCache>
                <c:ptCount val="1"/>
                <c:pt idx="0">
                  <c:v>Oeste e Vale do Tejo</c:v>
                </c:pt>
              </c:strCache>
            </c:strRef>
          </c:cat>
          <c:val>
            <c:numRef>
              <c:extLst>
                <c:ext xmlns:c15="http://schemas.microsoft.com/office/drawing/2012/chart" uri="{02D57815-91ED-43cb-92C2-25804820EDAC}">
                  <c15:fullRef>
                    <c15:sqref>'q3.1_6.1_9.1_12.1_19.1_27.1_Fig'!$CH$38:$CH$44</c15:sqref>
                  </c15:fullRef>
                </c:ext>
              </c:extLst>
              <c:f>'q3.1_6.1_9.1_12.1_19.1_27.1_Fig'!$CH$40</c:f>
              <c:numCache>
                <c:formatCode>#,##0\ "€"</c:formatCode>
                <c:ptCount val="1"/>
                <c:pt idx="0">
                  <c:v>969.16885384892851</c:v>
                </c:pt>
              </c:numCache>
            </c:numRef>
          </c:val>
          <c:extLst>
            <c:ext xmlns:c16="http://schemas.microsoft.com/office/drawing/2014/chart" uri="{C3380CC4-5D6E-409C-BE32-E72D297353CC}">
              <c16:uniqueId val="{00000000-8FA8-4176-8BBE-C89977C00354}"/>
            </c:ext>
          </c:extLst>
        </c:ser>
        <c:ser>
          <c:idx val="1"/>
          <c:order val="1"/>
          <c:tx>
            <c:strRef>
              <c:f>'q3.1_6.1_9.1_12.1_19.1_27.1_Fig'!$CI$37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'q3.1_6.1_9.1_12.1_19.1_27.1_Fig'!$CG$40</c:f>
              <c:strCache>
                <c:ptCount val="1"/>
                <c:pt idx="0">
                  <c:v>Oeste e Vale do Tejo</c:v>
                </c:pt>
              </c:strCache>
            </c:strRef>
          </c:cat>
          <c:val>
            <c:numRef>
              <c:extLst>
                <c:ext xmlns:c15="http://schemas.microsoft.com/office/drawing/2012/chart" uri="{02D57815-91ED-43cb-92C2-25804820EDAC}">
                  <c15:fullRef>
                    <c15:sqref>'q3.1_6.1_9.1_12.1_19.1_27.1_Fig'!$CI$38:$CI$44</c15:sqref>
                  </c15:fullRef>
                </c:ext>
              </c:extLst>
              <c:f>'q3.1_6.1_9.1_12.1_19.1_27.1_Fig'!$CI$40</c:f>
              <c:numCache>
                <c:formatCode>#,##0\ "€"</c:formatCode>
                <c:ptCount val="1"/>
                <c:pt idx="0">
                  <c:v>1165.7289221289689</c:v>
                </c:pt>
              </c:numCache>
            </c:numRef>
          </c:val>
          <c:extLst>
            <c:ext xmlns:c16="http://schemas.microsoft.com/office/drawing/2014/chart" uri="{C3380CC4-5D6E-409C-BE32-E72D297353CC}">
              <c16:uniqueId val="{00000001-8FA8-4176-8BBE-C89977C00354}"/>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'q3.1_6.1_9.1_12.1_19.1_27.1_Fig'!$CH$37</c:f>
              <c:strCache>
                <c:ptCount val="1"/>
                <c:pt idx="0">
                  <c:v>Base</c:v>
                </c:pt>
              </c:strCache>
            </c:strRef>
          </c:tx>
          <c:spPr>
            <a:solidFill>
              <a:srgbClr val="4572A5"/>
            </a:solidFill>
            <a:ln>
              <a:noFill/>
            </a:ln>
            <a:effectLst/>
          </c:spPr>
          <c:invertIfNegative val="0"/>
          <c:dLbls>
            <c:dLbl>
              <c:idx val="0"/>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0-E98C-43FC-8DC2-F84D4CFADA08}"/>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'q3.1_6.1_9.1_12.1_19.1_27.1_Fig'!$CG$42</c:f>
              <c:strCache>
                <c:ptCount val="1"/>
                <c:pt idx="0">
                  <c:v>Península de Setúbal</c:v>
                </c:pt>
              </c:strCache>
            </c:strRef>
          </c:cat>
          <c:val>
            <c:numRef>
              <c:extLst>
                <c:ext xmlns:c15="http://schemas.microsoft.com/office/drawing/2012/chart" uri="{02D57815-91ED-43cb-92C2-25804820EDAC}">
                  <c15:fullRef>
                    <c15:sqref>'q3.1_6.1_9.1_12.1_19.1_27.1_Fig'!$CH$38:$CH$44</c15:sqref>
                  </c15:fullRef>
                </c:ext>
              </c:extLst>
              <c:f>'q3.1_6.1_9.1_12.1_19.1_27.1_Fig'!$CH$42</c:f>
              <c:numCache>
                <c:formatCode>#,##0\ "€"</c:formatCode>
                <c:ptCount val="1"/>
                <c:pt idx="0">
                  <c:v>1126.7122247908299</c:v>
                </c:pt>
              </c:numCache>
            </c:numRef>
          </c:val>
          <c:extLst>
            <c:ext xmlns:c16="http://schemas.microsoft.com/office/drawing/2014/chart" uri="{C3380CC4-5D6E-409C-BE32-E72D297353CC}">
              <c16:uniqueId val="{00000001-E98C-43FC-8DC2-F84D4CFADA08}"/>
            </c:ext>
          </c:extLst>
        </c:ser>
        <c:ser>
          <c:idx val="1"/>
          <c:order val="1"/>
          <c:tx>
            <c:strRef>
              <c:f>'q3.1_6.1_9.1_12.1_19.1_27.1_Fig'!$CI$37</c:f>
              <c:strCache>
                <c:ptCount val="1"/>
                <c:pt idx="0">
                  <c:v>Ganho</c:v>
                </c:pt>
              </c:strCache>
            </c:strRef>
          </c:tx>
          <c:spPr>
            <a:solidFill>
              <a:srgbClr val="FFC000"/>
            </a:solidFill>
            <a:ln>
              <a:noFill/>
            </a:ln>
            <a:effectLst/>
          </c:spPr>
          <c:invertIfNegative val="0"/>
          <c:dLbls>
            <c:dLbl>
              <c:idx val="0"/>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2-E98C-43FC-8DC2-F84D4CFADA08}"/>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'q3.1_6.1_9.1_12.1_19.1_27.1_Fig'!$CG$42</c:f>
              <c:strCache>
                <c:ptCount val="1"/>
                <c:pt idx="0">
                  <c:v>Península de Setúbal</c:v>
                </c:pt>
              </c:strCache>
            </c:strRef>
          </c:cat>
          <c:val>
            <c:numRef>
              <c:extLst>
                <c:ext xmlns:c15="http://schemas.microsoft.com/office/drawing/2012/chart" uri="{02D57815-91ED-43cb-92C2-25804820EDAC}">
                  <c15:fullRef>
                    <c15:sqref>'q3.1_6.1_9.1_12.1_19.1_27.1_Fig'!$CI$38:$CI$44</c15:sqref>
                  </c15:fullRef>
                </c:ext>
              </c:extLst>
              <c:f>'q3.1_6.1_9.1_12.1_19.1_27.1_Fig'!$CI$42</c:f>
              <c:numCache>
                <c:formatCode>#,##0\ "€"</c:formatCode>
                <c:ptCount val="1"/>
                <c:pt idx="0">
                  <c:v>1361.0063112502116</c:v>
                </c:pt>
              </c:numCache>
            </c:numRef>
          </c:val>
          <c:extLst>
            <c:ext xmlns:c16="http://schemas.microsoft.com/office/drawing/2014/chart" uri="{C3380CC4-5D6E-409C-BE32-E72D297353CC}">
              <c16:uniqueId val="{00000003-E98C-43FC-8DC2-F84D4CFADA08}"/>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'q3.1_6.1_9.1_12.1_19.1_27.1_Fig'!$CG$41</c:f>
              <c:strCache>
                <c:ptCount val="1"/>
                <c:pt idx="0">
                  <c:v>Grande Lisboa</c:v>
                </c:pt>
              </c:strCache>
            </c:strRef>
          </c:cat>
          <c:val>
            <c:numRef>
              <c:extLst>
                <c:ext xmlns:c15="http://schemas.microsoft.com/office/drawing/2012/chart" uri="{02D57815-91ED-43cb-92C2-25804820EDAC}">
                  <c15:fullRef>
                    <c15:sqref>'q3.1_6.1_9.1_12.1_19.1_27.1_Fig'!$CH$38:$CH$44</c15:sqref>
                  </c15:fullRef>
                </c:ext>
              </c:extLst>
              <c:f>'q3.1_6.1_9.1_12.1_19.1_27.1_Fig'!$CH$41</c:f>
              <c:numCache>
                <c:formatCode>#,##0\ "€"</c:formatCode>
                <c:ptCount val="1"/>
                <c:pt idx="0">
                  <c:v>1418.3948630060115</c:v>
                </c:pt>
              </c:numCache>
            </c:numRef>
          </c:val>
          <c:extLst>
            <c:ext xmlns:c16="http://schemas.microsoft.com/office/drawing/2014/chart" uri="{C3380CC4-5D6E-409C-BE32-E72D297353CC}">
              <c16:uniqueId val="{00000000-C01D-4CD1-A8F2-3322933A2383}"/>
            </c:ext>
          </c:extLst>
        </c:ser>
        <c:ser>
          <c:idx val="1"/>
          <c:order val="1"/>
          <c:tx>
            <c:strRef>
              <c:f>'q3.1_6.1_9.1_12.1_19.1_27.1_Fig'!$CI$37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'q3.1_6.1_9.1_12.1_19.1_27.1_Fig'!$CG$41</c:f>
              <c:strCache>
                <c:ptCount val="1"/>
                <c:pt idx="0">
                  <c:v>Grande Lisboa</c:v>
                </c:pt>
              </c:strCache>
            </c:strRef>
          </c:cat>
          <c:val>
            <c:numRef>
              <c:extLst>
                <c:ext xmlns:c15="http://schemas.microsoft.com/office/drawing/2012/chart" uri="{02D57815-91ED-43cb-92C2-25804820EDAC}">
                  <c15:fullRef>
                    <c15:sqref>'q3.1_6.1_9.1_12.1_19.1_27.1_Fig'!$CI$38:$CI$44</c15:sqref>
                  </c15:fullRef>
                </c:ext>
              </c:extLst>
              <c:f>'q3.1_6.1_9.1_12.1_19.1_27.1_Fig'!$CI$41</c:f>
              <c:numCache>
                <c:formatCode>#,##0\ "€"</c:formatCode>
                <c:ptCount val="1"/>
                <c:pt idx="0">
                  <c:v>1705.138574047387</c:v>
                </c:pt>
              </c:numCache>
            </c:numRef>
          </c:val>
          <c:extLst>
            <c:ext xmlns:c16="http://schemas.microsoft.com/office/drawing/2014/chart" uri="{C3380CC4-5D6E-409C-BE32-E72D297353CC}">
              <c16:uniqueId val="{00000001-C01D-4CD1-A8F2-3322933A2383}"/>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'q3.1_6.1_9.1_12.1_19.1_27.1_Fig'!$CG$43</c:f>
              <c:strCache>
                <c:ptCount val="1"/>
                <c:pt idx="0">
                  <c:v>Alentejo</c:v>
                </c:pt>
              </c:strCache>
            </c:strRef>
          </c:cat>
          <c:val>
            <c:numRef>
              <c:extLst>
                <c:ext xmlns:c15="http://schemas.microsoft.com/office/drawing/2012/chart" uri="{02D57815-91ED-43cb-92C2-25804820EDAC}">
                  <c15:fullRef>
                    <c15:sqref>'q3.1_6.1_9.1_12.1_19.1_27.1_Fig'!$CH$38:$CH$44</c15:sqref>
                  </c15:fullRef>
                </c:ext>
              </c:extLst>
              <c:f>'q3.1_6.1_9.1_12.1_19.1_27.1_Fig'!$CH$43</c:f>
              <c:numCache>
                <c:formatCode>#,##0\ "€"</c:formatCode>
                <c:ptCount val="1"/>
                <c:pt idx="0">
                  <c:v>988.91355750707601</c:v>
                </c:pt>
              </c:numCache>
            </c:numRef>
          </c:val>
          <c:extLst>
            <c:ext xmlns:c16="http://schemas.microsoft.com/office/drawing/2014/chart" uri="{C3380CC4-5D6E-409C-BE32-E72D297353CC}">
              <c16:uniqueId val="{00000000-57C3-44F7-8ECF-4F5A6FD87B54}"/>
            </c:ext>
          </c:extLst>
        </c:ser>
        <c:ser>
          <c:idx val="1"/>
          <c:order val="1"/>
          <c:tx>
            <c:strRef>
              <c:f>'q3.1_6.1_9.1_12.1_19.1_27.1_Fig'!$CI$37</c:f>
              <c:strCache>
                <c:ptCount val="1"/>
                <c:pt idx="0">
                  <c:v>Ganho</c:v>
                </c:pt>
              </c:strCache>
            </c:strRef>
          </c:tx>
          <c:spPr>
            <a:solidFill>
              <a:srgbClr val="FFC000"/>
            </a:solidFill>
            <a:ln>
              <a:noFill/>
            </a:ln>
            <a:effectLst/>
          </c:spPr>
          <c:invertIfNegative val="0"/>
          <c:dLbls>
            <c:dLbl>
              <c:idx val="0"/>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extLst>
                <c:ext xmlns:c16="http://schemas.microsoft.com/office/drawing/2014/chart" uri="{C3380CC4-5D6E-409C-BE32-E72D297353CC}">
                  <c16:uniqueId val="{00000001-57C3-44F7-8ECF-4F5A6FD87B54}"/>
                </c:ext>
              </c:extLst>
            </c:dLbl>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'q3.1_6.1_9.1_12.1_19.1_27.1_Fig'!$CG$43</c:f>
              <c:strCache>
                <c:ptCount val="1"/>
                <c:pt idx="0">
                  <c:v>Alentejo</c:v>
                </c:pt>
              </c:strCache>
            </c:strRef>
          </c:cat>
          <c:val>
            <c:numRef>
              <c:extLst>
                <c:ext xmlns:c15="http://schemas.microsoft.com/office/drawing/2012/chart" uri="{02D57815-91ED-43cb-92C2-25804820EDAC}">
                  <c15:fullRef>
                    <c15:sqref>'q3.1_6.1_9.1_12.1_19.1_27.1_Fig'!$CI$38:$CI$44</c15:sqref>
                  </c15:fullRef>
                </c:ext>
              </c:extLst>
              <c:f>'q3.1_6.1_9.1_12.1_19.1_27.1_Fig'!$CI$43</c:f>
              <c:numCache>
                <c:formatCode>#,##0\ "€"</c:formatCode>
                <c:ptCount val="1"/>
                <c:pt idx="0">
                  <c:v>1225.047196267717</c:v>
                </c:pt>
              </c:numCache>
            </c:numRef>
          </c:val>
          <c:extLst>
            <c:ext xmlns:c16="http://schemas.microsoft.com/office/drawing/2014/chart" uri="{C3380CC4-5D6E-409C-BE32-E72D297353CC}">
              <c16:uniqueId val="{00000002-57C3-44F7-8ECF-4F5A6FD87B54}"/>
            </c:ext>
          </c:extLst>
        </c:ser>
        <c:dLbls>
          <c:showLegendKey val="0"/>
          <c:showVal val="0"/>
          <c:showCatName val="0"/>
          <c:showSerName val="0"/>
          <c:showPercent val="0"/>
          <c:showBubbleSize val="0"/>
        </c:dLbls>
        <c:gapWidth val="219"/>
        <c:overlap val="-27"/>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'q3.1_6.1_9.1_12.1_19.1_27.1_Fig'!$CH$37</c:f>
              <c:strCache>
                <c:ptCount val="1"/>
                <c:pt idx="0">
                  <c:v>Base</c:v>
                </c:pt>
              </c:strCache>
            </c:strRef>
          </c:tx>
          <c:spPr>
            <a:solidFill>
              <a:srgbClr val="4572A5"/>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'q3.1_6.1_9.1_12.1_19.1_27.1_Fig'!$CG$44</c:f>
              <c:strCache>
                <c:ptCount val="1"/>
                <c:pt idx="0">
                  <c:v>Algarve</c:v>
                </c:pt>
              </c:strCache>
            </c:strRef>
          </c:cat>
          <c:val>
            <c:numRef>
              <c:extLst>
                <c:ext xmlns:c15="http://schemas.microsoft.com/office/drawing/2012/chart" uri="{02D57815-91ED-43cb-92C2-25804820EDAC}">
                  <c15:fullRef>
                    <c15:sqref>'q3.1_6.1_9.1_12.1_19.1_27.1_Fig'!$CH$38:$CH$44</c15:sqref>
                  </c15:fullRef>
                </c:ext>
              </c:extLst>
              <c:f>'q3.1_6.1_9.1_12.1_19.1_27.1_Fig'!$CH$44</c:f>
              <c:numCache>
                <c:formatCode>#,##0\ "€"</c:formatCode>
                <c:ptCount val="1"/>
                <c:pt idx="0">
                  <c:v>965.82601351644075</c:v>
                </c:pt>
              </c:numCache>
            </c:numRef>
          </c:val>
          <c:extLst>
            <c:ext xmlns:c16="http://schemas.microsoft.com/office/drawing/2014/chart" uri="{C3380CC4-5D6E-409C-BE32-E72D297353CC}">
              <c16:uniqueId val="{00000000-BDC5-453F-9240-D8ED9F92F8AC}"/>
            </c:ext>
          </c:extLst>
        </c:ser>
        <c:ser>
          <c:idx val="1"/>
          <c:order val="1"/>
          <c:tx>
            <c:strRef>
              <c:f>'q3.1_6.1_9.1_12.1_19.1_27.1_Fig'!$CI$37</c:f>
              <c:strCache>
                <c:ptCount val="1"/>
                <c:pt idx="0">
                  <c:v>Ganho</c:v>
                </c:pt>
              </c:strCache>
            </c:strRef>
          </c:tx>
          <c:spPr>
            <a:solidFill>
              <a:srgbClr val="FFC000"/>
            </a:solidFill>
            <a:ln>
              <a:noFill/>
            </a:ln>
            <a:effectLst/>
          </c:spPr>
          <c:invertIfNegative val="0"/>
          <c:dLbls>
            <c:numFmt formatCode="#,##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'q3.1_6.1_9.1_12.1_19.1_27.1_Fig'!$CG$38:$CG$44</c15:sqref>
                  </c15:fullRef>
                </c:ext>
              </c:extLst>
              <c:f>'q3.1_6.1_9.1_12.1_19.1_27.1_Fig'!$CG$44</c:f>
              <c:strCache>
                <c:ptCount val="1"/>
                <c:pt idx="0">
                  <c:v>Algarve</c:v>
                </c:pt>
              </c:strCache>
            </c:strRef>
          </c:cat>
          <c:val>
            <c:numRef>
              <c:extLst>
                <c:ext xmlns:c15="http://schemas.microsoft.com/office/drawing/2012/chart" uri="{02D57815-91ED-43cb-92C2-25804820EDAC}">
                  <c15:fullRef>
                    <c15:sqref>'q3.1_6.1_9.1_12.1_19.1_27.1_Fig'!$CI$38:$CI$44</c15:sqref>
                  </c15:fullRef>
                </c:ext>
              </c:extLst>
              <c:f>'q3.1_6.1_9.1_12.1_19.1_27.1_Fig'!$CI$44</c:f>
              <c:numCache>
                <c:formatCode>#,##0\ "€"</c:formatCode>
                <c:ptCount val="1"/>
                <c:pt idx="0">
                  <c:v>1150.8139774725996</c:v>
                </c:pt>
              </c:numCache>
            </c:numRef>
          </c:val>
          <c:extLst>
            <c:ext xmlns:c16="http://schemas.microsoft.com/office/drawing/2014/chart" uri="{C3380CC4-5D6E-409C-BE32-E72D297353CC}">
              <c16:uniqueId val="{00000001-BDC5-453F-9240-D8ED9F92F8AC}"/>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800"/>
          <c:min val="0"/>
        </c:scaling>
        <c:delete val="1"/>
        <c:axPos val="l"/>
        <c:numFmt formatCode="#,##0\ &quot;€&quot;"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q1_q2_q4_q5_Fig!$AS$4</c:f>
              <c:strCache>
                <c:ptCount val="1"/>
                <c:pt idx="0">
                  <c:v>Empresas</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1.4299842519685028E-2"/>
                  <c:y val="1.9559194284403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87-48BE-8389-07FE26BB3F84}"/>
                </c:ext>
              </c:extLst>
            </c:dLbl>
            <c:dLbl>
              <c:idx val="10"/>
              <c:layout>
                <c:manualLayout>
                  <c:x val="8.9841469816271981E-3"/>
                  <c:y val="1.46693957133022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87-48BE-8389-07FE26BB3F84}"/>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87-48BE-8389-07FE26BB3F8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q1_q2_q4_q5_Fig!$AT$3:$BD$3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q1_q2_q4_q5_Fig!$AT$4:$BD$4</c:f>
              <c:numCache>
                <c:formatCode>#\ ###\ ##0</c:formatCode>
                <c:ptCount val="11"/>
                <c:pt idx="0">
                  <c:v>268026</c:v>
                </c:pt>
                <c:pt idx="1">
                  <c:v>265860</c:v>
                </c:pt>
                <c:pt idx="2">
                  <c:v>270181</c:v>
                </c:pt>
                <c:pt idx="3">
                  <c:v>273060</c:v>
                </c:pt>
                <c:pt idx="4">
                  <c:v>276332</c:v>
                </c:pt>
                <c:pt idx="5">
                  <c:v>279191</c:v>
                </c:pt>
                <c:pt idx="6">
                  <c:v>282236</c:v>
                </c:pt>
                <c:pt idx="7">
                  <c:v>275751</c:v>
                </c:pt>
                <c:pt idx="8">
                  <c:v>277641</c:v>
                </c:pt>
                <c:pt idx="9">
                  <c:v>271806</c:v>
                </c:pt>
                <c:pt idx="10">
                  <c:v>284860</c:v>
                </c:pt>
              </c:numCache>
            </c:numRef>
          </c:val>
          <c:extLst>
            <c:ext xmlns:c16="http://schemas.microsoft.com/office/drawing/2014/chart" uri="{C3380CC4-5D6E-409C-BE32-E72D297353CC}">
              <c16:uniqueId val="{00000003-F587-48BE-8389-07FE26BB3F84}"/>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q1_q2_q4_q5_Fig!$AS$5</c:f>
              <c:strCache>
                <c:ptCount val="1"/>
                <c:pt idx="0">
                  <c:v>Estabelecimentos</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F587-48BE-8389-07FE26BB3F84}"/>
              </c:ext>
            </c:extLst>
          </c:dPt>
          <c:dPt>
            <c:idx val="10"/>
            <c:marker>
              <c:symbol val="none"/>
            </c:marker>
            <c:bubble3D val="0"/>
            <c:extLst>
              <c:ext xmlns:c16="http://schemas.microsoft.com/office/drawing/2014/chart" uri="{C3380CC4-5D6E-409C-BE32-E72D297353CC}">
                <c16:uniqueId val="{00000006-F587-48BE-8389-07FE26BB3F84}"/>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F587-48BE-8389-07FE26BB3F84}"/>
              </c:ext>
            </c:extLst>
          </c:dPt>
          <c:dLbls>
            <c:dLbl>
              <c:idx val="0"/>
              <c:layout>
                <c:manualLayout>
                  <c:x val="2.9545616797900239E-2"/>
                  <c:y val="-6.27091640215551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87-48BE-8389-07FE26BB3F84}"/>
                </c:ext>
              </c:extLst>
            </c:dLbl>
            <c:dLbl>
              <c:idx val="10"/>
              <c:layout>
                <c:manualLayout>
                  <c:x val="-1.6693360565536556E-2"/>
                  <c:y val="-5.1920899755453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587-48BE-8389-07FE26BB3F84}"/>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87-48BE-8389-07FE26BB3F84}"/>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q1_q2_q4_q5_Fig!$AT$3:$BD$3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q1_q2_q4_q5_Fig!$AT$5:$BD$5</c:f>
              <c:numCache>
                <c:formatCode>#\ ###\ ##0</c:formatCode>
                <c:ptCount val="11"/>
                <c:pt idx="0">
                  <c:v>319177</c:v>
                </c:pt>
                <c:pt idx="1">
                  <c:v>315112</c:v>
                </c:pt>
                <c:pt idx="2">
                  <c:v>318886</c:v>
                </c:pt>
                <c:pt idx="3">
                  <c:v>321500</c:v>
                </c:pt>
                <c:pt idx="4">
                  <c:v>324933</c:v>
                </c:pt>
                <c:pt idx="5">
                  <c:v>327295</c:v>
                </c:pt>
                <c:pt idx="6">
                  <c:v>330668</c:v>
                </c:pt>
                <c:pt idx="7">
                  <c:v>322978</c:v>
                </c:pt>
                <c:pt idx="8">
                  <c:v>324959</c:v>
                </c:pt>
                <c:pt idx="9">
                  <c:v>318254</c:v>
                </c:pt>
                <c:pt idx="10">
                  <c:v>332683</c:v>
                </c:pt>
              </c:numCache>
            </c:numRef>
          </c:val>
          <c:smooth val="0"/>
          <c:extLst>
            <c:ext xmlns:c16="http://schemas.microsoft.com/office/drawing/2014/chart" uri="{C3380CC4-5D6E-409C-BE32-E72D297353CC}">
              <c16:uniqueId val="{00000007-F587-48BE-8389-07FE26BB3F84}"/>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2.4221308218089335E-2"/>
          <c:y val="0.886956194263678"/>
          <c:w val="0.70237154150197634"/>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4046526140590472"/>
          <c:y val="3.567815386713024E-2"/>
          <c:w val="0.53097209215663055"/>
          <c:h val="0.92049561986569861"/>
        </c:manualLayout>
      </c:layout>
      <c:barChart>
        <c:barDir val="bar"/>
        <c:grouping val="clustered"/>
        <c:varyColors val="0"/>
        <c:ser>
          <c:idx val="0"/>
          <c:order val="0"/>
          <c:tx>
            <c:strRef>
              <c:f>'q3.1_6.1_9.1_12.1_19.1_27.1_Fig'!$CH$7</c:f>
              <c:strCache>
                <c:ptCount val="1"/>
                <c:pt idx="0">
                  <c:v>Base</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'q3.1_6.1_9.1_12.1_19.1_27.1_Fig'!$CG$8:$CG$31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'q3.1_6.1_9.1_12.1_19.1_27.1_Fig'!$CH$8:$CH$31</c:f>
              <c:numCache>
                <c:formatCode>#,##0\ "€"</c:formatCode>
                <c:ptCount val="24"/>
                <c:pt idx="0">
                  <c:v>955.66561814916668</c:v>
                </c:pt>
                <c:pt idx="1">
                  <c:v>1014.0747950947501</c:v>
                </c:pt>
                <c:pt idx="2">
                  <c:v>964.06539448218007</c:v>
                </c:pt>
                <c:pt idx="3">
                  <c:v>1165.4434957531817</c:v>
                </c:pt>
                <c:pt idx="4">
                  <c:v>892.27479129321375</c:v>
                </c:pt>
                <c:pt idx="5">
                  <c:v>885.57121879110116</c:v>
                </c:pt>
                <c:pt idx="6">
                  <c:v>922.59328591096858</c:v>
                </c:pt>
                <c:pt idx="7">
                  <c:v>899.67616523875961</c:v>
                </c:pt>
                <c:pt idx="8">
                  <c:v>1065.4112333260434</c:v>
                </c:pt>
                <c:pt idx="9">
                  <c:v>1011.4648886712012</c:v>
                </c:pt>
                <c:pt idx="10">
                  <c:v>1034.0919589902462</c:v>
                </c:pt>
                <c:pt idx="11">
                  <c:v>944.06911928341015</c:v>
                </c:pt>
                <c:pt idx="12">
                  <c:v>926.52302131603278</c:v>
                </c:pt>
                <c:pt idx="13">
                  <c:v>921.31669641634949</c:v>
                </c:pt>
                <c:pt idx="14">
                  <c:v>966.3983311076089</c:v>
                </c:pt>
                <c:pt idx="15">
                  <c:v>969.04632391741143</c:v>
                </c:pt>
                <c:pt idx="16">
                  <c:v>973.65286859650712</c:v>
                </c:pt>
                <c:pt idx="17">
                  <c:v>1418.3948630060115</c:v>
                </c:pt>
                <c:pt idx="18">
                  <c:v>1126.7122247908299</c:v>
                </c:pt>
                <c:pt idx="19">
                  <c:v>1023.1760810005951</c:v>
                </c:pt>
                <c:pt idx="20">
                  <c:v>994.19767032643961</c:v>
                </c:pt>
                <c:pt idx="21">
                  <c:v>939.13431501875846</c:v>
                </c:pt>
                <c:pt idx="22">
                  <c:v>984.10746899954529</c:v>
                </c:pt>
                <c:pt idx="23">
                  <c:v>965.82601351644075</c:v>
                </c:pt>
              </c:numCache>
            </c:numRef>
          </c:val>
          <c:extLst>
            <c:ext xmlns:c16="http://schemas.microsoft.com/office/drawing/2014/chart" uri="{C3380CC4-5D6E-409C-BE32-E72D297353CC}">
              <c16:uniqueId val="{00000000-E84C-4849-8247-7672CBD3576F}"/>
            </c:ext>
          </c:extLst>
        </c:ser>
        <c:ser>
          <c:idx val="1"/>
          <c:order val="1"/>
          <c:tx>
            <c:strRef>
              <c:f>'q3.1_6.1_9.1_12.1_19.1_27.1_Fig'!$CI$7</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'q3.1_6.1_9.1_12.1_19.1_27.1_Fig'!$CG$8:$CG$31</c:f>
              <c:strCache>
                <c:ptCount val="24"/>
                <c:pt idx="0">
                  <c:v>Alto Minho</c:v>
                </c:pt>
                <c:pt idx="1">
                  <c:v>Cávado</c:v>
                </c:pt>
                <c:pt idx="2">
                  <c:v>Ave</c:v>
                </c:pt>
                <c:pt idx="3">
                  <c:v>Área Metropolitana do Porto</c:v>
                </c:pt>
                <c:pt idx="4">
                  <c:v>Alto Tâmega e Barroso</c:v>
                </c:pt>
                <c:pt idx="5">
                  <c:v>Tâmega e Sousa</c:v>
                </c:pt>
                <c:pt idx="6">
                  <c:v>Douro</c:v>
                </c:pt>
                <c:pt idx="7">
                  <c:v>Terras de Trás-os-Montes</c:v>
                </c:pt>
                <c:pt idx="8">
                  <c:v>Região de Aveiro</c:v>
                </c:pt>
                <c:pt idx="9">
                  <c:v>Região de Coimbra</c:v>
                </c:pt>
                <c:pt idx="10">
                  <c:v>Região de Leiria</c:v>
                </c:pt>
                <c:pt idx="11">
                  <c:v>Viseu Dão Lafões</c:v>
                </c:pt>
                <c:pt idx="12">
                  <c:v>Beira Baixa</c:v>
                </c:pt>
                <c:pt idx="13">
                  <c:v>Beiras e Serra da Estrela</c:v>
                </c:pt>
                <c:pt idx="14">
                  <c:v>Oeste</c:v>
                </c:pt>
                <c:pt idx="15">
                  <c:v>Médio Tejo</c:v>
                </c:pt>
                <c:pt idx="16">
                  <c:v>Lezíria do Tejo</c:v>
                </c:pt>
                <c:pt idx="17">
                  <c:v>Grande Lisboa</c:v>
                </c:pt>
                <c:pt idx="18">
                  <c:v>Península de Setúbal</c:v>
                </c:pt>
                <c:pt idx="19">
                  <c:v>Alentejo Litoral</c:v>
                </c:pt>
                <c:pt idx="20">
                  <c:v>Baixo Alentejo</c:v>
                </c:pt>
                <c:pt idx="21">
                  <c:v>Alto Alentejo</c:v>
                </c:pt>
                <c:pt idx="22">
                  <c:v>Alentejo Central</c:v>
                </c:pt>
                <c:pt idx="23">
                  <c:v>Algarve</c:v>
                </c:pt>
              </c:strCache>
            </c:strRef>
          </c:cat>
          <c:val>
            <c:numRef>
              <c:f>'q3.1_6.1_9.1_12.1_19.1_27.1_Fig'!$CI$8:$CI$31</c:f>
              <c:numCache>
                <c:formatCode>#,##0\ "€"</c:formatCode>
                <c:ptCount val="24"/>
                <c:pt idx="0">
                  <c:v>1154.337399624301</c:v>
                </c:pt>
                <c:pt idx="1">
                  <c:v>1183.0782294131691</c:v>
                </c:pt>
                <c:pt idx="2">
                  <c:v>1132.3273242586924</c:v>
                </c:pt>
                <c:pt idx="3">
                  <c:v>1378.5625293136845</c:v>
                </c:pt>
                <c:pt idx="4">
                  <c:v>1043.3717336747779</c:v>
                </c:pt>
                <c:pt idx="5">
                  <c:v>1026.1271821216981</c:v>
                </c:pt>
                <c:pt idx="6">
                  <c:v>1089.0960613548921</c:v>
                </c:pt>
                <c:pt idx="7">
                  <c:v>1066.6838593345271</c:v>
                </c:pt>
                <c:pt idx="8">
                  <c:v>1282.8988460216819</c:v>
                </c:pt>
                <c:pt idx="9">
                  <c:v>1223.8240397602849</c:v>
                </c:pt>
                <c:pt idx="10">
                  <c:v>1251.1986876616286</c:v>
                </c:pt>
                <c:pt idx="11">
                  <c:v>1154.7229728125794</c:v>
                </c:pt>
                <c:pt idx="12">
                  <c:v>1106.8519270929878</c:v>
                </c:pt>
                <c:pt idx="13">
                  <c:v>1107.6834073425111</c:v>
                </c:pt>
                <c:pt idx="14">
                  <c:v>1152.3915951764122</c:v>
                </c:pt>
                <c:pt idx="15">
                  <c:v>1175.7172756759385</c:v>
                </c:pt>
                <c:pt idx="16">
                  <c:v>1178.0944564942188</c:v>
                </c:pt>
                <c:pt idx="17">
                  <c:v>1705.138574047387</c:v>
                </c:pt>
                <c:pt idx="18">
                  <c:v>1361.0063112502116</c:v>
                </c:pt>
                <c:pt idx="19">
                  <c:v>1283.2865372245381</c:v>
                </c:pt>
                <c:pt idx="20">
                  <c:v>1284.9593564356433</c:v>
                </c:pt>
                <c:pt idx="21">
                  <c:v>1126.5965890112573</c:v>
                </c:pt>
                <c:pt idx="22">
                  <c:v>1190.5704398493797</c:v>
                </c:pt>
                <c:pt idx="23">
                  <c:v>1150.8139774725996</c:v>
                </c:pt>
              </c:numCache>
            </c:numRef>
          </c:val>
          <c:extLst>
            <c:ext xmlns:c16="http://schemas.microsoft.com/office/drawing/2014/chart" uri="{C3380CC4-5D6E-409C-BE32-E72D297353CC}">
              <c16:uniqueId val="{00000001-E84C-4849-8247-7672CBD3576F}"/>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5989484804965417"/>
          <c:y val="0.96716776837043916"/>
          <c:w val="0.36497235015434393"/>
          <c:h val="3.1244729343526473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'q3.1_6.1_9.1_12.1_19.1_27.1_Fig'!$CH$7</c:f>
              <c:strCache>
                <c:ptCount val="1"/>
                <c:pt idx="0">
                  <c:v>Base</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quot;€&quot;"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8E12-4777-A837-FFA30A0A04F7}"/>
                </c:ext>
              </c:extLst>
            </c:dLbl>
            <c:numFmt formatCode="#,##0\ &quot;€&quot;"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'q3.1_6.1_9.1_12.1_19.1_27.1_Fig'!$CG$32</c:f>
              <c:strCache>
                <c:ptCount val="1"/>
                <c:pt idx="0">
                  <c:v>Continente</c:v>
                </c:pt>
              </c:strCache>
            </c:strRef>
          </c:cat>
          <c:val>
            <c:numRef>
              <c:f>'q3.1_6.1_9.1_12.1_19.1_27.1_Fig'!$CH$32</c:f>
              <c:numCache>
                <c:formatCode>#,##0\ "€"</c:formatCode>
                <c:ptCount val="1"/>
                <c:pt idx="0">
                  <c:v>1143.445582856891</c:v>
                </c:pt>
              </c:numCache>
            </c:numRef>
          </c:val>
          <c:extLst>
            <c:ext xmlns:c16="http://schemas.microsoft.com/office/drawing/2014/chart" uri="{C3380CC4-5D6E-409C-BE32-E72D297353CC}">
              <c16:uniqueId val="{00000001-8E12-4777-A837-FFA30A0A04F7}"/>
            </c:ext>
          </c:extLst>
        </c:ser>
        <c:ser>
          <c:idx val="1"/>
          <c:order val="1"/>
          <c:tx>
            <c:strRef>
              <c:f>'q3.1_6.1_9.1_12.1_19.1_27.1_Fig'!$CI$7</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quot;€&quot;"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8E12-4777-A837-FFA30A0A04F7}"/>
                </c:ext>
              </c:extLst>
            </c:dLbl>
            <c:numFmt formatCode="#,##0" sourceLinked="0"/>
            <c:spPr>
              <a:noFill/>
              <a:ln>
                <a:noFill/>
              </a:ln>
              <a:effectLst/>
            </c:spPr>
            <c:txPr>
              <a:bodyPr rot="0" spcFirstLastPara="1" vertOverflow="overflow" horzOverflow="overflow" vert="horz" wrap="non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'q3.1_6.1_9.1_12.1_19.1_27.1_Fig'!$CG$32</c:f>
              <c:strCache>
                <c:ptCount val="1"/>
                <c:pt idx="0">
                  <c:v>Continente</c:v>
                </c:pt>
              </c:strCache>
            </c:strRef>
          </c:cat>
          <c:val>
            <c:numRef>
              <c:f>'q3.1_6.1_9.1_12.1_19.1_27.1_Fig'!$CI$32</c:f>
              <c:numCache>
                <c:formatCode>#,##0\ "€"</c:formatCode>
                <c:ptCount val="1"/>
                <c:pt idx="0">
                  <c:v>1367.9952489883701</c:v>
                </c:pt>
              </c:numCache>
            </c:numRef>
          </c:val>
          <c:extLst>
            <c:ext xmlns:c16="http://schemas.microsoft.com/office/drawing/2014/chart" uri="{C3380CC4-5D6E-409C-BE32-E72D297353CC}">
              <c16:uniqueId val="{00000003-8E12-4777-A837-FFA30A0A04F7}"/>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661888417793929"/>
          <c:y val="0.27515080793654073"/>
          <c:w val="0.84338111582206066"/>
          <c:h val="0.72484919206345932"/>
        </c:manualLayout>
      </c:layout>
      <c:barChart>
        <c:barDir val="bar"/>
        <c:grouping val="clustered"/>
        <c:varyColors val="0"/>
        <c:ser>
          <c:idx val="0"/>
          <c:order val="0"/>
          <c:tx>
            <c:strRef>
              <c:f>q13_q14_q20_q21_q28_q29_Fig!$R$15</c:f>
              <c:strCache>
                <c:ptCount val="1"/>
                <c:pt idx="0">
                  <c:v>Homens</c:v>
                </c:pt>
              </c:strCache>
            </c:strRef>
          </c:tx>
          <c:spPr>
            <a:solidFill>
              <a:srgbClr val="4F81BD"/>
            </a:solidFill>
            <a:ln>
              <a:noFill/>
            </a:ln>
            <a:effectLst/>
            <a:scene3d>
              <a:camera prst="orthographicFront"/>
              <a:lightRig rig="threePt" dir="t"/>
            </a:scene3d>
            <a:sp3d>
              <a:bevelT w="0" h="0"/>
              <a:bevelB w="0" h="0"/>
            </a:sp3d>
          </c:spPr>
          <c:invertIfNegative val="0"/>
          <c:dLbls>
            <c:numFmt formatCode="#,##0;#,##0" sourceLinked="0"/>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q13_q14_q20_q21_q28_q29_Fig!$Q$16:$Q$22</c:f>
              <c:strCache>
                <c:ptCount val="7"/>
                <c:pt idx="0">
                  <c:v>&lt; 18 anos</c:v>
                </c:pt>
                <c:pt idx="1">
                  <c:v>18 - 24 anos</c:v>
                </c:pt>
                <c:pt idx="2">
                  <c:v>25 - 34 anos</c:v>
                </c:pt>
                <c:pt idx="3">
                  <c:v>35 - 44 anos</c:v>
                </c:pt>
                <c:pt idx="4">
                  <c:v>45 - 54 anos</c:v>
                </c:pt>
                <c:pt idx="5">
                  <c:v>55 - 64 anos</c:v>
                </c:pt>
                <c:pt idx="6">
                  <c:v>65 e + anos</c:v>
                </c:pt>
              </c:strCache>
            </c:strRef>
          </c:cat>
          <c:val>
            <c:numRef>
              <c:f>q13_q14_q20_q21_q28_q29_Fig!$R$16:$R$22</c:f>
              <c:numCache>
                <c:formatCode>#,##0</c:formatCode>
                <c:ptCount val="7"/>
                <c:pt idx="0">
                  <c:v>-802</c:v>
                </c:pt>
                <c:pt idx="1">
                  <c:v>-146876</c:v>
                </c:pt>
                <c:pt idx="2">
                  <c:v>-406100</c:v>
                </c:pt>
                <c:pt idx="3">
                  <c:v>-424572</c:v>
                </c:pt>
                <c:pt idx="4">
                  <c:v>-402776</c:v>
                </c:pt>
                <c:pt idx="5">
                  <c:v>-240751</c:v>
                </c:pt>
                <c:pt idx="6">
                  <c:v>-31840</c:v>
                </c:pt>
              </c:numCache>
            </c:numRef>
          </c:val>
          <c:extLst>
            <c:ext xmlns:c16="http://schemas.microsoft.com/office/drawing/2014/chart" uri="{C3380CC4-5D6E-409C-BE32-E72D297353CC}">
              <c16:uniqueId val="{00000000-52D0-436F-8837-DD7157215CBA}"/>
            </c:ext>
          </c:extLst>
        </c:ser>
        <c:ser>
          <c:idx val="1"/>
          <c:order val="1"/>
          <c:tx>
            <c:strRef>
              <c:f>q13_q14_q20_q21_q28_q29_Fig!$S$15</c:f>
              <c:strCache>
                <c:ptCount val="1"/>
                <c:pt idx="0">
                  <c:v>Mulheres</c:v>
                </c:pt>
              </c:strCache>
            </c:strRef>
          </c:tx>
          <c:spPr>
            <a:solidFill>
              <a:srgbClr val="FFC000"/>
            </a:solidFill>
            <a:ln>
              <a:noFill/>
            </a:ln>
            <a:effectLst/>
            <a:scene3d>
              <a:camera prst="orthographicFront"/>
              <a:lightRig rig="threePt" dir="t"/>
            </a:scene3d>
            <a:sp3d>
              <a:bevelT w="0" h="0"/>
              <a:bevelB w="0" h="0"/>
            </a:sp3d>
          </c:spPr>
          <c:invertIfNegative val="0"/>
          <c:dLbls>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q13_q14_q20_q21_q28_q29_Fig!$Q$16:$Q$22</c:f>
              <c:strCache>
                <c:ptCount val="7"/>
                <c:pt idx="0">
                  <c:v>&lt; 18 anos</c:v>
                </c:pt>
                <c:pt idx="1">
                  <c:v>18 - 24 anos</c:v>
                </c:pt>
                <c:pt idx="2">
                  <c:v>25 - 34 anos</c:v>
                </c:pt>
                <c:pt idx="3">
                  <c:v>35 - 44 anos</c:v>
                </c:pt>
                <c:pt idx="4">
                  <c:v>45 - 54 anos</c:v>
                </c:pt>
                <c:pt idx="5">
                  <c:v>55 - 64 anos</c:v>
                </c:pt>
                <c:pt idx="6">
                  <c:v>65 e + anos</c:v>
                </c:pt>
              </c:strCache>
            </c:strRef>
          </c:cat>
          <c:val>
            <c:numRef>
              <c:f>q13_q14_q20_q21_q28_q29_Fig!$S$16:$S$22</c:f>
              <c:numCache>
                <c:formatCode>#,##0</c:formatCode>
                <c:ptCount val="7"/>
                <c:pt idx="0">
                  <c:v>618</c:v>
                </c:pt>
                <c:pt idx="1">
                  <c:v>124121</c:v>
                </c:pt>
                <c:pt idx="2">
                  <c:v>355301</c:v>
                </c:pt>
                <c:pt idx="3">
                  <c:v>396810</c:v>
                </c:pt>
                <c:pt idx="4">
                  <c:v>383284</c:v>
                </c:pt>
                <c:pt idx="5">
                  <c:v>211925</c:v>
                </c:pt>
                <c:pt idx="6">
                  <c:v>21994</c:v>
                </c:pt>
              </c:numCache>
            </c:numRef>
          </c:val>
          <c:extLst>
            <c:ext xmlns:c16="http://schemas.microsoft.com/office/drawing/2014/chart" uri="{C3380CC4-5D6E-409C-BE32-E72D297353CC}">
              <c16:uniqueId val="{00000001-52D0-436F-8837-DD7157215CBA}"/>
            </c:ext>
          </c:extLst>
        </c:ser>
        <c:dLbls>
          <c:showLegendKey val="0"/>
          <c:showVal val="0"/>
          <c:showCatName val="0"/>
          <c:showSerName val="0"/>
          <c:showPercent val="0"/>
          <c:showBubbleSize val="0"/>
        </c:dLbls>
        <c:gapWidth val="40"/>
        <c:overlap val="100"/>
        <c:axId val="1261817855"/>
        <c:axId val="267587263"/>
      </c:barChart>
      <c:catAx>
        <c:axId val="1261817855"/>
        <c:scaling>
          <c:orientation val="maxMin"/>
        </c:scaling>
        <c:delete val="0"/>
        <c:axPos val="l"/>
        <c:majorGridlines>
          <c:spPr>
            <a:ln>
              <a:solidFill>
                <a:srgbClr val="D9D9D9"/>
              </a:solidFill>
            </a:ln>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85000"/>
                    <a:lumOff val="15000"/>
                  </a:schemeClr>
                </a:solidFill>
                <a:latin typeface="+mn-lt"/>
                <a:ea typeface="+mn-ea"/>
                <a:cs typeface="+mn-cs"/>
              </a:defRPr>
            </a:pPr>
            <a:endParaRPr lang="pt-PT"/>
          </a:p>
        </c:txPr>
        <c:crossAx val="267587263"/>
        <c:crosses val="autoZero"/>
        <c:auto val="1"/>
        <c:lblAlgn val="ctr"/>
        <c:lblOffset val="100"/>
        <c:noMultiLvlLbl val="0"/>
      </c:catAx>
      <c:valAx>
        <c:axId val="267587263"/>
        <c:scaling>
          <c:orientation val="minMax"/>
          <c:max val="450000"/>
          <c:min val="-450000"/>
        </c:scaling>
        <c:delete val="1"/>
        <c:axPos val="t"/>
        <c:numFmt formatCode="#,##0;#,##0" sourceLinked="0"/>
        <c:majorTickMark val="out"/>
        <c:minorTickMark val="none"/>
        <c:tickLblPos val="nextTo"/>
        <c:crossAx val="1261817855"/>
        <c:crosses val="autoZero"/>
        <c:crossBetween val="between"/>
      </c:valAx>
      <c:spPr>
        <a:noFill/>
        <a:ln>
          <a:noFill/>
        </a:ln>
        <a:effectLst/>
      </c:spPr>
    </c:plotArea>
    <c:legend>
      <c:legendPos val="t"/>
      <c:layout>
        <c:manualLayout>
          <c:xMode val="edge"/>
          <c:yMode val="edge"/>
          <c:x val="0.3952921863554163"/>
          <c:y val="2.2249882951519907E-2"/>
          <c:w val="0.39199891301477158"/>
          <c:h val="7.892867243936505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t" anchorCtr="0"/>
          <a:lstStyle/>
          <a:p>
            <a:pPr>
              <a:defRPr sz="700" b="1" i="0" u="none" strike="noStrike" kern="1200" baseline="0">
                <a:solidFill>
                  <a:schemeClr val="tx1"/>
                </a:solidFill>
                <a:latin typeface="+mn-lt"/>
                <a:ea typeface="+mn-ea"/>
                <a:cs typeface="+mn-cs"/>
              </a:defRPr>
            </a:pPr>
            <a:r>
              <a:rPr lang="en-US" sz="700" b="1" i="0" baseline="0">
                <a:solidFill>
                  <a:srgbClr val="17375E"/>
                </a:solidFill>
                <a:effectLst/>
              </a:rPr>
              <a:t>Homens + Mulheres</a:t>
            </a:r>
            <a:endParaRPr lang="pt-PT" sz="700">
              <a:solidFill>
                <a:srgbClr val="17375E"/>
              </a:solidFill>
              <a:effectLst/>
            </a:endParaRPr>
          </a:p>
        </c:rich>
      </c:tx>
      <c:layout>
        <c:manualLayout>
          <c:xMode val="edge"/>
          <c:yMode val="edge"/>
          <c:x val="0.22471764117941029"/>
          <c:y val="1.5098897535667963E-2"/>
        </c:manualLayout>
      </c:layout>
      <c:overlay val="0"/>
      <c:spPr>
        <a:noFill/>
        <a:ln>
          <a:noFill/>
        </a:ln>
        <a:effectLst/>
      </c:spPr>
      <c:txPr>
        <a:bodyPr rot="0" spcFirstLastPara="1" vertOverflow="ellipsis" vert="horz" wrap="square" anchor="t" anchorCtr="0"/>
        <a:lstStyle/>
        <a:p>
          <a:pPr>
            <a:defRPr sz="700" b="1" i="0" u="none" strike="noStrike" kern="1200" baseline="0">
              <a:solidFill>
                <a:schemeClr val="tx1"/>
              </a:solidFill>
              <a:latin typeface="+mn-lt"/>
              <a:ea typeface="+mn-ea"/>
              <a:cs typeface="+mn-cs"/>
            </a:defRPr>
          </a:pPr>
          <a:endParaRPr lang="pt-PT"/>
        </a:p>
      </c:txPr>
    </c:title>
    <c:autoTitleDeleted val="0"/>
    <c:plotArea>
      <c:layout>
        <c:manualLayout>
          <c:layoutTarget val="inner"/>
          <c:xMode val="edge"/>
          <c:yMode val="edge"/>
          <c:x val="6.645451605451605E-2"/>
          <c:y val="0.23192568942879796"/>
          <c:w val="0.60804176484176498"/>
          <c:h val="0.65021473137038388"/>
        </c:manualLayout>
      </c:layout>
      <c:doughnutChart>
        <c:varyColors val="1"/>
        <c:ser>
          <c:idx val="0"/>
          <c:order val="0"/>
          <c:tx>
            <c:strRef>
              <c:f>q13_q14_q20_q21_q28_q29_Fig!$T$15</c:f>
              <c:strCache>
                <c:ptCount val="1"/>
                <c:pt idx="0">
                  <c:v>Total</c:v>
                </c:pt>
              </c:strCache>
            </c:strRef>
          </c:tx>
          <c:explosion val="9"/>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3C20-4EFB-97B8-BB9B784CB688}"/>
              </c:ext>
            </c:extLst>
          </c:dPt>
          <c:dPt>
            <c:idx val="1"/>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3C20-4EFB-97B8-BB9B784CB688}"/>
              </c:ext>
            </c:extLst>
          </c:dPt>
          <c:dPt>
            <c:idx val="2"/>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3C20-4EFB-97B8-BB9B784CB688}"/>
              </c:ext>
            </c:extLst>
          </c:dPt>
          <c:dPt>
            <c:idx val="3"/>
            <c:bubble3D val="0"/>
            <c:spPr>
              <a:solidFill>
                <a:schemeClr val="accent1">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3C20-4EFB-97B8-BB9B784CB688}"/>
              </c:ext>
            </c:extLst>
          </c:dPt>
          <c:dPt>
            <c:idx val="4"/>
            <c:bubble3D val="0"/>
            <c:spPr>
              <a:solidFill>
                <a:schemeClr val="accent3">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3C20-4EFB-97B8-BB9B784CB688}"/>
              </c:ext>
            </c:extLst>
          </c:dPt>
          <c:dPt>
            <c:idx val="5"/>
            <c:bubble3D val="0"/>
            <c:spPr>
              <a:solidFill>
                <a:schemeClr val="accent5">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3C20-4EFB-97B8-BB9B784CB688}"/>
              </c:ext>
            </c:extLst>
          </c:dPt>
          <c:dPt>
            <c:idx val="6"/>
            <c:bubble3D val="0"/>
            <c:spPr>
              <a:solidFill>
                <a:schemeClr val="accent1">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3C20-4EFB-97B8-BB9B784CB688}"/>
              </c:ext>
            </c:extLst>
          </c:dPt>
          <c:dPt>
            <c:idx val="7"/>
            <c:bubble3D val="0"/>
            <c:spPr>
              <a:solidFill>
                <a:schemeClr val="accent3">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3C20-4EFB-97B8-BB9B784CB688}"/>
              </c:ext>
            </c:extLst>
          </c:dPt>
          <c:dLbls>
            <c:dLbl>
              <c:idx val="0"/>
              <c:layout>
                <c:manualLayout>
                  <c:x val="0.12956140350877179"/>
                  <c:y val="-0.1749737195941816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rgbClr val="17375E"/>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10726871345029237"/>
                      <c:h val="9.8239823982398236E-2"/>
                    </c:manualLayout>
                  </c15:layout>
                </c:ext>
                <c:ext xmlns:c16="http://schemas.microsoft.com/office/drawing/2014/chart" uri="{C3380CC4-5D6E-409C-BE32-E72D297353CC}">
                  <c16:uniqueId val="{00000001-3C20-4EFB-97B8-BB9B784CB688}"/>
                </c:ext>
              </c:extLst>
            </c:dLbl>
            <c:dLbl>
              <c:idx val="2"/>
              <c:layout>
                <c:manualLayout>
                  <c:x val="0"/>
                  <c:y val="-8.4875562720133283E-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C20-4EFB-97B8-BB9B784CB688}"/>
                </c:ext>
              </c:extLst>
            </c:dLbl>
            <c:dLbl>
              <c:idx val="6"/>
              <c:layout>
                <c:manualLayout>
                  <c:x val="-0.12605263157894744"/>
                  <c:y val="-0.1762392535549851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17375E"/>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D-3C20-4EFB-97B8-BB9B784CB688}"/>
                </c:ext>
              </c:extLst>
            </c:dLbl>
            <c:dLbl>
              <c:idx val="7"/>
              <c:layout>
                <c:manualLayout>
                  <c:x val="0.11388888888888894"/>
                  <c:y val="-0.111111111111111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3C20-4EFB-97B8-BB9B784CB68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q13_q14_q20_q21_q28_q29_Fig!$Q$16:$Q$22</c:f>
              <c:strCache>
                <c:ptCount val="7"/>
                <c:pt idx="0">
                  <c:v>&lt; 18 anos</c:v>
                </c:pt>
                <c:pt idx="1">
                  <c:v>18 - 24 anos</c:v>
                </c:pt>
                <c:pt idx="2">
                  <c:v>25 - 34 anos</c:v>
                </c:pt>
                <c:pt idx="3">
                  <c:v>35 - 44 anos</c:v>
                </c:pt>
                <c:pt idx="4">
                  <c:v>45 - 54 anos</c:v>
                </c:pt>
                <c:pt idx="5">
                  <c:v>55 - 64 anos</c:v>
                </c:pt>
                <c:pt idx="6">
                  <c:v>65 e + anos</c:v>
                </c:pt>
              </c:strCache>
            </c:strRef>
          </c:cat>
          <c:val>
            <c:numRef>
              <c:f>q13_q14_q20_q21_q28_q29_Fig!$T$16:$T$22</c:f>
              <c:numCache>
                <c:formatCode>#,##0</c:formatCode>
                <c:ptCount val="7"/>
                <c:pt idx="0">
                  <c:v>1420</c:v>
                </c:pt>
                <c:pt idx="1">
                  <c:v>270997</c:v>
                </c:pt>
                <c:pt idx="2">
                  <c:v>761401</c:v>
                </c:pt>
                <c:pt idx="3">
                  <c:v>821382</c:v>
                </c:pt>
                <c:pt idx="4">
                  <c:v>786060</c:v>
                </c:pt>
                <c:pt idx="5">
                  <c:v>452676</c:v>
                </c:pt>
                <c:pt idx="6">
                  <c:v>53834</c:v>
                </c:pt>
              </c:numCache>
            </c:numRef>
          </c:val>
          <c:extLst>
            <c:ext xmlns:c16="http://schemas.microsoft.com/office/drawing/2014/chart" uri="{C3380CC4-5D6E-409C-BE32-E72D297353CC}">
              <c16:uniqueId val="{00000010-3C20-4EFB-97B8-BB9B784CB688}"/>
            </c:ext>
          </c:extLst>
        </c:ser>
        <c:dLbls>
          <c:showLegendKey val="0"/>
          <c:showVal val="0"/>
          <c:showCatName val="0"/>
          <c:showSerName val="0"/>
          <c:showPercent val="0"/>
          <c:showBubbleSize val="0"/>
          <c:showLeaderLines val="1"/>
        </c:dLbls>
        <c:firstSliceAng val="0"/>
        <c:holeSize val="24"/>
      </c:doughnutChart>
      <c:spPr>
        <a:noFill/>
        <a:ln>
          <a:noFill/>
        </a:ln>
        <a:effectLst/>
      </c:spPr>
    </c:plotArea>
    <c:legend>
      <c:legendPos val="r"/>
      <c:layout>
        <c:manualLayout>
          <c:xMode val="edge"/>
          <c:yMode val="edge"/>
          <c:x val="0.67128185907046478"/>
          <c:y val="0.19463641904117482"/>
          <c:w val="0.30055472263868072"/>
          <c:h val="0.72389134505706798"/>
        </c:manualLayout>
      </c:layout>
      <c:overlay val="0"/>
      <c:spPr>
        <a:noFill/>
        <a:ln>
          <a:noFill/>
        </a:ln>
        <a:effectLst/>
      </c:spPr>
      <c:txPr>
        <a:bodyPr rot="0" spcFirstLastPara="1" vertOverflow="ellipsis" vert="horz" wrap="square" anchor="ctr" anchorCtr="1"/>
        <a:lstStyle/>
        <a:p>
          <a:pPr>
            <a:defRPr sz="700" b="0" i="0" u="none" strike="noStrike" kern="1200" baseline="0">
              <a:solidFill>
                <a:srgbClr val="17375E"/>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a:pPr>
      <a:endParaRPr lang="pt-PT"/>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661888417793929"/>
          <c:y val="0.27515080793654073"/>
          <c:w val="0.84338111582206066"/>
          <c:h val="0.72484919206345932"/>
        </c:manualLayout>
      </c:layout>
      <c:barChart>
        <c:barDir val="bar"/>
        <c:grouping val="clustered"/>
        <c:varyColors val="0"/>
        <c:ser>
          <c:idx val="0"/>
          <c:order val="0"/>
          <c:tx>
            <c:strRef>
              <c:f>q13_q14_q20_q21_q28_q29_Fig!$R$44</c:f>
              <c:strCache>
                <c:ptCount val="1"/>
                <c:pt idx="0">
                  <c:v>Homens</c:v>
                </c:pt>
              </c:strCache>
            </c:strRef>
          </c:tx>
          <c:spPr>
            <a:solidFill>
              <a:srgbClr val="4F81BD"/>
            </a:solidFill>
            <a:ln>
              <a:noFill/>
            </a:ln>
            <a:effectLst/>
            <a:scene3d>
              <a:camera prst="orthographicFront"/>
              <a:lightRig rig="threePt" dir="t"/>
            </a:scene3d>
            <a:sp3d>
              <a:bevelT w="0" h="0"/>
              <a:bevelB w="0" h="0"/>
            </a:sp3d>
          </c:spPr>
          <c:invertIfNegative val="0"/>
          <c:dLbls>
            <c:numFmt formatCode="#,##0;#,##0" sourceLinked="0"/>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q13_q14_q20_q21_q28_q29_Fig!$Q$45:$Q$52</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q13_q14_q20_q21_q28_q29_Fig!$R$45:$R$52</c:f>
              <c:numCache>
                <c:formatCode>#,##0</c:formatCode>
                <c:ptCount val="8"/>
                <c:pt idx="0">
                  <c:v>-154897</c:v>
                </c:pt>
                <c:pt idx="1">
                  <c:v>-97684</c:v>
                </c:pt>
                <c:pt idx="2">
                  <c:v>-94376</c:v>
                </c:pt>
                <c:pt idx="3">
                  <c:v>-141741</c:v>
                </c:pt>
                <c:pt idx="4">
                  <c:v>-660462</c:v>
                </c:pt>
                <c:pt idx="5">
                  <c:v>-260895</c:v>
                </c:pt>
                <c:pt idx="6">
                  <c:v>-202071</c:v>
                </c:pt>
                <c:pt idx="7">
                  <c:v>-41791</c:v>
                </c:pt>
              </c:numCache>
            </c:numRef>
          </c:val>
          <c:extLst>
            <c:ext xmlns:c16="http://schemas.microsoft.com/office/drawing/2014/chart" uri="{C3380CC4-5D6E-409C-BE32-E72D297353CC}">
              <c16:uniqueId val="{00000000-91B7-4F84-B861-CCEE397C1291}"/>
            </c:ext>
          </c:extLst>
        </c:ser>
        <c:ser>
          <c:idx val="1"/>
          <c:order val="1"/>
          <c:tx>
            <c:strRef>
              <c:f>q13_q14_q20_q21_q28_q29_Fig!$S$44</c:f>
              <c:strCache>
                <c:ptCount val="1"/>
                <c:pt idx="0">
                  <c:v>Mulheres</c:v>
                </c:pt>
              </c:strCache>
            </c:strRef>
          </c:tx>
          <c:spPr>
            <a:solidFill>
              <a:srgbClr val="FFC000"/>
            </a:solidFill>
            <a:ln>
              <a:noFill/>
            </a:ln>
            <a:effectLst/>
            <a:scene3d>
              <a:camera prst="orthographicFront"/>
              <a:lightRig rig="threePt" dir="t"/>
            </a:scene3d>
            <a:sp3d>
              <a:bevelT w="0" h="0"/>
              <a:bevelB w="0" h="0"/>
            </a:sp3d>
          </c:spPr>
          <c:invertIfNegative val="0"/>
          <c:dLbls>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q13_q14_q20_q21_q28_q29_Fig!$Q$45:$Q$52</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q13_q14_q20_q21_q28_q29_Fig!$S$45:$S$52</c:f>
              <c:numCache>
                <c:formatCode>#,##0</c:formatCode>
                <c:ptCount val="8"/>
                <c:pt idx="0">
                  <c:v>142625</c:v>
                </c:pt>
                <c:pt idx="1">
                  <c:v>94678</c:v>
                </c:pt>
                <c:pt idx="2">
                  <c:v>61796</c:v>
                </c:pt>
                <c:pt idx="3">
                  <c:v>143050</c:v>
                </c:pt>
                <c:pt idx="4">
                  <c:v>480610</c:v>
                </c:pt>
                <c:pt idx="5">
                  <c:v>341469</c:v>
                </c:pt>
                <c:pt idx="6">
                  <c:v>194661</c:v>
                </c:pt>
                <c:pt idx="7">
                  <c:v>35341</c:v>
                </c:pt>
              </c:numCache>
            </c:numRef>
          </c:val>
          <c:extLst>
            <c:ext xmlns:c16="http://schemas.microsoft.com/office/drawing/2014/chart" uri="{C3380CC4-5D6E-409C-BE32-E72D297353CC}">
              <c16:uniqueId val="{00000001-91B7-4F84-B861-CCEE397C1291}"/>
            </c:ext>
          </c:extLst>
        </c:ser>
        <c:dLbls>
          <c:showLegendKey val="0"/>
          <c:showVal val="0"/>
          <c:showCatName val="0"/>
          <c:showSerName val="0"/>
          <c:showPercent val="0"/>
          <c:showBubbleSize val="0"/>
        </c:dLbls>
        <c:gapWidth val="40"/>
        <c:overlap val="100"/>
        <c:axId val="1261817855"/>
        <c:axId val="267587263"/>
      </c:barChart>
      <c:catAx>
        <c:axId val="1261817855"/>
        <c:scaling>
          <c:orientation val="maxMin"/>
        </c:scaling>
        <c:delete val="0"/>
        <c:axPos val="l"/>
        <c:majorGridlines>
          <c:spPr>
            <a:ln>
              <a:solidFill>
                <a:srgbClr val="D9D9D9"/>
              </a:solidFill>
            </a:ln>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85000"/>
                    <a:lumOff val="15000"/>
                  </a:schemeClr>
                </a:solidFill>
                <a:latin typeface="+mn-lt"/>
                <a:ea typeface="+mn-ea"/>
                <a:cs typeface="+mn-cs"/>
              </a:defRPr>
            </a:pPr>
            <a:endParaRPr lang="pt-PT"/>
          </a:p>
        </c:txPr>
        <c:crossAx val="267587263"/>
        <c:crosses val="autoZero"/>
        <c:auto val="1"/>
        <c:lblAlgn val="ctr"/>
        <c:lblOffset val="100"/>
        <c:noMultiLvlLbl val="0"/>
      </c:catAx>
      <c:valAx>
        <c:axId val="267587263"/>
        <c:scaling>
          <c:orientation val="minMax"/>
          <c:max val="680000"/>
          <c:min val="-680000"/>
        </c:scaling>
        <c:delete val="1"/>
        <c:axPos val="t"/>
        <c:numFmt formatCode="#,##0;#,##0" sourceLinked="0"/>
        <c:majorTickMark val="out"/>
        <c:minorTickMark val="none"/>
        <c:tickLblPos val="nextTo"/>
        <c:crossAx val="1261817855"/>
        <c:crosses val="autoZero"/>
        <c:crossBetween val="between"/>
        <c:majorUnit val="300000"/>
      </c:valAx>
      <c:spPr>
        <a:noFill/>
        <a:ln>
          <a:noFill/>
        </a:ln>
        <a:effectLst/>
      </c:spPr>
    </c:plotArea>
    <c:legend>
      <c:legendPos val="t"/>
      <c:layout>
        <c:manualLayout>
          <c:xMode val="edge"/>
          <c:yMode val="edge"/>
          <c:x val="0.3952921863554163"/>
          <c:y val="2.2249882951519907E-2"/>
          <c:w val="0.39199891301477158"/>
          <c:h val="7.892867243936505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t" anchorCtr="0"/>
          <a:lstStyle/>
          <a:p>
            <a:pPr>
              <a:defRPr sz="700" b="1" i="0" u="none" strike="noStrike" kern="1200" baseline="0">
                <a:solidFill>
                  <a:schemeClr val="tx1"/>
                </a:solidFill>
                <a:latin typeface="+mn-lt"/>
                <a:ea typeface="+mn-ea"/>
                <a:cs typeface="+mn-cs"/>
              </a:defRPr>
            </a:pPr>
            <a:r>
              <a:rPr lang="en-US" sz="700" b="1" i="0" baseline="0">
                <a:solidFill>
                  <a:srgbClr val="17375E"/>
                </a:solidFill>
                <a:effectLst/>
              </a:rPr>
              <a:t>Homens + Mulheres</a:t>
            </a:r>
            <a:endParaRPr lang="pt-PT" sz="700">
              <a:solidFill>
                <a:srgbClr val="17375E"/>
              </a:solidFill>
              <a:effectLst/>
            </a:endParaRPr>
          </a:p>
        </c:rich>
      </c:tx>
      <c:layout>
        <c:manualLayout>
          <c:xMode val="edge"/>
          <c:yMode val="edge"/>
          <c:x val="0.32626710030457906"/>
          <c:y val="2.1962219622196223E-2"/>
        </c:manualLayout>
      </c:layout>
      <c:overlay val="0"/>
      <c:spPr>
        <a:noFill/>
        <a:ln>
          <a:noFill/>
        </a:ln>
        <a:effectLst/>
      </c:spPr>
      <c:txPr>
        <a:bodyPr rot="0" spcFirstLastPara="1" vertOverflow="ellipsis" vert="horz" wrap="square" anchor="t" anchorCtr="0"/>
        <a:lstStyle/>
        <a:p>
          <a:pPr>
            <a:defRPr sz="700" b="1" i="0" u="none" strike="noStrike" kern="1200" baseline="0">
              <a:solidFill>
                <a:schemeClr val="tx1"/>
              </a:solidFill>
              <a:latin typeface="+mn-lt"/>
              <a:ea typeface="+mn-ea"/>
              <a:cs typeface="+mn-cs"/>
            </a:defRPr>
          </a:pPr>
          <a:endParaRPr lang="pt-PT"/>
        </a:p>
      </c:txPr>
    </c:title>
    <c:autoTitleDeleted val="0"/>
    <c:plotArea>
      <c:layout>
        <c:manualLayout>
          <c:layoutTarget val="inner"/>
          <c:xMode val="edge"/>
          <c:yMode val="edge"/>
          <c:x val="0.10057665234430598"/>
          <c:y val="0.1704118028534371"/>
          <c:w val="0.44813898561610344"/>
          <c:h val="0.68743028534370942"/>
        </c:manualLayout>
      </c:layout>
      <c:doughnutChart>
        <c:varyColors val="1"/>
        <c:ser>
          <c:idx val="0"/>
          <c:order val="0"/>
          <c:tx>
            <c:strRef>
              <c:f>q13_q14_q20_q21_q28_q29_Fig!$T$44</c:f>
              <c:strCache>
                <c:ptCount val="1"/>
                <c:pt idx="0">
                  <c:v>Total</c:v>
                </c:pt>
              </c:strCache>
            </c:strRef>
          </c:tx>
          <c:explosion val="9"/>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486B-40CA-90A5-94FB766971AF}"/>
              </c:ext>
            </c:extLst>
          </c:dPt>
          <c:dPt>
            <c:idx val="1"/>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486B-40CA-90A5-94FB766971AF}"/>
              </c:ext>
            </c:extLst>
          </c:dPt>
          <c:dPt>
            <c:idx val="2"/>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486B-40CA-90A5-94FB766971AF}"/>
              </c:ext>
            </c:extLst>
          </c:dPt>
          <c:dPt>
            <c:idx val="3"/>
            <c:bubble3D val="0"/>
            <c:spPr>
              <a:solidFill>
                <a:schemeClr val="accent1">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486B-40CA-90A5-94FB766971AF}"/>
              </c:ext>
            </c:extLst>
          </c:dPt>
          <c:dPt>
            <c:idx val="4"/>
            <c:bubble3D val="0"/>
            <c:spPr>
              <a:solidFill>
                <a:schemeClr val="accent3">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486B-40CA-90A5-94FB766971AF}"/>
              </c:ext>
            </c:extLst>
          </c:dPt>
          <c:dPt>
            <c:idx val="5"/>
            <c:bubble3D val="0"/>
            <c:spPr>
              <a:solidFill>
                <a:schemeClr val="accent5">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486B-40CA-90A5-94FB766971AF}"/>
              </c:ext>
            </c:extLst>
          </c:dPt>
          <c:dPt>
            <c:idx val="6"/>
            <c:bubble3D val="0"/>
            <c:spPr>
              <a:solidFill>
                <a:schemeClr val="accent1">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486B-40CA-90A5-94FB766971AF}"/>
              </c:ext>
            </c:extLst>
          </c:dPt>
          <c:dPt>
            <c:idx val="7"/>
            <c:bubble3D val="0"/>
            <c:spPr>
              <a:solidFill>
                <a:schemeClr val="accent3">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486B-40CA-90A5-94FB766971AF}"/>
              </c:ext>
            </c:extLst>
          </c:dPt>
          <c:dLbls>
            <c:dLbl>
              <c:idx val="0"/>
              <c:layout>
                <c:manualLayout>
                  <c:x val="5.7951507621849772E-3"/>
                  <c:y val="-3.108895560716781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10726871345029237"/>
                      <c:h val="9.8239823982398236E-2"/>
                    </c:manualLayout>
                  </c15:layout>
                </c:ext>
                <c:ext xmlns:c16="http://schemas.microsoft.com/office/drawing/2014/chart" uri="{C3380CC4-5D6E-409C-BE32-E72D297353CC}">
                  <c16:uniqueId val="{00000001-486B-40CA-90A5-94FB766971AF}"/>
                </c:ext>
              </c:extLst>
            </c:dLbl>
            <c:dLbl>
              <c:idx val="2"/>
              <c:layout>
                <c:manualLayout>
                  <c:x val="0"/>
                  <c:y val="-8.4875562720133283E-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86B-40CA-90A5-94FB766971AF}"/>
                </c:ext>
              </c:extLst>
            </c:dLbl>
            <c:dLbl>
              <c:idx val="6"/>
              <c:layout>
                <c:manualLayout>
                  <c:x val="-1.2895066645765179E-2"/>
                  <c:y val="-1.796597367775071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486B-40CA-90A5-94FB766971AF}"/>
                </c:ext>
              </c:extLst>
            </c:dLbl>
            <c:dLbl>
              <c:idx val="7"/>
              <c:layout>
                <c:manualLayout>
                  <c:x val="-2.7558220897347684E-2"/>
                  <c:y val="-0.18784984610736608"/>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17375E"/>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486B-40CA-90A5-94FB766971A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q13_q14_q20_q21_q28_q29_Fig!$Q$45:$Q$52</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q13_q14_q20_q21_q28_q29_Fig!$T$45:$T$52</c:f>
              <c:numCache>
                <c:formatCode>#,##0</c:formatCode>
                <c:ptCount val="8"/>
                <c:pt idx="0">
                  <c:v>297522</c:v>
                </c:pt>
                <c:pt idx="1">
                  <c:v>192362</c:v>
                </c:pt>
                <c:pt idx="2">
                  <c:v>156172</c:v>
                </c:pt>
                <c:pt idx="3">
                  <c:v>284791</c:v>
                </c:pt>
                <c:pt idx="4">
                  <c:v>1141072</c:v>
                </c:pt>
                <c:pt idx="5">
                  <c:v>602364</c:v>
                </c:pt>
                <c:pt idx="6">
                  <c:v>396732</c:v>
                </c:pt>
                <c:pt idx="7">
                  <c:v>77132</c:v>
                </c:pt>
              </c:numCache>
            </c:numRef>
          </c:val>
          <c:extLst>
            <c:ext xmlns:c16="http://schemas.microsoft.com/office/drawing/2014/chart" uri="{C3380CC4-5D6E-409C-BE32-E72D297353CC}">
              <c16:uniqueId val="{00000010-486B-40CA-90A5-94FB766971AF}"/>
            </c:ext>
          </c:extLst>
        </c:ser>
        <c:dLbls>
          <c:showLegendKey val="0"/>
          <c:showVal val="0"/>
          <c:showCatName val="0"/>
          <c:showSerName val="0"/>
          <c:showPercent val="0"/>
          <c:showBubbleSize val="0"/>
          <c:showLeaderLines val="1"/>
        </c:dLbls>
        <c:firstSliceAng val="0"/>
        <c:holeSize val="24"/>
      </c:doughnutChart>
      <c:spPr>
        <a:noFill/>
        <a:ln>
          <a:noFill/>
        </a:ln>
        <a:effectLst/>
      </c:spPr>
    </c:plotArea>
    <c:legend>
      <c:legendPos val="r"/>
      <c:layout>
        <c:manualLayout>
          <c:xMode val="edge"/>
          <c:yMode val="edge"/>
          <c:x val="0.54169350054184462"/>
          <c:y val="0.14209342093420935"/>
          <c:w val="0.43208164168356555"/>
          <c:h val="0.84273842738427385"/>
        </c:manualLayout>
      </c:layout>
      <c:overlay val="0"/>
      <c:spPr>
        <a:noFill/>
        <a:ln>
          <a:noFill/>
        </a:ln>
        <a:effectLst/>
      </c:spPr>
      <c:txPr>
        <a:bodyPr rot="0" spcFirstLastPara="1" vertOverflow="ellipsis" vert="horz" wrap="square" anchor="ctr" anchorCtr="1"/>
        <a:lstStyle/>
        <a:p>
          <a:pPr>
            <a:defRPr sz="700" b="0" i="0" u="none" strike="noStrike" kern="1200" baseline="0">
              <a:solidFill>
                <a:srgbClr val="17375E"/>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a:pPr>
      <a:endParaRPr lang="pt-PT"/>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793875765529326E-2"/>
          <c:y val="0.13630659253375696"/>
          <c:w val="0.48423902012248471"/>
          <c:h val="0.73270479216309237"/>
        </c:manualLayout>
      </c:layout>
      <c:doughnutChart>
        <c:varyColors val="1"/>
        <c:ser>
          <c:idx val="0"/>
          <c:order val="0"/>
          <c:tx>
            <c:strRef>
              <c:f>q13_q14_q20_q21_q28_q29_Fig!$R$76</c:f>
              <c:strCache>
                <c:ptCount val="1"/>
                <c:pt idx="0">
                  <c:v>TCO</c:v>
                </c:pt>
              </c:strCache>
            </c:strRef>
          </c:tx>
          <c:explosion val="9"/>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E72C-4F51-972C-B0D495C2731F}"/>
              </c:ext>
            </c:extLst>
          </c:dPt>
          <c:dPt>
            <c:idx val="1"/>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72C-4F51-972C-B0D495C2731F}"/>
              </c:ext>
            </c:extLst>
          </c:dPt>
          <c:dPt>
            <c:idx val="2"/>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72C-4F51-972C-B0D495C2731F}"/>
              </c:ext>
            </c:extLst>
          </c:dPt>
          <c:dPt>
            <c:idx val="3"/>
            <c:bubble3D val="0"/>
            <c:spPr>
              <a:solidFill>
                <a:schemeClr val="accent1">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72C-4F51-972C-B0D495C2731F}"/>
              </c:ext>
            </c:extLst>
          </c:dPt>
          <c:dPt>
            <c:idx val="4"/>
            <c:bubble3D val="0"/>
            <c:spPr>
              <a:solidFill>
                <a:schemeClr val="accent3">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E72C-4F51-972C-B0D495C2731F}"/>
              </c:ext>
            </c:extLst>
          </c:dPt>
          <c:dPt>
            <c:idx val="5"/>
            <c:bubble3D val="0"/>
            <c:spPr>
              <a:solidFill>
                <a:schemeClr val="accent5">
                  <a:lumMod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E72C-4F51-972C-B0D495C2731F}"/>
              </c:ext>
            </c:extLst>
          </c:dPt>
          <c:dPt>
            <c:idx val="6"/>
            <c:bubble3D val="0"/>
            <c:spPr>
              <a:solidFill>
                <a:schemeClr val="accent1">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E72C-4F51-972C-B0D495C2731F}"/>
              </c:ext>
            </c:extLst>
          </c:dPt>
          <c:dPt>
            <c:idx val="7"/>
            <c:bubble3D val="0"/>
            <c:spPr>
              <a:solidFill>
                <a:schemeClr val="accent3">
                  <a:lumMod val="80000"/>
                  <a:lumOff val="2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E72C-4F51-972C-B0D495C2731F}"/>
              </c:ext>
            </c:extLst>
          </c:dPt>
          <c:dLbls>
            <c:dLbl>
              <c:idx val="0"/>
              <c:layout>
                <c:manualLayout>
                  <c:x val="3.60926650137601E-2"/>
                  <c:y val="-0.1877321733384725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10726871345029237"/>
                      <c:h val="9.8239823982398236E-2"/>
                    </c:manualLayout>
                  </c15:layout>
                </c:ext>
                <c:ext xmlns:c16="http://schemas.microsoft.com/office/drawing/2014/chart" uri="{C3380CC4-5D6E-409C-BE32-E72D297353CC}">
                  <c16:uniqueId val="{00000001-E72C-4F51-972C-B0D495C2731F}"/>
                </c:ext>
              </c:extLst>
            </c:dLbl>
            <c:dLbl>
              <c:idx val="2"/>
              <c:layout>
                <c:manualLayout>
                  <c:x val="0"/>
                  <c:y val="-8.4875562720133283E-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72C-4F51-972C-B0D495C2731F}"/>
                </c:ext>
              </c:extLst>
            </c:dLbl>
            <c:dLbl>
              <c:idx val="6"/>
              <c:layout>
                <c:manualLayout>
                  <c:x val="-1.2895066645765179E-2"/>
                  <c:y val="-1.796597367775071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E72C-4F51-972C-B0D495C2731F}"/>
                </c:ext>
              </c:extLst>
            </c:dLbl>
            <c:dLbl>
              <c:idx val="7"/>
              <c:layout>
                <c:manualLayout>
                  <c:x val="-2.7558220897347684E-2"/>
                  <c:y val="-0.18784984610736608"/>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17375E"/>
                      </a:solidFill>
                      <a:latin typeface="+mn-lt"/>
                      <a:ea typeface="+mn-ea"/>
                      <a:cs typeface="+mn-cs"/>
                    </a:defRPr>
                  </a:pPr>
                  <a:endParaRPr lang="pt-PT"/>
                </a:p>
              </c:txPr>
              <c:showLegendKey val="1"/>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E72C-4F51-972C-B0D495C2731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q13_q14_q20_q21_q28_q29_Fig!$Q$77:$Q$80</c:f>
              <c:strCache>
                <c:ptCount val="4"/>
                <c:pt idx="0">
                  <c:v>&lt; 1.º ciclo do ensino básico</c:v>
                </c:pt>
                <c:pt idx="1">
                  <c:v>Ensino básico</c:v>
                </c:pt>
                <c:pt idx="2">
                  <c:v>Ensino secundário + pós sec. não superior nível IV</c:v>
                </c:pt>
                <c:pt idx="3">
                  <c:v>Ensino superior**</c:v>
                </c:pt>
              </c:strCache>
            </c:strRef>
          </c:cat>
          <c:val>
            <c:numRef>
              <c:f>q13_q14_q20_q21_q28_q29_Fig!$R$77:$R$80</c:f>
              <c:numCache>
                <c:formatCode>#,##0</c:formatCode>
                <c:ptCount val="4"/>
                <c:pt idx="0">
                  <c:v>5907</c:v>
                </c:pt>
                <c:pt idx="1">
                  <c:v>953672</c:v>
                </c:pt>
                <c:pt idx="2">
                  <c:v>796744</c:v>
                </c:pt>
                <c:pt idx="3">
                  <c:v>613051</c:v>
                </c:pt>
              </c:numCache>
            </c:numRef>
          </c:val>
          <c:extLst>
            <c:ext xmlns:c16="http://schemas.microsoft.com/office/drawing/2014/chart" uri="{C3380CC4-5D6E-409C-BE32-E72D297353CC}">
              <c16:uniqueId val="{00000010-E72C-4F51-972C-B0D495C2731F}"/>
            </c:ext>
          </c:extLst>
        </c:ser>
        <c:dLbls>
          <c:showLegendKey val="0"/>
          <c:showVal val="0"/>
          <c:showCatName val="0"/>
          <c:showSerName val="0"/>
          <c:showPercent val="0"/>
          <c:showBubbleSize val="0"/>
          <c:showLeaderLines val="1"/>
        </c:dLbls>
        <c:firstSliceAng val="0"/>
        <c:holeSize val="24"/>
      </c:doughnutChart>
      <c:spPr>
        <a:noFill/>
        <a:ln>
          <a:noFill/>
        </a:ln>
        <a:effectLst/>
      </c:spPr>
    </c:plotArea>
    <c:legend>
      <c:legendPos val="r"/>
      <c:layout>
        <c:manualLayout>
          <c:xMode val="edge"/>
          <c:yMode val="edge"/>
          <c:x val="0.54653718285214348"/>
          <c:y val="4.9101932750860465E-2"/>
          <c:w val="0.39061767279090115"/>
          <c:h val="0.82165051628276409"/>
        </c:manualLayout>
      </c:layout>
      <c:overlay val="0"/>
      <c:spPr>
        <a:noFill/>
        <a:ln>
          <a:noFill/>
        </a:ln>
        <a:effectLst/>
      </c:spPr>
      <c:txPr>
        <a:bodyPr rot="0" spcFirstLastPara="1" vertOverflow="ellipsis" vert="horz" wrap="square" anchor="ctr" anchorCtr="1"/>
        <a:lstStyle/>
        <a:p>
          <a:pPr>
            <a:defRPr sz="700" b="0" i="0" u="none" strike="noStrike" kern="1200" baseline="0">
              <a:solidFill>
                <a:srgbClr val="17375E"/>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txPr>
    <a:bodyPr/>
    <a:lstStyle/>
    <a:p>
      <a:pPr>
        <a:defRPr/>
      </a:pPr>
      <a:endParaRPr lang="pt-PT"/>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2757621189405304"/>
          <c:y val="0.12694453453786034"/>
          <c:w val="0.41229760119940023"/>
          <c:h val="0.79289885381340897"/>
        </c:manualLayout>
      </c:layout>
      <c:barChart>
        <c:barDir val="bar"/>
        <c:grouping val="clustered"/>
        <c:varyColors val="0"/>
        <c:ser>
          <c:idx val="0"/>
          <c:order val="0"/>
          <c:tx>
            <c:strRef>
              <c:f>q13_q14_q20_q21_q28_q29_Fig!$R$76</c:f>
              <c:strCache>
                <c:ptCount val="1"/>
                <c:pt idx="0">
                  <c:v>TCO</c:v>
                </c:pt>
              </c:strCache>
            </c:strRef>
          </c:tx>
          <c:spPr>
            <a:solidFill>
              <a:srgbClr val="4F81BD"/>
            </a:solidFill>
            <a:ln w="19050">
              <a:solidFill>
                <a:schemeClr val="lt1"/>
              </a:solidFill>
            </a:ln>
            <a:effectLst/>
          </c:spPr>
          <c:invertIfNegative val="0"/>
          <c:dPt>
            <c:idx val="0"/>
            <c:invertIfNegative val="0"/>
            <c:bubble3D val="0"/>
            <c:explosion val="4"/>
            <c:spPr>
              <a:solidFill>
                <a:srgbClr val="4F81BD"/>
              </a:solidFill>
              <a:ln w="19050">
                <a:solidFill>
                  <a:schemeClr val="lt1"/>
                </a:solidFill>
              </a:ln>
              <a:effectLst/>
            </c:spPr>
            <c:extLst>
              <c:ext xmlns:c16="http://schemas.microsoft.com/office/drawing/2014/chart" uri="{C3380CC4-5D6E-409C-BE32-E72D297353CC}">
                <c16:uniqueId val="{00000001-E45C-403B-A5BF-425540B32D38}"/>
              </c:ext>
            </c:extLst>
          </c:dPt>
          <c:dPt>
            <c:idx val="1"/>
            <c:invertIfNegative val="0"/>
            <c:bubble3D val="0"/>
            <c:explosion val="2"/>
            <c:spPr>
              <a:solidFill>
                <a:srgbClr val="4F81BD"/>
              </a:solidFill>
              <a:ln w="19050">
                <a:solidFill>
                  <a:schemeClr val="lt1"/>
                </a:solidFill>
              </a:ln>
              <a:effectLst/>
            </c:spPr>
            <c:extLst>
              <c:ext xmlns:c16="http://schemas.microsoft.com/office/drawing/2014/chart" uri="{C3380CC4-5D6E-409C-BE32-E72D297353CC}">
                <c16:uniqueId val="{00000003-E45C-403B-A5BF-425540B32D38}"/>
              </c:ext>
            </c:extLst>
          </c:dPt>
          <c:dPt>
            <c:idx val="2"/>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5-E45C-403B-A5BF-425540B32D38}"/>
              </c:ext>
            </c:extLst>
          </c:dPt>
          <c:dPt>
            <c:idx val="3"/>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7-E45C-403B-A5BF-425540B32D38}"/>
              </c:ext>
            </c:extLst>
          </c:dPt>
          <c:dPt>
            <c:idx val="4"/>
            <c:invertIfNegative val="0"/>
            <c:bubble3D val="0"/>
            <c:spPr>
              <a:solidFill>
                <a:srgbClr val="4F81BD"/>
              </a:solidFill>
              <a:ln w="19050">
                <a:solidFill>
                  <a:schemeClr val="lt1"/>
                </a:solidFill>
              </a:ln>
              <a:effectLst/>
            </c:spPr>
            <c:extLst>
              <c:ext xmlns:c16="http://schemas.microsoft.com/office/drawing/2014/chart" uri="{C3380CC4-5D6E-409C-BE32-E72D297353CC}">
                <c16:uniqueId val="{00000009-E45C-403B-A5BF-425540B32D38}"/>
              </c:ext>
            </c:extLst>
          </c:dPt>
          <c:dLbls>
            <c:dLbl>
              <c:idx val="0"/>
              <c:layout>
                <c:manualLayout>
                  <c:x val="0"/>
                  <c:y val="3.005422002962037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5C-403B-A5BF-425540B32D38}"/>
                </c:ext>
              </c:extLst>
            </c:dLbl>
            <c:spPr>
              <a:noFill/>
              <a:ln>
                <a:noFill/>
              </a:ln>
              <a:effectLst/>
            </c:spPr>
            <c:txPr>
              <a:bodyPr rot="0" spcFirstLastPara="1" vertOverflow="overflow" horzOverflow="overflow" vert="horz" wrap="non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q13_q14_q20_q21_q28_q29_Fig!$Q$77:$Q$81</c15:sqref>
                  </c15:fullRef>
                </c:ext>
              </c:extLst>
              <c:f>q13_q14_q20_q21_q28_q29_Fig!$Q$77:$Q$80</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q13_q14_q20_q21_q28_q29_Fig!$R$77:$R$81</c15:sqref>
                  </c15:fullRef>
                </c:ext>
              </c:extLst>
              <c:f>q13_q14_q20_q21_q28_q29_Fig!$R$77:$R$80</c:f>
              <c:numCache>
                <c:formatCode>#,##0</c:formatCode>
                <c:ptCount val="4"/>
                <c:pt idx="0">
                  <c:v>5907</c:v>
                </c:pt>
                <c:pt idx="1">
                  <c:v>953672</c:v>
                </c:pt>
                <c:pt idx="2">
                  <c:v>796744</c:v>
                </c:pt>
                <c:pt idx="3">
                  <c:v>613051</c:v>
                </c:pt>
              </c:numCache>
            </c:numRef>
          </c:val>
          <c:extLst>
            <c:ext xmlns:c15="http://schemas.microsoft.com/office/drawing/2012/chart" uri="{02D57815-91ED-43cb-92C2-25804820EDAC}">
              <c15:categoryFilterExceptions>
                <c15:categoryFilterException>
                  <c15:sqref>q13_q14_q20_q21_q28_q29_Fig!$R$81</c15:sqref>
                  <c15:spPr xmlns:c15="http://schemas.microsoft.com/office/drawing/2012/chart">
                    <a:solidFill>
                      <a:srgbClr val="4F81BD"/>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A-E45C-403B-A5BF-425540B32D38}"/>
            </c:ext>
          </c:extLst>
        </c:ser>
        <c:dLbls>
          <c:showLegendKey val="0"/>
          <c:showVal val="0"/>
          <c:showCatName val="0"/>
          <c:showSerName val="0"/>
          <c:showPercent val="0"/>
          <c:showBubbleSize val="0"/>
        </c:dLbls>
        <c:gapWidth val="118"/>
        <c:axId val="891633855"/>
        <c:axId val="1319480015"/>
      </c:barChart>
      <c:valAx>
        <c:axId val="1319480015"/>
        <c:scaling>
          <c:orientation val="minMax"/>
          <c:max val="1200000"/>
          <c:min val="0"/>
        </c:scaling>
        <c:delete val="1"/>
        <c:axPos val="t"/>
        <c:numFmt formatCode="#,##0" sourceLinked="1"/>
        <c:majorTickMark val="out"/>
        <c:minorTickMark val="none"/>
        <c:tickLblPos val="nextTo"/>
        <c:crossAx val="891633855"/>
        <c:crosses val="autoZero"/>
        <c:crossBetween val="between"/>
        <c:majorUnit val="400000"/>
      </c:valAx>
      <c:catAx>
        <c:axId val="891633855"/>
        <c:scaling>
          <c:orientation val="maxMin"/>
        </c:scaling>
        <c:delete val="0"/>
        <c:axPos val="l"/>
        <c:numFmt formatCode="General" sourceLinked="1"/>
        <c:majorTickMark val="out"/>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41320491579663"/>
          <c:y val="0.13893333333333333"/>
          <c:w val="0.63847227349341062"/>
          <c:h val="0.78091002624671901"/>
        </c:manualLayout>
      </c:layout>
      <c:barChart>
        <c:barDir val="bar"/>
        <c:grouping val="clustered"/>
        <c:varyColors val="0"/>
        <c:ser>
          <c:idx val="0"/>
          <c:order val="0"/>
          <c:tx>
            <c:strRef>
              <c:f>q13_q14_q20_q21_q28_q29_Fig!$Q$107</c:f>
              <c:strCache>
                <c:ptCount val="1"/>
                <c:pt idx="0">
                  <c:v>Base </c:v>
                </c:pt>
              </c:strCache>
            </c:strRef>
          </c:tx>
          <c:spPr>
            <a:solidFill>
              <a:srgbClr val="4F81BD"/>
            </a:solidFill>
            <a:ln w="19050">
              <a:solidFill>
                <a:schemeClr val="lt1"/>
              </a:solidFill>
            </a:ln>
            <a:effectLst/>
          </c:spPr>
          <c:invertIfNegative val="0"/>
          <c:dPt>
            <c:idx val="0"/>
            <c:invertIfNegative val="0"/>
            <c:bubble3D val="0"/>
            <c:explosion val="2"/>
            <c:extLst>
              <c:ext xmlns:c16="http://schemas.microsoft.com/office/drawing/2014/chart" uri="{C3380CC4-5D6E-409C-BE32-E72D297353CC}">
                <c16:uniqueId val="{00000001-1E21-4D54-A834-8915201A1FDB}"/>
              </c:ext>
            </c:extLst>
          </c:dPt>
          <c:dPt>
            <c:idx val="1"/>
            <c:invertIfNegative val="0"/>
            <c:bubble3D val="0"/>
            <c:extLst>
              <c:ext xmlns:c16="http://schemas.microsoft.com/office/drawing/2014/chart" uri="{C3380CC4-5D6E-409C-BE32-E72D297353CC}">
                <c16:uniqueId val="{00000003-1E21-4D54-A834-8915201A1FDB}"/>
              </c:ext>
            </c:extLst>
          </c:dPt>
          <c:dPt>
            <c:idx val="2"/>
            <c:invertIfNegative val="0"/>
            <c:bubble3D val="0"/>
            <c:extLst>
              <c:ext xmlns:c16="http://schemas.microsoft.com/office/drawing/2014/chart" uri="{C3380CC4-5D6E-409C-BE32-E72D297353CC}">
                <c16:uniqueId val="{00000005-1E21-4D54-A834-8915201A1FDB}"/>
              </c:ext>
            </c:extLst>
          </c:dPt>
          <c:dPt>
            <c:idx val="3"/>
            <c:invertIfNegative val="0"/>
            <c:bubble3D val="0"/>
            <c:extLst>
              <c:ext xmlns:c16="http://schemas.microsoft.com/office/drawing/2014/chart" uri="{C3380CC4-5D6E-409C-BE32-E72D297353CC}">
                <c16:uniqueId val="{00000007-1E21-4D54-A834-8915201A1FDB}"/>
              </c:ext>
            </c:extLst>
          </c:dPt>
          <c:dPt>
            <c:idx val="4"/>
            <c:invertIfNegative val="0"/>
            <c:bubble3D val="0"/>
            <c:extLst>
              <c:ext xmlns:c16="http://schemas.microsoft.com/office/drawing/2014/chart" uri="{C3380CC4-5D6E-409C-BE32-E72D297353CC}">
                <c16:uniqueId val="{00000009-1E21-4D54-A834-8915201A1FDB}"/>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q13_q14_q20_q21_q28_q29_Fig!$R$106:$Y$106</c15:sqref>
                  </c15:fullRef>
                </c:ext>
              </c:extLst>
              <c:f>q13_q14_q20_q21_q28_q29_Fig!$S$106:$Y$106</c:f>
              <c:strCache>
                <c:ptCount val="7"/>
                <c:pt idx="0">
                  <c:v>&lt; 18 anos</c:v>
                </c:pt>
                <c:pt idx="1">
                  <c:v>18 - 24 anos</c:v>
                </c:pt>
                <c:pt idx="2">
                  <c:v>25 - 34 anos</c:v>
                </c:pt>
                <c:pt idx="3">
                  <c:v>35 - 44 anos</c:v>
                </c:pt>
                <c:pt idx="4">
                  <c:v>45 - 54 anos</c:v>
                </c:pt>
                <c:pt idx="5">
                  <c:v>55 - 64 anos</c:v>
                </c:pt>
                <c:pt idx="6">
                  <c:v>65 e + anos</c:v>
                </c:pt>
              </c:strCache>
            </c:strRef>
          </c:cat>
          <c:val>
            <c:numRef>
              <c:extLst>
                <c:ext xmlns:c15="http://schemas.microsoft.com/office/drawing/2012/chart" uri="{02D57815-91ED-43cb-92C2-25804820EDAC}">
                  <c15:fullRef>
                    <c15:sqref>q13_q14_q20_q21_q28_q29_Fig!$R$107:$Y$107</c15:sqref>
                  </c15:fullRef>
                </c:ext>
              </c:extLst>
              <c:f>q13_q14_q20_q21_q28_q29_Fig!$S$107:$Y$107</c:f>
              <c:numCache>
                <c:formatCode>#,##0.00\ "€"</c:formatCode>
                <c:ptCount val="7"/>
                <c:pt idx="0">
                  <c:v>1066.29938992042</c:v>
                </c:pt>
                <c:pt idx="1">
                  <c:v>857.94673854563302</c:v>
                </c:pt>
                <c:pt idx="2">
                  <c:v>1067.397850299739</c:v>
                </c:pt>
                <c:pt idx="3">
                  <c:v>1189.0093438068691</c:v>
                </c:pt>
                <c:pt idx="4">
                  <c:v>1224.3053251589229</c:v>
                </c:pt>
                <c:pt idx="5">
                  <c:v>1154.6344411736627</c:v>
                </c:pt>
                <c:pt idx="6">
                  <c:v>1297.99535680387</c:v>
                </c:pt>
              </c:numCache>
            </c:numRef>
          </c:val>
          <c:extLst>
            <c:ext xmlns:c16="http://schemas.microsoft.com/office/drawing/2014/chart" uri="{C3380CC4-5D6E-409C-BE32-E72D297353CC}">
              <c16:uniqueId val="{0000000A-1E21-4D54-A834-8915201A1FDB}"/>
            </c:ext>
          </c:extLst>
        </c:ser>
        <c:ser>
          <c:idx val="1"/>
          <c:order val="1"/>
          <c:tx>
            <c:strRef>
              <c:f>q13_q14_q20_q21_q28_q29_Fig!$Q$108</c:f>
              <c:strCache>
                <c:ptCount val="1"/>
                <c:pt idx="0">
                  <c:v>Ganho</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q13_q14_q20_q21_q28_q29_Fig!$R$106:$Y$106</c15:sqref>
                  </c15:fullRef>
                </c:ext>
              </c:extLst>
              <c:f>q13_q14_q20_q21_q28_q29_Fig!$S$106:$Y$106</c:f>
              <c:strCache>
                <c:ptCount val="7"/>
                <c:pt idx="0">
                  <c:v>&lt; 18 anos</c:v>
                </c:pt>
                <c:pt idx="1">
                  <c:v>18 - 24 anos</c:v>
                </c:pt>
                <c:pt idx="2">
                  <c:v>25 - 34 anos</c:v>
                </c:pt>
                <c:pt idx="3">
                  <c:v>35 - 44 anos</c:v>
                </c:pt>
                <c:pt idx="4">
                  <c:v>45 - 54 anos</c:v>
                </c:pt>
                <c:pt idx="5">
                  <c:v>55 - 64 anos</c:v>
                </c:pt>
                <c:pt idx="6">
                  <c:v>65 e + anos</c:v>
                </c:pt>
              </c:strCache>
            </c:strRef>
          </c:cat>
          <c:val>
            <c:numRef>
              <c:extLst>
                <c:ext xmlns:c15="http://schemas.microsoft.com/office/drawing/2012/chart" uri="{02D57815-91ED-43cb-92C2-25804820EDAC}">
                  <c15:fullRef>
                    <c15:sqref>q13_q14_q20_q21_q28_q29_Fig!$R$108:$Y$108</c15:sqref>
                  </c15:fullRef>
                </c:ext>
              </c:extLst>
              <c:f>q13_q14_q20_q21_q28_q29_Fig!$S$108:$Y$108</c:f>
              <c:numCache>
                <c:formatCode>#,##0.00\ "€"</c:formatCode>
                <c:ptCount val="7"/>
                <c:pt idx="0">
                  <c:v>1142.1032360742699</c:v>
                </c:pt>
                <c:pt idx="1">
                  <c:v>1015.84021545265</c:v>
                </c:pt>
                <c:pt idx="2">
                  <c:v>1264.5021188910073</c:v>
                </c:pt>
                <c:pt idx="3">
                  <c:v>1420.7261792184404</c:v>
                </c:pt>
                <c:pt idx="4">
                  <c:v>1480.6143985778126</c:v>
                </c:pt>
                <c:pt idx="5">
                  <c:v>1387.7535657036681</c:v>
                </c:pt>
                <c:pt idx="6">
                  <c:v>1488.53987488135</c:v>
                </c:pt>
              </c:numCache>
            </c:numRef>
          </c:val>
          <c:extLst>
            <c:ext xmlns:c15="http://schemas.microsoft.com/office/drawing/2012/chart" uri="{02D57815-91ED-43cb-92C2-25804820EDAC}">
              <c15:categoryFilterExceptions>
                <c15:categoryFilterException>
                  <c15:sqref>q13_q14_q20_q21_q28_q29_Fig!$R$108</c15:sqref>
                  <c15:spPr xmlns:c15="http://schemas.microsoft.com/office/drawing/2012/chart">
                    <a:solidFill>
                      <a:sysClr val="window" lastClr="FFFFFF">
                        <a:lumMod val="85000"/>
                      </a:sysClr>
                    </a:solidFill>
                    <a:ln w="19050">
                      <a:solidFill>
                        <a:schemeClr val="lt1"/>
                      </a:solidFill>
                    </a:ln>
                    <a:effectLst/>
                  </c15:spPr>
                  <c15:invertIfNegative val="0"/>
                  <c15:bubble3D val="0"/>
                  <c15:dLbl>
                    <c:idx val="-1"/>
                    <c:dLblPos val="inEnd"/>
                    <c:showLegendKey val="0"/>
                    <c:showVal val="1"/>
                    <c:showCatName val="0"/>
                    <c:showSerName val="1"/>
                    <c:showPercent val="0"/>
                    <c:showBubbleSize val="0"/>
                    <c:separator> </c:separator>
                    <c:extLst>
                      <c:ext uri="{CE6537A1-D6FC-4f65-9D91-7224C49458BB}"/>
                      <c:ext xmlns:c16="http://schemas.microsoft.com/office/drawing/2014/chart" uri="{C3380CC4-5D6E-409C-BE32-E72D297353CC}">
                        <c16:uniqueId val="{00000006-6D62-441A-A091-26A9E207CFED}"/>
                      </c:ext>
                    </c:extLst>
                  </c15:dLbl>
                </c15:categoryFilterException>
              </c15:categoryFilterExceptions>
            </c:ext>
            <c:ext xmlns:c16="http://schemas.microsoft.com/office/drawing/2014/chart" uri="{C3380CC4-5D6E-409C-BE32-E72D297353CC}">
              <c16:uniqueId val="{0000000B-1E21-4D54-A834-8915201A1FDB}"/>
            </c:ext>
          </c:extLst>
        </c:ser>
        <c:dLbls>
          <c:showLegendKey val="0"/>
          <c:showVal val="0"/>
          <c:showCatName val="0"/>
          <c:showSerName val="0"/>
          <c:showPercent val="0"/>
          <c:showBubbleSize val="0"/>
        </c:dLbls>
        <c:gapWidth val="42"/>
        <c:axId val="891633855"/>
        <c:axId val="1319480015"/>
      </c:barChart>
      <c:valAx>
        <c:axId val="1319480015"/>
        <c:scaling>
          <c:orientation val="minMax"/>
          <c:max val="2000"/>
          <c:min val="0"/>
        </c:scaling>
        <c:delete val="1"/>
        <c:axPos val="t"/>
        <c:numFmt formatCode="#,##0.00\ &quot;€&quot;" sourceLinked="1"/>
        <c:majorTickMark val="out"/>
        <c:minorTickMark val="none"/>
        <c:tickLblPos val="nextTo"/>
        <c:crossAx val="891633855"/>
        <c:crosses val="autoZero"/>
        <c:crossBetween val="between"/>
        <c:majorUnit val="200"/>
      </c:valAx>
      <c:catAx>
        <c:axId val="891633855"/>
        <c:scaling>
          <c:orientation val="maxMin"/>
        </c:scaling>
        <c:delete val="0"/>
        <c:axPos val="l"/>
        <c:numFmt formatCode="General" sourceLinked="1"/>
        <c:majorTickMark val="out"/>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52993679015136186"/>
          <c:y val="1.7451035760195285E-2"/>
          <c:w val="0.21659713598755717"/>
          <c:h val="9.798516112321462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3205684241132001E-2"/>
          <c:y val="0.22899703122140164"/>
          <c:w val="0.93679431575886796"/>
          <c:h val="0.77100296877859842"/>
        </c:manualLayout>
      </c:layout>
      <c:barChart>
        <c:barDir val="bar"/>
        <c:grouping val="clustered"/>
        <c:varyColors val="0"/>
        <c:ser>
          <c:idx val="0"/>
          <c:order val="0"/>
          <c:tx>
            <c:strRef>
              <c:f>q13_q14_q20_q21_q28_q29_Fig!$S$96</c:f>
              <c:strCache>
                <c:ptCount val="1"/>
                <c:pt idx="0">
                  <c:v>Base - H</c:v>
                </c:pt>
              </c:strCache>
            </c:strRef>
          </c:tx>
          <c:spPr>
            <a:solidFill>
              <a:srgbClr val="4F81BD"/>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q13_q14_q20_q21_q28_q29_Fig!$R$97:$R$103</c:f>
              <c:strCache>
                <c:ptCount val="7"/>
                <c:pt idx="0">
                  <c:v>&lt; 18 anos</c:v>
                </c:pt>
                <c:pt idx="1">
                  <c:v>18 - 24 anos</c:v>
                </c:pt>
                <c:pt idx="2">
                  <c:v>25 - 34 anos</c:v>
                </c:pt>
                <c:pt idx="3">
                  <c:v>35 - 44 anos</c:v>
                </c:pt>
                <c:pt idx="4">
                  <c:v>45 - 54 anos</c:v>
                </c:pt>
                <c:pt idx="5">
                  <c:v>55 - 64 anos</c:v>
                </c:pt>
                <c:pt idx="6">
                  <c:v>65 e + anos</c:v>
                </c:pt>
              </c:strCache>
            </c:strRef>
          </c:cat>
          <c:val>
            <c:numRef>
              <c:f>q13_q14_q20_q21_q28_q29_Fig!$S$97:$S$103</c:f>
              <c:numCache>
                <c:formatCode>#,##0.00\ "€"</c:formatCode>
                <c:ptCount val="7"/>
                <c:pt idx="0">
                  <c:v>-1184.3662318840602</c:v>
                </c:pt>
                <c:pt idx="1">
                  <c:v>-881.21667037140912</c:v>
                </c:pt>
                <c:pt idx="2">
                  <c:v>-1107.3182540788919</c:v>
                </c:pt>
                <c:pt idx="3">
                  <c:v>-1261.6998093210527</c:v>
                </c:pt>
                <c:pt idx="4">
                  <c:v>-1326.4486514638406</c:v>
                </c:pt>
                <c:pt idx="5">
                  <c:v>-1263.3900990160193</c:v>
                </c:pt>
                <c:pt idx="6">
                  <c:v>-1419.42393265128</c:v>
                </c:pt>
              </c:numCache>
            </c:numRef>
          </c:val>
          <c:extLst>
            <c:ext xmlns:c16="http://schemas.microsoft.com/office/drawing/2014/chart" uri="{C3380CC4-5D6E-409C-BE32-E72D297353CC}">
              <c16:uniqueId val="{00000000-DBB5-47B0-91B8-680F7AC77F9D}"/>
            </c:ext>
          </c:extLst>
        </c:ser>
        <c:ser>
          <c:idx val="1"/>
          <c:order val="1"/>
          <c:tx>
            <c:strRef>
              <c:f>q13_q14_q20_q21_q28_q29_Fig!$T$96</c:f>
              <c:strCache>
                <c:ptCount val="1"/>
                <c:pt idx="0">
                  <c:v>Ganho - H</c:v>
                </c:pt>
              </c:strCache>
            </c:strRef>
          </c:tx>
          <c:spPr>
            <a:solidFill>
              <a:srgbClr val="FFC000"/>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q13_q14_q20_q21_q28_q29_Fig!$R$97:$R$103</c:f>
              <c:strCache>
                <c:ptCount val="7"/>
                <c:pt idx="0">
                  <c:v>&lt; 18 anos</c:v>
                </c:pt>
                <c:pt idx="1">
                  <c:v>18 - 24 anos</c:v>
                </c:pt>
                <c:pt idx="2">
                  <c:v>25 - 34 anos</c:v>
                </c:pt>
                <c:pt idx="3">
                  <c:v>35 - 44 anos</c:v>
                </c:pt>
                <c:pt idx="4">
                  <c:v>45 - 54 anos</c:v>
                </c:pt>
                <c:pt idx="5">
                  <c:v>55 - 64 anos</c:v>
                </c:pt>
                <c:pt idx="6">
                  <c:v>65 e + anos</c:v>
                </c:pt>
              </c:strCache>
            </c:strRef>
          </c:cat>
          <c:val>
            <c:numRef>
              <c:f>q13_q14_q20_q21_q28_q29_Fig!$T$97:$T$103</c:f>
              <c:numCache>
                <c:formatCode>#,##0.00\ "€"</c:formatCode>
                <c:ptCount val="7"/>
                <c:pt idx="0">
                  <c:v>-1255.1913043478301</c:v>
                </c:pt>
                <c:pt idx="1">
                  <c:v>-1047.1973240606901</c:v>
                </c:pt>
                <c:pt idx="2">
                  <c:v>-1322.1748604011782</c:v>
                </c:pt>
                <c:pt idx="3">
                  <c:v>-1529.7378727606485</c:v>
                </c:pt>
                <c:pt idx="4">
                  <c:v>-1630.4902569051619</c:v>
                </c:pt>
                <c:pt idx="5">
                  <c:v>-1547.5622975632375</c:v>
                </c:pt>
                <c:pt idx="6">
                  <c:v>-1636.3038519062302</c:v>
                </c:pt>
              </c:numCache>
            </c:numRef>
          </c:val>
          <c:extLst>
            <c:ext xmlns:c16="http://schemas.microsoft.com/office/drawing/2014/chart" uri="{C3380CC4-5D6E-409C-BE32-E72D297353CC}">
              <c16:uniqueId val="{00000001-DBB5-47B0-91B8-680F7AC77F9D}"/>
            </c:ext>
          </c:extLst>
        </c:ser>
        <c:dLbls>
          <c:showLegendKey val="0"/>
          <c:showVal val="0"/>
          <c:showCatName val="0"/>
          <c:showSerName val="0"/>
          <c:showPercent val="0"/>
          <c:showBubbleSize val="0"/>
        </c:dLbls>
        <c:gapWidth val="42"/>
        <c:axId val="1450378176"/>
        <c:axId val="1375020736"/>
      </c:barChart>
      <c:barChart>
        <c:barDir val="bar"/>
        <c:grouping val="clustered"/>
        <c:varyColors val="0"/>
        <c:ser>
          <c:idx val="2"/>
          <c:order val="2"/>
          <c:tx>
            <c:strRef>
              <c:f>q13_q14_q20_q21_q28_q29_Fig!$U$96</c:f>
              <c:strCache>
                <c:ptCount val="1"/>
                <c:pt idx="0">
                  <c:v>Base - M</c:v>
                </c:pt>
              </c:strCache>
            </c:strRef>
          </c:tx>
          <c:spPr>
            <a:solidFill>
              <a:srgbClr val="95B3D7"/>
            </a:solidFill>
          </c:spPr>
          <c:invertIfNegative val="0"/>
          <c:dLbls>
            <c:spPr>
              <a:noFill/>
              <a:ln>
                <a:noFill/>
              </a:ln>
              <a:effectLst/>
            </c:spPr>
            <c:txPr>
              <a:bodyPr wrap="none" lIns="38100" tIns="19050" rIns="38100" bIns="19050" anchor="ctr">
                <a:spAutoFit/>
              </a:bodyPr>
              <a:lstStyle/>
              <a:p>
                <a:pPr>
                  <a:defRPr sz="700" b="0"/>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q13_q14_q20_q21_q28_q29_Fig!$R$97:$R$103</c:f>
              <c:strCache>
                <c:ptCount val="7"/>
                <c:pt idx="0">
                  <c:v>&lt; 18 anos</c:v>
                </c:pt>
                <c:pt idx="1">
                  <c:v>18 - 24 anos</c:v>
                </c:pt>
                <c:pt idx="2">
                  <c:v>25 - 34 anos</c:v>
                </c:pt>
                <c:pt idx="3">
                  <c:v>35 - 44 anos</c:v>
                </c:pt>
                <c:pt idx="4">
                  <c:v>45 - 54 anos</c:v>
                </c:pt>
                <c:pt idx="5">
                  <c:v>55 - 64 anos</c:v>
                </c:pt>
                <c:pt idx="6">
                  <c:v>65 e + anos</c:v>
                </c:pt>
              </c:strCache>
            </c:strRef>
          </c:cat>
          <c:val>
            <c:numRef>
              <c:f>q13_q14_q20_q21_q28_q29_Fig!$U$97:$U$103</c:f>
              <c:numCache>
                <c:formatCode>#,##0.00\ "€"</c:formatCode>
                <c:ptCount val="7"/>
                <c:pt idx="0">
                  <c:v>743.66128712871307</c:v>
                </c:pt>
                <c:pt idx="1">
                  <c:v>827.20346505859197</c:v>
                </c:pt>
                <c:pt idx="2">
                  <c:v>1018.4876613687603</c:v>
                </c:pt>
                <c:pt idx="3">
                  <c:v>1104.2718933596959</c:v>
                </c:pt>
                <c:pt idx="4">
                  <c:v>1107.7790906187129</c:v>
                </c:pt>
                <c:pt idx="5">
                  <c:v>1015.1738983834637</c:v>
                </c:pt>
                <c:pt idx="6">
                  <c:v>1093.9260686198902</c:v>
                </c:pt>
              </c:numCache>
            </c:numRef>
          </c:val>
          <c:extLst>
            <c:ext xmlns:c16="http://schemas.microsoft.com/office/drawing/2014/chart" uri="{C3380CC4-5D6E-409C-BE32-E72D297353CC}">
              <c16:uniqueId val="{00000002-DBB5-47B0-91B8-680F7AC77F9D}"/>
            </c:ext>
          </c:extLst>
        </c:ser>
        <c:ser>
          <c:idx val="3"/>
          <c:order val="3"/>
          <c:tx>
            <c:strRef>
              <c:f>q13_q14_q20_q21_q28_q29_Fig!$V$96</c:f>
              <c:strCache>
                <c:ptCount val="1"/>
                <c:pt idx="0">
                  <c:v>Ganho - M</c:v>
                </c:pt>
              </c:strCache>
            </c:strRef>
          </c:tx>
          <c:spPr>
            <a:solidFill>
              <a:srgbClr val="FFEF57"/>
            </a:solidFill>
          </c:spPr>
          <c:invertIfNegative val="0"/>
          <c:dLbls>
            <c:spPr>
              <a:noFill/>
              <a:ln>
                <a:noFill/>
              </a:ln>
              <a:effectLst/>
            </c:spPr>
            <c:txPr>
              <a:bodyPr wrap="none" lIns="38100" tIns="19050" rIns="38100" bIns="19050" anchor="ctr">
                <a:sp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q13_q14_q20_q21_q28_q29_Fig!$R$97:$R$103</c:f>
              <c:strCache>
                <c:ptCount val="7"/>
                <c:pt idx="0">
                  <c:v>&lt; 18 anos</c:v>
                </c:pt>
                <c:pt idx="1">
                  <c:v>18 - 24 anos</c:v>
                </c:pt>
                <c:pt idx="2">
                  <c:v>25 - 34 anos</c:v>
                </c:pt>
                <c:pt idx="3">
                  <c:v>35 - 44 anos</c:v>
                </c:pt>
                <c:pt idx="4">
                  <c:v>45 - 54 anos</c:v>
                </c:pt>
                <c:pt idx="5">
                  <c:v>55 - 64 anos</c:v>
                </c:pt>
                <c:pt idx="6">
                  <c:v>65 e + anos</c:v>
                </c:pt>
              </c:strCache>
            </c:strRef>
          </c:cat>
          <c:val>
            <c:numRef>
              <c:f>q13_q14_q20_q21_q28_q29_Fig!$V$97:$V$103</c:f>
              <c:numCache>
                <c:formatCode>#,##0.00\ "€"</c:formatCode>
                <c:ptCount val="7"/>
                <c:pt idx="0">
                  <c:v>833.0704950495051</c:v>
                </c:pt>
                <c:pt idx="1">
                  <c:v>974.41249779032307</c:v>
                </c:pt>
                <c:pt idx="2">
                  <c:v>1193.84189463488</c:v>
                </c:pt>
                <c:pt idx="3">
                  <c:v>1293.6479865785413</c:v>
                </c:pt>
                <c:pt idx="4">
                  <c:v>1309.6343644321175</c:v>
                </c:pt>
                <c:pt idx="5">
                  <c:v>1182.826181419405</c:v>
                </c:pt>
                <c:pt idx="6">
                  <c:v>1240.21208712413</c:v>
                </c:pt>
              </c:numCache>
            </c:numRef>
          </c:val>
          <c:extLst>
            <c:ext xmlns:c16="http://schemas.microsoft.com/office/drawing/2014/chart" uri="{C3380CC4-5D6E-409C-BE32-E72D297353CC}">
              <c16:uniqueId val="{00000003-DBB5-47B0-91B8-680F7AC77F9D}"/>
            </c:ext>
          </c:extLst>
        </c:ser>
        <c:dLbls>
          <c:showLegendKey val="0"/>
          <c:showVal val="0"/>
          <c:showCatName val="0"/>
          <c:showSerName val="0"/>
          <c:showPercent val="0"/>
          <c:showBubbleSize val="0"/>
        </c:dLbls>
        <c:gapWidth val="42"/>
        <c:axId val="1450370176"/>
        <c:axId val="1375018240"/>
      </c:barChart>
      <c:valAx>
        <c:axId val="1375020736"/>
        <c:scaling>
          <c:orientation val="minMax"/>
        </c:scaling>
        <c:delete val="1"/>
        <c:axPos val="b"/>
        <c:numFmt formatCode="#,##0.00\ &quot;€&quot;" sourceLinked="1"/>
        <c:majorTickMark val="out"/>
        <c:minorTickMark val="none"/>
        <c:tickLblPos val="nextTo"/>
        <c:crossAx val="1450378176"/>
        <c:crosses val="max"/>
        <c:crossBetween val="between"/>
      </c:valAx>
      <c:catAx>
        <c:axId val="1450378176"/>
        <c:scaling>
          <c:orientation val="maxMin"/>
        </c:scaling>
        <c:delete val="1"/>
        <c:axPos val="l"/>
        <c:numFmt formatCode="General" sourceLinked="1"/>
        <c:majorTickMark val="out"/>
        <c:minorTickMark val="none"/>
        <c:tickLblPos val="nextTo"/>
        <c:crossAx val="1375020736"/>
        <c:crosses val="autoZero"/>
        <c:auto val="1"/>
        <c:lblAlgn val="ctr"/>
        <c:lblOffset val="100"/>
        <c:noMultiLvlLbl val="0"/>
      </c:catAx>
      <c:valAx>
        <c:axId val="1375018240"/>
        <c:scaling>
          <c:orientation val="minMax"/>
        </c:scaling>
        <c:delete val="1"/>
        <c:axPos val="t"/>
        <c:numFmt formatCode="#,##0.00\ &quot;€&quot;" sourceLinked="1"/>
        <c:majorTickMark val="out"/>
        <c:minorTickMark val="none"/>
        <c:tickLblPos val="nextTo"/>
        <c:crossAx val="1450370176"/>
        <c:crosses val="autoZero"/>
        <c:crossBetween val="between"/>
      </c:valAx>
      <c:catAx>
        <c:axId val="1450370176"/>
        <c:scaling>
          <c:orientation val="maxMin"/>
        </c:scaling>
        <c:delete val="1"/>
        <c:axPos val="r"/>
        <c:numFmt formatCode="General" sourceLinked="1"/>
        <c:majorTickMark val="out"/>
        <c:minorTickMark val="none"/>
        <c:tickLblPos val="nextTo"/>
        <c:crossAx val="1375018240"/>
        <c:crosses val="max"/>
        <c:auto val="1"/>
        <c:lblAlgn val="ctr"/>
        <c:lblOffset val="100"/>
        <c:noMultiLvlLbl val="0"/>
      </c:catAx>
      <c:spPr>
        <a:noFill/>
        <a:ln>
          <a:noFill/>
        </a:ln>
        <a:effectLst/>
      </c:spPr>
    </c:plotArea>
    <c:legend>
      <c:legendPos val="t"/>
      <c:layout>
        <c:manualLayout>
          <c:xMode val="edge"/>
          <c:yMode val="edge"/>
          <c:x val="0.10183330070804396"/>
          <c:y val="2.6527633955922166E-2"/>
          <c:w val="0.8636341084320287"/>
          <c:h val="5.2745989459947698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q7_q8_q10_q11_Fig!$AS$4</c:f>
              <c:strCache>
                <c:ptCount val="1"/>
                <c:pt idx="0">
                  <c:v>Pessoas ao serviço</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1.6800081692632286E-2"/>
                  <c:y val="-6.8592148410570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A5-45B2-B37E-1C5EAD54CE62}"/>
                </c:ext>
              </c:extLst>
            </c:dLbl>
            <c:dLbl>
              <c:idx val="10"/>
              <c:layout>
                <c:manualLayout>
                  <c:x val="5.5720542022900242E-2"/>
                  <c:y val="-8.0425915383071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A5-45B2-B37E-1C5EAD54CE6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q7_q8_q10_q11_Fig!$AT$3:$BD$3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q7_q8_q10_q11_Fig!$AT$4:$BD$4</c:f>
              <c:numCache>
                <c:formatCode>#\ ###\ ##0</c:formatCode>
                <c:ptCount val="11"/>
                <c:pt idx="0">
                  <c:v>2559732</c:v>
                </c:pt>
                <c:pt idx="1">
                  <c:v>2555676</c:v>
                </c:pt>
                <c:pt idx="2">
                  <c:v>2636881</c:v>
                </c:pt>
                <c:pt idx="3">
                  <c:v>2716011</c:v>
                </c:pt>
                <c:pt idx="4">
                  <c:v>2819978</c:v>
                </c:pt>
                <c:pt idx="5">
                  <c:v>2946903</c:v>
                </c:pt>
                <c:pt idx="6">
                  <c:v>3060489</c:v>
                </c:pt>
                <c:pt idx="7">
                  <c:v>3110949</c:v>
                </c:pt>
                <c:pt idx="8">
                  <c:v>3085566</c:v>
                </c:pt>
                <c:pt idx="9">
                  <c:v>3102345</c:v>
                </c:pt>
                <c:pt idx="10">
                  <c:v>3337082</c:v>
                </c:pt>
              </c:numCache>
            </c:numRef>
          </c:val>
          <c:extLst>
            <c:ext xmlns:c16="http://schemas.microsoft.com/office/drawing/2014/chart" uri="{C3380CC4-5D6E-409C-BE32-E72D297353CC}">
              <c16:uniqueId val="{00000002-9DA5-45B2-B37E-1C5EAD54CE62}"/>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q7_q8_q10_q11_Fig!$AS$5</c:f>
              <c:strCache>
                <c:ptCount val="1"/>
                <c:pt idx="0">
                  <c:v>TCO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circle"/>
              <c:size val="6"/>
              <c:spPr>
                <a:solidFill>
                  <a:srgbClr val="FFC000"/>
                </a:solidFill>
                <a:ln w="12700">
                  <a:no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3-9DA5-45B2-B37E-1C5EAD54CE62}"/>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4-9DA5-45B2-B37E-1C5EAD54CE62}"/>
              </c:ext>
            </c:extLst>
          </c:dPt>
          <c:dLbls>
            <c:dLbl>
              <c:idx val="0"/>
              <c:layout>
                <c:manualLayout>
                  <c:x val="-1.1326105759411943E-2"/>
                  <c:y val="-6.2404507545791084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FFC000"/>
                      </a:solidFill>
                      <a:latin typeface="+mn-lt"/>
                      <a:ea typeface="+mn-ea"/>
                      <a:cs typeface="+mn-cs"/>
                    </a:defRPr>
                  </a:pPr>
                  <a:endParaRPr lang="pt-PT"/>
                </a:p>
              </c:txPr>
              <c:showLegendKey val="0"/>
              <c:showVal val="1"/>
              <c:showCatName val="0"/>
              <c:showSerName val="0"/>
              <c:showPercent val="0"/>
              <c:showBubbleSize val="0"/>
              <c:extLst>
                <c:ext xmlns:c15="http://schemas.microsoft.com/office/drawing/2012/chart" uri="{CE6537A1-D6FC-4f65-9D91-7224C49458BB}">
                  <c15:layout>
                    <c:manualLayout>
                      <c:w val="0.15235967373628478"/>
                      <c:h val="5.2349626592401534E-2"/>
                    </c:manualLayout>
                  </c15:layout>
                </c:ext>
                <c:ext xmlns:c16="http://schemas.microsoft.com/office/drawing/2014/chart" uri="{C3380CC4-5D6E-409C-BE32-E72D297353CC}">
                  <c16:uniqueId val="{00000003-9DA5-45B2-B37E-1C5EAD54CE62}"/>
                </c:ext>
              </c:extLst>
            </c:dLbl>
            <c:dLbl>
              <c:idx val="10"/>
              <c:layout>
                <c:manualLayout>
                  <c:x val="1.318458355744118E-2"/>
                  <c:y val="-1.0969271600849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A5-45B2-B37E-1C5EAD54CE6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q7_q8_q10_q11_Fig!$AT$3:$BD$3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q7_q8_q10_q11_Fig!$AT$5:$BD$5</c:f>
              <c:numCache>
                <c:formatCode>#\ ###\ ##0</c:formatCode>
                <c:ptCount val="11"/>
                <c:pt idx="0">
                  <c:v>2387386</c:v>
                </c:pt>
                <c:pt idx="1">
                  <c:v>2384121</c:v>
                </c:pt>
                <c:pt idx="2">
                  <c:v>2458163</c:v>
                </c:pt>
                <c:pt idx="3">
                  <c:v>2537653</c:v>
                </c:pt>
                <c:pt idx="4">
                  <c:v>2641919</c:v>
                </c:pt>
                <c:pt idx="5">
                  <c:v>2767521</c:v>
                </c:pt>
                <c:pt idx="6">
                  <c:v>2877918</c:v>
                </c:pt>
                <c:pt idx="7">
                  <c:v>2930482</c:v>
                </c:pt>
                <c:pt idx="8">
                  <c:v>2902825</c:v>
                </c:pt>
                <c:pt idx="9">
                  <c:v>2922343</c:v>
                </c:pt>
                <c:pt idx="10">
                  <c:v>3148147</c:v>
                </c:pt>
              </c:numCache>
            </c:numRef>
          </c:val>
          <c:smooth val="0"/>
          <c:extLst>
            <c:ext xmlns:c16="http://schemas.microsoft.com/office/drawing/2014/chart" uri="{C3380CC4-5D6E-409C-BE32-E72D297353CC}">
              <c16:uniqueId val="{00000006-9DA5-45B2-B37E-1C5EAD54CE62}"/>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3600000"/>
          <c:min val="0"/>
        </c:scaling>
        <c:delete val="0"/>
        <c:axPos val="l"/>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majorUnit val="400000"/>
      </c:valAx>
      <c:spPr>
        <a:noFill/>
        <a:ln>
          <a:noFill/>
        </a:ln>
        <a:effectLst/>
      </c:spPr>
    </c:plotArea>
    <c:legend>
      <c:legendPos val="b"/>
      <c:layout>
        <c:manualLayout>
          <c:xMode val="edge"/>
          <c:yMode val="edge"/>
          <c:x val="1.3975067550970277E-2"/>
          <c:y val="0.87446938131313134"/>
          <c:w val="0.56198825022516985"/>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0.13893333333333333"/>
          <c:w val="0.564163817970042"/>
          <c:h val="0.78091002624671901"/>
        </c:manualLayout>
      </c:layout>
      <c:barChart>
        <c:barDir val="bar"/>
        <c:grouping val="clustered"/>
        <c:varyColors val="0"/>
        <c:ser>
          <c:idx val="0"/>
          <c:order val="0"/>
          <c:tx>
            <c:strRef>
              <c:f>q13_q14_q20_q21_q28_q29_Fig!$Q$132</c:f>
              <c:strCache>
                <c:ptCount val="1"/>
                <c:pt idx="0">
                  <c:v>Base </c:v>
                </c:pt>
              </c:strCache>
            </c:strRef>
          </c:tx>
          <c:spPr>
            <a:solidFill>
              <a:srgbClr val="4F81BD"/>
            </a:solidFill>
            <a:ln w="19050">
              <a:solidFill>
                <a:schemeClr val="lt1"/>
              </a:solidFill>
            </a:ln>
            <a:effectLst/>
          </c:spPr>
          <c:invertIfNegative val="0"/>
          <c:dPt>
            <c:idx val="0"/>
            <c:invertIfNegative val="0"/>
            <c:bubble3D val="0"/>
            <c:explosion val="2"/>
            <c:extLst>
              <c:ext xmlns:c16="http://schemas.microsoft.com/office/drawing/2014/chart" uri="{C3380CC4-5D6E-409C-BE32-E72D297353CC}">
                <c16:uniqueId val="{00000001-A278-4770-B043-313FCA3E631C}"/>
              </c:ext>
            </c:extLst>
          </c:dPt>
          <c:dPt>
            <c:idx val="1"/>
            <c:invertIfNegative val="0"/>
            <c:bubble3D val="0"/>
            <c:extLst>
              <c:ext xmlns:c16="http://schemas.microsoft.com/office/drawing/2014/chart" uri="{C3380CC4-5D6E-409C-BE32-E72D297353CC}">
                <c16:uniqueId val="{00000003-A278-4770-B043-313FCA3E631C}"/>
              </c:ext>
            </c:extLst>
          </c:dPt>
          <c:dPt>
            <c:idx val="2"/>
            <c:invertIfNegative val="0"/>
            <c:bubble3D val="0"/>
            <c:extLst>
              <c:ext xmlns:c16="http://schemas.microsoft.com/office/drawing/2014/chart" uri="{C3380CC4-5D6E-409C-BE32-E72D297353CC}">
                <c16:uniqueId val="{00000005-A278-4770-B043-313FCA3E631C}"/>
              </c:ext>
            </c:extLst>
          </c:dPt>
          <c:dPt>
            <c:idx val="3"/>
            <c:invertIfNegative val="0"/>
            <c:bubble3D val="0"/>
            <c:extLst>
              <c:ext xmlns:c16="http://schemas.microsoft.com/office/drawing/2014/chart" uri="{C3380CC4-5D6E-409C-BE32-E72D297353CC}">
                <c16:uniqueId val="{00000007-A278-4770-B043-313FCA3E631C}"/>
              </c:ext>
            </c:extLst>
          </c:dPt>
          <c:dPt>
            <c:idx val="4"/>
            <c:invertIfNegative val="0"/>
            <c:bubble3D val="0"/>
            <c:extLst>
              <c:ext xmlns:c16="http://schemas.microsoft.com/office/drawing/2014/chart" uri="{C3380CC4-5D6E-409C-BE32-E72D297353CC}">
                <c16:uniqueId val="{00000009-A278-4770-B043-313FCA3E631C}"/>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q13_q14_q20_q21_q28_q29_Fig!$R$131:$Z$131</c15:sqref>
                  </c15:fullRef>
                </c:ext>
              </c:extLst>
              <c:f>q13_q14_q20_q21_q28_q29_Fig!$S$131:$Z$131</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extLst>
                <c:ext xmlns:c15="http://schemas.microsoft.com/office/drawing/2012/chart" uri="{02D57815-91ED-43cb-92C2-25804820EDAC}">
                  <c15:fullRef>
                    <c15:sqref>q13_q14_q20_q21_q28_q29_Fig!$R$132:$Z$132</c15:sqref>
                  </c15:fullRef>
                </c:ext>
              </c:extLst>
              <c:f>q13_q14_q20_q21_q28_q29_Fig!$S$132:$Z$132</c:f>
              <c:numCache>
                <c:formatCode>#,##0.00\ "€"</c:formatCode>
                <c:ptCount val="8"/>
                <c:pt idx="0">
                  <c:v>2260.2689075153398</c:v>
                </c:pt>
                <c:pt idx="1">
                  <c:v>1620.2626426847301</c:v>
                </c:pt>
                <c:pt idx="2">
                  <c:v>1561.37126441444</c:v>
                </c:pt>
                <c:pt idx="3">
                  <c:v>1245.69055776859</c:v>
                </c:pt>
                <c:pt idx="4">
                  <c:v>914.25632748807504</c:v>
                </c:pt>
                <c:pt idx="5">
                  <c:v>805.43842040386505</c:v>
                </c:pt>
                <c:pt idx="6">
                  <c:v>746.19213529626995</c:v>
                </c:pt>
                <c:pt idx="7">
                  <c:v>764.33553617723305</c:v>
                </c:pt>
              </c:numCache>
            </c:numRef>
          </c:val>
          <c:extLst>
            <c:ext xmlns:c16="http://schemas.microsoft.com/office/drawing/2014/chart" uri="{C3380CC4-5D6E-409C-BE32-E72D297353CC}">
              <c16:uniqueId val="{0000000A-A278-4770-B043-313FCA3E631C}"/>
            </c:ext>
          </c:extLst>
        </c:ser>
        <c:ser>
          <c:idx val="1"/>
          <c:order val="1"/>
          <c:tx>
            <c:strRef>
              <c:f>q13_q14_q20_q21_q28_q29_Fig!$Q$133</c:f>
              <c:strCache>
                <c:ptCount val="1"/>
                <c:pt idx="0">
                  <c:v>Ganho</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q13_q14_q20_q21_q28_q29_Fig!$R$131:$Z$131</c15:sqref>
                  </c15:fullRef>
                </c:ext>
              </c:extLst>
              <c:f>q13_q14_q20_q21_q28_q29_Fig!$S$131:$Z$131</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extLst>
                <c:ext xmlns:c15="http://schemas.microsoft.com/office/drawing/2012/chart" uri="{02D57815-91ED-43cb-92C2-25804820EDAC}">
                  <c15:fullRef>
                    <c15:sqref>q13_q14_q20_q21_q28_q29_Fig!$R$133:$Z$133</c15:sqref>
                  </c15:fullRef>
                </c:ext>
              </c:extLst>
              <c:f>q13_q14_q20_q21_q28_q29_Fig!$S$133:$Z$133</c:f>
              <c:numCache>
                <c:formatCode>#,##0.00\ "€"</c:formatCode>
                <c:ptCount val="8"/>
                <c:pt idx="0">
                  <c:v>2625.9199806616007</c:v>
                </c:pt>
                <c:pt idx="1">
                  <c:v>1923.504606041</c:v>
                </c:pt>
                <c:pt idx="2">
                  <c:v>1876.9138819029999</c:v>
                </c:pt>
                <c:pt idx="3">
                  <c:v>1529.1893239357998</c:v>
                </c:pt>
                <c:pt idx="4">
                  <c:v>1110.7545863064802</c:v>
                </c:pt>
                <c:pt idx="5">
                  <c:v>965.03818030272907</c:v>
                </c:pt>
                <c:pt idx="6">
                  <c:v>880.87147883170803</c:v>
                </c:pt>
                <c:pt idx="7">
                  <c:v>902.17660274676996</c:v>
                </c:pt>
              </c:numCache>
            </c:numRef>
          </c:val>
          <c:extLst>
            <c:ext xmlns:c16="http://schemas.microsoft.com/office/drawing/2014/chart" uri="{C3380CC4-5D6E-409C-BE32-E72D297353CC}">
              <c16:uniqueId val="{0000000B-A278-4770-B043-313FCA3E631C}"/>
            </c:ext>
          </c:extLst>
        </c:ser>
        <c:dLbls>
          <c:showLegendKey val="0"/>
          <c:showVal val="0"/>
          <c:showCatName val="0"/>
          <c:showSerName val="0"/>
          <c:showPercent val="0"/>
          <c:showBubbleSize val="0"/>
        </c:dLbls>
        <c:gapWidth val="42"/>
        <c:axId val="891633855"/>
        <c:axId val="1319480015"/>
      </c:barChart>
      <c:valAx>
        <c:axId val="1319480015"/>
        <c:scaling>
          <c:orientation val="minMax"/>
          <c:max val="2800"/>
          <c:min val="0"/>
        </c:scaling>
        <c:delete val="1"/>
        <c:axPos val="t"/>
        <c:numFmt formatCode="#,##0.00\ &quot;€&quot;" sourceLinked="1"/>
        <c:majorTickMark val="out"/>
        <c:minorTickMark val="none"/>
        <c:tickLblPos val="nextTo"/>
        <c:crossAx val="891633855"/>
        <c:crosses val="autoZero"/>
        <c:crossBetween val="between"/>
        <c:majorUnit val="200"/>
      </c:valAx>
      <c:catAx>
        <c:axId val="891633855"/>
        <c:scaling>
          <c:orientation val="maxMin"/>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022566875875509"/>
          <c:y val="3.2000000000000001E-2"/>
          <c:w val="0.26686175496572434"/>
          <c:h val="7.711706036745406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67446682230048"/>
          <c:y val="0.22899703122140164"/>
          <c:w val="0.76325533177699523"/>
          <c:h val="0.77100296877859842"/>
        </c:manualLayout>
      </c:layout>
      <c:barChart>
        <c:barDir val="bar"/>
        <c:grouping val="clustered"/>
        <c:varyColors val="0"/>
        <c:ser>
          <c:idx val="0"/>
          <c:order val="0"/>
          <c:tx>
            <c:strRef>
              <c:f>q13_q14_q20_q21_q28_q29_Fig!$R$120</c:f>
              <c:strCache>
                <c:ptCount val="1"/>
                <c:pt idx="0">
                  <c:v>Base - H</c:v>
                </c:pt>
              </c:strCache>
            </c:strRef>
          </c:tx>
          <c:spPr>
            <a:solidFill>
              <a:srgbClr val="4F81BD"/>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q13_q14_q20_q21_q28_q29_Fig!$Q$121:$Q$128</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q13_q14_q20_q21_q28_q29_Fig!$R$121:$R$128</c:f>
              <c:numCache>
                <c:formatCode>#,##0.00\ "€"</c:formatCode>
                <c:ptCount val="8"/>
                <c:pt idx="0">
                  <c:v>-2558.3044295494901</c:v>
                </c:pt>
                <c:pt idx="1">
                  <c:v>-1748.1077816131601</c:v>
                </c:pt>
                <c:pt idx="2">
                  <c:v>-1609.6946180740101</c:v>
                </c:pt>
                <c:pt idx="3">
                  <c:v>-1348.4080862850801</c:v>
                </c:pt>
                <c:pt idx="4">
                  <c:v>-944.16646430287312</c:v>
                </c:pt>
                <c:pt idx="5">
                  <c:v>-851.02952182043202</c:v>
                </c:pt>
                <c:pt idx="6">
                  <c:v>-762.66479251544411</c:v>
                </c:pt>
                <c:pt idx="7">
                  <c:v>-775.21150174921695</c:v>
                </c:pt>
              </c:numCache>
            </c:numRef>
          </c:val>
          <c:extLst>
            <c:ext xmlns:c16="http://schemas.microsoft.com/office/drawing/2014/chart" uri="{C3380CC4-5D6E-409C-BE32-E72D297353CC}">
              <c16:uniqueId val="{00000000-8533-4EB9-AE68-4D1D7A4FDCA0}"/>
            </c:ext>
          </c:extLst>
        </c:ser>
        <c:ser>
          <c:idx val="1"/>
          <c:order val="1"/>
          <c:tx>
            <c:strRef>
              <c:f>q13_q14_q20_q21_q28_q29_Fig!$S$120</c:f>
              <c:strCache>
                <c:ptCount val="1"/>
                <c:pt idx="0">
                  <c:v>Ganho - H</c:v>
                </c:pt>
              </c:strCache>
            </c:strRef>
          </c:tx>
          <c:spPr>
            <a:solidFill>
              <a:srgbClr val="FFC000"/>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none" lIns="38100" tIns="0" rIns="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q13_q14_q20_q21_q28_q29_Fig!$Q$121:$Q$128</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q13_q14_q20_q21_q28_q29_Fig!$S$121:$S$128</c:f>
              <c:numCache>
                <c:formatCode>#,##0.00\ "€"</c:formatCode>
                <c:ptCount val="8"/>
                <c:pt idx="0">
                  <c:v>-2978.0187598152302</c:v>
                </c:pt>
                <c:pt idx="1">
                  <c:v>-2087.2823036474506</c:v>
                </c:pt>
                <c:pt idx="2">
                  <c:v>-1948.9207036131502</c:v>
                </c:pt>
                <c:pt idx="3">
                  <c:v>-1696.3206723046101</c:v>
                </c:pt>
                <c:pt idx="4">
                  <c:v>-1170.18180286346</c:v>
                </c:pt>
                <c:pt idx="5">
                  <c:v>-1039.5046696515599</c:v>
                </c:pt>
                <c:pt idx="6">
                  <c:v>-916.0868846546341</c:v>
                </c:pt>
                <c:pt idx="7">
                  <c:v>-921.182915485178</c:v>
                </c:pt>
              </c:numCache>
            </c:numRef>
          </c:val>
          <c:extLst>
            <c:ext xmlns:c16="http://schemas.microsoft.com/office/drawing/2014/chart" uri="{C3380CC4-5D6E-409C-BE32-E72D297353CC}">
              <c16:uniqueId val="{00000001-8533-4EB9-AE68-4D1D7A4FDCA0}"/>
            </c:ext>
          </c:extLst>
        </c:ser>
        <c:dLbls>
          <c:showLegendKey val="0"/>
          <c:showVal val="0"/>
          <c:showCatName val="0"/>
          <c:showSerName val="0"/>
          <c:showPercent val="0"/>
          <c:showBubbleSize val="0"/>
        </c:dLbls>
        <c:gapWidth val="42"/>
        <c:axId val="1261817855"/>
        <c:axId val="267587263"/>
      </c:barChart>
      <c:barChart>
        <c:barDir val="bar"/>
        <c:grouping val="clustered"/>
        <c:varyColors val="0"/>
        <c:ser>
          <c:idx val="2"/>
          <c:order val="2"/>
          <c:tx>
            <c:strRef>
              <c:f>q13_q14_q20_q21_q28_q29_Fig!$T$120</c:f>
              <c:strCache>
                <c:ptCount val="1"/>
                <c:pt idx="0">
                  <c:v>Base - M</c:v>
                </c:pt>
              </c:strCache>
            </c:strRef>
          </c:tx>
          <c:spPr>
            <a:solidFill>
              <a:srgbClr val="95B3D7"/>
            </a:solidFill>
          </c:spPr>
          <c:invertIfNegative val="0"/>
          <c:dLbls>
            <c:spPr>
              <a:noFill/>
              <a:ln>
                <a:noFill/>
              </a:ln>
              <a:effectLst/>
            </c:spPr>
            <c:txPr>
              <a:bodyPr wrap="none" lIns="38100" tIns="19050" rIns="38100" bIns="19050" anchor="ctr">
                <a:spAutoFit/>
              </a:bodyPr>
              <a:lstStyle/>
              <a:p>
                <a:pPr>
                  <a:defRPr sz="700" b="0">
                    <a:solidFill>
                      <a:sysClr val="windowText" lastClr="000000"/>
                    </a:solidFill>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q13_q14_q20_q21_q28_q29_Fig!$Q$121:$Q$128</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q13_q14_q20_q21_q28_q29_Fig!$T$121:$T$128</c:f>
              <c:numCache>
                <c:formatCode>#,##0.00\ "€"</c:formatCode>
                <c:ptCount val="8"/>
                <c:pt idx="0">
                  <c:v>1914.18888481977</c:v>
                </c:pt>
                <c:pt idx="1">
                  <c:v>1481.45989656335</c:v>
                </c:pt>
                <c:pt idx="2">
                  <c:v>1484.7469861217801</c:v>
                </c:pt>
                <c:pt idx="3">
                  <c:v>1138.7999413300199</c:v>
                </c:pt>
                <c:pt idx="4">
                  <c:v>871.09469414185605</c:v>
                </c:pt>
                <c:pt idx="5">
                  <c:v>766.49872620606197</c:v>
                </c:pt>
                <c:pt idx="6">
                  <c:v>725.84642090172599</c:v>
                </c:pt>
                <c:pt idx="7">
                  <c:v>749.20402449021401</c:v>
                </c:pt>
              </c:numCache>
            </c:numRef>
          </c:val>
          <c:extLst>
            <c:ext xmlns:c16="http://schemas.microsoft.com/office/drawing/2014/chart" uri="{C3380CC4-5D6E-409C-BE32-E72D297353CC}">
              <c16:uniqueId val="{00000002-8533-4EB9-AE68-4D1D7A4FDCA0}"/>
            </c:ext>
          </c:extLst>
        </c:ser>
        <c:ser>
          <c:idx val="3"/>
          <c:order val="3"/>
          <c:tx>
            <c:strRef>
              <c:f>q13_q14_q20_q21_q28_q29_Fig!$U$120</c:f>
              <c:strCache>
                <c:ptCount val="1"/>
                <c:pt idx="0">
                  <c:v>Ganho - M</c:v>
                </c:pt>
              </c:strCache>
            </c:strRef>
          </c:tx>
          <c:spPr>
            <a:solidFill>
              <a:srgbClr val="FFEF57"/>
            </a:solidFill>
          </c:spPr>
          <c:invertIfNegative val="0"/>
          <c:dLbls>
            <c:dLbl>
              <c:idx val="2"/>
              <c:spPr>
                <a:noFill/>
                <a:ln>
                  <a:noFill/>
                </a:ln>
                <a:effectLst/>
              </c:spPr>
              <c:txPr>
                <a:bodyPr wrap="none" lIns="38100" tIns="19050" rIns="38100" bIns="19050" anchor="ctr">
                  <a:no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A664-456D-831B-C4C0C2297200}"/>
                </c:ext>
              </c:extLst>
            </c:dLbl>
            <c:spPr>
              <a:noFill/>
              <a:ln>
                <a:noFill/>
              </a:ln>
              <a:effectLst/>
            </c:spPr>
            <c:txPr>
              <a:bodyPr wrap="none" lIns="38100" tIns="19050" rIns="38100" bIns="19050" anchor="ctr">
                <a:sp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q13_q14_q20_q21_q28_q29_Fig!$Q$121:$Q$128</c:f>
              <c:strCache>
                <c:ptCount val="8"/>
                <c:pt idx="0">
                  <c:v>Quadros superiores</c:v>
                </c:pt>
                <c:pt idx="1">
                  <c:v>Quadros médios</c:v>
                </c:pt>
                <c:pt idx="2">
                  <c:v>Encarregados, contramestres e chefes de equipa</c:v>
                </c:pt>
                <c:pt idx="3">
                  <c:v>Profissionais altamente qualificados</c:v>
                </c:pt>
                <c:pt idx="4">
                  <c:v>Profissionais qualificados</c:v>
                </c:pt>
                <c:pt idx="5">
                  <c:v>Profissionais semi-qualificados</c:v>
                </c:pt>
                <c:pt idx="6">
                  <c:v>Profissionais não qualificados</c:v>
                </c:pt>
                <c:pt idx="7">
                  <c:v>Praticantes e aprendizes</c:v>
                </c:pt>
              </c:strCache>
            </c:strRef>
          </c:cat>
          <c:val>
            <c:numRef>
              <c:f>q13_q14_q20_q21_q28_q29_Fig!$U$121:$U$128</c:f>
              <c:numCache>
                <c:formatCode>#,##0.00\ "€"</c:formatCode>
                <c:ptCount val="8"/>
                <c:pt idx="0">
                  <c:v>2217.0614907443701</c:v>
                </c:pt>
                <c:pt idx="1">
                  <c:v>1745.68952154305</c:v>
                </c:pt>
                <c:pt idx="2">
                  <c:v>1762.7357397037104</c:v>
                </c:pt>
                <c:pt idx="3">
                  <c:v>1355.2679581147402</c:v>
                </c:pt>
                <c:pt idx="4">
                  <c:v>1024.9985181313002</c:v>
                </c:pt>
                <c:pt idx="5">
                  <c:v>901.43580542846007</c:v>
                </c:pt>
                <c:pt idx="6">
                  <c:v>837.37621394346399</c:v>
                </c:pt>
                <c:pt idx="7">
                  <c:v>875.73350292038106</c:v>
                </c:pt>
              </c:numCache>
            </c:numRef>
          </c:val>
          <c:extLst>
            <c:ext xmlns:c16="http://schemas.microsoft.com/office/drawing/2014/chart" uri="{C3380CC4-5D6E-409C-BE32-E72D297353CC}">
              <c16:uniqueId val="{00000003-8533-4EB9-AE68-4D1D7A4FDCA0}"/>
            </c:ext>
          </c:extLst>
        </c:ser>
        <c:dLbls>
          <c:showLegendKey val="0"/>
          <c:showVal val="0"/>
          <c:showCatName val="0"/>
          <c:showSerName val="0"/>
          <c:showPercent val="0"/>
          <c:showBubbleSize val="0"/>
        </c:dLbls>
        <c:gapWidth val="42"/>
        <c:axId val="1450336976"/>
        <c:axId val="465148416"/>
      </c:barChart>
      <c:catAx>
        <c:axId val="1261817855"/>
        <c:scaling>
          <c:orientation val="maxMin"/>
        </c:scaling>
        <c:delete val="0"/>
        <c:axPos val="l"/>
        <c:majorGridlines>
          <c:spPr>
            <a:ln>
              <a:solidFill>
                <a:srgbClr val="D9D9D9"/>
              </a:solidFill>
            </a:ln>
          </c:spPr>
        </c:majorGridlines>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85000"/>
                    <a:lumOff val="15000"/>
                  </a:schemeClr>
                </a:solidFill>
                <a:latin typeface="+mn-lt"/>
                <a:ea typeface="+mn-ea"/>
                <a:cs typeface="+mn-cs"/>
              </a:defRPr>
            </a:pPr>
            <a:endParaRPr lang="pt-PT"/>
          </a:p>
        </c:txPr>
        <c:crossAx val="267587263"/>
        <c:crosses val="autoZero"/>
        <c:auto val="1"/>
        <c:lblAlgn val="ctr"/>
        <c:lblOffset val="100"/>
        <c:noMultiLvlLbl val="0"/>
      </c:catAx>
      <c:valAx>
        <c:axId val="267587263"/>
        <c:scaling>
          <c:orientation val="minMax"/>
        </c:scaling>
        <c:delete val="1"/>
        <c:axPos val="t"/>
        <c:numFmt formatCode="#,##0;#,##0" sourceLinked="0"/>
        <c:majorTickMark val="out"/>
        <c:minorTickMark val="none"/>
        <c:tickLblPos val="nextTo"/>
        <c:crossAx val="1261817855"/>
        <c:crosses val="autoZero"/>
        <c:crossBetween val="between"/>
        <c:majorUnit val="500"/>
      </c:valAx>
      <c:valAx>
        <c:axId val="465148416"/>
        <c:scaling>
          <c:orientation val="minMax"/>
        </c:scaling>
        <c:delete val="1"/>
        <c:axPos val="b"/>
        <c:numFmt formatCode="#,##0.00\ &quot;€&quot;" sourceLinked="1"/>
        <c:majorTickMark val="out"/>
        <c:minorTickMark val="none"/>
        <c:tickLblPos val="nextTo"/>
        <c:crossAx val="1450336976"/>
        <c:crosses val="max"/>
        <c:crossBetween val="between"/>
      </c:valAx>
      <c:catAx>
        <c:axId val="1450336976"/>
        <c:scaling>
          <c:orientation val="maxMin"/>
        </c:scaling>
        <c:delete val="1"/>
        <c:axPos val="r"/>
        <c:numFmt formatCode="General" sourceLinked="1"/>
        <c:majorTickMark val="out"/>
        <c:minorTickMark val="none"/>
        <c:tickLblPos val="nextTo"/>
        <c:crossAx val="465148416"/>
        <c:crosses val="max"/>
        <c:auto val="1"/>
        <c:lblAlgn val="ctr"/>
        <c:lblOffset val="100"/>
        <c:noMultiLvlLbl val="0"/>
      </c:catAx>
      <c:spPr>
        <a:noFill/>
        <a:ln>
          <a:noFill/>
        </a:ln>
        <a:effectLst/>
      </c:spPr>
    </c:plotArea>
    <c:legend>
      <c:legendPos val="t"/>
      <c:layout>
        <c:manualLayout>
          <c:xMode val="edge"/>
          <c:yMode val="edge"/>
          <c:x val="0.18002599047564213"/>
          <c:y val="4.1970662888849528E-2"/>
          <c:w val="0.72325983073291489"/>
          <c:h val="5.4940430513743782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345665328524363E-2"/>
          <c:y val="0.18179050350130707"/>
          <c:w val="0.60632456527300227"/>
          <c:h val="0.70374569616569937"/>
        </c:manualLayout>
      </c:layout>
      <c:barChart>
        <c:barDir val="bar"/>
        <c:grouping val="clustered"/>
        <c:varyColors val="0"/>
        <c:ser>
          <c:idx val="0"/>
          <c:order val="0"/>
          <c:tx>
            <c:strRef>
              <c:f>q13_q14_q20_q21_q28_q29_Fig!$Q$156</c:f>
              <c:strCache>
                <c:ptCount val="1"/>
                <c:pt idx="0">
                  <c:v>Base</c:v>
                </c:pt>
              </c:strCache>
            </c:strRef>
          </c:tx>
          <c:spPr>
            <a:solidFill>
              <a:srgbClr val="4F81BD"/>
            </a:solidFill>
            <a:ln w="19050">
              <a:solidFill>
                <a:schemeClr val="lt1"/>
              </a:solidFill>
            </a:ln>
            <a:effectLst/>
          </c:spPr>
          <c:invertIfNegative val="0"/>
          <c:dPt>
            <c:idx val="0"/>
            <c:invertIfNegative val="0"/>
            <c:bubble3D val="0"/>
            <c:explosion val="2"/>
            <c:extLst>
              <c:ext xmlns:c16="http://schemas.microsoft.com/office/drawing/2014/chart" uri="{C3380CC4-5D6E-409C-BE32-E72D297353CC}">
                <c16:uniqueId val="{00000001-3170-4189-9D14-58F915612A02}"/>
              </c:ext>
            </c:extLst>
          </c:dPt>
          <c:dPt>
            <c:idx val="1"/>
            <c:invertIfNegative val="0"/>
            <c:bubble3D val="0"/>
            <c:extLst>
              <c:ext xmlns:c16="http://schemas.microsoft.com/office/drawing/2014/chart" uri="{C3380CC4-5D6E-409C-BE32-E72D297353CC}">
                <c16:uniqueId val="{00000003-3170-4189-9D14-58F915612A02}"/>
              </c:ext>
            </c:extLst>
          </c:dPt>
          <c:dPt>
            <c:idx val="2"/>
            <c:invertIfNegative val="0"/>
            <c:bubble3D val="0"/>
            <c:extLst>
              <c:ext xmlns:c16="http://schemas.microsoft.com/office/drawing/2014/chart" uri="{C3380CC4-5D6E-409C-BE32-E72D297353CC}">
                <c16:uniqueId val="{00000005-3170-4189-9D14-58F915612A02}"/>
              </c:ext>
            </c:extLst>
          </c:dPt>
          <c:dPt>
            <c:idx val="3"/>
            <c:invertIfNegative val="0"/>
            <c:bubble3D val="0"/>
            <c:extLst>
              <c:ext xmlns:c16="http://schemas.microsoft.com/office/drawing/2014/chart" uri="{C3380CC4-5D6E-409C-BE32-E72D297353CC}">
                <c16:uniqueId val="{00000007-3170-4189-9D14-58F915612A02}"/>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q13_q14_q20_q21_q28_q29_Fig!$R$155:$W$155</c15:sqref>
                  </c15:fullRef>
                </c:ext>
              </c:extLst>
              <c:f>q13_q14_q20_q21_q28_q29_Fig!$S$155:$V$155</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q13_q14_q20_q21_q28_q29_Fig!$R$156:$W$156</c15:sqref>
                  </c15:fullRef>
                </c:ext>
              </c:extLst>
              <c:f>q13_q14_q20_q21_q28_q29_Fig!$S$156:$V$156</c:f>
              <c:numCache>
                <c:formatCode>#,##0.00\ "€"</c:formatCode>
                <c:ptCount val="4"/>
                <c:pt idx="0">
                  <c:v>766.16810225156519</c:v>
                </c:pt>
                <c:pt idx="1">
                  <c:v>866.98371471534017</c:v>
                </c:pt>
                <c:pt idx="2">
                  <c:v>997.48152037541502</c:v>
                </c:pt>
                <c:pt idx="3">
                  <c:v>1767.5060761176364</c:v>
                </c:pt>
              </c:numCache>
            </c:numRef>
          </c:val>
          <c:extLst>
            <c:ext xmlns:c15="http://schemas.microsoft.com/office/drawing/2012/chart" uri="{02D57815-91ED-43cb-92C2-25804820EDAC}">
              <c15:categoryFilterExceptions>
                <c15:categoryFilterException>
                  <c15:sqref>q13_q14_q20_q21_q28_q29_Fig!$W$156</c15:sqref>
                  <c15:spPr xmlns:c15="http://schemas.microsoft.com/office/drawing/2012/chart">
                    <a:solidFill>
                      <a:srgbClr val="4F81BD"/>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8-3170-4189-9D14-58F915612A02}"/>
            </c:ext>
          </c:extLst>
        </c:ser>
        <c:ser>
          <c:idx val="1"/>
          <c:order val="1"/>
          <c:tx>
            <c:strRef>
              <c:f>q13_q14_q20_q21_q28_q29_Fig!$Q$157</c:f>
              <c:strCache>
                <c:ptCount val="1"/>
                <c:pt idx="0">
                  <c:v>Ganho</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q13_q14_q20_q21_q28_q29_Fig!$R$155:$W$155</c15:sqref>
                  </c15:fullRef>
                </c:ext>
              </c:extLst>
              <c:f>q13_q14_q20_q21_q28_q29_Fig!$S$155:$V$155</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q13_q14_q20_q21_q28_q29_Fig!$R$157:$W$157</c15:sqref>
                  </c15:fullRef>
                </c:ext>
              </c:extLst>
              <c:f>q13_q14_q20_q21_q28_q29_Fig!$S$157:$V$157</c:f>
              <c:numCache>
                <c:formatCode>#,##0.00\ "€"</c:formatCode>
                <c:ptCount val="4"/>
                <c:pt idx="0">
                  <c:v>892.87459454884197</c:v>
                </c:pt>
                <c:pt idx="1">
                  <c:v>1044.0300886364023</c:v>
                </c:pt>
                <c:pt idx="2">
                  <c:v>1217.5678494347055</c:v>
                </c:pt>
                <c:pt idx="3">
                  <c:v>2072.8573535318387</c:v>
                </c:pt>
              </c:numCache>
            </c:numRef>
          </c:val>
          <c:extLst>
            <c:ext xmlns:c16="http://schemas.microsoft.com/office/drawing/2014/chart" uri="{C3380CC4-5D6E-409C-BE32-E72D297353CC}">
              <c16:uniqueId val="{00000009-3170-4189-9D14-58F915612A02}"/>
            </c:ext>
          </c:extLst>
        </c:ser>
        <c:dLbls>
          <c:showLegendKey val="0"/>
          <c:showVal val="0"/>
          <c:showCatName val="0"/>
          <c:showSerName val="0"/>
          <c:showPercent val="0"/>
          <c:showBubbleSize val="0"/>
        </c:dLbls>
        <c:gapWidth val="42"/>
        <c:axId val="891633855"/>
        <c:axId val="1319480015"/>
      </c:barChart>
      <c:valAx>
        <c:axId val="1319480015"/>
        <c:scaling>
          <c:orientation val="minMax"/>
          <c:max val="2500"/>
          <c:min val="0"/>
        </c:scaling>
        <c:delete val="1"/>
        <c:axPos val="t"/>
        <c:numFmt formatCode="#,##0.00\ &quot;€&quot;" sourceLinked="1"/>
        <c:majorTickMark val="out"/>
        <c:minorTickMark val="none"/>
        <c:tickLblPos val="nextTo"/>
        <c:crossAx val="891633855"/>
        <c:crosses val="autoZero"/>
        <c:crossBetween val="between"/>
        <c:majorUnit val="200"/>
      </c:valAx>
      <c:catAx>
        <c:axId val="891633855"/>
        <c:scaling>
          <c:orientation val="maxMin"/>
        </c:scaling>
        <c:delete val="0"/>
        <c:axPos val="l"/>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9273983843809283"/>
          <c:y val="8.2522611688207285E-3"/>
          <c:w val="0.23703567588317281"/>
          <c:h val="6.992608664633585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742641318886547"/>
          <c:y val="0.17702860588135602"/>
          <c:w val="0.7546157966014222"/>
          <c:h val="0.74281478392983291"/>
        </c:manualLayout>
      </c:layout>
      <c:barChart>
        <c:barDir val="bar"/>
        <c:grouping val="clustered"/>
        <c:varyColors val="0"/>
        <c:ser>
          <c:idx val="0"/>
          <c:order val="0"/>
          <c:tx>
            <c:strRef>
              <c:f>q13_q14_q20_q21_q28_q29_Fig!$Q$161</c:f>
              <c:strCache>
                <c:ptCount val="1"/>
                <c:pt idx="0">
                  <c:v>Base</c:v>
                </c:pt>
              </c:strCache>
            </c:strRef>
          </c:tx>
          <c:spPr>
            <a:solidFill>
              <a:srgbClr val="4F81BD"/>
            </a:solidFill>
            <a:ln w="19050">
              <a:solidFill>
                <a:schemeClr val="lt1"/>
              </a:solidFill>
            </a:ln>
            <a:effectLst/>
          </c:spPr>
          <c:invertIfNegative val="0"/>
          <c:dPt>
            <c:idx val="0"/>
            <c:invertIfNegative val="0"/>
            <c:bubble3D val="0"/>
            <c:explosion val="2"/>
            <c:extLst>
              <c:ext xmlns:c16="http://schemas.microsoft.com/office/drawing/2014/chart" uri="{C3380CC4-5D6E-409C-BE32-E72D297353CC}">
                <c16:uniqueId val="{00000001-C3B4-4287-BFDE-4DD8C94BBA36}"/>
              </c:ext>
            </c:extLst>
          </c:dPt>
          <c:dPt>
            <c:idx val="1"/>
            <c:invertIfNegative val="0"/>
            <c:bubble3D val="0"/>
            <c:extLst>
              <c:ext xmlns:c16="http://schemas.microsoft.com/office/drawing/2014/chart" uri="{C3380CC4-5D6E-409C-BE32-E72D297353CC}">
                <c16:uniqueId val="{00000003-C3B4-4287-BFDE-4DD8C94BBA36}"/>
              </c:ext>
            </c:extLst>
          </c:dPt>
          <c:dPt>
            <c:idx val="2"/>
            <c:invertIfNegative val="0"/>
            <c:bubble3D val="0"/>
            <c:extLst>
              <c:ext xmlns:c16="http://schemas.microsoft.com/office/drawing/2014/chart" uri="{C3380CC4-5D6E-409C-BE32-E72D297353CC}">
                <c16:uniqueId val="{00000005-C3B4-4287-BFDE-4DD8C94BBA36}"/>
              </c:ext>
            </c:extLst>
          </c:dPt>
          <c:dPt>
            <c:idx val="3"/>
            <c:invertIfNegative val="0"/>
            <c:bubble3D val="0"/>
            <c:extLst>
              <c:ext xmlns:c16="http://schemas.microsoft.com/office/drawing/2014/chart" uri="{C3380CC4-5D6E-409C-BE32-E72D297353CC}">
                <c16:uniqueId val="{00000007-C3B4-4287-BFDE-4DD8C94BBA36}"/>
              </c:ext>
            </c:extLst>
          </c:dPt>
          <c:dLbls>
            <c:spPr>
              <a:noFill/>
              <a:ln>
                <a:noFill/>
              </a:ln>
              <a:effectLst/>
            </c:spPr>
            <c:txPr>
              <a:bodyPr rot="0" spcFirstLastPara="1" vertOverflow="overflow" horzOverflow="overflow" vert="horz" wrap="non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q13_q14_q20_q21_q28_q29_Fig!$R$160:$W$160</c15:sqref>
                  </c15:fullRef>
                </c:ext>
              </c:extLst>
              <c:f>q13_q14_q20_q21_q28_q29_Fig!$S$160:$V$160</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q13_q14_q20_q21_q28_q29_Fig!$R$161:$W$161</c15:sqref>
                  </c15:fullRef>
                </c:ext>
              </c:extLst>
              <c:f>q13_q14_q20_q21_q28_q29_Fig!$S$161:$V$161</c:f>
              <c:numCache>
                <c:formatCode>#,##0.00\ "€"</c:formatCode>
                <c:ptCount val="4"/>
                <c:pt idx="0">
                  <c:v>705</c:v>
                </c:pt>
                <c:pt idx="1">
                  <c:v>746</c:v>
                </c:pt>
                <c:pt idx="2">
                  <c:v>798.57</c:v>
                </c:pt>
                <c:pt idx="3">
                  <c:v>1376</c:v>
                </c:pt>
              </c:numCache>
            </c:numRef>
          </c:val>
          <c:extLst>
            <c:ext xmlns:c15="http://schemas.microsoft.com/office/drawing/2012/chart" uri="{02D57815-91ED-43cb-92C2-25804820EDAC}">
              <c15:categoryFilterExceptions>
                <c15:categoryFilterException>
                  <c15:sqref>q13_q14_q20_q21_q28_q29_Fig!$W$161</c15:sqref>
                  <c15:spPr xmlns:c15="http://schemas.microsoft.com/office/drawing/2012/chart">
                    <a:solidFill>
                      <a:srgbClr val="4F81BD"/>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8-C3B4-4287-BFDE-4DD8C94BBA36}"/>
            </c:ext>
          </c:extLst>
        </c:ser>
        <c:ser>
          <c:idx val="1"/>
          <c:order val="1"/>
          <c:tx>
            <c:strRef>
              <c:f>q13_q14_q20_q21_q28_q29_Fig!$Q$162</c:f>
              <c:strCache>
                <c:ptCount val="1"/>
                <c:pt idx="0">
                  <c:v>Ganho</c:v>
                </c:pt>
              </c:strCache>
            </c:strRef>
          </c:tx>
          <c:spPr>
            <a:solidFill>
              <a:srgbClr val="FFC000"/>
            </a:solidFill>
            <a:ln w="19050">
              <a:solidFill>
                <a:schemeClr val="lt1"/>
              </a:solidFill>
            </a:ln>
            <a:effectLst/>
          </c:spPr>
          <c:invertIfNegative val="0"/>
          <c:dLbls>
            <c:spPr>
              <a:noFill/>
              <a:ln>
                <a:noFill/>
              </a:ln>
              <a:effectLst/>
            </c:spPr>
            <c:txPr>
              <a:bodyPr rot="0" spcFirstLastPara="1" vertOverflow="ellipsis" vert="horz" wrap="non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q13_q14_q20_q21_q28_q29_Fig!$R$160:$W$160</c15:sqref>
                  </c15:fullRef>
                </c:ext>
              </c:extLst>
              <c:f>q13_q14_q20_q21_q28_q29_Fig!$S$160:$V$160</c:f>
              <c:strCache>
                <c:ptCount val="4"/>
                <c:pt idx="0">
                  <c:v>&lt; 1.º ciclo do ensino básico</c:v>
                </c:pt>
                <c:pt idx="1">
                  <c:v>Ensino básico</c:v>
                </c:pt>
                <c:pt idx="2">
                  <c:v>Ensino secundário + pós sec. não superior nível IV</c:v>
                </c:pt>
                <c:pt idx="3">
                  <c:v>Ensino superior**</c:v>
                </c:pt>
              </c:strCache>
            </c:strRef>
          </c:cat>
          <c:val>
            <c:numRef>
              <c:extLst>
                <c:ext xmlns:c15="http://schemas.microsoft.com/office/drawing/2012/chart" uri="{02D57815-91ED-43cb-92C2-25804820EDAC}">
                  <c15:fullRef>
                    <c15:sqref>q13_q14_q20_q21_q28_q29_Fig!$R$162:$W$162</c15:sqref>
                  </c15:fullRef>
                </c:ext>
              </c:extLst>
              <c:f>q13_q14_q20_q21_q28_q29_Fig!$S$162:$V$162</c:f>
              <c:numCache>
                <c:formatCode>#,##0.00\ "€"</c:formatCode>
                <c:ptCount val="4"/>
                <c:pt idx="0">
                  <c:v>825</c:v>
                </c:pt>
                <c:pt idx="1">
                  <c:v>891.6</c:v>
                </c:pt>
                <c:pt idx="2">
                  <c:v>977.7</c:v>
                </c:pt>
                <c:pt idx="3">
                  <c:v>1621.95</c:v>
                </c:pt>
              </c:numCache>
            </c:numRef>
          </c:val>
          <c:extLst>
            <c:ext xmlns:c16="http://schemas.microsoft.com/office/drawing/2014/chart" uri="{C3380CC4-5D6E-409C-BE32-E72D297353CC}">
              <c16:uniqueId val="{00000009-C3B4-4287-BFDE-4DD8C94BBA36}"/>
            </c:ext>
          </c:extLst>
        </c:ser>
        <c:dLbls>
          <c:showLegendKey val="0"/>
          <c:showVal val="0"/>
          <c:showCatName val="0"/>
          <c:showSerName val="0"/>
          <c:showPercent val="0"/>
          <c:showBubbleSize val="0"/>
        </c:dLbls>
        <c:gapWidth val="42"/>
        <c:axId val="891633855"/>
        <c:axId val="1319480015"/>
      </c:barChart>
      <c:valAx>
        <c:axId val="1319480015"/>
        <c:scaling>
          <c:orientation val="minMax"/>
          <c:max val="2500"/>
          <c:min val="0"/>
        </c:scaling>
        <c:delete val="1"/>
        <c:axPos val="t"/>
        <c:numFmt formatCode="#,##0.00\ &quot;€&quot;" sourceLinked="1"/>
        <c:majorTickMark val="out"/>
        <c:minorTickMark val="none"/>
        <c:tickLblPos val="nextTo"/>
        <c:crossAx val="891633855"/>
        <c:crosses val="autoZero"/>
        <c:crossBetween val="between"/>
        <c:majorUnit val="200"/>
      </c:valAx>
      <c:catAx>
        <c:axId val="891633855"/>
        <c:scaling>
          <c:orientation val="maxMin"/>
        </c:scaling>
        <c:delete val="0"/>
        <c:axPos val="l"/>
        <c:numFmt formatCode="General" sourceLinked="1"/>
        <c:majorTickMark val="none"/>
        <c:minorTickMark val="none"/>
        <c:tickLblPos val="none"/>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pt-PT"/>
          </a:p>
        </c:txPr>
        <c:crossAx val="1319480015"/>
        <c:crosses val="autoZero"/>
        <c:auto val="1"/>
        <c:lblAlgn val="ctr"/>
        <c:lblOffset val="100"/>
        <c:noMultiLvlLbl val="0"/>
      </c:catAx>
      <c:spPr>
        <a:noFill/>
        <a:ln>
          <a:noFill/>
        </a:ln>
        <a:effectLst/>
      </c:spPr>
    </c:plotArea>
    <c:legend>
      <c:legendPos val="t"/>
      <c:layout>
        <c:manualLayout>
          <c:xMode val="edge"/>
          <c:yMode val="edge"/>
          <c:x val="0.44825260812496481"/>
          <c:y val="3.8008150319151146E-3"/>
          <c:w val="0.2584854060556499"/>
          <c:h val="7.7117060367454068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8038397288886921E-2"/>
          <c:y val="0.13305232558139532"/>
          <c:w val="0.74059544722107495"/>
          <c:h val="0.74988738326313853"/>
        </c:manualLayout>
      </c:layout>
      <c:barChart>
        <c:barDir val="col"/>
        <c:grouping val="stacked"/>
        <c:varyColors val="0"/>
        <c:ser>
          <c:idx val="0"/>
          <c:order val="0"/>
          <c:tx>
            <c:strRef>
              <c:f>q16_q23_Fig!$A$6</c:f>
              <c:strCache>
                <c:ptCount val="1"/>
                <c:pt idx="0">
                  <c:v>&lt; RMMG**</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elete val="1"/>
          </c:dLbls>
          <c:cat>
            <c:numRef>
              <c:f>q16_q23_Fig!$B$5:$L$5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q16_q23_Fig!$B$6:$L$6</c:f>
              <c:numCache>
                <c:formatCode>0.0%</c:formatCode>
                <c:ptCount val="11"/>
                <c:pt idx="0">
                  <c:v>5.4716040183007781E-3</c:v>
                </c:pt>
                <c:pt idx="1">
                  <c:v>5.1753203234469409E-3</c:v>
                </c:pt>
                <c:pt idx="2">
                  <c:v>7.5470347823245985E-3</c:v>
                </c:pt>
                <c:pt idx="3">
                  <c:v>5.8283457994476508E-3</c:v>
                </c:pt>
                <c:pt idx="4">
                  <c:v>5.3890411798856496E-3</c:v>
                </c:pt>
                <c:pt idx="5">
                  <c:v>5.3899189612480261E-3</c:v>
                </c:pt>
                <c:pt idx="6">
                  <c:v>4.6670768628066213E-3</c:v>
                </c:pt>
                <c:pt idx="7">
                  <c:v>4.9964164128292422E-3</c:v>
                </c:pt>
                <c:pt idx="8">
                  <c:v>4.6522416984656105E-3</c:v>
                </c:pt>
                <c:pt idx="9">
                  <c:v>5.0086476651304149E-3</c:v>
                </c:pt>
                <c:pt idx="10">
                  <c:v>4.7863844973833336E-3</c:v>
                </c:pt>
              </c:numCache>
            </c:numRef>
          </c:val>
          <c:extLst>
            <c:ext xmlns:c16="http://schemas.microsoft.com/office/drawing/2014/chart" uri="{C3380CC4-5D6E-409C-BE32-E72D297353CC}">
              <c16:uniqueId val="{00000000-B90D-4524-BF0F-2EA66C5BDD0B}"/>
            </c:ext>
          </c:extLst>
        </c:ser>
        <c:ser>
          <c:idx val="1"/>
          <c:order val="1"/>
          <c:tx>
            <c:strRef>
              <c:f>q16_q23_Fig!$A$7</c:f>
              <c:strCache>
                <c:ptCount val="1"/>
                <c:pt idx="0">
                  <c:v> = RMMG</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q16_q23_Fig!$B$5:$L$5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q16_q23_Fig!$B$7:$L$7</c:f>
              <c:numCache>
                <c:formatCode>0.0%</c:formatCode>
                <c:ptCount val="11"/>
                <c:pt idx="0">
                  <c:v>0.14410266688366091</c:v>
                </c:pt>
                <c:pt idx="1">
                  <c:v>0.14163154829567243</c:v>
                </c:pt>
                <c:pt idx="2">
                  <c:v>0.20369215067932647</c:v>
                </c:pt>
                <c:pt idx="3">
                  <c:v>0.18384224845075486</c:v>
                </c:pt>
                <c:pt idx="4">
                  <c:v>0.22109181370872022</c:v>
                </c:pt>
                <c:pt idx="5">
                  <c:v>0.22888510621531627</c:v>
                </c:pt>
                <c:pt idx="6">
                  <c:v>0.22317088266380225</c:v>
                </c:pt>
                <c:pt idx="7">
                  <c:v>0.20974556531087618</c:v>
                </c:pt>
                <c:pt idx="8">
                  <c:v>0.23879843890213009</c:v>
                </c:pt>
                <c:pt idx="9">
                  <c:v>0.23485068122516012</c:v>
                </c:pt>
                <c:pt idx="10">
                  <c:v>0.23346050170130656</c:v>
                </c:pt>
              </c:numCache>
            </c:numRef>
          </c:val>
          <c:extLst>
            <c:ext xmlns:c16="http://schemas.microsoft.com/office/drawing/2014/chart" uri="{C3380CC4-5D6E-409C-BE32-E72D297353CC}">
              <c16:uniqueId val="{00000001-B90D-4524-BF0F-2EA66C5BDD0B}"/>
            </c:ext>
          </c:extLst>
        </c:ser>
        <c:ser>
          <c:idx val="2"/>
          <c:order val="2"/>
          <c:tx>
            <c:strRef>
              <c:f>q16_q23_Fig!$A$8</c:f>
              <c:strCache>
                <c:ptCount val="1"/>
                <c:pt idx="0">
                  <c:v>&gt;RMMG e &lt;= 749,99 €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q16_q23_Fig!$B$5:$L$5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q16_q23_Fig!$B$8:$L$8</c:f>
              <c:numCache>
                <c:formatCode>0.0%</c:formatCode>
                <c:ptCount val="11"/>
                <c:pt idx="0">
                  <c:v>0.457331065010882</c:v>
                </c:pt>
                <c:pt idx="1">
                  <c:v>0.46114674815433498</c:v>
                </c:pt>
                <c:pt idx="2">
                  <c:v>0.39890380525507607</c:v>
                </c:pt>
                <c:pt idx="3">
                  <c:v>0.41744666724590196</c:v>
                </c:pt>
                <c:pt idx="4">
                  <c:v>0.37589851823266313</c:v>
                </c:pt>
                <c:pt idx="5">
                  <c:v>0.3542205396673363</c:v>
                </c:pt>
                <c:pt idx="6">
                  <c:v>0.33804953095718832</c:v>
                </c:pt>
                <c:pt idx="7">
                  <c:v>0.31896389535925462</c:v>
                </c:pt>
                <c:pt idx="8">
                  <c:v>0.24575785608732981</c:v>
                </c:pt>
                <c:pt idx="9">
                  <c:v>0.20550905800888306</c:v>
                </c:pt>
                <c:pt idx="10">
                  <c:v>0.11530502521973894</c:v>
                </c:pt>
              </c:numCache>
            </c:numRef>
          </c:val>
          <c:extLst>
            <c:ext xmlns:c16="http://schemas.microsoft.com/office/drawing/2014/chart" uri="{C3380CC4-5D6E-409C-BE32-E72D297353CC}">
              <c16:uniqueId val="{00000002-B90D-4524-BF0F-2EA66C5BDD0B}"/>
            </c:ext>
          </c:extLst>
        </c:ser>
        <c:ser>
          <c:idx val="3"/>
          <c:order val="3"/>
          <c:tx>
            <c:strRef>
              <c:f>q16_q23_Fig!$A$9</c:f>
              <c:strCache>
                <c:ptCount val="1"/>
                <c:pt idx="0">
                  <c:v>750,00 - 999,99  €</c:v>
                </c:pt>
              </c:strCache>
            </c:strRef>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q16_q23_Fig!$B$5:$L$5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q16_q23_Fig!$B$9:$L$9</c:f>
              <c:numCache>
                <c:formatCode>0.0%</c:formatCode>
                <c:ptCount val="11"/>
                <c:pt idx="0">
                  <c:v>0.14300269446146616</c:v>
                </c:pt>
                <c:pt idx="1">
                  <c:v>0.14204677994468162</c:v>
                </c:pt>
                <c:pt idx="2">
                  <c:v>0.14285173470821813</c:v>
                </c:pt>
                <c:pt idx="3">
                  <c:v>0.14394733445463909</c:v>
                </c:pt>
                <c:pt idx="4">
                  <c:v>0.14788085712714566</c:v>
                </c:pt>
                <c:pt idx="5">
                  <c:v>0.15575932377178939</c:v>
                </c:pt>
                <c:pt idx="6">
                  <c:v>0.16489250034800171</c:v>
                </c:pt>
                <c:pt idx="7">
                  <c:v>0.18004389894284178</c:v>
                </c:pt>
                <c:pt idx="8">
                  <c:v>0.20400089089411946</c:v>
                </c:pt>
                <c:pt idx="9">
                  <c:v>0.22772442349656502</c:v>
                </c:pt>
                <c:pt idx="10">
                  <c:v>0.28898390860711709</c:v>
                </c:pt>
              </c:numCache>
            </c:numRef>
          </c:val>
          <c:extLst>
            <c:ext xmlns:c16="http://schemas.microsoft.com/office/drawing/2014/chart" uri="{C3380CC4-5D6E-409C-BE32-E72D297353CC}">
              <c16:uniqueId val="{00000003-B90D-4524-BF0F-2EA66C5BDD0B}"/>
            </c:ext>
          </c:extLst>
        </c:ser>
        <c:ser>
          <c:idx val="4"/>
          <c:order val="4"/>
          <c:tx>
            <c:strRef>
              <c:f>q16_q23_Fig!$A$10</c:f>
              <c:strCache>
                <c:ptCount val="1"/>
                <c:pt idx="0">
                  <c:v>1 000,00 - 1 499,99  €</c:v>
                </c:pt>
              </c:strCache>
            </c:strRef>
          </c:tx>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q16_q23_Fig!$B$5:$L$5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q16_q23_Fig!$B$10:$L$10</c:f>
              <c:numCache>
                <c:formatCode>0.0%</c:formatCode>
                <c:ptCount val="11"/>
                <c:pt idx="0">
                  <c:v>0.13555354725407218</c:v>
                </c:pt>
                <c:pt idx="1">
                  <c:v>0.13618645963974821</c:v>
                </c:pt>
                <c:pt idx="2">
                  <c:v>0.13515638329373902</c:v>
                </c:pt>
                <c:pt idx="3">
                  <c:v>0.13673033065127307</c:v>
                </c:pt>
                <c:pt idx="4">
                  <c:v>0.13732516882726309</c:v>
                </c:pt>
                <c:pt idx="5">
                  <c:v>0.1414573466551404</c:v>
                </c:pt>
                <c:pt idx="6">
                  <c:v>0.14863141246975106</c:v>
                </c:pt>
                <c:pt idx="7">
                  <c:v>0.15694678373051424</c:v>
                </c:pt>
                <c:pt idx="8">
                  <c:v>0.16926526187573876</c:v>
                </c:pt>
                <c:pt idx="9">
                  <c:v>0.17971693097409155</c:v>
                </c:pt>
                <c:pt idx="10">
                  <c:v>0.19453183031966045</c:v>
                </c:pt>
              </c:numCache>
            </c:numRef>
          </c:val>
          <c:extLst>
            <c:ext xmlns:c16="http://schemas.microsoft.com/office/drawing/2014/chart" uri="{C3380CC4-5D6E-409C-BE32-E72D297353CC}">
              <c16:uniqueId val="{00000004-B90D-4524-BF0F-2EA66C5BDD0B}"/>
            </c:ext>
          </c:extLst>
        </c:ser>
        <c:ser>
          <c:idx val="5"/>
          <c:order val="5"/>
          <c:tx>
            <c:strRef>
              <c:f>q16_q23_Fig!$A$11</c:f>
              <c:strCache>
                <c:ptCount val="1"/>
                <c:pt idx="0">
                  <c:v>1 500,00 - 2 499,99  €</c:v>
                </c:pt>
              </c:strCache>
            </c:strRef>
          </c:tx>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q16_q23_Fig!$B$5:$L$5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q16_q23_Fig!$B$11:$L$11</c:f>
              <c:numCache>
                <c:formatCode>0.0%</c:formatCode>
                <c:ptCount val="11"/>
                <c:pt idx="0">
                  <c:v>7.8092285697689695E-2</c:v>
                </c:pt>
                <c:pt idx="1">
                  <c:v>7.7581669717869936E-2</c:v>
                </c:pt>
                <c:pt idx="2">
                  <c:v>7.6610207814419587E-2</c:v>
                </c:pt>
                <c:pt idx="3">
                  <c:v>7.6416368385605976E-2</c:v>
                </c:pt>
                <c:pt idx="4">
                  <c:v>7.5857299902526196E-2</c:v>
                </c:pt>
                <c:pt idx="5">
                  <c:v>7.7197654909160335E-2</c:v>
                </c:pt>
                <c:pt idx="6">
                  <c:v>8.1324936554869331E-2</c:v>
                </c:pt>
                <c:pt idx="7">
                  <c:v>8.6777011288299594E-2</c:v>
                </c:pt>
                <c:pt idx="8">
                  <c:v>9.2550406216296899E-2</c:v>
                </c:pt>
                <c:pt idx="9">
                  <c:v>9.8043982670133603E-2</c:v>
                </c:pt>
                <c:pt idx="10">
                  <c:v>0.10679828206968098</c:v>
                </c:pt>
              </c:numCache>
            </c:numRef>
          </c:val>
          <c:extLst>
            <c:ext xmlns:c16="http://schemas.microsoft.com/office/drawing/2014/chart" uri="{C3380CC4-5D6E-409C-BE32-E72D297353CC}">
              <c16:uniqueId val="{00000005-B90D-4524-BF0F-2EA66C5BDD0B}"/>
            </c:ext>
          </c:extLst>
        </c:ser>
        <c:ser>
          <c:idx val="6"/>
          <c:order val="6"/>
          <c:tx>
            <c:strRef>
              <c:f>q16_q23_Fig!$A$12</c:f>
              <c:strCache>
                <c:ptCount val="1"/>
                <c:pt idx="0">
                  <c:v>2 500,00 - 3 749,99  €</c:v>
                </c:pt>
              </c:strCache>
            </c:strRef>
          </c:tx>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q16_q23_Fig!$B$5:$L$5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q16_q23_Fig!$B$12:$L$12</c:f>
              <c:numCache>
                <c:formatCode>0.0%</c:formatCode>
                <c:ptCount val="11"/>
                <c:pt idx="0">
                  <c:v>2.3689701024146539E-2</c:v>
                </c:pt>
                <c:pt idx="1">
                  <c:v>2.3744902833149343E-2</c:v>
                </c:pt>
                <c:pt idx="2">
                  <c:v>2.339357788982771E-2</c:v>
                </c:pt>
                <c:pt idx="3">
                  <c:v>2.3905006752443711E-2</c:v>
                </c:pt>
                <c:pt idx="4">
                  <c:v>2.4396190394620498E-2</c:v>
                </c:pt>
                <c:pt idx="5">
                  <c:v>2.4870739977569757E-2</c:v>
                </c:pt>
                <c:pt idx="6">
                  <c:v>2.6643100792627713E-2</c:v>
                </c:pt>
                <c:pt idx="7">
                  <c:v>2.8876545421967388E-2</c:v>
                </c:pt>
                <c:pt idx="8">
                  <c:v>3.0903582891505917E-2</c:v>
                </c:pt>
                <c:pt idx="9">
                  <c:v>3.3638190415860442E-2</c:v>
                </c:pt>
                <c:pt idx="10">
                  <c:v>3.7576464102116271E-2</c:v>
                </c:pt>
              </c:numCache>
            </c:numRef>
          </c:val>
          <c:extLst>
            <c:ext xmlns:c16="http://schemas.microsoft.com/office/drawing/2014/chart" uri="{C3380CC4-5D6E-409C-BE32-E72D297353CC}">
              <c16:uniqueId val="{00000006-B90D-4524-BF0F-2EA66C5BDD0B}"/>
            </c:ext>
          </c:extLst>
        </c:ser>
        <c:ser>
          <c:idx val="7"/>
          <c:order val="7"/>
          <c:tx>
            <c:strRef>
              <c:f>q16_q23_Fig!$A$13</c:f>
              <c:strCache>
                <c:ptCount val="1"/>
                <c:pt idx="0">
                  <c:v>3 750,00 - 4 999,99 €</c:v>
                </c:pt>
              </c:strCache>
            </c:strRef>
          </c:tx>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elete val="1"/>
          </c:dLbls>
          <c:cat>
            <c:numRef>
              <c:f>q16_q23_Fig!$B$5:$L$5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q16_q23_Fig!$B$13:$L$13</c:f>
              <c:numCache>
                <c:formatCode>0.0%</c:formatCode>
                <c:ptCount val="11"/>
                <c:pt idx="0">
                  <c:v>6.9049172744336997E-3</c:v>
                </c:pt>
                <c:pt idx="1">
                  <c:v>6.7965751058840706E-3</c:v>
                </c:pt>
                <c:pt idx="2">
                  <c:v>6.3013825080757372E-3</c:v>
                </c:pt>
                <c:pt idx="3">
                  <c:v>6.294412572552986E-3</c:v>
                </c:pt>
                <c:pt idx="4">
                  <c:v>6.5929862655852252E-3</c:v>
                </c:pt>
                <c:pt idx="5">
                  <c:v>6.6052422602292842E-3</c:v>
                </c:pt>
                <c:pt idx="6">
                  <c:v>6.8258209552794014E-3</c:v>
                </c:pt>
                <c:pt idx="7">
                  <c:v>7.3396344741085825E-3</c:v>
                </c:pt>
                <c:pt idx="8">
                  <c:v>7.7306320635011586E-3</c:v>
                </c:pt>
                <c:pt idx="9">
                  <c:v>8.580410561875567E-3</c:v>
                </c:pt>
                <c:pt idx="10">
                  <c:v>1.0213310382704541E-2</c:v>
                </c:pt>
              </c:numCache>
            </c:numRef>
          </c:val>
          <c:extLst>
            <c:ext xmlns:c16="http://schemas.microsoft.com/office/drawing/2014/chart" uri="{C3380CC4-5D6E-409C-BE32-E72D297353CC}">
              <c16:uniqueId val="{00000007-B90D-4524-BF0F-2EA66C5BDD0B}"/>
            </c:ext>
          </c:extLst>
        </c:ser>
        <c:ser>
          <c:idx val="8"/>
          <c:order val="8"/>
          <c:tx>
            <c:strRef>
              <c:f>q16_q23_Fig!$A$14</c:f>
              <c:strCache>
                <c:ptCount val="1"/>
                <c:pt idx="0">
                  <c:v>5 000,00 e +  Euros</c:v>
                </c:pt>
              </c:strCache>
            </c:strRef>
          </c:tx>
          <c:spPr>
            <a:gradFill rotWithShape="1">
              <a:gsLst>
                <a:gs pos="0">
                  <a:schemeClr val="accent5">
                    <a:lumMod val="80000"/>
                    <a:lumOff val="20000"/>
                    <a:shade val="51000"/>
                    <a:satMod val="130000"/>
                  </a:schemeClr>
                </a:gs>
                <a:gs pos="80000">
                  <a:schemeClr val="accent5">
                    <a:lumMod val="80000"/>
                    <a:lumOff val="20000"/>
                    <a:shade val="93000"/>
                    <a:satMod val="130000"/>
                  </a:schemeClr>
                </a:gs>
                <a:gs pos="100000">
                  <a:schemeClr val="accent5">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elete val="1"/>
          </c:dLbls>
          <c:cat>
            <c:numRef>
              <c:f>q16_q23_Fig!$B$5:$L$5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q16_q23_Fig!$B$14:$L$14</c:f>
              <c:numCache>
                <c:formatCode>0.0%</c:formatCode>
                <c:ptCount val="11"/>
                <c:pt idx="0">
                  <c:v>5.8515183753480582E-3</c:v>
                </c:pt>
                <c:pt idx="1">
                  <c:v>5.6899959852124635E-3</c:v>
                </c:pt>
                <c:pt idx="2">
                  <c:v>5.5437230689926445E-3</c:v>
                </c:pt>
                <c:pt idx="3">
                  <c:v>5.58928568738069E-3</c:v>
                </c:pt>
                <c:pt idx="4">
                  <c:v>5.5681243615903556E-3</c:v>
                </c:pt>
                <c:pt idx="5">
                  <c:v>5.6141275822102184E-3</c:v>
                </c:pt>
                <c:pt idx="6">
                  <c:v>5.7947383956736247E-3</c:v>
                </c:pt>
                <c:pt idx="7">
                  <c:v>6.3102490593083677E-3</c:v>
                </c:pt>
                <c:pt idx="8">
                  <c:v>6.340689370912307E-3</c:v>
                </c:pt>
                <c:pt idx="9">
                  <c:v>6.9276749823002333E-3</c:v>
                </c:pt>
                <c:pt idx="10">
                  <c:v>8.3442931002918625E-3</c:v>
                </c:pt>
              </c:numCache>
            </c:numRef>
          </c:val>
          <c:extLst>
            <c:ext xmlns:c16="http://schemas.microsoft.com/office/drawing/2014/chart" uri="{C3380CC4-5D6E-409C-BE32-E72D297353CC}">
              <c16:uniqueId val="{00000008-B90D-4524-BF0F-2EA66C5BDD0B}"/>
            </c:ext>
          </c:extLst>
        </c:ser>
        <c:dLbls>
          <c:dLblPos val="ctr"/>
          <c:showLegendKey val="0"/>
          <c:showVal val="1"/>
          <c:showCatName val="0"/>
          <c:showSerName val="0"/>
          <c:showPercent val="0"/>
          <c:showBubbleSize val="0"/>
        </c:dLbls>
        <c:gapWidth val="20"/>
        <c:overlap val="100"/>
        <c:axId val="1253721152"/>
        <c:axId val="1452306752"/>
      </c:barChart>
      <c:catAx>
        <c:axId val="12537211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1F497D"/>
                </a:solidFill>
                <a:latin typeface="+mn-lt"/>
                <a:ea typeface="+mn-ea"/>
                <a:cs typeface="+mn-cs"/>
              </a:defRPr>
            </a:pPr>
            <a:endParaRPr lang="pt-PT"/>
          </a:p>
        </c:txPr>
        <c:crossAx val="1452306752"/>
        <c:crosses val="autoZero"/>
        <c:auto val="1"/>
        <c:lblAlgn val="ctr"/>
        <c:lblOffset val="100"/>
        <c:noMultiLvlLbl val="0"/>
      </c:catAx>
      <c:valAx>
        <c:axId val="1452306752"/>
        <c:scaling>
          <c:orientation val="minMax"/>
          <c:max val="1"/>
          <c:min val="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253721152"/>
        <c:crosses val="autoZero"/>
        <c:crossBetween val="between"/>
        <c:majorUnit val="0.1"/>
        <c:minorUnit val="5.0000000000000012E-4"/>
      </c:valAx>
      <c:spPr>
        <a:noFill/>
        <a:ln>
          <a:noFill/>
        </a:ln>
        <a:effectLst/>
      </c:spPr>
    </c:plotArea>
    <c:legend>
      <c:legendPos val="r"/>
      <c:layout>
        <c:manualLayout>
          <c:xMode val="edge"/>
          <c:yMode val="edge"/>
          <c:x val="0.81165842097773233"/>
          <c:y val="8.6394371814666263E-2"/>
          <c:w val="0.18834138026711106"/>
          <c:h val="0.85906990481946943"/>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8038397288886921E-2"/>
          <c:y val="0.13305232558139532"/>
          <c:w val="0.76942714940518253"/>
          <c:h val="0.74988738326313853"/>
        </c:manualLayout>
      </c:layout>
      <c:barChart>
        <c:barDir val="col"/>
        <c:grouping val="stacked"/>
        <c:varyColors val="0"/>
        <c:ser>
          <c:idx val="0"/>
          <c:order val="0"/>
          <c:tx>
            <c:strRef>
              <c:f>q16_q23_Fig!$A$21</c:f>
              <c:strCache>
                <c:ptCount val="1"/>
                <c:pt idx="0">
                  <c:v>&lt; RMMG**</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q16_q23_Fig!$B$20:$L$20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q16_q23_Fig!$B$21:$L$21</c:f>
              <c:numCache>
                <c:formatCode>0.0%</c:formatCode>
                <c:ptCount val="11"/>
                <c:pt idx="0">
                  <c:v>2.5835222875239998E-3</c:v>
                </c:pt>
                <c:pt idx="1">
                  <c:v>2.4342624824716702E-3</c:v>
                </c:pt>
                <c:pt idx="2">
                  <c:v>2.7480064118420976E-3</c:v>
                </c:pt>
                <c:pt idx="3">
                  <c:v>2.4257570195029862E-3</c:v>
                </c:pt>
                <c:pt idx="4">
                  <c:v>2.4886722587985563E-3</c:v>
                </c:pt>
                <c:pt idx="5">
                  <c:v>2.1126268385224184E-3</c:v>
                </c:pt>
                <c:pt idx="6">
                  <c:v>1.7647200184633606E-3</c:v>
                </c:pt>
                <c:pt idx="7">
                  <c:v>1.8872065938003943E-3</c:v>
                </c:pt>
                <c:pt idx="8">
                  <c:v>1.6981513947021373E-3</c:v>
                </c:pt>
                <c:pt idx="9">
                  <c:v>1.7358949447285597E-3</c:v>
                </c:pt>
                <c:pt idx="10">
                  <c:v>1.761278389303548E-3</c:v>
                </c:pt>
              </c:numCache>
            </c:numRef>
          </c:val>
          <c:extLst>
            <c:ext xmlns:c16="http://schemas.microsoft.com/office/drawing/2014/chart" uri="{C3380CC4-5D6E-409C-BE32-E72D297353CC}">
              <c16:uniqueId val="{00000000-B6C3-4DD4-A621-BFCA97281971}"/>
            </c:ext>
          </c:extLst>
        </c:ser>
        <c:ser>
          <c:idx val="1"/>
          <c:order val="1"/>
          <c:tx>
            <c:strRef>
              <c:f>q16_q23_Fig!$A$22</c:f>
              <c:strCache>
                <c:ptCount val="1"/>
                <c:pt idx="0">
                  <c:v> = RMMG</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q16_q23_Fig!$B$20:$L$20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q16_q23_Fig!$B$22:$L$22</c:f>
              <c:numCache>
                <c:formatCode>0.0%</c:formatCode>
                <c:ptCount val="11"/>
                <c:pt idx="0">
                  <c:v>4.0677001104682108E-2</c:v>
                </c:pt>
                <c:pt idx="1">
                  <c:v>4.0476886936918116E-2</c:v>
                </c:pt>
                <c:pt idx="2">
                  <c:v>4.9883135828475443E-2</c:v>
                </c:pt>
                <c:pt idx="3">
                  <c:v>4.7405720668303591E-2</c:v>
                </c:pt>
                <c:pt idx="4">
                  <c:v>5.4094800212758608E-2</c:v>
                </c:pt>
                <c:pt idx="5">
                  <c:v>5.3383697406544174E-2</c:v>
                </c:pt>
                <c:pt idx="6">
                  <c:v>5.2246503999865787E-2</c:v>
                </c:pt>
                <c:pt idx="7">
                  <c:v>4.8300483784268052E-2</c:v>
                </c:pt>
                <c:pt idx="8">
                  <c:v>4.9281970761298595E-2</c:v>
                </c:pt>
                <c:pt idx="9">
                  <c:v>4.6096644814990859E-2</c:v>
                </c:pt>
                <c:pt idx="10">
                  <c:v>4.5002451480673285E-2</c:v>
                </c:pt>
              </c:numCache>
            </c:numRef>
          </c:val>
          <c:extLst>
            <c:ext xmlns:c16="http://schemas.microsoft.com/office/drawing/2014/chart" uri="{C3380CC4-5D6E-409C-BE32-E72D297353CC}">
              <c16:uniqueId val="{00000001-B6C3-4DD4-A621-BFCA97281971}"/>
            </c:ext>
          </c:extLst>
        </c:ser>
        <c:ser>
          <c:idx val="2"/>
          <c:order val="2"/>
          <c:tx>
            <c:strRef>
              <c:f>q16_q23_Fig!$A$23</c:f>
              <c:strCache>
                <c:ptCount val="1"/>
                <c:pt idx="0">
                  <c:v>&gt;RMMG e &lt;= 749,99 €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q16_q23_Fig!$B$20:$L$20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q16_q23_Fig!$B$23:$L$23</c:f>
              <c:numCache>
                <c:formatCode>0.0%</c:formatCode>
                <c:ptCount val="11"/>
                <c:pt idx="0">
                  <c:v>0.41266025347509128</c:v>
                </c:pt>
                <c:pt idx="1">
                  <c:v>0.4154374134823865</c:v>
                </c:pt>
                <c:pt idx="2">
                  <c:v>0.40352703174338939</c:v>
                </c:pt>
                <c:pt idx="3">
                  <c:v>0.40099973331739597</c:v>
                </c:pt>
                <c:pt idx="4">
                  <c:v>0.38142965802411882</c:v>
                </c:pt>
                <c:pt idx="5">
                  <c:v>0.34973777441516962</c:v>
                </c:pt>
                <c:pt idx="6">
                  <c:v>0.3047288783372456</c:v>
                </c:pt>
                <c:pt idx="7">
                  <c:v>0.2531356387744132</c:v>
                </c:pt>
                <c:pt idx="8">
                  <c:v>0.18049801350942971</c:v>
                </c:pt>
                <c:pt idx="9">
                  <c:v>8.5826826756775665E-2</c:v>
                </c:pt>
                <c:pt idx="10">
                  <c:v>2.1342401356836686E-2</c:v>
                </c:pt>
              </c:numCache>
            </c:numRef>
          </c:val>
          <c:extLst>
            <c:ext xmlns:c16="http://schemas.microsoft.com/office/drawing/2014/chart" uri="{C3380CC4-5D6E-409C-BE32-E72D297353CC}">
              <c16:uniqueId val="{00000002-B6C3-4DD4-A621-BFCA97281971}"/>
            </c:ext>
          </c:extLst>
        </c:ser>
        <c:ser>
          <c:idx val="3"/>
          <c:order val="3"/>
          <c:tx>
            <c:strRef>
              <c:f>q16_q23_Fig!$A$24</c:f>
              <c:strCache>
                <c:ptCount val="1"/>
                <c:pt idx="0">
                  <c:v>750,00 - 999,99  €</c:v>
                </c:pt>
              </c:strCache>
            </c:strRef>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q16_q23_Fig!$B$20:$L$20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q16_q23_Fig!$B$24:$L$24</c:f>
              <c:numCache>
                <c:formatCode>0.0%</c:formatCode>
                <c:ptCount val="11"/>
                <c:pt idx="0">
                  <c:v>0.20826999246974159</c:v>
                </c:pt>
                <c:pt idx="1">
                  <c:v>0.2063315156589938</c:v>
                </c:pt>
                <c:pt idx="2">
                  <c:v>0.21093062463601492</c:v>
                </c:pt>
                <c:pt idx="3">
                  <c:v>0.21344602640408894</c:v>
                </c:pt>
                <c:pt idx="4">
                  <c:v>0.2224320177370212</c:v>
                </c:pt>
                <c:pt idx="5">
                  <c:v>0.24184699121880837</c:v>
                </c:pt>
                <c:pt idx="6">
                  <c:v>0.26438970023791075</c:v>
                </c:pt>
                <c:pt idx="7">
                  <c:v>0.28995296541838378</c:v>
                </c:pt>
                <c:pt idx="8">
                  <c:v>0.33281919008113237</c:v>
                </c:pt>
                <c:pt idx="9">
                  <c:v>0.40031100693721788</c:v>
                </c:pt>
                <c:pt idx="10">
                  <c:v>0.41175574414538019</c:v>
                </c:pt>
              </c:numCache>
            </c:numRef>
          </c:val>
          <c:extLst>
            <c:ext xmlns:c16="http://schemas.microsoft.com/office/drawing/2014/chart" uri="{C3380CC4-5D6E-409C-BE32-E72D297353CC}">
              <c16:uniqueId val="{00000003-B6C3-4DD4-A621-BFCA97281971}"/>
            </c:ext>
          </c:extLst>
        </c:ser>
        <c:ser>
          <c:idx val="4"/>
          <c:order val="4"/>
          <c:tx>
            <c:strRef>
              <c:f>q16_q23_Fig!$A$25</c:f>
              <c:strCache>
                <c:ptCount val="1"/>
                <c:pt idx="0">
                  <c:v>1 000,00 - 1 499,99  €</c:v>
                </c:pt>
              </c:strCache>
            </c:strRef>
          </c:tx>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q16_q23_Fig!$B$20:$L$20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q16_q23_Fig!$B$25:$L$25</c:f>
              <c:numCache>
                <c:formatCode>0.0%</c:formatCode>
                <c:ptCount val="11"/>
                <c:pt idx="0">
                  <c:v>0.16833188815865557</c:v>
                </c:pt>
                <c:pt idx="1">
                  <c:v>0.16860362092577086</c:v>
                </c:pt>
                <c:pt idx="2">
                  <c:v>0.16805000448580024</c:v>
                </c:pt>
                <c:pt idx="3">
                  <c:v>0.17108266608274392</c:v>
                </c:pt>
                <c:pt idx="4">
                  <c:v>0.17426058841477807</c:v>
                </c:pt>
                <c:pt idx="5">
                  <c:v>0.18309823480271284</c:v>
                </c:pt>
                <c:pt idx="6">
                  <c:v>0.19677308339480987</c:v>
                </c:pt>
                <c:pt idx="7">
                  <c:v>0.21366197814011825</c:v>
                </c:pt>
                <c:pt idx="8">
                  <c:v>0.22926383866314129</c:v>
                </c:pt>
                <c:pt idx="9">
                  <c:v>0.24640756086765664</c:v>
                </c:pt>
                <c:pt idx="10">
                  <c:v>0.27650387291860873</c:v>
                </c:pt>
              </c:numCache>
            </c:numRef>
          </c:val>
          <c:extLst>
            <c:ext xmlns:c16="http://schemas.microsoft.com/office/drawing/2014/chart" uri="{C3380CC4-5D6E-409C-BE32-E72D297353CC}">
              <c16:uniqueId val="{00000004-B6C3-4DD4-A621-BFCA97281971}"/>
            </c:ext>
          </c:extLst>
        </c:ser>
        <c:ser>
          <c:idx val="5"/>
          <c:order val="5"/>
          <c:tx>
            <c:strRef>
              <c:f>q16_q23_Fig!$A$26</c:f>
              <c:strCache>
                <c:ptCount val="1"/>
                <c:pt idx="0">
                  <c:v>1 500,00 - 2 499,99  €</c:v>
                </c:pt>
              </c:strCache>
            </c:strRef>
          </c:tx>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q16_q23_Fig!$B$20:$L$20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q16_q23_Fig!$B$26:$L$26</c:f>
              <c:numCache>
                <c:formatCode>0.0%</c:formatCode>
                <c:ptCount val="11"/>
                <c:pt idx="0">
                  <c:v>0.10888575724100542</c:v>
                </c:pt>
                <c:pt idx="1">
                  <c:v>0.10744449516559279</c:v>
                </c:pt>
                <c:pt idx="2">
                  <c:v>0.10662150788230297</c:v>
                </c:pt>
                <c:pt idx="3">
                  <c:v>0.10646562179987153</c:v>
                </c:pt>
                <c:pt idx="4">
                  <c:v>0.10664549462239484</c:v>
                </c:pt>
                <c:pt idx="5">
                  <c:v>0.11032658940694005</c:v>
                </c:pt>
                <c:pt idx="6">
                  <c:v>0.11769757541434873</c:v>
                </c:pt>
                <c:pt idx="7">
                  <c:v>0.12736964701666367</c:v>
                </c:pt>
                <c:pt idx="8">
                  <c:v>0.13675455774592699</c:v>
                </c:pt>
                <c:pt idx="9">
                  <c:v>0.14504629204660197</c:v>
                </c:pt>
                <c:pt idx="10">
                  <c:v>0.15884584710756844</c:v>
                </c:pt>
              </c:numCache>
            </c:numRef>
          </c:val>
          <c:extLst>
            <c:ext xmlns:c16="http://schemas.microsoft.com/office/drawing/2014/chart" uri="{C3380CC4-5D6E-409C-BE32-E72D297353CC}">
              <c16:uniqueId val="{00000005-B6C3-4DD4-A621-BFCA97281971}"/>
            </c:ext>
          </c:extLst>
        </c:ser>
        <c:ser>
          <c:idx val="6"/>
          <c:order val="6"/>
          <c:tx>
            <c:strRef>
              <c:f>q16_q23_Fig!$A$27</c:f>
              <c:strCache>
                <c:ptCount val="1"/>
                <c:pt idx="0">
                  <c:v>2 500,00 - 3 749,99  €</c:v>
                </c:pt>
              </c:strCache>
            </c:strRef>
          </c:tx>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6C3-4DD4-A621-BFCA97281971}"/>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q16_q23_Fig!$B$20:$L$20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q16_q23_Fig!$B$27:$L$27</c:f>
              <c:numCache>
                <c:formatCode>0.0%</c:formatCode>
                <c:ptCount val="11"/>
                <c:pt idx="0">
                  <c:v>3.8109177757531962E-2</c:v>
                </c:pt>
                <c:pt idx="1">
                  <c:v>3.8930744121562902E-2</c:v>
                </c:pt>
                <c:pt idx="2">
                  <c:v>3.8366297482714112E-2</c:v>
                </c:pt>
                <c:pt idx="3">
                  <c:v>3.8309885185856679E-2</c:v>
                </c:pt>
                <c:pt idx="4">
                  <c:v>3.8479525390637356E-2</c:v>
                </c:pt>
                <c:pt idx="5">
                  <c:v>3.9048886391427916E-2</c:v>
                </c:pt>
                <c:pt idx="6">
                  <c:v>4.0913210869986109E-2</c:v>
                </c:pt>
                <c:pt idx="7">
                  <c:v>4.3067998566565131E-2</c:v>
                </c:pt>
                <c:pt idx="8">
                  <c:v>4.6109315665781622E-2</c:v>
                </c:pt>
                <c:pt idx="9">
                  <c:v>4.8960871473792987E-2</c:v>
                </c:pt>
                <c:pt idx="10">
                  <c:v>5.5147583345082206E-2</c:v>
                </c:pt>
              </c:numCache>
            </c:numRef>
          </c:val>
          <c:extLst>
            <c:ext xmlns:c16="http://schemas.microsoft.com/office/drawing/2014/chart" uri="{C3380CC4-5D6E-409C-BE32-E72D297353CC}">
              <c16:uniqueId val="{00000007-B6C3-4DD4-A621-BFCA97281971}"/>
            </c:ext>
          </c:extLst>
        </c:ser>
        <c:ser>
          <c:idx val="7"/>
          <c:order val="7"/>
          <c:tx>
            <c:strRef>
              <c:f>q16_q23_Fig!$A$28</c:f>
              <c:strCache>
                <c:ptCount val="1"/>
                <c:pt idx="0">
                  <c:v>3 750,00 - 4 999,99 €</c:v>
                </c:pt>
              </c:strCache>
            </c:strRef>
          </c:tx>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q16_q23_Fig!$B$20:$L$20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q16_q23_Fig!$B$28:$L$28</c:f>
              <c:numCache>
                <c:formatCode>0.0%</c:formatCode>
                <c:ptCount val="11"/>
                <c:pt idx="0">
                  <c:v>1.1288061426813895E-2</c:v>
                </c:pt>
                <c:pt idx="1">
                  <c:v>1.1290069192932493E-2</c:v>
                </c:pt>
                <c:pt idx="2">
                  <c:v>1.1010694873793437E-2</c:v>
                </c:pt>
                <c:pt idx="3">
                  <c:v>1.1017356467254038E-2</c:v>
                </c:pt>
                <c:pt idx="4">
                  <c:v>1.1287106838203699E-2</c:v>
                </c:pt>
                <c:pt idx="5">
                  <c:v>1.1404151049066509E-2</c:v>
                </c:pt>
                <c:pt idx="6">
                  <c:v>1.1988941934272794E-2</c:v>
                </c:pt>
                <c:pt idx="7">
                  <c:v>1.2757122379501881E-2</c:v>
                </c:pt>
                <c:pt idx="8">
                  <c:v>1.3377274252143367E-2</c:v>
                </c:pt>
                <c:pt idx="9">
                  <c:v>1.4589697145407103E-2</c:v>
                </c:pt>
                <c:pt idx="10">
                  <c:v>1.6623774522697764E-2</c:v>
                </c:pt>
              </c:numCache>
            </c:numRef>
          </c:val>
          <c:extLst>
            <c:ext xmlns:c16="http://schemas.microsoft.com/office/drawing/2014/chart" uri="{C3380CC4-5D6E-409C-BE32-E72D297353CC}">
              <c16:uniqueId val="{00000008-B6C3-4DD4-A621-BFCA97281971}"/>
            </c:ext>
          </c:extLst>
        </c:ser>
        <c:ser>
          <c:idx val="8"/>
          <c:order val="8"/>
          <c:tx>
            <c:strRef>
              <c:f>q16_q23_Fig!$A$29</c:f>
              <c:strCache>
                <c:ptCount val="1"/>
                <c:pt idx="0">
                  <c:v>5 000,00 e +  Euros</c:v>
                </c:pt>
              </c:strCache>
            </c:strRef>
          </c:tx>
          <c:spPr>
            <a:gradFill rotWithShape="1">
              <a:gsLst>
                <a:gs pos="0">
                  <a:schemeClr val="accent5">
                    <a:lumMod val="80000"/>
                    <a:lumOff val="20000"/>
                    <a:shade val="51000"/>
                    <a:satMod val="130000"/>
                  </a:schemeClr>
                </a:gs>
                <a:gs pos="80000">
                  <a:schemeClr val="accent5">
                    <a:lumMod val="80000"/>
                    <a:lumOff val="20000"/>
                    <a:shade val="93000"/>
                    <a:satMod val="130000"/>
                  </a:schemeClr>
                </a:gs>
                <a:gs pos="100000">
                  <a:schemeClr val="accent5">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q16_q23_Fig!$B$20:$L$20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q16_q23_Fig!$B$29:$L$29</c:f>
              <c:numCache>
                <c:formatCode>0.0%</c:formatCode>
                <c:ptCount val="11"/>
                <c:pt idx="0">
                  <c:v>9.1943460789541583E-3</c:v>
                </c:pt>
                <c:pt idx="1">
                  <c:v>9.0509920333708711E-3</c:v>
                </c:pt>
                <c:pt idx="2">
                  <c:v>8.8626966556673813E-3</c:v>
                </c:pt>
                <c:pt idx="3">
                  <c:v>8.8472330549823185E-3</c:v>
                </c:pt>
                <c:pt idx="4">
                  <c:v>8.8821365012888634E-3</c:v>
                </c:pt>
                <c:pt idx="5">
                  <c:v>9.0410484708080847E-3</c:v>
                </c:pt>
                <c:pt idx="6">
                  <c:v>9.497385793097007E-3</c:v>
                </c:pt>
                <c:pt idx="7">
                  <c:v>9.8669593262856112E-3</c:v>
                </c:pt>
                <c:pt idx="8">
                  <c:v>1.0197687926443938E-2</c:v>
                </c:pt>
                <c:pt idx="9">
                  <c:v>1.1025205012828354E-2</c:v>
                </c:pt>
                <c:pt idx="10">
                  <c:v>1.3017046733849161E-2</c:v>
                </c:pt>
              </c:numCache>
            </c:numRef>
          </c:val>
          <c:extLst>
            <c:ext xmlns:c16="http://schemas.microsoft.com/office/drawing/2014/chart" uri="{C3380CC4-5D6E-409C-BE32-E72D297353CC}">
              <c16:uniqueId val="{00000009-B6C3-4DD4-A621-BFCA97281971}"/>
            </c:ext>
          </c:extLst>
        </c:ser>
        <c:dLbls>
          <c:showLegendKey val="0"/>
          <c:showVal val="0"/>
          <c:showCatName val="0"/>
          <c:showSerName val="0"/>
          <c:showPercent val="0"/>
          <c:showBubbleSize val="0"/>
        </c:dLbls>
        <c:gapWidth val="20"/>
        <c:overlap val="100"/>
        <c:axId val="1253721152"/>
        <c:axId val="1452306752"/>
      </c:barChart>
      <c:catAx>
        <c:axId val="12537211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452306752"/>
        <c:crosses val="autoZero"/>
        <c:auto val="1"/>
        <c:lblAlgn val="ctr"/>
        <c:lblOffset val="100"/>
        <c:noMultiLvlLbl val="0"/>
      </c:catAx>
      <c:valAx>
        <c:axId val="1452306752"/>
        <c:scaling>
          <c:orientation val="minMax"/>
          <c:max val="1"/>
          <c:min val="0"/>
        </c:scaling>
        <c:delete val="0"/>
        <c:axPos val="l"/>
        <c:majorGridlines>
          <c:spPr>
            <a:ln w="9525" cap="flat" cmpd="sng" algn="ctr">
              <a:noFill/>
              <a:round/>
            </a:ln>
            <a:effectLst/>
          </c:spPr>
        </c:majorGridlines>
        <c:numFmt formatCode="0%" sourceLinked="0"/>
        <c:majorTickMark val="none"/>
        <c:minorTickMark val="none"/>
        <c:tickLblPos val="none"/>
        <c:spPr>
          <a:noFill/>
          <a:ln>
            <a:noFill/>
          </a:ln>
          <a:effectLst/>
        </c:spPr>
        <c:txPr>
          <a:bodyPr rot="-6000000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pt-PT"/>
          </a:p>
        </c:txPr>
        <c:crossAx val="1253721152"/>
        <c:crosses val="autoZero"/>
        <c:crossBetween val="between"/>
        <c:majorUnit val="0.1"/>
        <c:minorUnit val="5.0000000000000012E-4"/>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619722949665792E-2"/>
          <c:y val="9.5615259059443292E-2"/>
          <c:w val="0.80138464480865856"/>
          <c:h val="0.85481219311037926"/>
        </c:manualLayout>
      </c:layout>
      <c:lineChart>
        <c:grouping val="standard"/>
        <c:varyColors val="0"/>
        <c:ser>
          <c:idx val="3"/>
          <c:order val="0"/>
          <c:tx>
            <c:strRef>
              <c:f>q24_Fig!$A$38</c:f>
              <c:strCache>
                <c:ptCount val="1"/>
                <c:pt idx="0">
                  <c:v>D2</c:v>
                </c:pt>
              </c:strCache>
            </c:strRef>
          </c:tx>
          <c:spPr>
            <a:ln w="28575" cap="rnd">
              <a:noFill/>
              <a:round/>
            </a:ln>
            <a:effectLst/>
          </c:spPr>
          <c:marker>
            <c:symbol val="dash"/>
            <c:size val="5"/>
            <c:spPr>
              <a:solidFill>
                <a:schemeClr val="accent4"/>
              </a:solidFill>
              <a:ln w="25400">
                <a:solidFill>
                  <a:schemeClr val="accent1"/>
                </a:solidFill>
              </a:ln>
              <a:effectLst/>
            </c:spPr>
          </c:marker>
          <c:dLbls>
            <c:dLbl>
              <c:idx val="0"/>
              <c:layout>
                <c:manualLayout>
                  <c:x val="1.0749222928015713E-3"/>
                  <c:y val="-1.241027247890967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B53-4B60-A47B-4EF33C175AEB}"/>
                </c:ext>
              </c:extLst>
            </c:dLbl>
            <c:dLbl>
              <c:idx val="1"/>
              <c:layout>
                <c:manualLayout>
                  <c:x val="4.6665343448171184E-3"/>
                  <c:y val="-1.90650180415898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53-4B60-A47B-4EF33C175AEB}"/>
                </c:ext>
              </c:extLst>
            </c:dLbl>
            <c:dLbl>
              <c:idx val="2"/>
              <c:layout>
                <c:manualLayout>
                  <c:x val="-9.7794939380095179E-4"/>
                  <c:y val="-2.1664057416465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53-4B60-A47B-4EF33C175AEB}"/>
                </c:ext>
              </c:extLst>
            </c:dLbl>
            <c:dLbl>
              <c:idx val="3"/>
              <c:layout>
                <c:manualLayout>
                  <c:x val="2.5610041042107554E-3"/>
                  <c:y val="-1.90649468867967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53-4B60-A47B-4EF33C175AEB}"/>
                </c:ext>
              </c:extLst>
            </c:dLbl>
            <c:dLbl>
              <c:idx val="4"/>
              <c:layout>
                <c:manualLayout>
                  <c:x val="7.6421889514150453E-4"/>
                  <c:y val="-2.1969619865218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53-4B60-A47B-4EF33C175AEB}"/>
                </c:ext>
              </c:extLst>
            </c:dLbl>
            <c:dLbl>
              <c:idx val="5"/>
              <c:layout>
                <c:manualLayout>
                  <c:x val="-9.7794939380088674E-4"/>
                  <c:y val="-2.16640574164649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53-4B60-A47B-4EF33C175AEB}"/>
                </c:ext>
              </c:extLst>
            </c:dLbl>
            <c:dLbl>
              <c:idx val="6"/>
              <c:layout>
                <c:manualLayout>
                  <c:x val="2.5610041042107554E-3"/>
                  <c:y val="-2.16640574164649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53-4B60-A47B-4EF33C175AEB}"/>
                </c:ext>
              </c:extLst>
            </c:dLbl>
            <c:dLbl>
              <c:idx val="7"/>
              <c:layout>
                <c:manualLayout>
                  <c:x val="2.6154816954596758E-3"/>
                  <c:y val="-1.8759384438042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53-4B60-A47B-4EF33C175AEB}"/>
                </c:ext>
              </c:extLst>
            </c:dLbl>
            <c:dLbl>
              <c:idx val="8"/>
              <c:layout>
                <c:manualLayout>
                  <c:x val="2.5610041042107554E-3"/>
                  <c:y val="-2.45687303948869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53-4B60-A47B-4EF33C175AEB}"/>
                </c:ext>
              </c:extLst>
            </c:dLbl>
            <c:dLbl>
              <c:idx val="9"/>
              <c:layout>
                <c:manualLayout>
                  <c:x val="-9.7794939380108146E-4"/>
                  <c:y val="-2.48742928436406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53-4B60-A47B-4EF33C175AEB}"/>
                </c:ext>
              </c:extLst>
            </c:dLbl>
            <c:dLbl>
              <c:idx val="10"/>
              <c:layout>
                <c:manualLayout>
                  <c:x val="6.0999886164291202E-3"/>
                  <c:y val="-2.46344027325466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53-4B60-A47B-4EF33C175AEB}"/>
                </c:ext>
              </c:extLst>
            </c:dLbl>
            <c:spPr>
              <a:noFill/>
              <a:ln>
                <a:noFill/>
              </a:ln>
              <a:effectLst/>
            </c:spPr>
            <c:txPr>
              <a:bodyPr rot="0" vert="horz"/>
              <a:lstStyle/>
              <a:p>
                <a:pPr>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ysClr val="windowText" lastClr="000000">
                          <a:lumMod val="35000"/>
                          <a:lumOff val="65000"/>
                        </a:sysClr>
                      </a:solidFill>
                      <a:prstDash val="sysDot"/>
                      <a:round/>
                    </a:ln>
                    <a:effectLst/>
                  </c:spPr>
                </c15:leaderLines>
              </c:ext>
            </c:extLst>
          </c:dLbls>
          <c:cat>
            <c:numRef>
              <c:extLst>
                <c:ext xmlns:c15="http://schemas.microsoft.com/office/drawing/2012/chart" uri="{02D57815-91ED-43cb-92C2-25804820EDAC}">
                  <c15:fullRef>
                    <c15:sqref>q24_Fig!$B$34:$N$34</c15:sqref>
                  </c15:fullRef>
                </c:ext>
              </c:extLst>
              <c:f>q24_Fig!$B$34:$L$34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extLst>
                <c:ext xmlns:c15="http://schemas.microsoft.com/office/drawing/2012/chart" uri="{02D57815-91ED-43cb-92C2-25804820EDAC}">
                  <c15:fullRef>
                    <c15:sqref>q24_Fig!$B$38:$N$38</c15:sqref>
                  </c15:fullRef>
                </c:ext>
              </c:extLst>
              <c:f>q24_Fig!$B$38:$L$38</c:f>
              <c:numCache>
                <c:formatCode>#,##0\ "€"</c:formatCode>
                <c:ptCount val="11"/>
                <c:pt idx="0">
                  <c:v>565.5751362665934</c:v>
                </c:pt>
                <c:pt idx="1">
                  <c:v>565.7498561763756</c:v>
                </c:pt>
                <c:pt idx="2">
                  <c:v>580.52165849888434</c:v>
                </c:pt>
                <c:pt idx="3">
                  <c:v>581.94133065143672</c:v>
                </c:pt>
                <c:pt idx="4">
                  <c:v>600.67778729967426</c:v>
                </c:pt>
                <c:pt idx="5">
                  <c:v>630.59844048145249</c:v>
                </c:pt>
                <c:pt idx="6">
                  <c:v>660.07862068964494</c:v>
                </c:pt>
                <c:pt idx="7">
                  <c:v>687.03886328615431</c:v>
                </c:pt>
                <c:pt idx="8">
                  <c:v>720.80295843114152</c:v>
                </c:pt>
                <c:pt idx="9">
                  <c:v>751.72831558808321</c:v>
                </c:pt>
                <c:pt idx="10">
                  <c:v>795.5286698062497</c:v>
                </c:pt>
              </c:numCache>
            </c:numRef>
          </c:val>
          <c:smooth val="0"/>
          <c:extLst>
            <c:ext xmlns:c15="http://schemas.microsoft.com/office/drawing/2012/chart" uri="{02D57815-91ED-43cb-92C2-25804820EDAC}">
              <c15:categoryFilterExceptions>
                <c15:categoryFilterException>
                  <c15:sqref>q24_Fig!$M$38</c15:sqref>
                  <c15:dLbl>
                    <c:idx val="10"/>
                    <c:layout>
                      <c:manualLayout>
                        <c:x val="-2.2266218149659376E-2"/>
                        <c:y val="-4.2607806767563865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AE40-4F14-9DF5-17D25639A689}"/>
                      </c:ext>
                    </c:extLst>
                  </c15:dLbl>
                </c15:categoryFilterException>
              </c15:categoryFilterExceptions>
            </c:ext>
            <c:ext xmlns:c16="http://schemas.microsoft.com/office/drawing/2014/chart" uri="{C3380CC4-5D6E-409C-BE32-E72D297353CC}">
              <c16:uniqueId val="{0000000B-5B53-4B60-A47B-4EF33C175AEB}"/>
            </c:ext>
          </c:extLst>
        </c:ser>
        <c:ser>
          <c:idx val="0"/>
          <c:order val="1"/>
          <c:tx>
            <c:strRef>
              <c:f>q24_Fig!$A$35</c:f>
              <c:strCache>
                <c:ptCount val="1"/>
                <c:pt idx="0">
                  <c:v>D10</c:v>
                </c:pt>
              </c:strCache>
            </c:strRef>
          </c:tx>
          <c:spPr>
            <a:ln w="28575" cap="rnd">
              <a:noFill/>
              <a:round/>
            </a:ln>
            <a:effectLst/>
          </c:spPr>
          <c:marker>
            <c:symbol val="dash"/>
            <c:size val="5"/>
            <c:spPr>
              <a:solidFill>
                <a:schemeClr val="accent1"/>
              </a:solidFill>
              <a:ln w="25400">
                <a:solidFill>
                  <a:schemeClr val="accent1"/>
                </a:solidFill>
              </a:ln>
              <a:effectLst/>
            </c:spPr>
          </c:marker>
          <c:dLbls>
            <c:dLbl>
              <c:idx val="0"/>
              <c:layout>
                <c:manualLayout>
                  <c:x val="-3.1543988981868026E-2"/>
                  <c:y val="-4.537305756358438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5B53-4B60-A47B-4EF33C175AEB}"/>
                </c:ext>
              </c:extLst>
            </c:dLbl>
            <c:dLbl>
              <c:idx val="1"/>
              <c:layout>
                <c:manualLayout>
                  <c:x val="-3.2190493661516668E-2"/>
                  <c:y val="-4.587689772599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53-4B60-A47B-4EF33C175AEB}"/>
                </c:ext>
              </c:extLst>
            </c:dLbl>
            <c:dLbl>
              <c:idx val="2"/>
              <c:layout>
                <c:manualLayout>
                  <c:x val="-3.2190493661516668E-2"/>
                  <c:y val="-4.6578388772196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53-4B60-A47B-4EF33C175AEB}"/>
                </c:ext>
              </c:extLst>
            </c:dLbl>
            <c:dLbl>
              <c:idx val="3"/>
              <c:layout>
                <c:manualLayout>
                  <c:x val="-3.444801618874737E-2"/>
                  <c:y val="-4.33641722158976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53-4B60-A47B-4EF33C175AEB}"/>
                </c:ext>
              </c:extLst>
            </c:dLbl>
            <c:dLbl>
              <c:idx val="4"/>
              <c:layout>
                <c:manualLayout>
                  <c:x val="-3.4448048412030544E-2"/>
                  <c:y val="-4.58767469754189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53-4B60-A47B-4EF33C175AEB}"/>
                </c:ext>
              </c:extLst>
            </c:dLbl>
            <c:dLbl>
              <c:idx val="5"/>
              <c:layout>
                <c:manualLayout>
                  <c:x val="-2.9932971134286054E-2"/>
                  <c:y val="-4.72801881661081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53-4B60-A47B-4EF33C175AEB}"/>
                </c:ext>
              </c:extLst>
            </c:dLbl>
            <c:dLbl>
              <c:idx val="6"/>
              <c:layout>
                <c:manualLayout>
                  <c:x val="-3.444801618874737E-2"/>
                  <c:y val="-4.72801881661081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53-4B60-A47B-4EF33C175AEB}"/>
                </c:ext>
              </c:extLst>
            </c:dLbl>
            <c:dLbl>
              <c:idx val="7"/>
              <c:layout>
                <c:manualLayout>
                  <c:x val="-3.4448048412030474E-2"/>
                  <c:y val="-4.2662405850809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B53-4B60-A47B-4EF33C175AEB}"/>
                </c:ext>
              </c:extLst>
            </c:dLbl>
            <c:dLbl>
              <c:idx val="8"/>
              <c:layout>
                <c:manualLayout>
                  <c:x val="-3.4448016188747453E-2"/>
                  <c:y val="-4.72801881661081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B53-4B60-A47B-4EF33C175AEB}"/>
                </c:ext>
              </c:extLst>
            </c:dLbl>
            <c:dLbl>
              <c:idx val="9"/>
              <c:layout>
                <c:manualLayout>
                  <c:x val="-3.444801618874737E-2"/>
                  <c:y val="-4.72801881661081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B53-4B60-A47B-4EF33C175AEB}"/>
                </c:ext>
              </c:extLst>
            </c:dLbl>
            <c:dLbl>
              <c:idx val="10"/>
              <c:layout>
                <c:manualLayout>
                  <c:x val="-3.4448048412030474E-2"/>
                  <c:y val="-4.2662405850809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53-4B60-A47B-4EF33C175AEB}"/>
                </c:ext>
              </c:extLst>
            </c:dLbl>
            <c:spPr>
              <a:noFill/>
              <a:ln>
                <a:noFill/>
              </a:ln>
              <a:effectLst/>
            </c:spPr>
            <c:txPr>
              <a:bodyPr rot="0" vert="horz"/>
              <a:lstStyle/>
              <a:p>
                <a:pPr>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ysClr val="windowText" lastClr="000000">
                          <a:lumMod val="35000"/>
                          <a:lumOff val="65000"/>
                        </a:sysClr>
                      </a:solidFill>
                      <a:prstDash val="sysDash"/>
                      <a:round/>
                    </a:ln>
                    <a:effectLst/>
                  </c:spPr>
                </c15:leaderLines>
              </c:ext>
            </c:extLst>
          </c:dLbls>
          <c:cat>
            <c:numRef>
              <c:extLst>
                <c:ext xmlns:c15="http://schemas.microsoft.com/office/drawing/2012/chart" uri="{02D57815-91ED-43cb-92C2-25804820EDAC}">
                  <c15:fullRef>
                    <c15:sqref>q24_Fig!$B$34:$N$34</c15:sqref>
                  </c15:fullRef>
                </c:ext>
              </c:extLst>
              <c:f>q24_Fig!$B$34:$L$34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extLst>
                <c:ext xmlns:c15="http://schemas.microsoft.com/office/drawing/2012/chart" uri="{02D57815-91ED-43cb-92C2-25804820EDAC}">
                  <c15:fullRef>
                    <c15:sqref>q24_Fig!$B$35:$N$35</c15:sqref>
                  </c15:fullRef>
                </c:ext>
              </c:extLst>
              <c:f>q24_Fig!$B$35:$L$35</c:f>
              <c:numCache>
                <c:formatCode>#,##0\ "€"</c:formatCode>
                <c:ptCount val="11"/>
                <c:pt idx="0">
                  <c:v>3237.2320345794701</c:v>
                </c:pt>
                <c:pt idx="1">
                  <c:v>3225.2026519687684</c:v>
                </c:pt>
                <c:pt idx="2">
                  <c:v>3193.7647381385727</c:v>
                </c:pt>
                <c:pt idx="3">
                  <c:v>3206.8831967113601</c:v>
                </c:pt>
                <c:pt idx="4">
                  <c:v>3219.9590582602186</c:v>
                </c:pt>
                <c:pt idx="5">
                  <c:v>3248.7812157883491</c:v>
                </c:pt>
                <c:pt idx="6">
                  <c:v>3312.3170080029313</c:v>
                </c:pt>
                <c:pt idx="7">
                  <c:v>3378.2847015767798</c:v>
                </c:pt>
                <c:pt idx="8">
                  <c:v>3432.7647053305991</c:v>
                </c:pt>
                <c:pt idx="9">
                  <c:v>3525.7980851130819</c:v>
                </c:pt>
                <c:pt idx="10">
                  <c:v>3729.8200154454453</c:v>
                </c:pt>
              </c:numCache>
            </c:numRef>
          </c:val>
          <c:smooth val="0"/>
          <c:extLst>
            <c:ext xmlns:c15="http://schemas.microsoft.com/office/drawing/2012/chart" uri="{02D57815-91ED-43cb-92C2-25804820EDAC}">
              <c15:categoryFilterExceptions>
                <c15:categoryFilterException>
                  <c15:sqref>q24_Fig!$M$35</c15:sqref>
                  <c15:dLbl>
                    <c:idx val="10"/>
                    <c:layout>
                      <c:manualLayout>
                        <c:x val="-3.4448048412030474E-2"/>
                        <c:y val="-4.587674697541890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AE40-4F14-9DF5-17D25639A689}"/>
                      </c:ext>
                    </c:extLst>
                  </c15:dLbl>
                </c15:categoryFilterException>
              </c15:categoryFilterExceptions>
            </c:ext>
            <c:ext xmlns:c16="http://schemas.microsoft.com/office/drawing/2014/chart" uri="{C3380CC4-5D6E-409C-BE32-E72D297353CC}">
              <c16:uniqueId val="{00000017-5B53-4B60-A47B-4EF33C175AEB}"/>
            </c:ext>
          </c:extLst>
        </c:ser>
        <c:ser>
          <c:idx val="2"/>
          <c:order val="2"/>
          <c:tx>
            <c:strRef>
              <c:f>q24_Fig!$A$37</c:f>
              <c:strCache>
                <c:ptCount val="1"/>
                <c:pt idx="0">
                  <c:v>D5</c:v>
                </c:pt>
              </c:strCache>
            </c:strRef>
          </c:tx>
          <c:spPr>
            <a:ln w="28575" cap="rnd">
              <a:noFill/>
              <a:round/>
            </a:ln>
            <a:effectLst/>
          </c:spPr>
          <c:marker>
            <c:symbol val="dash"/>
            <c:size val="5"/>
            <c:spPr>
              <a:solidFill>
                <a:schemeClr val="accent3"/>
              </a:solidFill>
              <a:ln w="25400">
                <a:solidFill>
                  <a:schemeClr val="accent1"/>
                </a:solidFill>
              </a:ln>
              <a:effectLst/>
            </c:spPr>
          </c:marker>
          <c:dLbls>
            <c:dLbl>
              <c:idx val="0"/>
              <c:layout>
                <c:manualLayout>
                  <c:x val="-1.2781132657711946E-2"/>
                  <c:y val="-4.0738899790693575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5B53-4B60-A47B-4EF33C175AEB}"/>
                </c:ext>
              </c:extLst>
            </c:dLbl>
            <c:dLbl>
              <c:idx val="1"/>
              <c:layout>
                <c:manualLayout>
                  <c:x val="-2.2266218149659407E-2"/>
                  <c:y val="-4.2607806767563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B53-4B60-A47B-4EF33C175AEB}"/>
                </c:ext>
              </c:extLst>
            </c:dLbl>
            <c:dLbl>
              <c:idx val="2"/>
              <c:layout>
                <c:manualLayout>
                  <c:x val="-1.8863859092054406E-2"/>
                  <c:y val="-4.278879281798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B53-4B60-A47B-4EF33C175AEB}"/>
                </c:ext>
              </c:extLst>
            </c:dLbl>
            <c:dLbl>
              <c:idx val="3"/>
              <c:layout>
                <c:manualLayout>
                  <c:x val="-2.0660605735639714E-2"/>
                  <c:y val="-4.5999020248699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B53-4B60-A47B-4EF33C175AEB}"/>
                </c:ext>
              </c:extLst>
            </c:dLbl>
            <c:dLbl>
              <c:idx val="4"/>
              <c:layout>
                <c:manualLayout>
                  <c:x val="-1.8863859092054406E-2"/>
                  <c:y val="-4.5999020248699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B53-4B60-A47B-4EF33C175AEB}"/>
                </c:ext>
              </c:extLst>
            </c:dLbl>
            <c:dLbl>
              <c:idx val="5"/>
              <c:layout>
                <c:manualLayout>
                  <c:x val="-2.0660605735639714E-2"/>
                  <c:y val="-4.278879281798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B53-4B60-A47B-4EF33C175AEB}"/>
                </c:ext>
              </c:extLst>
            </c:dLbl>
            <c:dLbl>
              <c:idx val="6"/>
              <c:layout>
                <c:manualLayout>
                  <c:x val="-2.066060573563978E-2"/>
                  <c:y val="-4.27887928179883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B53-4B60-A47B-4EF33C175AEB}"/>
                </c:ext>
              </c:extLst>
            </c:dLbl>
            <c:dLbl>
              <c:idx val="7"/>
              <c:layout>
                <c:manualLayout>
                  <c:x val="-2.0660605735639714E-2"/>
                  <c:y val="-4.278879281798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B53-4B60-A47B-4EF33C175AEB}"/>
                </c:ext>
              </c:extLst>
            </c:dLbl>
            <c:dLbl>
              <c:idx val="8"/>
              <c:layout>
                <c:manualLayout>
                  <c:x val="-1.3246681980974843E-2"/>
                  <c:y val="-4.9209223083827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B53-4B60-A47B-4EF33C175AEB}"/>
                </c:ext>
              </c:extLst>
            </c:dLbl>
            <c:dLbl>
              <c:idx val="9"/>
              <c:layout>
                <c:manualLayout>
                  <c:x val="-1.7067112448469226E-2"/>
                  <c:y val="-4.599902024869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B53-4B60-A47B-4EF33C175AEB}"/>
                </c:ext>
              </c:extLst>
            </c:dLbl>
            <c:dLbl>
              <c:idx val="10"/>
              <c:layout>
                <c:manualLayout>
                  <c:x val="-1.5270365804883784E-2"/>
                  <c:y val="-4.5999020248699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5B53-4B60-A47B-4EF33C175AEB}"/>
                </c:ext>
              </c:extLst>
            </c:dLbl>
            <c:spPr>
              <a:noFill/>
              <a:ln>
                <a:noFill/>
              </a:ln>
              <a:effectLst/>
            </c:spPr>
            <c:txPr>
              <a:bodyPr rot="0" vert="horz"/>
              <a:lstStyle/>
              <a:p>
                <a:pPr>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ysClr val="windowText" lastClr="000000">
                          <a:lumMod val="35000"/>
                          <a:lumOff val="65000"/>
                        </a:sysClr>
                      </a:solidFill>
                      <a:prstDash val="sysDot"/>
                      <a:round/>
                    </a:ln>
                    <a:effectLst/>
                  </c:spPr>
                </c15:leaderLines>
              </c:ext>
            </c:extLst>
          </c:dLbls>
          <c:cat>
            <c:numRef>
              <c:extLst>
                <c:ext xmlns:c15="http://schemas.microsoft.com/office/drawing/2012/chart" uri="{02D57815-91ED-43cb-92C2-25804820EDAC}">
                  <c15:fullRef>
                    <c15:sqref>q24_Fig!$B$34:$N$34</c15:sqref>
                  </c15:fullRef>
                </c:ext>
              </c:extLst>
              <c:f>q24_Fig!$B$34:$L$34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extLst>
                <c:ext xmlns:c15="http://schemas.microsoft.com/office/drawing/2012/chart" uri="{02D57815-91ED-43cb-92C2-25804820EDAC}">
                  <c15:fullRef>
                    <c15:sqref>q24_Fig!$B$37:$N$37</c15:sqref>
                  </c15:fullRef>
                </c:ext>
              </c:extLst>
              <c:f>q24_Fig!$B$37:$L$37</c:f>
              <c:numCache>
                <c:formatCode>#,##0\ "€"</c:formatCode>
                <c:ptCount val="11"/>
                <c:pt idx="0">
                  <c:v>743.86513124293003</c:v>
                </c:pt>
                <c:pt idx="1">
                  <c:v>742.51328868929033</c:v>
                </c:pt>
                <c:pt idx="2">
                  <c:v>744.94285374240394</c:v>
                </c:pt>
                <c:pt idx="3">
                  <c:v>748.81502242445231</c:v>
                </c:pt>
                <c:pt idx="4">
                  <c:v>758.29326067808086</c:v>
                </c:pt>
                <c:pt idx="5">
                  <c:v>782.49168771165557</c:v>
                </c:pt>
                <c:pt idx="6">
                  <c:v>814.41363286402702</c:v>
                </c:pt>
                <c:pt idx="7">
                  <c:v>849.91984268052602</c:v>
                </c:pt>
                <c:pt idx="8">
                  <c:v>884.64735596917114</c:v>
                </c:pt>
                <c:pt idx="9">
                  <c:v>918.7463113528612</c:v>
                </c:pt>
                <c:pt idx="10">
                  <c:v>971.89205958477703</c:v>
                </c:pt>
              </c:numCache>
            </c:numRef>
          </c:val>
          <c:smooth val="0"/>
          <c:extLst>
            <c:ext xmlns:c15="http://schemas.microsoft.com/office/drawing/2012/chart" uri="{02D57815-91ED-43cb-92C2-25804820EDAC}">
              <c15:categoryFilterExceptions>
                <c15:categoryFilterException>
                  <c15:sqref>q24_Fig!$M$37</c15:sqref>
                  <c15:dLbl>
                    <c:idx val="10"/>
                    <c:layout>
                      <c:manualLayout>
                        <c:x val="-1.8863859092054406E-2"/>
                        <c:y val="-5.241947511012096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AE40-4F14-9DF5-17D25639A689}"/>
                      </c:ext>
                    </c:extLst>
                  </c15:dLbl>
                </c15:categoryFilterException>
              </c15:categoryFilterExceptions>
            </c:ext>
            <c:ext xmlns:c16="http://schemas.microsoft.com/office/drawing/2014/chart" uri="{C3380CC4-5D6E-409C-BE32-E72D297353CC}">
              <c16:uniqueId val="{00000023-5B53-4B60-A47B-4EF33C175AEB}"/>
            </c:ext>
          </c:extLst>
        </c:ser>
        <c:ser>
          <c:idx val="4"/>
          <c:order val="3"/>
          <c:tx>
            <c:strRef>
              <c:f>q24_Fig!$A$39</c:f>
              <c:strCache>
                <c:ptCount val="1"/>
                <c:pt idx="0">
                  <c:v>D1</c:v>
                </c:pt>
              </c:strCache>
            </c:strRef>
          </c:tx>
          <c:spPr>
            <a:ln w="28575" cap="rnd">
              <a:noFill/>
              <a:round/>
            </a:ln>
            <a:effectLst/>
          </c:spPr>
          <c:marker>
            <c:symbol val="dash"/>
            <c:size val="5"/>
            <c:spPr>
              <a:solidFill>
                <a:schemeClr val="accent5"/>
              </a:solidFill>
              <a:ln w="25400">
                <a:solidFill>
                  <a:schemeClr val="accent1"/>
                </a:solidFill>
              </a:ln>
              <a:effectLst/>
            </c:spPr>
          </c:marker>
          <c:dLbls>
            <c:dLbl>
              <c:idx val="0"/>
              <c:layout>
                <c:manualLayout>
                  <c:x val="-2.9006182440297939E-2"/>
                  <c:y val="4.1457002263129067E-2"/>
                </c:manualLayout>
              </c:layout>
              <c:spPr>
                <a:noFill/>
                <a:ln>
                  <a:noFill/>
                </a:ln>
                <a:effectLst/>
              </c:spPr>
              <c:txPr>
                <a:bodyPr rot="0" vert="horz"/>
                <a:lstStyle/>
                <a:p>
                  <a:pPr>
                    <a:defRPr/>
                  </a:pPr>
                  <a:endParaRPr lang="pt-PT"/>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24-5B53-4B60-A47B-4EF33C175AEB}"/>
                </c:ext>
              </c:extLst>
            </c:dLbl>
            <c:dLbl>
              <c:idx val="1"/>
              <c:layout>
                <c:manualLayout>
                  <c:x val="-2.9561038073299333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5-5B53-4B60-A47B-4EF33C175AEB}"/>
                </c:ext>
              </c:extLst>
            </c:dLbl>
            <c:dLbl>
              <c:idx val="2"/>
              <c:layout>
                <c:manualLayout>
                  <c:x val="-2.9561038073299368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6-5B53-4B60-A47B-4EF33C175AEB}"/>
                </c:ext>
              </c:extLst>
            </c:dLbl>
            <c:dLbl>
              <c:idx val="3"/>
              <c:layout>
                <c:manualLayout>
                  <c:x val="-2.9561038073299333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7-5B53-4B60-A47B-4EF33C175AEB}"/>
                </c:ext>
              </c:extLst>
            </c:dLbl>
            <c:dLbl>
              <c:idx val="4"/>
              <c:layout>
                <c:manualLayout>
                  <c:x val="-2.9561038073299399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8-5B53-4B60-A47B-4EF33C175AEB}"/>
                </c:ext>
              </c:extLst>
            </c:dLbl>
            <c:dLbl>
              <c:idx val="5"/>
              <c:layout>
                <c:manualLayout>
                  <c:x val="-2.9561038073299333E-2"/>
                  <c:y val="4.2662405850809403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9-5B53-4B60-A47B-4EF33C175AEB}"/>
                </c:ext>
              </c:extLst>
            </c:dLbl>
            <c:dLbl>
              <c:idx val="6"/>
              <c:layout>
                <c:manualLayout>
                  <c:x val="-2.9561038073299333E-2"/>
                  <c:y val="4.5876746975418776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A-5B53-4B60-A47B-4EF33C175AEB}"/>
                </c:ext>
              </c:extLst>
            </c:dLbl>
            <c:dLbl>
              <c:idx val="7"/>
              <c:layout>
                <c:manualLayout>
                  <c:x val="-2.9561038073299399E-2"/>
                  <c:y val="4.2662405850809403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B-5B53-4B60-A47B-4EF33C175AEB}"/>
                </c:ext>
              </c:extLst>
            </c:dLbl>
            <c:dLbl>
              <c:idx val="8"/>
              <c:layout>
                <c:manualLayout>
                  <c:x val="-2.9561038073299333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C-5B53-4B60-A47B-4EF33C175AEB}"/>
                </c:ext>
              </c:extLst>
            </c:dLbl>
            <c:dLbl>
              <c:idx val="9"/>
              <c:layout>
                <c:manualLayout>
                  <c:x val="-2.9561038073299333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D-5B53-4B60-A47B-4EF33C175AEB}"/>
                </c:ext>
              </c:extLst>
            </c:dLbl>
            <c:dLbl>
              <c:idx val="10"/>
              <c:layout>
                <c:manualLayout>
                  <c:x val="-2.9561038073299333E-2"/>
                  <c:y val="4.2662405850809521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E-5B53-4B60-A47B-4EF33C175AEB}"/>
                </c:ext>
              </c:extLst>
            </c:dLbl>
            <c:spPr>
              <a:noFill/>
              <a:ln>
                <a:noFill/>
              </a:ln>
              <a:effectLst/>
            </c:spPr>
            <c:txPr>
              <a:bodyPr rot="0" vert="horz"/>
              <a:lstStyle/>
              <a:p>
                <a:pPr>
                  <a:defRPr/>
                </a:pPr>
                <a:endParaRPr lang="pt-PT"/>
              </a:p>
            </c:txPr>
            <c:dLblPos val="b"/>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ysClr val="windowText" lastClr="000000">
                          <a:lumMod val="35000"/>
                          <a:lumOff val="65000"/>
                        </a:sysClr>
                      </a:solidFill>
                      <a:prstDash val="sysDash"/>
                      <a:round/>
                    </a:ln>
                    <a:effectLst/>
                  </c:spPr>
                </c15:leaderLines>
              </c:ext>
            </c:extLst>
          </c:dLbls>
          <c:cat>
            <c:numRef>
              <c:extLst>
                <c:ext xmlns:c15="http://schemas.microsoft.com/office/drawing/2012/chart" uri="{02D57815-91ED-43cb-92C2-25804820EDAC}">
                  <c15:fullRef>
                    <c15:sqref>q24_Fig!$B$34:$N$34</c15:sqref>
                  </c15:fullRef>
                </c:ext>
              </c:extLst>
              <c:f>q24_Fig!$B$34:$L$34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extLst>
                <c:ext xmlns:c15="http://schemas.microsoft.com/office/drawing/2012/chart" uri="{02D57815-91ED-43cb-92C2-25804820EDAC}">
                  <c15:fullRef>
                    <c15:sqref>q24_Fig!$B$39:$N$39</c15:sqref>
                  </c15:fullRef>
                </c:ext>
              </c:extLst>
              <c:f>q24_Fig!$B$39:$L$39</c:f>
              <c:numCache>
                <c:formatCode>#,##0\ "€"</c:formatCode>
                <c:ptCount val="11"/>
                <c:pt idx="0">
                  <c:v>502.07716596457396</c:v>
                </c:pt>
                <c:pt idx="1">
                  <c:v>502.40683714977052</c:v>
                </c:pt>
                <c:pt idx="2">
                  <c:v>517.55081553700325</c:v>
                </c:pt>
                <c:pt idx="3">
                  <c:v>518.95086292709823</c:v>
                </c:pt>
                <c:pt idx="4">
                  <c:v>541.0921528923551</c:v>
                </c:pt>
                <c:pt idx="5">
                  <c:v>568.88173063030297</c:v>
                </c:pt>
                <c:pt idx="6">
                  <c:v>593.05121495030642</c:v>
                </c:pt>
                <c:pt idx="7">
                  <c:v>615.49473382906092</c:v>
                </c:pt>
                <c:pt idx="8">
                  <c:v>651.89250749731025</c:v>
                </c:pt>
                <c:pt idx="9">
                  <c:v>684.62343435169566</c:v>
                </c:pt>
                <c:pt idx="10">
                  <c:v>726.78693402241106</c:v>
                </c:pt>
              </c:numCache>
            </c:numRef>
          </c:val>
          <c:smooth val="0"/>
          <c:extLst>
            <c:ext xmlns:c15="http://schemas.microsoft.com/office/drawing/2012/chart" uri="{02D57815-91ED-43cb-92C2-25804820EDAC}">
              <c15:categoryFilterExceptions>
                <c15:categoryFilterException>
                  <c15:sqref>q24_Fig!$M$39</c15:sqref>
                  <c15:dLbl>
                    <c:idx val="10"/>
                    <c:layout>
                      <c:manualLayout>
                        <c:x val="-2.9561038073299333E-2"/>
                        <c:y val="4.5876746975418894E-2"/>
                      </c:manualLayout>
                    </c:layout>
                    <c:dLblPos val="r"/>
                    <c:showLegendKey val="0"/>
                    <c:showVal val="1"/>
                    <c:showCatName val="0"/>
                    <c:showSerName val="0"/>
                    <c:showPercent val="0"/>
                    <c:showBubbleSize val="0"/>
                    <c:separator>
</c:separator>
                    <c:extLst>
                      <c:ext uri="{CE6537A1-D6FC-4f65-9D91-7224C49458BB}"/>
                      <c:ext xmlns:c16="http://schemas.microsoft.com/office/drawing/2014/chart" uri="{C3380CC4-5D6E-409C-BE32-E72D297353CC}">
                        <c16:uniqueId val="{00000003-AE40-4F14-9DF5-17D25639A689}"/>
                      </c:ext>
                    </c:extLst>
                  </c15:dLbl>
                </c15:categoryFilterException>
              </c15:categoryFilterExceptions>
            </c:ext>
            <c:ext xmlns:c16="http://schemas.microsoft.com/office/drawing/2014/chart" uri="{C3380CC4-5D6E-409C-BE32-E72D297353CC}">
              <c16:uniqueId val="{0000002F-5B53-4B60-A47B-4EF33C175AEB}"/>
            </c:ext>
          </c:extLst>
        </c:ser>
        <c:ser>
          <c:idx val="1"/>
          <c:order val="4"/>
          <c:tx>
            <c:strRef>
              <c:f>q24_Fig!$A$36</c:f>
              <c:strCache>
                <c:ptCount val="1"/>
                <c:pt idx="0">
                  <c:v>D9</c:v>
                </c:pt>
              </c:strCache>
            </c:strRef>
          </c:tx>
          <c:spPr>
            <a:ln w="28575" cap="rnd">
              <a:noFill/>
              <a:round/>
            </a:ln>
            <a:effectLst/>
          </c:spPr>
          <c:marker>
            <c:symbol val="dash"/>
            <c:size val="5"/>
            <c:spPr>
              <a:solidFill>
                <a:schemeClr val="accent2"/>
              </a:solidFill>
              <a:ln w="25400">
                <a:solidFill>
                  <a:schemeClr val="accent1"/>
                </a:solidFill>
              </a:ln>
              <a:effectLst/>
            </c:spPr>
          </c:marker>
          <c:dLbls>
            <c:dLbl>
              <c:idx val="0"/>
              <c:layout>
                <c:manualLayout>
                  <c:x val="-1.2567823442540541E-2"/>
                  <c:y val="-4.6384438060961646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30-5B53-4B60-A47B-4EF33C175AEB}"/>
                </c:ext>
              </c:extLst>
            </c:dLbl>
            <c:dLbl>
              <c:idx val="1"/>
              <c:layout>
                <c:manualLayout>
                  <c:x val="-2.5338654910190255E-2"/>
                  <c:y val="-4.2607806767563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B53-4B60-A47B-4EF33C175AEB}"/>
                </c:ext>
              </c:extLst>
            </c:dLbl>
            <c:dLbl>
              <c:idx val="2"/>
              <c:layout>
                <c:manualLayout>
                  <c:x val="-2.7135401553775598E-2"/>
                  <c:y val="-3.9397579336853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5B53-4B60-A47B-4EF33C175AEB}"/>
                </c:ext>
              </c:extLst>
            </c:dLbl>
            <c:dLbl>
              <c:idx val="3"/>
              <c:layout>
                <c:manualLayout>
                  <c:x val="-2.1745161623019604E-2"/>
                  <c:y val="-3.9397579336853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5B53-4B60-A47B-4EF33C175AEB}"/>
                </c:ext>
              </c:extLst>
            </c:dLbl>
            <c:dLbl>
              <c:idx val="4"/>
              <c:layout>
                <c:manualLayout>
                  <c:x val="-2.7135401553775567E-2"/>
                  <c:y val="-4.2607806767563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5B53-4B60-A47B-4EF33C175AEB}"/>
                </c:ext>
              </c:extLst>
            </c:dLbl>
            <c:dLbl>
              <c:idx val="5"/>
              <c:layout>
                <c:manualLayout>
                  <c:x val="-2.5338654910190255E-2"/>
                  <c:y val="-4.2607806767563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5B53-4B60-A47B-4EF33C175AEB}"/>
                </c:ext>
              </c:extLst>
            </c:dLbl>
            <c:dLbl>
              <c:idx val="6"/>
              <c:layout>
                <c:manualLayout>
                  <c:x val="-2.3081123627621918E-2"/>
                  <c:y val="-4.72296191412392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5B53-4B60-A47B-4EF33C175AEB}"/>
                </c:ext>
              </c:extLst>
            </c:dLbl>
            <c:dLbl>
              <c:idx val="7"/>
              <c:layout>
                <c:manualLayout>
                  <c:x val="-2.1745161623019635E-2"/>
                  <c:y val="-4.260780676756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5B53-4B60-A47B-4EF33C175AEB}"/>
                </c:ext>
              </c:extLst>
            </c:dLbl>
            <c:dLbl>
              <c:idx val="8"/>
              <c:layout>
                <c:manualLayout>
                  <c:x val="-2.5338654910190189E-2"/>
                  <c:y val="-4.2607806767563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5B53-4B60-A47B-4EF33C175AEB}"/>
                </c:ext>
              </c:extLst>
            </c:dLbl>
            <c:dLbl>
              <c:idx val="9"/>
              <c:layout>
                <c:manualLayout>
                  <c:x val="-2.5338654910190255E-2"/>
                  <c:y val="-4.260780676756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5B53-4B60-A47B-4EF33C175AEB}"/>
                </c:ext>
              </c:extLst>
            </c:dLbl>
            <c:dLbl>
              <c:idx val="10"/>
              <c:layout>
                <c:manualLayout>
                  <c:x val="-2.7135401553775699E-2"/>
                  <c:y val="-4.260780676756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5B53-4B60-A47B-4EF33C175AEB}"/>
                </c:ext>
              </c:extLst>
            </c:dLbl>
            <c:numFmt formatCode="#,##0\ &quot;€&quot;" sourceLinked="0"/>
            <c:spPr>
              <a:noFill/>
              <a:ln>
                <a:noFill/>
              </a:ln>
              <a:effectLst/>
            </c:spPr>
            <c:txPr>
              <a:bodyPr rot="0" vert="horz"/>
              <a:lstStyle/>
              <a:p>
                <a:pPr>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ysClr val="windowText" lastClr="000000">
                          <a:lumMod val="35000"/>
                          <a:lumOff val="65000"/>
                        </a:sysClr>
                      </a:solidFill>
                      <a:prstDash val="sysDot"/>
                      <a:round/>
                    </a:ln>
                    <a:effectLst/>
                  </c:spPr>
                </c15:leaderLines>
              </c:ext>
            </c:extLst>
          </c:dLbls>
          <c:cat>
            <c:numRef>
              <c:extLst>
                <c:ext xmlns:c15="http://schemas.microsoft.com/office/drawing/2012/chart" uri="{02D57815-91ED-43cb-92C2-25804820EDAC}">
                  <c15:fullRef>
                    <c15:sqref>q24_Fig!$B$34:$N$34</c15:sqref>
                  </c15:fullRef>
                </c:ext>
              </c:extLst>
              <c:f>q24_Fig!$B$34:$L$34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extLst>
                <c:ext xmlns:c15="http://schemas.microsoft.com/office/drawing/2012/chart" uri="{02D57815-91ED-43cb-92C2-25804820EDAC}">
                  <c15:fullRef>
                    <c15:sqref>q24_Fig!$B$36:$N$36</c15:sqref>
                  </c15:fullRef>
                </c:ext>
              </c:extLst>
              <c:f>q24_Fig!$B$36:$L$36</c:f>
              <c:numCache>
                <c:formatCode>#,##0\ "€"</c:formatCode>
                <c:ptCount val="11"/>
                <c:pt idx="0">
                  <c:v>1607.4547352116317</c:v>
                </c:pt>
                <c:pt idx="1">
                  <c:v>1606.653907940198</c:v>
                </c:pt>
                <c:pt idx="2">
                  <c:v>1596.1907082886196</c:v>
                </c:pt>
                <c:pt idx="3">
                  <c:v>1593.9948363994288</c:v>
                </c:pt>
                <c:pt idx="4">
                  <c:v>1597.2320548345199</c:v>
                </c:pt>
                <c:pt idx="5">
                  <c:v>1617.012724232394</c:v>
                </c:pt>
                <c:pt idx="6">
                  <c:v>1663.9378675553935</c:v>
                </c:pt>
                <c:pt idx="7">
                  <c:v>1717.1863239114855</c:v>
                </c:pt>
                <c:pt idx="8">
                  <c:v>1773.488763007615</c:v>
                </c:pt>
                <c:pt idx="9">
                  <c:v>1827.6018119231919</c:v>
                </c:pt>
                <c:pt idx="10">
                  <c:v>1929.9838421200914</c:v>
                </c:pt>
              </c:numCache>
            </c:numRef>
          </c:val>
          <c:smooth val="0"/>
          <c:extLst>
            <c:ext xmlns:c15="http://schemas.microsoft.com/office/drawing/2012/chart" uri="{02D57815-91ED-43cb-92C2-25804820EDAC}">
              <c15:categoryFilterExceptions>
                <c15:categoryFilterException>
                  <c15:sqref>q24_Fig!$M$36</c15:sqref>
                  <c15:dLbl>
                    <c:idx val="10"/>
                    <c:layout>
                      <c:manualLayout>
                        <c:x val="-2.7135401553775567E-2"/>
                        <c:y val="-4.581803419827482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AE40-4F14-9DF5-17D25639A689}"/>
                      </c:ext>
                    </c:extLst>
                  </c15:dLbl>
                </c15:categoryFilterException>
              </c15:categoryFilterExceptions>
            </c:ext>
            <c:ext xmlns:c16="http://schemas.microsoft.com/office/drawing/2014/chart" uri="{C3380CC4-5D6E-409C-BE32-E72D297353CC}">
              <c16:uniqueId val="{0000003B-5B53-4B60-A47B-4EF33C175AEB}"/>
            </c:ext>
          </c:extLst>
        </c:ser>
        <c:dLbls>
          <c:showLegendKey val="0"/>
          <c:showVal val="0"/>
          <c:showCatName val="0"/>
          <c:showSerName val="0"/>
          <c:showPercent val="0"/>
          <c:showBubbleSize val="0"/>
        </c:dLbls>
        <c:hiLowLines>
          <c:spPr>
            <a:ln w="9525" cap="flat" cmpd="sng" algn="ctr">
              <a:solidFill>
                <a:schemeClr val="tx1">
                  <a:lumMod val="75000"/>
                  <a:lumOff val="25000"/>
                  <a:alpha val="21000"/>
                </a:schemeClr>
              </a:solidFill>
              <a:round/>
            </a:ln>
            <a:effectLst/>
          </c:spPr>
        </c:hiLowLines>
        <c:upDownBars>
          <c:gapWidth val="219"/>
          <c:upBars>
            <c:spPr>
              <a:solidFill>
                <a:srgbClr val="4F81BD">
                  <a:lumMod val="60000"/>
                  <a:lumOff val="40000"/>
                  <a:alpha val="57000"/>
                </a:srgbClr>
              </a:solidFill>
              <a:ln w="34925">
                <a:solidFill>
                  <a:schemeClr val="tx2">
                    <a:lumMod val="20000"/>
                    <a:lumOff val="80000"/>
                  </a:schemeClr>
                </a:solidFill>
              </a:ln>
              <a:effectLst/>
              <a:scene3d>
                <a:camera prst="orthographicFront"/>
                <a:lightRig rig="threePt" dir="t"/>
              </a:scene3d>
              <a:sp3d>
                <a:bevelB w="133350"/>
              </a:sp3d>
            </c:spPr>
          </c:upBars>
          <c:downBars>
            <c:spPr>
              <a:solidFill>
                <a:schemeClr val="dk1">
                  <a:lumMod val="65000"/>
                  <a:lumOff val="35000"/>
                </a:schemeClr>
              </a:solidFill>
              <a:ln w="9525">
                <a:solidFill>
                  <a:schemeClr val="tx1">
                    <a:lumMod val="65000"/>
                    <a:lumOff val="35000"/>
                  </a:schemeClr>
                </a:solidFill>
              </a:ln>
              <a:effectLst/>
            </c:spPr>
          </c:downBars>
        </c:upDownBars>
        <c:marker val="1"/>
        <c:smooth val="0"/>
        <c:axId val="1516193728"/>
        <c:axId val="243822752"/>
      </c:lineChart>
      <c:catAx>
        <c:axId val="151619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pt-PT"/>
          </a:p>
        </c:txPr>
        <c:crossAx val="243822752"/>
        <c:crosses val="autoZero"/>
        <c:auto val="1"/>
        <c:lblAlgn val="ctr"/>
        <c:lblOffset val="100"/>
        <c:noMultiLvlLbl val="0"/>
      </c:catAx>
      <c:valAx>
        <c:axId val="243822752"/>
        <c:scaling>
          <c:orientation val="minMax"/>
          <c:max val="4000"/>
        </c:scaling>
        <c:delete val="0"/>
        <c:axPos val="l"/>
        <c:majorGridlines>
          <c:spPr>
            <a:ln w="9525" cap="flat" cmpd="sng" algn="ctr">
              <a:noFill/>
              <a:round/>
            </a:ln>
            <a:effectLst/>
          </c:spPr>
        </c:majorGridlines>
        <c:numFmt formatCode="#,##0\ &quot;€&quot;" sourceLinked="0"/>
        <c:majorTickMark val="none"/>
        <c:minorTickMark val="none"/>
        <c:tickLblPos val="nextTo"/>
        <c:spPr>
          <a:noFill/>
          <a:ln>
            <a:noFill/>
          </a:ln>
          <a:effectLst/>
        </c:spPr>
        <c:txPr>
          <a:bodyPr rot="-60000000" vert="horz"/>
          <a:lstStyle/>
          <a:p>
            <a:pPr>
              <a:defRPr/>
            </a:pPr>
            <a:endParaRPr lang="pt-PT"/>
          </a:p>
        </c:txPr>
        <c:crossAx val="1516193728"/>
        <c:crosses val="autoZero"/>
        <c:crossBetween val="between"/>
        <c:majorUnit val="400"/>
        <c:minorUnit val="20"/>
      </c:valAx>
      <c:spPr>
        <a:noFill/>
        <a:ln>
          <a:noFill/>
        </a:ln>
        <a:effectLst/>
      </c:spPr>
    </c:plotArea>
    <c:plotVisOnly val="1"/>
    <c:dispBlanksAs val="gap"/>
    <c:showDLblsOverMax val="0"/>
  </c:chart>
  <c:spPr>
    <a:noFill/>
    <a:ln w="9525" cap="flat" cmpd="sng" algn="ctr">
      <a:noFill/>
      <a:round/>
    </a:ln>
    <a:effectLst/>
  </c:spPr>
  <c:txPr>
    <a:bodyPr/>
    <a:lstStyle/>
    <a:p>
      <a:pPr>
        <a:defRPr sz="700"/>
      </a:pPr>
      <a:endParaRPr lang="pt-PT"/>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1960500801841724E-2"/>
          <c:y val="6.5949345426542308E-2"/>
          <c:w val="0.77681941078122041"/>
          <c:h val="0.74648887800473851"/>
        </c:manualLayout>
      </c:layout>
      <c:lineChart>
        <c:grouping val="standard"/>
        <c:varyColors val="0"/>
        <c:ser>
          <c:idx val="0"/>
          <c:order val="0"/>
          <c:tx>
            <c:strRef>
              <c:f>q15_q22_q31_Fig!$A$15</c:f>
              <c:strCache>
                <c:ptCount val="1"/>
                <c:pt idx="0">
                  <c:v>Total</c:v>
                </c:pt>
              </c:strCache>
            </c:strRef>
          </c:tx>
          <c:spPr>
            <a:ln w="31750" cap="rnd">
              <a:solidFill>
                <a:srgbClr val="C0504D"/>
              </a:solidFill>
              <a:round/>
            </a:ln>
            <a:effectLst>
              <a:outerShdw blurRad="40000" dist="23000" dir="5400000" rotWithShape="0">
                <a:srgbClr val="000000">
                  <a:alpha val="35000"/>
                </a:srgbClr>
              </a:outerShdw>
            </a:effectLst>
          </c:spPr>
          <c:marker>
            <c:symbol val="none"/>
          </c:marker>
          <c:cat>
            <c:numRef>
              <c:f>q15_q22_q31_Fig!$B$14:$L$14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q15_q22_q31_Fig!$B$15:$L$15</c:f>
              <c:numCache>
                <c:formatCode>#,##0.00\ "€"</c:formatCode>
                <c:ptCount val="11"/>
                <c:pt idx="0">
                  <c:v>915.01247006081212</c:v>
                </c:pt>
                <c:pt idx="1">
                  <c:v>912.18298170177309</c:v>
                </c:pt>
                <c:pt idx="2">
                  <c:v>909.49144915721399</c:v>
                </c:pt>
                <c:pt idx="3">
                  <c:v>913.92544791377406</c:v>
                </c:pt>
                <c:pt idx="4">
                  <c:v>924.9392153090821</c:v>
                </c:pt>
                <c:pt idx="5">
                  <c:v>943.00107511786211</c:v>
                </c:pt>
                <c:pt idx="6">
                  <c:v>970.41689676342503</c:v>
                </c:pt>
                <c:pt idx="7">
                  <c:v>1005.08927925103</c:v>
                </c:pt>
                <c:pt idx="8">
                  <c:v>1041.9948771786001</c:v>
                </c:pt>
                <c:pt idx="9">
                  <c:v>1082.7724697513502</c:v>
                </c:pt>
                <c:pt idx="10">
                  <c:v>1143.44558285689</c:v>
                </c:pt>
              </c:numCache>
            </c:numRef>
          </c:val>
          <c:smooth val="0"/>
          <c:extLst xmlns:c15="http://schemas.microsoft.com/office/drawing/2012/chart">
            <c:ext xmlns:c16="http://schemas.microsoft.com/office/drawing/2014/chart" uri="{C3380CC4-5D6E-409C-BE32-E72D297353CC}">
              <c16:uniqueId val="{00000000-1577-4B7B-9D22-942E73EEF126}"/>
            </c:ext>
          </c:extLst>
        </c:ser>
        <c:ser>
          <c:idx val="1"/>
          <c:order val="1"/>
          <c:tx>
            <c:strRef>
              <c:f>q15_q22_q31_Fig!$A$16</c:f>
              <c:strCache>
                <c:ptCount val="1"/>
                <c:pt idx="0">
                  <c:v>Contrato Coletivo de Trabalho (CCT)</c:v>
                </c:pt>
              </c:strCache>
            </c:strRef>
          </c:tx>
          <c:spPr>
            <a:ln w="31750" cap="rnd">
              <a:solidFill>
                <a:schemeClr val="accent1">
                  <a:shade val="70000"/>
                </a:schemeClr>
              </a:solidFill>
              <a:round/>
            </a:ln>
            <a:effectLst>
              <a:outerShdw blurRad="40000" dist="23000" dir="5400000" rotWithShape="0">
                <a:srgbClr val="000000">
                  <a:alpha val="35000"/>
                </a:srgbClr>
              </a:outerShdw>
            </a:effectLst>
          </c:spPr>
          <c:marker>
            <c:symbol val="none"/>
          </c:marker>
          <c:cat>
            <c:numRef>
              <c:f>q15_q22_q31_Fig!$B$14:$L$14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q15_q22_q31_Fig!$B$16:$L$16</c:f>
              <c:numCache>
                <c:formatCode>#,##0.00\ "€"</c:formatCode>
                <c:ptCount val="11"/>
                <c:pt idx="0">
                  <c:v>815.73128304117904</c:v>
                </c:pt>
                <c:pt idx="1">
                  <c:v>813.4881747481711</c:v>
                </c:pt>
                <c:pt idx="2">
                  <c:v>814.02083717980508</c:v>
                </c:pt>
                <c:pt idx="3">
                  <c:v>822.04129906714195</c:v>
                </c:pt>
                <c:pt idx="4">
                  <c:v>834.10363666816204</c:v>
                </c:pt>
                <c:pt idx="5">
                  <c:v>851.63060290086014</c:v>
                </c:pt>
                <c:pt idx="6">
                  <c:v>878.73251009240107</c:v>
                </c:pt>
                <c:pt idx="7">
                  <c:v>910.69524433091101</c:v>
                </c:pt>
                <c:pt idx="8">
                  <c:v>946.92533128891898</c:v>
                </c:pt>
                <c:pt idx="9">
                  <c:v>985.25969996655317</c:v>
                </c:pt>
                <c:pt idx="10">
                  <c:v>1034.9080896734201</c:v>
                </c:pt>
              </c:numCache>
            </c:numRef>
          </c:val>
          <c:smooth val="0"/>
          <c:extLst>
            <c:ext xmlns:c16="http://schemas.microsoft.com/office/drawing/2014/chart" uri="{C3380CC4-5D6E-409C-BE32-E72D297353CC}">
              <c16:uniqueId val="{00000001-1577-4B7B-9D22-942E73EEF126}"/>
            </c:ext>
          </c:extLst>
        </c:ser>
        <c:ser>
          <c:idx val="2"/>
          <c:order val="2"/>
          <c:tx>
            <c:strRef>
              <c:f>q15_q22_q31_Fig!$A$17</c:f>
              <c:strCache>
                <c:ptCount val="1"/>
                <c:pt idx="0">
                  <c:v>Acordo Coletivo de Trabalho (ACT)</c:v>
                </c:pt>
              </c:strCache>
            </c:strRef>
          </c:tx>
          <c:spPr>
            <a:ln w="31750" cap="rnd">
              <a:solidFill>
                <a:schemeClr val="accent1">
                  <a:shade val="90000"/>
                </a:schemeClr>
              </a:solidFill>
              <a:prstDash val="sysDash"/>
              <a:round/>
            </a:ln>
            <a:effectLst>
              <a:outerShdw blurRad="40000" dist="23000" dir="5400000" rotWithShape="0">
                <a:srgbClr val="000000">
                  <a:alpha val="35000"/>
                </a:srgbClr>
              </a:outerShdw>
            </a:effectLst>
          </c:spPr>
          <c:marker>
            <c:symbol val="none"/>
          </c:marker>
          <c:cat>
            <c:numRef>
              <c:f>q15_q22_q31_Fig!$B$14:$L$14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q15_q22_q31_Fig!$B$17:$L$17</c:f>
              <c:numCache>
                <c:formatCode>#,##0.00\ "€"</c:formatCode>
                <c:ptCount val="11"/>
                <c:pt idx="0">
                  <c:v>1376.0270876395</c:v>
                </c:pt>
                <c:pt idx="1">
                  <c:v>1378.6244393776801</c:v>
                </c:pt>
                <c:pt idx="2">
                  <c:v>1355.4958168956603</c:v>
                </c:pt>
                <c:pt idx="3">
                  <c:v>1369.2197336380902</c:v>
                </c:pt>
                <c:pt idx="4">
                  <c:v>1380.3391355302501</c:v>
                </c:pt>
                <c:pt idx="5">
                  <c:v>1384.8914383662</c:v>
                </c:pt>
                <c:pt idx="6">
                  <c:v>1383.0974336944701</c:v>
                </c:pt>
                <c:pt idx="7">
                  <c:v>1377.83383152794</c:v>
                </c:pt>
                <c:pt idx="8">
                  <c:v>1398.0384962477801</c:v>
                </c:pt>
                <c:pt idx="9">
                  <c:v>1401.2704292384501</c:v>
                </c:pt>
                <c:pt idx="10">
                  <c:v>1434.7019205004801</c:v>
                </c:pt>
              </c:numCache>
            </c:numRef>
          </c:val>
          <c:smooth val="0"/>
          <c:extLst>
            <c:ext xmlns:c16="http://schemas.microsoft.com/office/drawing/2014/chart" uri="{C3380CC4-5D6E-409C-BE32-E72D297353CC}">
              <c16:uniqueId val="{00000002-1577-4B7B-9D22-942E73EEF126}"/>
            </c:ext>
          </c:extLst>
        </c:ser>
        <c:ser>
          <c:idx val="3"/>
          <c:order val="3"/>
          <c:tx>
            <c:strRef>
              <c:f>q15_q22_q31_Fig!$A$18</c:f>
              <c:strCache>
                <c:ptCount val="1"/>
                <c:pt idx="0">
                  <c:v>Portaria de Cond. de Trabalho (PCT)</c:v>
                </c:pt>
              </c:strCache>
            </c:strRef>
          </c:tx>
          <c:spPr>
            <a:ln w="31750" cap="rnd">
              <a:solidFill>
                <a:schemeClr val="accent1">
                  <a:tint val="90000"/>
                </a:schemeClr>
              </a:solidFill>
              <a:round/>
            </a:ln>
            <a:effectLst>
              <a:outerShdw blurRad="40000" dist="23000" dir="5400000" rotWithShape="0">
                <a:srgbClr val="000000">
                  <a:alpha val="35000"/>
                </a:srgbClr>
              </a:outerShdw>
            </a:effectLst>
          </c:spPr>
          <c:marker>
            <c:symbol val="none"/>
          </c:marker>
          <c:cat>
            <c:numRef>
              <c:f>q15_q22_q31_Fig!$B$14:$L$14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q15_q22_q31_Fig!$B$18:$L$18</c:f>
              <c:numCache>
                <c:formatCode>#,##0.00\ "€"</c:formatCode>
                <c:ptCount val="11"/>
                <c:pt idx="0">
                  <c:v>1003.3186551071301</c:v>
                </c:pt>
                <c:pt idx="1">
                  <c:v>977.849031240415</c:v>
                </c:pt>
                <c:pt idx="2">
                  <c:v>972.19149983404202</c:v>
                </c:pt>
                <c:pt idx="3">
                  <c:v>967.53260618618606</c:v>
                </c:pt>
                <c:pt idx="4">
                  <c:v>971.00655059601308</c:v>
                </c:pt>
                <c:pt idx="5">
                  <c:v>992.05088961973115</c:v>
                </c:pt>
                <c:pt idx="6">
                  <c:v>1032.1050968847201</c:v>
                </c:pt>
                <c:pt idx="7">
                  <c:v>1074.6061146719401</c:v>
                </c:pt>
                <c:pt idx="8">
                  <c:v>1119.85925536184</c:v>
                </c:pt>
                <c:pt idx="9">
                  <c:v>1179.74805091185</c:v>
                </c:pt>
                <c:pt idx="10">
                  <c:v>1261.6534208195703</c:v>
                </c:pt>
              </c:numCache>
            </c:numRef>
          </c:val>
          <c:smooth val="0"/>
          <c:extLst>
            <c:ext xmlns:c16="http://schemas.microsoft.com/office/drawing/2014/chart" uri="{C3380CC4-5D6E-409C-BE32-E72D297353CC}">
              <c16:uniqueId val="{00000003-1577-4B7B-9D22-942E73EEF126}"/>
            </c:ext>
          </c:extLst>
        </c:ser>
        <c:ser>
          <c:idx val="4"/>
          <c:order val="4"/>
          <c:tx>
            <c:strRef>
              <c:f>q15_q22_q31_Fig!$A$19</c:f>
              <c:strCache>
                <c:ptCount val="1"/>
                <c:pt idx="0">
                  <c:v>Acordo de Empresa (AE)</c:v>
                </c:pt>
              </c:strCache>
            </c:strRef>
          </c:tx>
          <c:spPr>
            <a:ln w="31750" cap="rnd">
              <a:solidFill>
                <a:schemeClr val="accent1">
                  <a:tint val="70000"/>
                </a:schemeClr>
              </a:solidFill>
              <a:round/>
            </a:ln>
            <a:effectLst>
              <a:outerShdw blurRad="40000" dist="23000" dir="5400000" rotWithShape="0">
                <a:srgbClr val="000000">
                  <a:alpha val="35000"/>
                </a:srgbClr>
              </a:outerShdw>
            </a:effectLst>
          </c:spPr>
          <c:marker>
            <c:symbol val="none"/>
          </c:marker>
          <c:cat>
            <c:numRef>
              <c:f>q15_q22_q31_Fig!$B$14:$L$14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q15_q22_q31_Fig!$B$19:$L$19</c:f>
              <c:numCache>
                <c:formatCode>#,##0.00\ "€"</c:formatCode>
                <c:ptCount val="11"/>
                <c:pt idx="0">
                  <c:v>1435.5730436060301</c:v>
                </c:pt>
                <c:pt idx="1">
                  <c:v>1450.62996858208</c:v>
                </c:pt>
                <c:pt idx="2">
                  <c:v>1444.7042007547402</c:v>
                </c:pt>
                <c:pt idx="3">
                  <c:v>1449.0004375586902</c:v>
                </c:pt>
                <c:pt idx="4">
                  <c:v>1443.0238781438302</c:v>
                </c:pt>
                <c:pt idx="5">
                  <c:v>1460.9444853935702</c:v>
                </c:pt>
                <c:pt idx="6">
                  <c:v>1499.23372940582</c:v>
                </c:pt>
                <c:pt idx="7">
                  <c:v>1520.6541635813298</c:v>
                </c:pt>
                <c:pt idx="8">
                  <c:v>1451.8981710683702</c:v>
                </c:pt>
                <c:pt idx="9">
                  <c:v>1476.8648039653601</c:v>
                </c:pt>
                <c:pt idx="10">
                  <c:v>1594.67102138462</c:v>
                </c:pt>
              </c:numCache>
            </c:numRef>
          </c:val>
          <c:smooth val="0"/>
          <c:extLst>
            <c:ext xmlns:c16="http://schemas.microsoft.com/office/drawing/2014/chart" uri="{C3380CC4-5D6E-409C-BE32-E72D297353CC}">
              <c16:uniqueId val="{00000004-1577-4B7B-9D22-942E73EEF126}"/>
            </c:ext>
          </c:extLst>
        </c:ser>
        <c:ser>
          <c:idx val="5"/>
          <c:order val="5"/>
          <c:tx>
            <c:strRef>
              <c:f>q15_q22_q31_Fig!$A$20</c:f>
              <c:strCache>
                <c:ptCount val="1"/>
                <c:pt idx="0">
                  <c:v>Não Abrangidos por Regulamentação Coletiva</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cat>
            <c:numRef>
              <c:f>q15_q22_q31_Fig!$B$14:$L$14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q15_q22_q31_Fig!$B$20:$L$20</c:f>
              <c:numCache>
                <c:formatCode>#,##0.00\ "€"</c:formatCode>
                <c:ptCount val="11"/>
                <c:pt idx="0">
                  <c:v>1145.50271467018</c:v>
                </c:pt>
                <c:pt idx="1">
                  <c:v>1130.79594059595</c:v>
                </c:pt>
                <c:pt idx="2">
                  <c:v>1121.3991062045302</c:v>
                </c:pt>
                <c:pt idx="3">
                  <c:v>1104.3485605287301</c:v>
                </c:pt>
                <c:pt idx="4">
                  <c:v>1107.4664177878999</c:v>
                </c:pt>
                <c:pt idx="5">
                  <c:v>1109.8148570103201</c:v>
                </c:pt>
                <c:pt idx="6">
                  <c:v>1145.6190469043202</c:v>
                </c:pt>
                <c:pt idx="7">
                  <c:v>1184.11156501853</c:v>
                </c:pt>
                <c:pt idx="8">
                  <c:v>1211.96760098903</c:v>
                </c:pt>
                <c:pt idx="9">
                  <c:v>1273.5616838785299</c:v>
                </c:pt>
                <c:pt idx="10">
                  <c:v>1356.6058294637401</c:v>
                </c:pt>
              </c:numCache>
            </c:numRef>
          </c:val>
          <c:smooth val="0"/>
          <c:extLst>
            <c:ext xmlns:c16="http://schemas.microsoft.com/office/drawing/2014/chart" uri="{C3380CC4-5D6E-409C-BE32-E72D297353CC}">
              <c16:uniqueId val="{00000005-1577-4B7B-9D22-942E73EEF126}"/>
            </c:ext>
          </c:extLst>
        </c:ser>
        <c:dLbls>
          <c:showLegendKey val="0"/>
          <c:showVal val="0"/>
          <c:showCatName val="0"/>
          <c:showSerName val="0"/>
          <c:showPercent val="0"/>
          <c:showBubbleSize val="0"/>
        </c:dLbls>
        <c:smooth val="0"/>
        <c:axId val="164075663"/>
        <c:axId val="442964127"/>
      </c:lineChart>
      <c:catAx>
        <c:axId val="16407566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442964127"/>
        <c:crosses val="autoZero"/>
        <c:auto val="1"/>
        <c:lblAlgn val="ctr"/>
        <c:lblOffset val="100"/>
        <c:noMultiLvlLbl val="0"/>
      </c:catAx>
      <c:valAx>
        <c:axId val="442964127"/>
        <c:scaling>
          <c:orientation val="minMax"/>
          <c:max val="2500"/>
          <c:min val="0"/>
        </c:scaling>
        <c:delete val="0"/>
        <c:axPos val="l"/>
        <c:majorGridlines>
          <c:spPr>
            <a:ln w="9525" cap="flat" cmpd="sng" algn="ctr">
              <a:noFill/>
              <a:round/>
            </a:ln>
            <a:effectLst/>
          </c:spPr>
        </c:majorGridlines>
        <c:numFmt formatCode="#,##0\ &quot;€&quot;" sourceLinked="0"/>
        <c:majorTickMark val="none"/>
        <c:minorTickMark val="none"/>
        <c:tickLblPos val="high"/>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64075663"/>
        <c:crosses val="autoZero"/>
        <c:crossBetween val="between"/>
        <c:majorUnit val="500"/>
        <c:minorUnit val="5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22003499562555"/>
          <c:y val="0.13152482269503546"/>
          <c:w val="0.84854399038524708"/>
          <c:h val="0.68091324320084134"/>
        </c:manualLayout>
      </c:layout>
      <c:lineChart>
        <c:grouping val="standard"/>
        <c:varyColors val="0"/>
        <c:ser>
          <c:idx val="0"/>
          <c:order val="0"/>
          <c:tx>
            <c:strRef>
              <c:f>q15_q22_q31_Fig!$A$26</c:f>
              <c:strCache>
                <c:ptCount val="1"/>
                <c:pt idx="0">
                  <c:v>Total</c:v>
                </c:pt>
              </c:strCache>
            </c:strRef>
          </c:tx>
          <c:spPr>
            <a:ln w="31750" cap="rnd">
              <a:solidFill>
                <a:srgbClr val="C0504D"/>
              </a:solidFill>
              <a:round/>
            </a:ln>
            <a:effectLst>
              <a:outerShdw blurRad="40000" dist="23000" dir="5400000" rotWithShape="0">
                <a:srgbClr val="000000">
                  <a:alpha val="35000"/>
                </a:srgbClr>
              </a:outerShdw>
            </a:effectLst>
          </c:spPr>
          <c:marker>
            <c:symbol val="none"/>
          </c:marker>
          <c:cat>
            <c:numRef>
              <c:f>q15_q22_q31_Fig!$B$25:$L$25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q15_q22_q31_Fig!$B$26:$L$26</c:f>
              <c:numCache>
                <c:formatCode>#,##0.00\ "€"</c:formatCode>
                <c:ptCount val="11"/>
                <c:pt idx="0">
                  <c:v>1095.58619281857</c:v>
                </c:pt>
                <c:pt idx="1">
                  <c:v>1093.8178723953499</c:v>
                </c:pt>
                <c:pt idx="2">
                  <c:v>1093.20854089105</c:v>
                </c:pt>
                <c:pt idx="3">
                  <c:v>1096.65734127991</c:v>
                </c:pt>
                <c:pt idx="4">
                  <c:v>1107.85636561875</c:v>
                </c:pt>
                <c:pt idx="5">
                  <c:v>1133.34288689707</c:v>
                </c:pt>
                <c:pt idx="6">
                  <c:v>1170.2525051678801</c:v>
                </c:pt>
                <c:pt idx="7">
                  <c:v>1209.93900485576</c:v>
                </c:pt>
                <c:pt idx="8">
                  <c:v>1250.75197084447</c:v>
                </c:pt>
                <c:pt idx="9">
                  <c:v>1294.10894067238</c:v>
                </c:pt>
                <c:pt idx="10">
                  <c:v>1367.9952489883699</c:v>
                </c:pt>
              </c:numCache>
            </c:numRef>
          </c:val>
          <c:smooth val="0"/>
          <c:extLst xmlns:c15="http://schemas.microsoft.com/office/drawing/2012/chart">
            <c:ext xmlns:c16="http://schemas.microsoft.com/office/drawing/2014/chart" uri="{C3380CC4-5D6E-409C-BE32-E72D297353CC}">
              <c16:uniqueId val="{00000000-B297-49E2-8F45-2ACDF6C0187E}"/>
            </c:ext>
          </c:extLst>
        </c:ser>
        <c:ser>
          <c:idx val="1"/>
          <c:order val="1"/>
          <c:tx>
            <c:strRef>
              <c:f>q15_q22_q31_Fig!$A$27</c:f>
              <c:strCache>
                <c:ptCount val="1"/>
                <c:pt idx="0">
                  <c:v>Contrato Coletivo de Trabalho (CCT)</c:v>
                </c:pt>
              </c:strCache>
            </c:strRef>
          </c:tx>
          <c:spPr>
            <a:ln w="31750" cap="rnd">
              <a:solidFill>
                <a:schemeClr val="accent1">
                  <a:shade val="70000"/>
                </a:schemeClr>
              </a:solidFill>
              <a:round/>
            </a:ln>
            <a:effectLst>
              <a:outerShdw blurRad="40000" dist="23000" dir="5400000" rotWithShape="0">
                <a:srgbClr val="000000">
                  <a:alpha val="35000"/>
                </a:srgbClr>
              </a:outerShdw>
            </a:effectLst>
          </c:spPr>
          <c:marker>
            <c:symbol val="none"/>
          </c:marker>
          <c:cat>
            <c:numRef>
              <c:f>q15_q22_q31_Fig!$B$25:$L$25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q15_q22_q31_Fig!$B$27:$L$27</c:f>
              <c:numCache>
                <c:formatCode>#,##0.00\ "€"</c:formatCode>
                <c:ptCount val="11"/>
                <c:pt idx="0">
                  <c:v>955.64682588255505</c:v>
                </c:pt>
                <c:pt idx="1">
                  <c:v>956.89344447295503</c:v>
                </c:pt>
                <c:pt idx="2">
                  <c:v>958.20500277867404</c:v>
                </c:pt>
                <c:pt idx="3">
                  <c:v>967.67646106531708</c:v>
                </c:pt>
                <c:pt idx="4">
                  <c:v>981.32448671217503</c:v>
                </c:pt>
                <c:pt idx="5">
                  <c:v>1003.5898675700201</c:v>
                </c:pt>
                <c:pt idx="6">
                  <c:v>1039.9638386526601</c:v>
                </c:pt>
                <c:pt idx="7">
                  <c:v>1077.2172660102301</c:v>
                </c:pt>
                <c:pt idx="8">
                  <c:v>1117.69800789342</c:v>
                </c:pt>
                <c:pt idx="9">
                  <c:v>1159.7548195397701</c:v>
                </c:pt>
                <c:pt idx="10">
                  <c:v>1221.48294868422</c:v>
                </c:pt>
              </c:numCache>
            </c:numRef>
          </c:val>
          <c:smooth val="0"/>
          <c:extLst>
            <c:ext xmlns:c16="http://schemas.microsoft.com/office/drawing/2014/chart" uri="{C3380CC4-5D6E-409C-BE32-E72D297353CC}">
              <c16:uniqueId val="{00000001-B297-49E2-8F45-2ACDF6C0187E}"/>
            </c:ext>
          </c:extLst>
        </c:ser>
        <c:ser>
          <c:idx val="2"/>
          <c:order val="2"/>
          <c:tx>
            <c:strRef>
              <c:f>q15_q22_q31_Fig!$A$28</c:f>
              <c:strCache>
                <c:ptCount val="1"/>
                <c:pt idx="0">
                  <c:v>Acordo Coletivo de Trabalho (ACT)</c:v>
                </c:pt>
              </c:strCache>
            </c:strRef>
          </c:tx>
          <c:spPr>
            <a:ln w="31750" cap="rnd">
              <a:solidFill>
                <a:schemeClr val="accent1">
                  <a:shade val="90000"/>
                </a:schemeClr>
              </a:solidFill>
              <a:prstDash val="sysDash"/>
              <a:round/>
            </a:ln>
            <a:effectLst>
              <a:outerShdw blurRad="40000" dist="23000" dir="5400000" rotWithShape="0">
                <a:srgbClr val="000000">
                  <a:alpha val="35000"/>
                </a:srgbClr>
              </a:outerShdw>
            </a:effectLst>
          </c:spPr>
          <c:marker>
            <c:symbol val="none"/>
          </c:marker>
          <c:cat>
            <c:numRef>
              <c:f>q15_q22_q31_Fig!$B$25:$L$25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q15_q22_q31_Fig!$B$28:$L$28</c:f>
              <c:numCache>
                <c:formatCode>#,##0.00\ "€"</c:formatCode>
                <c:ptCount val="11"/>
                <c:pt idx="0">
                  <c:v>1908.18202827296</c:v>
                </c:pt>
                <c:pt idx="1">
                  <c:v>1912.2494346834803</c:v>
                </c:pt>
                <c:pt idx="2">
                  <c:v>1928.42994649254</c:v>
                </c:pt>
                <c:pt idx="3">
                  <c:v>1936.6701349091302</c:v>
                </c:pt>
                <c:pt idx="4">
                  <c:v>1944.8063643980902</c:v>
                </c:pt>
                <c:pt idx="5">
                  <c:v>1970.6722500314002</c:v>
                </c:pt>
                <c:pt idx="6">
                  <c:v>1974.6872306305902</c:v>
                </c:pt>
                <c:pt idx="7">
                  <c:v>1933.53496137507</c:v>
                </c:pt>
                <c:pt idx="8">
                  <c:v>1966.24727405526</c:v>
                </c:pt>
                <c:pt idx="9">
                  <c:v>1956.6139353409799</c:v>
                </c:pt>
                <c:pt idx="10">
                  <c:v>2014.5990164783902</c:v>
                </c:pt>
              </c:numCache>
            </c:numRef>
          </c:val>
          <c:smooth val="0"/>
          <c:extLst>
            <c:ext xmlns:c16="http://schemas.microsoft.com/office/drawing/2014/chart" uri="{C3380CC4-5D6E-409C-BE32-E72D297353CC}">
              <c16:uniqueId val="{00000002-B297-49E2-8F45-2ACDF6C0187E}"/>
            </c:ext>
          </c:extLst>
        </c:ser>
        <c:ser>
          <c:idx val="3"/>
          <c:order val="3"/>
          <c:tx>
            <c:strRef>
              <c:f>q15_q22_q31_Fig!$A$29</c:f>
              <c:strCache>
                <c:ptCount val="1"/>
                <c:pt idx="0">
                  <c:v>Portaria de Cond. de Trabalho (PCT)</c:v>
                </c:pt>
              </c:strCache>
            </c:strRef>
          </c:tx>
          <c:spPr>
            <a:ln w="31750" cap="rnd">
              <a:solidFill>
                <a:schemeClr val="accent1">
                  <a:tint val="90000"/>
                </a:schemeClr>
              </a:solidFill>
              <a:round/>
            </a:ln>
            <a:effectLst>
              <a:outerShdw blurRad="40000" dist="23000" dir="5400000" rotWithShape="0">
                <a:srgbClr val="000000">
                  <a:alpha val="35000"/>
                </a:srgbClr>
              </a:outerShdw>
            </a:effectLst>
          </c:spPr>
          <c:marker>
            <c:symbol val="none"/>
          </c:marker>
          <c:cat>
            <c:numRef>
              <c:f>q15_q22_q31_Fig!$B$25:$L$25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q15_q22_q31_Fig!$B$29:$L$29</c:f>
              <c:numCache>
                <c:formatCode>#,##0.00\ "€"</c:formatCode>
                <c:ptCount val="11"/>
                <c:pt idx="0">
                  <c:v>1144.29696067706</c:v>
                </c:pt>
                <c:pt idx="1">
                  <c:v>1115.6638568862202</c:v>
                </c:pt>
                <c:pt idx="2">
                  <c:v>1112.8313962765201</c:v>
                </c:pt>
                <c:pt idx="3">
                  <c:v>1108.65016876663</c:v>
                </c:pt>
                <c:pt idx="4">
                  <c:v>1109.6858952647199</c:v>
                </c:pt>
                <c:pt idx="5">
                  <c:v>1137.2384368102601</c:v>
                </c:pt>
                <c:pt idx="6">
                  <c:v>1189.5224226442501</c:v>
                </c:pt>
                <c:pt idx="7">
                  <c:v>1243.7106344106001</c:v>
                </c:pt>
                <c:pt idx="8">
                  <c:v>1290.4686455113201</c:v>
                </c:pt>
                <c:pt idx="9">
                  <c:v>1355.9643424749001</c:v>
                </c:pt>
                <c:pt idx="10">
                  <c:v>1448.6308246580702</c:v>
                </c:pt>
              </c:numCache>
            </c:numRef>
          </c:val>
          <c:smooth val="0"/>
          <c:extLst>
            <c:ext xmlns:c16="http://schemas.microsoft.com/office/drawing/2014/chart" uri="{C3380CC4-5D6E-409C-BE32-E72D297353CC}">
              <c16:uniqueId val="{00000003-B297-49E2-8F45-2ACDF6C0187E}"/>
            </c:ext>
          </c:extLst>
        </c:ser>
        <c:ser>
          <c:idx val="4"/>
          <c:order val="4"/>
          <c:tx>
            <c:strRef>
              <c:f>q15_q22_q31_Fig!$A$30</c:f>
              <c:strCache>
                <c:ptCount val="1"/>
                <c:pt idx="0">
                  <c:v>Acordo de Empresa (AE)</c:v>
                </c:pt>
              </c:strCache>
            </c:strRef>
          </c:tx>
          <c:spPr>
            <a:ln w="31750" cap="rnd">
              <a:solidFill>
                <a:schemeClr val="accent1">
                  <a:tint val="70000"/>
                </a:schemeClr>
              </a:solidFill>
              <a:round/>
            </a:ln>
            <a:effectLst>
              <a:outerShdw blurRad="40000" dist="23000" dir="5400000" rotWithShape="0">
                <a:srgbClr val="000000">
                  <a:alpha val="35000"/>
                </a:srgbClr>
              </a:outerShdw>
            </a:effectLst>
          </c:spPr>
          <c:marker>
            <c:symbol val="none"/>
          </c:marker>
          <c:cat>
            <c:numRef>
              <c:f>q15_q22_q31_Fig!$B$25:$L$25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q15_q22_q31_Fig!$B$30:$L$30</c:f>
              <c:numCache>
                <c:formatCode>#,##0.00\ "€"</c:formatCode>
                <c:ptCount val="11"/>
                <c:pt idx="0">
                  <c:v>1974.4607654846202</c:v>
                </c:pt>
                <c:pt idx="1">
                  <c:v>1992.38037628094</c:v>
                </c:pt>
                <c:pt idx="2">
                  <c:v>2002.28224822838</c:v>
                </c:pt>
                <c:pt idx="3">
                  <c:v>1985.4069352112701</c:v>
                </c:pt>
                <c:pt idx="4">
                  <c:v>1982.6261480277801</c:v>
                </c:pt>
                <c:pt idx="5">
                  <c:v>2024.6800829673002</c:v>
                </c:pt>
                <c:pt idx="6">
                  <c:v>2085.6040009542803</c:v>
                </c:pt>
                <c:pt idx="7">
                  <c:v>2111.39594203463</c:v>
                </c:pt>
                <c:pt idx="8">
                  <c:v>1993.2370089608601</c:v>
                </c:pt>
                <c:pt idx="9">
                  <c:v>2027.84448523796</c:v>
                </c:pt>
                <c:pt idx="10">
                  <c:v>2202.5417862601503</c:v>
                </c:pt>
              </c:numCache>
            </c:numRef>
          </c:val>
          <c:smooth val="0"/>
          <c:extLst>
            <c:ext xmlns:c16="http://schemas.microsoft.com/office/drawing/2014/chart" uri="{C3380CC4-5D6E-409C-BE32-E72D297353CC}">
              <c16:uniqueId val="{00000004-B297-49E2-8F45-2ACDF6C0187E}"/>
            </c:ext>
          </c:extLst>
        </c:ser>
        <c:ser>
          <c:idx val="5"/>
          <c:order val="5"/>
          <c:tx>
            <c:strRef>
              <c:f>q15_q22_q31_Fig!$A$31</c:f>
              <c:strCache>
                <c:ptCount val="1"/>
                <c:pt idx="0">
                  <c:v>Não Abrangidos por Regulamentação Coletiva</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cat>
            <c:numRef>
              <c:f>q15_q22_q31_Fig!$B$25:$L$25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q15_q22_q31_Fig!$B$31:$L$31</c:f>
              <c:numCache>
                <c:formatCode>#,##0.00\ "€"</c:formatCode>
                <c:ptCount val="11"/>
                <c:pt idx="0">
                  <c:v>1354.0202409758001</c:v>
                </c:pt>
                <c:pt idx="1">
                  <c:v>1327.3704807214201</c:v>
                </c:pt>
                <c:pt idx="2">
                  <c:v>1313.2961630600998</c:v>
                </c:pt>
                <c:pt idx="3">
                  <c:v>1292.2137049949001</c:v>
                </c:pt>
                <c:pt idx="4">
                  <c:v>1292.3703148746301</c:v>
                </c:pt>
                <c:pt idx="5">
                  <c:v>1303.6216947245603</c:v>
                </c:pt>
                <c:pt idx="6">
                  <c:v>1350.4270558646601</c:v>
                </c:pt>
                <c:pt idx="7">
                  <c:v>1400.2172910262402</c:v>
                </c:pt>
                <c:pt idx="8">
                  <c:v>1426.5992051012902</c:v>
                </c:pt>
                <c:pt idx="9">
                  <c:v>1489.7074562074399</c:v>
                </c:pt>
                <c:pt idx="10">
                  <c:v>1584.34668862377</c:v>
                </c:pt>
              </c:numCache>
            </c:numRef>
          </c:val>
          <c:smooth val="0"/>
          <c:extLst>
            <c:ext xmlns:c16="http://schemas.microsoft.com/office/drawing/2014/chart" uri="{C3380CC4-5D6E-409C-BE32-E72D297353CC}">
              <c16:uniqueId val="{00000005-B297-49E2-8F45-2ACDF6C0187E}"/>
            </c:ext>
          </c:extLst>
        </c:ser>
        <c:dLbls>
          <c:showLegendKey val="0"/>
          <c:showVal val="0"/>
          <c:showCatName val="0"/>
          <c:showSerName val="0"/>
          <c:showPercent val="0"/>
          <c:showBubbleSize val="0"/>
        </c:dLbls>
        <c:smooth val="0"/>
        <c:axId val="164075663"/>
        <c:axId val="442964127"/>
      </c:lineChart>
      <c:catAx>
        <c:axId val="16407566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442964127"/>
        <c:crosses val="autoZero"/>
        <c:auto val="1"/>
        <c:lblAlgn val="ctr"/>
        <c:lblOffset val="100"/>
        <c:noMultiLvlLbl val="0"/>
      </c:catAx>
      <c:valAx>
        <c:axId val="442964127"/>
        <c:scaling>
          <c:orientation val="minMax"/>
          <c:max val="2500"/>
          <c:min val="0"/>
        </c:scaling>
        <c:delete val="1"/>
        <c:axPos val="l"/>
        <c:majorGridlines>
          <c:spPr>
            <a:ln w="9525" cap="flat" cmpd="sng" algn="ctr">
              <a:noFill/>
              <a:round/>
            </a:ln>
            <a:effectLst/>
          </c:spPr>
        </c:majorGridlines>
        <c:numFmt formatCode="#,##0\ &quot;€&quot;" sourceLinked="0"/>
        <c:majorTickMark val="out"/>
        <c:minorTickMark val="none"/>
        <c:tickLblPos val="nextTo"/>
        <c:crossAx val="164075663"/>
        <c:crosses val="autoZero"/>
        <c:crossBetween val="between"/>
        <c:majorUnit val="500"/>
        <c:minorUnit val="5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579149606299213"/>
          <c:y val="0.12026229508196722"/>
          <c:w val="0.74945871766029237"/>
          <c:h val="0.77416152489135581"/>
        </c:manualLayout>
      </c:layout>
      <c:lineChart>
        <c:grouping val="standard"/>
        <c:varyColors val="0"/>
        <c:ser>
          <c:idx val="0"/>
          <c:order val="0"/>
          <c:tx>
            <c:strRef>
              <c:f>q15_q22_q31_Fig!$A$5</c:f>
              <c:strCache>
                <c:ptCount val="1"/>
                <c:pt idx="0">
                  <c:v>Total</c:v>
                </c:pt>
              </c:strCache>
            </c:strRef>
          </c:tx>
          <c:spPr>
            <a:ln w="31750" cap="rnd">
              <a:solidFill>
                <a:srgbClr val="C0504D"/>
              </a:solidFill>
              <a:round/>
            </a:ln>
            <a:effectLst>
              <a:outerShdw blurRad="40000" dist="23000" dir="5400000" rotWithShape="0">
                <a:srgbClr val="000000">
                  <a:alpha val="35000"/>
                </a:srgbClr>
              </a:outerShdw>
            </a:effectLst>
          </c:spPr>
          <c:marker>
            <c:symbol val="none"/>
          </c:marker>
          <c:cat>
            <c:numRef>
              <c:f>q15_q22_q31_Fig!$B$4:$L$4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q15_q22_q31_Fig!$B$5:$L$5</c:f>
              <c:numCache>
                <c:formatCode>#,##0</c:formatCode>
                <c:ptCount val="11"/>
                <c:pt idx="0">
                  <c:v>2387386</c:v>
                </c:pt>
                <c:pt idx="1">
                  <c:v>2384121</c:v>
                </c:pt>
                <c:pt idx="2">
                  <c:v>2458163</c:v>
                </c:pt>
                <c:pt idx="3">
                  <c:v>2537653</c:v>
                </c:pt>
                <c:pt idx="4">
                  <c:v>2641919</c:v>
                </c:pt>
                <c:pt idx="5">
                  <c:v>2767521</c:v>
                </c:pt>
                <c:pt idx="6">
                  <c:v>2877918</c:v>
                </c:pt>
                <c:pt idx="7">
                  <c:v>2930482</c:v>
                </c:pt>
                <c:pt idx="8">
                  <c:v>2902825</c:v>
                </c:pt>
                <c:pt idx="9">
                  <c:v>2922343</c:v>
                </c:pt>
                <c:pt idx="10">
                  <c:v>3148147</c:v>
                </c:pt>
              </c:numCache>
            </c:numRef>
          </c:val>
          <c:smooth val="0"/>
          <c:extLst xmlns:c15="http://schemas.microsoft.com/office/drawing/2012/chart">
            <c:ext xmlns:c16="http://schemas.microsoft.com/office/drawing/2014/chart" uri="{C3380CC4-5D6E-409C-BE32-E72D297353CC}">
              <c16:uniqueId val="{00000000-20B8-469E-BB4C-D853424C39EE}"/>
            </c:ext>
          </c:extLst>
        </c:ser>
        <c:ser>
          <c:idx val="1"/>
          <c:order val="1"/>
          <c:tx>
            <c:strRef>
              <c:f>q15_q22_q31_Fig!$A$6</c:f>
              <c:strCache>
                <c:ptCount val="1"/>
                <c:pt idx="0">
                  <c:v>Contrato Coletivo de Trabalho (CCT)</c:v>
                </c:pt>
              </c:strCache>
            </c:strRef>
          </c:tx>
          <c:spPr>
            <a:ln w="31750" cap="rnd">
              <a:solidFill>
                <a:schemeClr val="accent1">
                  <a:shade val="70000"/>
                </a:schemeClr>
              </a:solidFill>
              <a:round/>
            </a:ln>
            <a:effectLst>
              <a:outerShdw blurRad="40000" dist="23000" dir="5400000" rotWithShape="0">
                <a:srgbClr val="000000">
                  <a:alpha val="35000"/>
                </a:srgbClr>
              </a:outerShdw>
            </a:effectLst>
          </c:spPr>
          <c:marker>
            <c:symbol val="none"/>
          </c:marker>
          <c:cat>
            <c:numRef>
              <c:f>q15_q22_q31_Fig!$B$4:$L$4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q15_q22_q31_Fig!$B$6:$L$6</c:f>
              <c:numCache>
                <c:formatCode>#,##0</c:formatCode>
                <c:ptCount val="11"/>
                <c:pt idx="0">
                  <c:v>1775773</c:v>
                </c:pt>
                <c:pt idx="1">
                  <c:v>1752648</c:v>
                </c:pt>
                <c:pt idx="2">
                  <c:v>1802130</c:v>
                </c:pt>
                <c:pt idx="3">
                  <c:v>1855203</c:v>
                </c:pt>
                <c:pt idx="4">
                  <c:v>1911498</c:v>
                </c:pt>
                <c:pt idx="5">
                  <c:v>1975887</c:v>
                </c:pt>
                <c:pt idx="6">
                  <c:v>2073822</c:v>
                </c:pt>
                <c:pt idx="7">
                  <c:v>2078465</c:v>
                </c:pt>
                <c:pt idx="8">
                  <c:v>2014412</c:v>
                </c:pt>
                <c:pt idx="9">
                  <c:v>2031422</c:v>
                </c:pt>
                <c:pt idx="10">
                  <c:v>2174986</c:v>
                </c:pt>
              </c:numCache>
            </c:numRef>
          </c:val>
          <c:smooth val="0"/>
          <c:extLst>
            <c:ext xmlns:c16="http://schemas.microsoft.com/office/drawing/2014/chart" uri="{C3380CC4-5D6E-409C-BE32-E72D297353CC}">
              <c16:uniqueId val="{00000001-20B8-469E-BB4C-D853424C39EE}"/>
            </c:ext>
          </c:extLst>
        </c:ser>
        <c:ser>
          <c:idx val="2"/>
          <c:order val="2"/>
          <c:tx>
            <c:strRef>
              <c:f>q15_q22_q31_Fig!$A$7</c:f>
              <c:strCache>
                <c:ptCount val="1"/>
                <c:pt idx="0">
                  <c:v>Acordo Coletivo de Trabalho (ACT)</c:v>
                </c:pt>
              </c:strCache>
            </c:strRef>
          </c:tx>
          <c:spPr>
            <a:ln w="31750" cap="rnd">
              <a:solidFill>
                <a:schemeClr val="accent1">
                  <a:shade val="90000"/>
                </a:schemeClr>
              </a:solidFill>
              <a:prstDash val="sysDash"/>
              <a:round/>
            </a:ln>
            <a:effectLst>
              <a:outerShdw blurRad="40000" dist="23000" dir="5400000" rotWithShape="0">
                <a:srgbClr val="000000">
                  <a:alpha val="35000"/>
                </a:srgbClr>
              </a:outerShdw>
            </a:effectLst>
          </c:spPr>
          <c:marker>
            <c:symbol val="none"/>
          </c:marker>
          <c:cat>
            <c:numRef>
              <c:f>q15_q22_q31_Fig!$B$4:$L$4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q15_q22_q31_Fig!$B$7:$L$7</c:f>
              <c:numCache>
                <c:formatCode>#,##0</c:formatCode>
                <c:ptCount val="11"/>
                <c:pt idx="0">
                  <c:v>97097</c:v>
                </c:pt>
                <c:pt idx="1">
                  <c:v>97694</c:v>
                </c:pt>
                <c:pt idx="2">
                  <c:v>97038</c:v>
                </c:pt>
                <c:pt idx="3">
                  <c:v>99532</c:v>
                </c:pt>
                <c:pt idx="4">
                  <c:v>101183</c:v>
                </c:pt>
                <c:pt idx="5">
                  <c:v>106693</c:v>
                </c:pt>
                <c:pt idx="6">
                  <c:v>109690</c:v>
                </c:pt>
                <c:pt idx="7">
                  <c:v>104297</c:v>
                </c:pt>
                <c:pt idx="8">
                  <c:v>118636</c:v>
                </c:pt>
                <c:pt idx="9">
                  <c:v>118983</c:v>
                </c:pt>
                <c:pt idx="10">
                  <c:v>122759</c:v>
                </c:pt>
              </c:numCache>
            </c:numRef>
          </c:val>
          <c:smooth val="0"/>
          <c:extLst>
            <c:ext xmlns:c16="http://schemas.microsoft.com/office/drawing/2014/chart" uri="{C3380CC4-5D6E-409C-BE32-E72D297353CC}">
              <c16:uniqueId val="{00000002-20B8-469E-BB4C-D853424C39EE}"/>
            </c:ext>
          </c:extLst>
        </c:ser>
        <c:ser>
          <c:idx val="3"/>
          <c:order val="3"/>
          <c:tx>
            <c:strRef>
              <c:f>q15_q22_q31_Fig!$A$8</c:f>
              <c:strCache>
                <c:ptCount val="1"/>
                <c:pt idx="0">
                  <c:v>Portaria de Cond. de Trabalho (PCT)</c:v>
                </c:pt>
              </c:strCache>
            </c:strRef>
          </c:tx>
          <c:spPr>
            <a:ln w="31750" cap="rnd">
              <a:solidFill>
                <a:schemeClr val="accent1">
                  <a:tint val="90000"/>
                </a:schemeClr>
              </a:solidFill>
              <a:round/>
            </a:ln>
            <a:effectLst>
              <a:outerShdw blurRad="40000" dist="23000" dir="5400000" rotWithShape="0">
                <a:srgbClr val="000000">
                  <a:alpha val="35000"/>
                </a:srgbClr>
              </a:outerShdw>
            </a:effectLst>
          </c:spPr>
          <c:marker>
            <c:symbol val="none"/>
          </c:marker>
          <c:cat>
            <c:numRef>
              <c:f>q15_q22_q31_Fig!$B$4:$L$4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q15_q22_q31_Fig!$B$8:$L$8</c:f>
              <c:numCache>
                <c:formatCode>#,##0</c:formatCode>
                <c:ptCount val="11"/>
                <c:pt idx="0">
                  <c:v>186893</c:v>
                </c:pt>
                <c:pt idx="1">
                  <c:v>194848</c:v>
                </c:pt>
                <c:pt idx="2">
                  <c:v>205896</c:v>
                </c:pt>
                <c:pt idx="3">
                  <c:v>212238</c:v>
                </c:pt>
                <c:pt idx="4">
                  <c:v>219677</c:v>
                </c:pt>
                <c:pt idx="5">
                  <c:v>226793</c:v>
                </c:pt>
                <c:pt idx="6">
                  <c:v>211503</c:v>
                </c:pt>
                <c:pt idx="7">
                  <c:v>219272</c:v>
                </c:pt>
                <c:pt idx="8">
                  <c:v>221568</c:v>
                </c:pt>
                <c:pt idx="9">
                  <c:v>214401</c:v>
                </c:pt>
                <c:pt idx="10">
                  <c:v>232081</c:v>
                </c:pt>
              </c:numCache>
            </c:numRef>
          </c:val>
          <c:smooth val="0"/>
          <c:extLst>
            <c:ext xmlns:c16="http://schemas.microsoft.com/office/drawing/2014/chart" uri="{C3380CC4-5D6E-409C-BE32-E72D297353CC}">
              <c16:uniqueId val="{00000003-20B8-469E-BB4C-D853424C39EE}"/>
            </c:ext>
          </c:extLst>
        </c:ser>
        <c:ser>
          <c:idx val="4"/>
          <c:order val="4"/>
          <c:tx>
            <c:strRef>
              <c:f>q15_q22_q31_Fig!$A$9</c:f>
              <c:strCache>
                <c:ptCount val="1"/>
                <c:pt idx="0">
                  <c:v>Acordo de Empresa (AE)</c:v>
                </c:pt>
              </c:strCache>
            </c:strRef>
          </c:tx>
          <c:spPr>
            <a:ln w="31750" cap="rnd">
              <a:solidFill>
                <a:schemeClr val="accent1">
                  <a:tint val="70000"/>
                </a:schemeClr>
              </a:solidFill>
              <a:round/>
            </a:ln>
            <a:effectLst>
              <a:outerShdw blurRad="40000" dist="23000" dir="5400000" rotWithShape="0">
                <a:srgbClr val="000000">
                  <a:alpha val="35000"/>
                </a:srgbClr>
              </a:outerShdw>
            </a:effectLst>
          </c:spPr>
          <c:marker>
            <c:symbol val="none"/>
          </c:marker>
          <c:cat>
            <c:numRef>
              <c:f>q15_q22_q31_Fig!$B$4:$L$4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q15_q22_q31_Fig!$B$9:$L$9</c:f>
              <c:numCache>
                <c:formatCode>#,##0</c:formatCode>
                <c:ptCount val="11"/>
                <c:pt idx="0">
                  <c:v>82486</c:v>
                </c:pt>
                <c:pt idx="1">
                  <c:v>80074</c:v>
                </c:pt>
                <c:pt idx="2">
                  <c:v>80029</c:v>
                </c:pt>
                <c:pt idx="3">
                  <c:v>78163</c:v>
                </c:pt>
                <c:pt idx="4">
                  <c:v>79933</c:v>
                </c:pt>
                <c:pt idx="5">
                  <c:v>85752</c:v>
                </c:pt>
                <c:pt idx="6">
                  <c:v>86043</c:v>
                </c:pt>
                <c:pt idx="7">
                  <c:v>91984</c:v>
                </c:pt>
                <c:pt idx="8">
                  <c:v>90179</c:v>
                </c:pt>
                <c:pt idx="9">
                  <c:v>89882</c:v>
                </c:pt>
                <c:pt idx="10">
                  <c:v>92151</c:v>
                </c:pt>
              </c:numCache>
            </c:numRef>
          </c:val>
          <c:smooth val="0"/>
          <c:extLst>
            <c:ext xmlns:c16="http://schemas.microsoft.com/office/drawing/2014/chart" uri="{C3380CC4-5D6E-409C-BE32-E72D297353CC}">
              <c16:uniqueId val="{00000004-20B8-469E-BB4C-D853424C39EE}"/>
            </c:ext>
          </c:extLst>
        </c:ser>
        <c:ser>
          <c:idx val="5"/>
          <c:order val="5"/>
          <c:tx>
            <c:strRef>
              <c:f>q15_q22_q31_Fig!$A$10</c:f>
              <c:strCache>
                <c:ptCount val="1"/>
                <c:pt idx="0">
                  <c:v>Não Abrangidos por Regulamentação Coletiva</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cat>
            <c:numRef>
              <c:f>q15_q22_q31_Fig!$B$4:$L$4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q15_q22_q31_Fig!$B$10:$L$10</c:f>
              <c:numCache>
                <c:formatCode>#,##0</c:formatCode>
                <c:ptCount val="11"/>
                <c:pt idx="0">
                  <c:v>245137</c:v>
                </c:pt>
                <c:pt idx="1">
                  <c:v>258857</c:v>
                </c:pt>
                <c:pt idx="2">
                  <c:v>273070</c:v>
                </c:pt>
                <c:pt idx="3">
                  <c:v>292517</c:v>
                </c:pt>
                <c:pt idx="4">
                  <c:v>329628</c:v>
                </c:pt>
                <c:pt idx="5">
                  <c:v>372396</c:v>
                </c:pt>
                <c:pt idx="6">
                  <c:v>396860</c:v>
                </c:pt>
                <c:pt idx="7">
                  <c:v>436464</c:v>
                </c:pt>
                <c:pt idx="8">
                  <c:v>458030</c:v>
                </c:pt>
                <c:pt idx="9">
                  <c:v>467655</c:v>
                </c:pt>
                <c:pt idx="10">
                  <c:v>526170</c:v>
                </c:pt>
              </c:numCache>
            </c:numRef>
          </c:val>
          <c:smooth val="0"/>
          <c:extLst>
            <c:ext xmlns:c16="http://schemas.microsoft.com/office/drawing/2014/chart" uri="{C3380CC4-5D6E-409C-BE32-E72D297353CC}">
              <c16:uniqueId val="{00000005-20B8-469E-BB4C-D853424C39EE}"/>
            </c:ext>
          </c:extLst>
        </c:ser>
        <c:dLbls>
          <c:showLegendKey val="0"/>
          <c:showVal val="0"/>
          <c:showCatName val="0"/>
          <c:showSerName val="0"/>
          <c:showPercent val="0"/>
          <c:showBubbleSize val="0"/>
        </c:dLbls>
        <c:smooth val="0"/>
        <c:axId val="164075663"/>
        <c:axId val="442964127"/>
        <c:extLst/>
      </c:lineChart>
      <c:catAx>
        <c:axId val="164075663"/>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442964127"/>
        <c:crosses val="autoZero"/>
        <c:auto val="1"/>
        <c:lblAlgn val="ctr"/>
        <c:lblOffset val="100"/>
        <c:noMultiLvlLbl val="0"/>
      </c:catAx>
      <c:valAx>
        <c:axId val="442964127"/>
        <c:scaling>
          <c:orientation val="minMax"/>
          <c:max val="3500000"/>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mn-lt"/>
                <a:ea typeface="+mn-ea"/>
                <a:cs typeface="+mn-cs"/>
              </a:defRPr>
            </a:pPr>
            <a:endParaRPr lang="pt-PT"/>
          </a:p>
        </c:txPr>
        <c:crossAx val="164075663"/>
        <c:crosses val="autoZero"/>
        <c:crossBetween val="between"/>
        <c:majorUnit val="50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[Dashboard_seriesqp_2012_2022.xlsx]q17_q25_Fig!Tabela Dinâmica1</c:name>
    <c:fmtId val="8"/>
  </c:pivotSource>
  <c:chart>
    <c:autoTitleDeleted val="1"/>
    <c:pivotFmts>
      <c:pivotFmt>
        <c:idx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clip" horzOverflow="clip"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clip" horzOverflow="clip"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4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horzOverflow="clip" vert="horz" wrap="square" lIns="38100" tIns="36000" rIns="38100" bIns="3600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4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8"/>
      </c:pivotFmt>
      <c:pivotFmt>
        <c:idx val="4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clip" horzOverflow="clip"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clip" horzOverflow="clip"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8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8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8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9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s>
    <c:plotArea>
      <c:layout>
        <c:manualLayout>
          <c:layoutTarget val="inner"/>
          <c:xMode val="edge"/>
          <c:yMode val="edge"/>
          <c:x val="4.160946204071217E-2"/>
          <c:y val="0.10694915712855482"/>
          <c:w val="0.9285441549297756"/>
          <c:h val="0.74702347773538613"/>
        </c:manualLayout>
      </c:layout>
      <c:barChart>
        <c:barDir val="col"/>
        <c:grouping val="clustered"/>
        <c:varyColors val="0"/>
        <c:ser>
          <c:idx val="0"/>
          <c:order val="0"/>
          <c:tx>
            <c:strRef>
              <c:f>q17_q25_Fig!$J$5:$J$7</c:f>
              <c:strCache>
                <c:ptCount val="1"/>
                <c:pt idx="0">
                  <c:v>C - Base</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q17_q25_Fig!$I$8:$I$19</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f>q17_q25_Fig!$J$8:$J$19</c:f>
              <c:numCache>
                <c:formatCode>#,##0.0\ "€"</c:formatCode>
                <c:ptCount val="11"/>
                <c:pt idx="0">
                  <c:v>836.46267618588308</c:v>
                </c:pt>
                <c:pt idx="1">
                  <c:v>839.40630322254503</c:v>
                </c:pt>
                <c:pt idx="2">
                  <c:v>844.00682901366599</c:v>
                </c:pt>
                <c:pt idx="3">
                  <c:v>856.12305859116407</c:v>
                </c:pt>
                <c:pt idx="4">
                  <c:v>870.08486223409204</c:v>
                </c:pt>
                <c:pt idx="5">
                  <c:v>895.89243994149103</c:v>
                </c:pt>
                <c:pt idx="6">
                  <c:v>929.15451693602415</c:v>
                </c:pt>
                <c:pt idx="7">
                  <c:v>964.71261065318311</c:v>
                </c:pt>
                <c:pt idx="8">
                  <c:v>1003.2084417479001</c:v>
                </c:pt>
                <c:pt idx="9">
                  <c:v>1031.02559057797</c:v>
                </c:pt>
                <c:pt idx="10">
                  <c:v>1095.17302564704</c:v>
                </c:pt>
              </c:numCache>
            </c:numRef>
          </c:val>
          <c:extLst>
            <c:ext xmlns:c16="http://schemas.microsoft.com/office/drawing/2014/chart" uri="{C3380CC4-5D6E-409C-BE32-E72D297353CC}">
              <c16:uniqueId val="{00000000-C011-4A10-8851-0F65F8BB0CF1}"/>
            </c:ext>
          </c:extLst>
        </c:ser>
        <c:ser>
          <c:idx val="1"/>
          <c:order val="1"/>
          <c:tx>
            <c:strRef>
              <c:f>q17_q25_Fig!$K$5:$K$7</c:f>
              <c:strCache>
                <c:ptCount val="1"/>
                <c:pt idx="0">
                  <c:v>C - Ganho</c:v>
                </c:pt>
              </c:strCache>
            </c:strRef>
          </c:tx>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q17_q25_Fig!$I$8:$I$19</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f>q17_q25_Fig!$K$8:$K$19</c:f>
              <c:numCache>
                <c:formatCode>#,##0.0\ "€"</c:formatCode>
                <c:ptCount val="11"/>
                <c:pt idx="0">
                  <c:v>988.75687182708407</c:v>
                </c:pt>
                <c:pt idx="1">
                  <c:v>996.63412584612513</c:v>
                </c:pt>
                <c:pt idx="2">
                  <c:v>1003.09180358052</c:v>
                </c:pt>
                <c:pt idx="3">
                  <c:v>1015.8172835393801</c:v>
                </c:pt>
                <c:pt idx="4">
                  <c:v>1031.59799499223</c:v>
                </c:pt>
                <c:pt idx="5">
                  <c:v>1068.4328290201402</c:v>
                </c:pt>
                <c:pt idx="6">
                  <c:v>1110.54337234992</c:v>
                </c:pt>
                <c:pt idx="7">
                  <c:v>1154.9381361412102</c:v>
                </c:pt>
                <c:pt idx="8">
                  <c:v>1198.0430402166501</c:v>
                </c:pt>
                <c:pt idx="9">
                  <c:v>1224.7920291855</c:v>
                </c:pt>
                <c:pt idx="10">
                  <c:v>1302.5883482423701</c:v>
                </c:pt>
              </c:numCache>
            </c:numRef>
          </c:val>
          <c:extLst>
            <c:ext xmlns:c16="http://schemas.microsoft.com/office/drawing/2014/chart" uri="{C3380CC4-5D6E-409C-BE32-E72D297353CC}">
              <c16:uniqueId val="{00000029-F8C8-411B-9F24-F67FFA632892}"/>
            </c:ext>
          </c:extLst>
        </c:ser>
        <c:dLbls>
          <c:dLblPos val="inBase"/>
          <c:showLegendKey val="0"/>
          <c:showVal val="1"/>
          <c:showCatName val="0"/>
          <c:showSerName val="0"/>
          <c:showPercent val="0"/>
          <c:showBubbleSize val="0"/>
        </c:dLbls>
        <c:gapWidth val="91"/>
        <c:axId val="518723167"/>
        <c:axId val="384185983"/>
      </c:barChart>
      <c:catAx>
        <c:axId val="51872316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65000"/>
                    <a:lumOff val="35000"/>
                  </a:schemeClr>
                </a:solidFill>
                <a:effectLst/>
                <a:latin typeface="+mn-lt"/>
                <a:ea typeface="+mn-ea"/>
                <a:cs typeface="+mn-cs"/>
              </a:defRPr>
            </a:pPr>
            <a:endParaRPr lang="pt-PT"/>
          </a:p>
        </c:txPr>
        <c:crossAx val="384185983"/>
        <c:crosses val="autoZero"/>
        <c:auto val="1"/>
        <c:lblAlgn val="ctr"/>
        <c:lblOffset val="100"/>
        <c:noMultiLvlLbl val="0"/>
      </c:catAx>
      <c:valAx>
        <c:axId val="384185983"/>
        <c:scaling>
          <c:orientation val="minMax"/>
          <c:max val="3500"/>
          <c:min val="0"/>
        </c:scaling>
        <c:delete val="0"/>
        <c:axPos val="l"/>
        <c:numFmt formatCode="#,##0\ &quot;€&quot;"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65000"/>
                    <a:lumOff val="35000"/>
                  </a:schemeClr>
                </a:solidFill>
                <a:latin typeface="+mn-lt"/>
                <a:ea typeface="+mn-ea"/>
                <a:cs typeface="+mn-cs"/>
              </a:defRPr>
            </a:pPr>
            <a:endParaRPr lang="pt-PT"/>
          </a:p>
        </c:txPr>
        <c:crossAx val="518723167"/>
        <c:crosses val="autoZero"/>
        <c:crossBetween val="between"/>
      </c:valAx>
      <c:spPr>
        <a:noFill/>
        <a:ln>
          <a:noFill/>
        </a:ln>
        <a:effectLst/>
      </c:spPr>
    </c:plotArea>
    <c:legend>
      <c:legendPos val="t"/>
      <c:layout>
        <c:manualLayout>
          <c:xMode val="edge"/>
          <c:yMode val="edge"/>
          <c:x val="9.1424355351236872E-2"/>
          <c:y val="2.4076554940779288E-2"/>
          <c:w val="0.11713562152630413"/>
          <c:h val="7.43407963684254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313135065521442E-2"/>
          <c:y val="0.12367253030827709"/>
          <c:w val="0.88699439169412064"/>
          <c:h val="0.6110622271565731"/>
        </c:manualLayout>
      </c:layout>
      <c:barChart>
        <c:barDir val="col"/>
        <c:grouping val="clustered"/>
        <c:varyColors val="0"/>
        <c:ser>
          <c:idx val="0"/>
          <c:order val="0"/>
          <c:tx>
            <c:strRef>
              <c:f>q24_Fig!$A$72</c:f>
              <c:strCache>
                <c:ptCount val="1"/>
                <c:pt idx="0">
                  <c:v>Ganho mensal mediano (euros)</c:v>
                </c:pt>
              </c:strCache>
            </c:strRef>
          </c:tx>
          <c:spPr>
            <a:solidFill>
              <a:schemeClr val="accent1"/>
            </a:solidFill>
            <a:ln>
              <a:noFill/>
            </a:ln>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D6-490C-970F-2E9A29526B75}"/>
                </c:ext>
              </c:extLst>
            </c:dLbl>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q24_Fig!$B$71:$L$71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q24_Fig!$B$72:$L$72</c:f>
              <c:numCache>
                <c:formatCode>#,##0\ "€"</c:formatCode>
                <c:ptCount val="11"/>
                <c:pt idx="0">
                  <c:v>783.62</c:v>
                </c:pt>
                <c:pt idx="1">
                  <c:v>785.45</c:v>
                </c:pt>
                <c:pt idx="2">
                  <c:v>786.99</c:v>
                </c:pt>
                <c:pt idx="3">
                  <c:v>790.03</c:v>
                </c:pt>
                <c:pt idx="4">
                  <c:v>800</c:v>
                </c:pt>
                <c:pt idx="5">
                  <c:v>822.95</c:v>
                </c:pt>
                <c:pt idx="6">
                  <c:v>854.8</c:v>
                </c:pt>
                <c:pt idx="7">
                  <c:v>892.01</c:v>
                </c:pt>
                <c:pt idx="8">
                  <c:v>926.14</c:v>
                </c:pt>
                <c:pt idx="9">
                  <c:v>962.2</c:v>
                </c:pt>
                <c:pt idx="10">
                  <c:v>1017.5</c:v>
                </c:pt>
              </c:numCache>
            </c:numRef>
          </c:val>
          <c:extLst>
            <c:ext xmlns:c16="http://schemas.microsoft.com/office/drawing/2014/chart" uri="{C3380CC4-5D6E-409C-BE32-E72D297353CC}">
              <c16:uniqueId val="{00000001-75D6-490C-970F-2E9A29526B75}"/>
            </c:ext>
          </c:extLst>
        </c:ser>
        <c:ser>
          <c:idx val="1"/>
          <c:order val="1"/>
          <c:tx>
            <c:strRef>
              <c:f>q24_Fig!$A$73</c:f>
              <c:strCache>
                <c:ptCount val="1"/>
                <c:pt idx="0">
                  <c:v>Limiar de baixos salários (euros)</c:v>
                </c:pt>
              </c:strCache>
            </c:strRef>
          </c:tx>
          <c:spPr>
            <a:solidFill>
              <a:schemeClr val="accent1">
                <a:lumMod val="20000"/>
                <a:lumOff val="80000"/>
              </a:schemeClr>
            </a:solidFill>
            <a:ln>
              <a:noFill/>
            </a:ln>
            <a:effectLst/>
          </c:spPr>
          <c:invertIfNegative val="0"/>
          <c:dLbls>
            <c:spPr>
              <a:noFill/>
              <a:ln>
                <a:noFill/>
              </a:ln>
              <a:effectLst/>
            </c:spPr>
            <c:txPr>
              <a:bodyPr rot="-5400000" spcFirstLastPara="1" vertOverflow="ellipsis" wrap="square" anchor="ctr" anchorCtr="1"/>
              <a:lstStyle/>
              <a:p>
                <a:pPr>
                  <a:defRPr sz="700" b="0" i="0" u="none" strike="noStrike" kern="1200" baseline="0">
                    <a:solidFill>
                      <a:schemeClr val="tx1">
                        <a:lumMod val="75000"/>
                        <a:lumOff val="25000"/>
                      </a:schemeClr>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q24_Fig!$B$71:$L$71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q24_Fig!$B$73:$L$73</c:f>
              <c:numCache>
                <c:formatCode>#,##0\ "€"</c:formatCode>
                <c:ptCount val="11"/>
                <c:pt idx="0">
                  <c:v>522.41333333333353</c:v>
                </c:pt>
                <c:pt idx="1">
                  <c:v>523.63333333333355</c:v>
                </c:pt>
                <c:pt idx="2">
                  <c:v>524.6600000000002</c:v>
                </c:pt>
                <c:pt idx="3">
                  <c:v>526.68666666666684</c:v>
                </c:pt>
                <c:pt idx="4">
                  <c:v>533.3333333333336</c:v>
                </c:pt>
                <c:pt idx="5">
                  <c:v>548.63333333333355</c:v>
                </c:pt>
                <c:pt idx="6">
                  <c:v>569.8666666666669</c:v>
                </c:pt>
                <c:pt idx="7">
                  <c:v>594.67333333333363</c:v>
                </c:pt>
                <c:pt idx="8">
                  <c:v>617.42666666666696</c:v>
                </c:pt>
                <c:pt idx="9">
                  <c:v>641.46666666666704</c:v>
                </c:pt>
                <c:pt idx="10">
                  <c:v>678.3333333333336</c:v>
                </c:pt>
              </c:numCache>
            </c:numRef>
          </c:val>
          <c:extLst>
            <c:ext xmlns:c16="http://schemas.microsoft.com/office/drawing/2014/chart" uri="{C3380CC4-5D6E-409C-BE32-E72D297353CC}">
              <c16:uniqueId val="{00000002-75D6-490C-970F-2E9A29526B75}"/>
            </c:ext>
          </c:extLst>
        </c:ser>
        <c:ser>
          <c:idx val="2"/>
          <c:order val="2"/>
          <c:tx>
            <c:strRef>
              <c:f>q24_Fig!$A$74</c:f>
              <c:strCache>
                <c:ptCount val="1"/>
                <c:pt idx="0">
                  <c:v>Retribuição Mínima Mensal Garantida (RMMG)</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q24_Fig!$B$71:$L$71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q24_Fig!$B$74:$L$74</c:f>
              <c:numCache>
                <c:formatCode>#,##0\ "€"</c:formatCode>
                <c:ptCount val="11"/>
                <c:pt idx="0">
                  <c:v>485</c:v>
                </c:pt>
                <c:pt idx="1">
                  <c:v>485</c:v>
                </c:pt>
                <c:pt idx="2">
                  <c:v>505</c:v>
                </c:pt>
                <c:pt idx="3">
                  <c:v>505</c:v>
                </c:pt>
                <c:pt idx="4">
                  <c:v>530</c:v>
                </c:pt>
                <c:pt idx="5">
                  <c:v>557</c:v>
                </c:pt>
                <c:pt idx="6">
                  <c:v>580</c:v>
                </c:pt>
                <c:pt idx="7">
                  <c:v>600</c:v>
                </c:pt>
                <c:pt idx="8">
                  <c:v>635</c:v>
                </c:pt>
                <c:pt idx="9">
                  <c:v>665</c:v>
                </c:pt>
                <c:pt idx="10">
                  <c:v>705</c:v>
                </c:pt>
              </c:numCache>
            </c:numRef>
          </c:val>
          <c:extLst>
            <c:ext xmlns:c16="http://schemas.microsoft.com/office/drawing/2014/chart" uri="{C3380CC4-5D6E-409C-BE32-E72D297353CC}">
              <c16:uniqueId val="{00000003-75D6-490C-970F-2E9A29526B75}"/>
            </c:ext>
          </c:extLst>
        </c:ser>
        <c:dLbls>
          <c:showLegendKey val="0"/>
          <c:showVal val="0"/>
          <c:showCatName val="0"/>
          <c:showSerName val="0"/>
          <c:showPercent val="0"/>
          <c:showBubbleSize val="0"/>
        </c:dLbls>
        <c:gapWidth val="150"/>
        <c:axId val="1417600943"/>
        <c:axId val="1841201583"/>
      </c:barChart>
      <c:lineChart>
        <c:grouping val="standard"/>
        <c:varyColors val="0"/>
        <c:ser>
          <c:idx val="3"/>
          <c:order val="3"/>
          <c:tx>
            <c:strRef>
              <c:f>q24_Fig!$A$75</c:f>
              <c:strCache>
                <c:ptCount val="1"/>
                <c:pt idx="0">
                  <c:v>Incidência de baixos salários (%) - Total</c:v>
                </c:pt>
              </c:strCache>
            </c:strRef>
          </c:tx>
          <c:spPr>
            <a:ln w="15875" cap="rnd">
              <a:solidFill>
                <a:srgbClr val="C27535"/>
              </a:solidFill>
              <a:round/>
            </a:ln>
            <a:effectLst/>
          </c:spPr>
          <c:marker>
            <c:symbol val="none"/>
          </c:marker>
          <c:cat>
            <c:numRef>
              <c:f>q24_Fig!$B$71:$L$71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q24_Fig!$B$75:$L$75</c:f>
              <c:numCache>
                <c:formatCode>0.00</c:formatCode>
                <c:ptCount val="11"/>
                <c:pt idx="0">
                  <c:v>7.5149780973616878</c:v>
                </c:pt>
                <c:pt idx="1">
                  <c:v>7.5899584821246746</c:v>
                </c:pt>
                <c:pt idx="2">
                  <c:v>6.7784331021979378</c:v>
                </c:pt>
                <c:pt idx="3">
                  <c:v>6.7010658766299152</c:v>
                </c:pt>
                <c:pt idx="4">
                  <c:v>5.8595725070331515</c:v>
                </c:pt>
                <c:pt idx="5">
                  <c:v>0.18870110504830601</c:v>
                </c:pt>
                <c:pt idx="6">
                  <c:v>0.15593196668796241</c:v>
                </c:pt>
                <c:pt idx="7">
                  <c:v>0.17702920623544169</c:v>
                </c:pt>
                <c:pt idx="8">
                  <c:v>0.13543623776522351</c:v>
                </c:pt>
                <c:pt idx="9">
                  <c:v>0.10733465600651461</c:v>
                </c:pt>
                <c:pt idx="10">
                  <c:v>0.1091277147781147</c:v>
                </c:pt>
              </c:numCache>
            </c:numRef>
          </c:val>
          <c:smooth val="0"/>
          <c:extLst>
            <c:ext xmlns:c16="http://schemas.microsoft.com/office/drawing/2014/chart" uri="{C3380CC4-5D6E-409C-BE32-E72D297353CC}">
              <c16:uniqueId val="{00000004-75D6-490C-970F-2E9A29526B75}"/>
            </c:ext>
          </c:extLst>
        </c:ser>
        <c:ser>
          <c:idx val="4"/>
          <c:order val="4"/>
          <c:tx>
            <c:strRef>
              <c:f>q24_Fig!$A$76</c:f>
              <c:strCache>
                <c:ptCount val="1"/>
                <c:pt idx="0">
                  <c:v>Incidência de baixos salários (%) - Homens</c:v>
                </c:pt>
              </c:strCache>
            </c:strRef>
          </c:tx>
          <c:spPr>
            <a:ln w="15875" cap="rnd">
              <a:solidFill>
                <a:srgbClr val="F8AA79"/>
              </a:solidFill>
              <a:round/>
            </a:ln>
            <a:effectLst/>
          </c:spPr>
          <c:marker>
            <c:symbol val="none"/>
          </c:marker>
          <c:cat>
            <c:numRef>
              <c:f>q24_Fig!$B$71:$L$71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q24_Fig!$B$76:$L$76</c:f>
              <c:numCache>
                <c:formatCode>0.00</c:formatCode>
                <c:ptCount val="11"/>
                <c:pt idx="0">
                  <c:v>5.3068902514943241</c:v>
                </c:pt>
                <c:pt idx="1">
                  <c:v>5.4625410099206819</c:v>
                </c:pt>
                <c:pt idx="2">
                  <c:v>5.0116386066610552</c:v>
                </c:pt>
                <c:pt idx="3">
                  <c:v>4.9913920624282868</c:v>
                </c:pt>
                <c:pt idx="4">
                  <c:v>4.3825424272112032</c:v>
                </c:pt>
                <c:pt idx="5">
                  <c:v>9.97587431783898E-2</c:v>
                </c:pt>
                <c:pt idx="6">
                  <c:v>8.4876832710097258E-2</c:v>
                </c:pt>
                <c:pt idx="7">
                  <c:v>9.2477839402294204E-2</c:v>
                </c:pt>
                <c:pt idx="8">
                  <c:v>7.2591368700993461E-2</c:v>
                </c:pt>
                <c:pt idx="9">
                  <c:v>6.9531474441978686E-2</c:v>
                </c:pt>
                <c:pt idx="10">
                  <c:v>7.5603829772818959E-2</c:v>
                </c:pt>
              </c:numCache>
            </c:numRef>
          </c:val>
          <c:smooth val="0"/>
          <c:extLst>
            <c:ext xmlns:c16="http://schemas.microsoft.com/office/drawing/2014/chart" uri="{C3380CC4-5D6E-409C-BE32-E72D297353CC}">
              <c16:uniqueId val="{00000005-75D6-490C-970F-2E9A29526B75}"/>
            </c:ext>
          </c:extLst>
        </c:ser>
        <c:ser>
          <c:idx val="5"/>
          <c:order val="5"/>
          <c:tx>
            <c:strRef>
              <c:f>q24_Fig!$A$77</c:f>
              <c:strCache>
                <c:ptCount val="1"/>
                <c:pt idx="0">
                  <c:v>Incidência de baixos salários (%) - Mulheres</c:v>
                </c:pt>
              </c:strCache>
            </c:strRef>
          </c:tx>
          <c:spPr>
            <a:ln w="15875" cap="rnd">
              <a:solidFill>
                <a:srgbClr val="FACBB4"/>
              </a:solidFill>
              <a:round/>
            </a:ln>
            <a:effectLst/>
          </c:spPr>
          <c:marker>
            <c:symbol val="none"/>
          </c:marker>
          <c:cat>
            <c:numRef>
              <c:f>q24_Fig!$B$71:$L$71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q24_Fig!$B$77:$L$77</c:f>
              <c:numCache>
                <c:formatCode>0.00</c:formatCode>
                <c:ptCount val="11"/>
                <c:pt idx="0">
                  <c:v>10.129962165807491</c:v>
                </c:pt>
                <c:pt idx="1">
                  <c:v>10.091769518431597</c:v>
                </c:pt>
                <c:pt idx="2">
                  <c:v>8.8658933092592473</c:v>
                </c:pt>
                <c:pt idx="3">
                  <c:v>8.6985072156326364</c:v>
                </c:pt>
                <c:pt idx="4">
                  <c:v>7.5861333761159182</c:v>
                </c:pt>
                <c:pt idx="5">
                  <c:v>0.29381153693828099</c:v>
                </c:pt>
                <c:pt idx="6">
                  <c:v>0.24064075446492469</c:v>
                </c:pt>
                <c:pt idx="7">
                  <c:v>0.27847549937870203</c:v>
                </c:pt>
                <c:pt idx="8">
                  <c:v>0.21184683545470276</c:v>
                </c:pt>
                <c:pt idx="9">
                  <c:v>0.15274597653893823</c:v>
                </c:pt>
                <c:pt idx="10">
                  <c:v>0.1495489858796423</c:v>
                </c:pt>
              </c:numCache>
            </c:numRef>
          </c:val>
          <c:smooth val="0"/>
          <c:extLst>
            <c:ext xmlns:c16="http://schemas.microsoft.com/office/drawing/2014/chart" uri="{C3380CC4-5D6E-409C-BE32-E72D297353CC}">
              <c16:uniqueId val="{00000006-75D6-490C-970F-2E9A29526B75}"/>
            </c:ext>
          </c:extLst>
        </c:ser>
        <c:dLbls>
          <c:showLegendKey val="0"/>
          <c:showVal val="0"/>
          <c:showCatName val="0"/>
          <c:showSerName val="0"/>
          <c:showPercent val="0"/>
          <c:showBubbleSize val="0"/>
        </c:dLbls>
        <c:marker val="1"/>
        <c:smooth val="0"/>
        <c:axId val="1043261775"/>
        <c:axId val="636615199"/>
      </c:lineChart>
      <c:catAx>
        <c:axId val="141760094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1F497D"/>
                </a:solidFill>
                <a:latin typeface="+mn-lt"/>
                <a:ea typeface="+mn-ea"/>
                <a:cs typeface="+mn-cs"/>
              </a:defRPr>
            </a:pPr>
            <a:endParaRPr lang="pt-PT"/>
          </a:p>
        </c:txPr>
        <c:crossAx val="1841201583"/>
        <c:crosses val="autoZero"/>
        <c:auto val="1"/>
        <c:lblAlgn val="ctr"/>
        <c:lblOffset val="100"/>
        <c:noMultiLvlLbl val="0"/>
      </c:catAx>
      <c:valAx>
        <c:axId val="1841201583"/>
        <c:scaling>
          <c:orientation val="minMax"/>
          <c:max val="1200"/>
          <c:min val="0"/>
        </c:scaling>
        <c:delete val="0"/>
        <c:axPos val="l"/>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pt-PT" b="1"/>
                  <a:t>Euros</a:t>
                </a:r>
              </a:p>
            </c:rich>
          </c:tx>
          <c:layout>
            <c:manualLayout>
              <c:xMode val="edge"/>
              <c:yMode val="edge"/>
              <c:x val="8.6198295445675723E-3"/>
              <c:y val="1.9930596498683378E-2"/>
            </c:manualLayout>
          </c:layout>
          <c:overlay val="0"/>
          <c:spPr>
            <a:solidFill>
              <a:sysClr val="window" lastClr="FFFFFF">
                <a:lumMod val="95000"/>
              </a:sysClr>
            </a:solid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title>
        <c:numFmt formatCode="#,##0\ &quot;€&quot;"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rgbClr val="1F497D"/>
                </a:solidFill>
                <a:latin typeface="+mn-lt"/>
                <a:ea typeface="+mn-ea"/>
                <a:cs typeface="+mn-cs"/>
              </a:defRPr>
            </a:pPr>
            <a:endParaRPr lang="pt-PT"/>
          </a:p>
        </c:txPr>
        <c:crossAx val="1417600943"/>
        <c:crosses val="autoZero"/>
        <c:crossBetween val="between"/>
        <c:majorUnit val="200"/>
      </c:valAx>
      <c:valAx>
        <c:axId val="636615199"/>
        <c:scaling>
          <c:orientation val="minMax"/>
          <c:max val="20"/>
        </c:scaling>
        <c:delete val="0"/>
        <c:axPos val="r"/>
        <c:title>
          <c:tx>
            <c:rich>
              <a:bodyPr rot="0" spcFirstLastPara="1" vertOverflow="ellipsis" wrap="square" anchor="ctr" anchorCtr="1"/>
              <a:lstStyle/>
              <a:p>
                <a:pPr>
                  <a:defRPr sz="700" b="1" i="0" u="none" strike="noStrike" kern="1200" baseline="0">
                    <a:solidFill>
                      <a:schemeClr val="tx1">
                        <a:lumMod val="65000"/>
                        <a:lumOff val="35000"/>
                      </a:schemeClr>
                    </a:solidFill>
                    <a:latin typeface="+mn-lt"/>
                    <a:ea typeface="+mn-ea"/>
                    <a:cs typeface="+mn-cs"/>
                  </a:defRPr>
                </a:pPr>
                <a:r>
                  <a:rPr lang="pt-PT" b="1"/>
                  <a:t>%</a:t>
                </a:r>
              </a:p>
            </c:rich>
          </c:tx>
          <c:layout>
            <c:manualLayout>
              <c:xMode val="edge"/>
              <c:yMode val="edge"/>
              <c:x val="0.95799269735280734"/>
              <c:y val="1.839825347767661E-2"/>
            </c:manualLayout>
          </c:layout>
          <c:overlay val="0"/>
          <c:spPr>
            <a:solidFill>
              <a:sysClr val="window" lastClr="FFFFFF">
                <a:lumMod val="95000"/>
              </a:sysClr>
            </a:solidFill>
            <a:ln>
              <a:noFill/>
            </a:ln>
            <a:effectLst/>
          </c:spPr>
          <c:txPr>
            <a:bodyPr rot="0" spcFirstLastPara="1" vertOverflow="ellipsis"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1043261775"/>
        <c:crosses val="max"/>
        <c:crossBetween val="between"/>
        <c:majorUnit val="2"/>
      </c:valAx>
      <c:catAx>
        <c:axId val="1043261775"/>
        <c:scaling>
          <c:orientation val="minMax"/>
        </c:scaling>
        <c:delete val="1"/>
        <c:axPos val="b"/>
        <c:numFmt formatCode="General" sourceLinked="1"/>
        <c:majorTickMark val="out"/>
        <c:minorTickMark val="none"/>
        <c:tickLblPos val="nextTo"/>
        <c:crossAx val="636615199"/>
        <c:crosses val="autoZero"/>
        <c:auto val="1"/>
        <c:lblAlgn val="ctr"/>
        <c:lblOffset val="100"/>
        <c:noMultiLvlLbl val="0"/>
      </c:cat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700"/>
      </a:pPr>
      <a:endParaRPr lang="pt-PT"/>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PT" sz="900" b="1">
                <a:solidFill>
                  <a:schemeClr val="tx2">
                    <a:lumMod val="75000"/>
                  </a:schemeClr>
                </a:solidFill>
              </a:rPr>
              <a:t>...por Secção de Atividade Económica</a:t>
            </a:r>
          </a:p>
        </c:rich>
      </c:tx>
      <c:layout>
        <c:manualLayout>
          <c:xMode val="edge"/>
          <c:yMode val="edge"/>
          <c:x val="0.46600349040139616"/>
          <c:y val="3.71345029239766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PT"/>
        </a:p>
      </c:txPr>
    </c:title>
    <c:autoTitleDeleted val="0"/>
    <c:plotArea>
      <c:layout/>
      <c:barChart>
        <c:barDir val="col"/>
        <c:grouping val="stacked"/>
        <c:varyColors val="0"/>
        <c:ser>
          <c:idx val="0"/>
          <c:order val="0"/>
          <c:tx>
            <c:strRef>
              <c:f>q1_q2_q4_q5_Fig!$R$7</c:f>
              <c:strCache>
                <c:ptCount val="1"/>
                <c:pt idx="0">
                  <c:v>A</c:v>
                </c:pt>
              </c:strCache>
            </c:strRef>
          </c:tx>
          <c:spPr>
            <a:solidFill>
              <a:schemeClr val="accent1"/>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q1_q2_q4_q5_Fig!$S$7:$AC$7</c:f>
              <c:numCache>
                <c:formatCode>General</c:formatCode>
                <c:ptCount val="11"/>
                <c:pt idx="0">
                  <c:v>11903</c:v>
                </c:pt>
                <c:pt idx="1">
                  <c:v>12395</c:v>
                </c:pt>
                <c:pt idx="2">
                  <c:v>13063</c:v>
                </c:pt>
                <c:pt idx="3">
                  <c:v>13445</c:v>
                </c:pt>
                <c:pt idx="4">
                  <c:v>13755</c:v>
                </c:pt>
                <c:pt idx="5">
                  <c:v>13847</c:v>
                </c:pt>
                <c:pt idx="6">
                  <c:v>13971</c:v>
                </c:pt>
                <c:pt idx="7">
                  <c:v>13547</c:v>
                </c:pt>
                <c:pt idx="8">
                  <c:v>13691</c:v>
                </c:pt>
                <c:pt idx="9">
                  <c:v>13199</c:v>
                </c:pt>
                <c:pt idx="10">
                  <c:v>13618</c:v>
                </c:pt>
              </c:numCache>
            </c:numRef>
          </c:val>
          <c:extLst xmlns:c15="http://schemas.microsoft.com/office/drawing/2012/chart">
            <c:ext xmlns:c16="http://schemas.microsoft.com/office/drawing/2014/chart" uri="{C3380CC4-5D6E-409C-BE32-E72D297353CC}">
              <c16:uniqueId val="{0000001F-37F2-45F6-A984-AC81FAFEB245}"/>
            </c:ext>
          </c:extLst>
        </c:ser>
        <c:ser>
          <c:idx val="1"/>
          <c:order val="1"/>
          <c:tx>
            <c:strRef>
              <c:f>q1_q2_q4_q5_Fig!$R$8</c:f>
              <c:strCache>
                <c:ptCount val="1"/>
                <c:pt idx="0">
                  <c:v>B</c:v>
                </c:pt>
              </c:strCache>
            </c:strRef>
          </c:tx>
          <c:spPr>
            <a:solidFill>
              <a:schemeClr val="accent3"/>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q1_q2_q4_q5_Fig!$S$8:$AC$8</c:f>
              <c:numCache>
                <c:formatCode>General</c:formatCode>
                <c:ptCount val="11"/>
                <c:pt idx="0">
                  <c:v>618</c:v>
                </c:pt>
                <c:pt idx="1">
                  <c:v>589</c:v>
                </c:pt>
                <c:pt idx="2">
                  <c:v>564</c:v>
                </c:pt>
                <c:pt idx="3">
                  <c:v>558</c:v>
                </c:pt>
                <c:pt idx="4">
                  <c:v>536</c:v>
                </c:pt>
                <c:pt idx="5">
                  <c:v>542</c:v>
                </c:pt>
                <c:pt idx="6">
                  <c:v>526</c:v>
                </c:pt>
                <c:pt idx="7">
                  <c:v>510</c:v>
                </c:pt>
                <c:pt idx="8">
                  <c:v>504</c:v>
                </c:pt>
                <c:pt idx="9">
                  <c:v>486</c:v>
                </c:pt>
                <c:pt idx="10">
                  <c:v>494</c:v>
                </c:pt>
              </c:numCache>
            </c:numRef>
          </c:val>
          <c:extLst>
            <c:ext xmlns:c16="http://schemas.microsoft.com/office/drawing/2014/chart" uri="{C3380CC4-5D6E-409C-BE32-E72D297353CC}">
              <c16:uniqueId val="{00000000-37F2-45F6-A984-AC81FAFEB245}"/>
            </c:ext>
          </c:extLst>
        </c:ser>
        <c:ser>
          <c:idx val="2"/>
          <c:order val="2"/>
          <c:tx>
            <c:strRef>
              <c:f>q1_q2_q4_q5_Fig!$R$9</c:f>
              <c:strCache>
                <c:ptCount val="1"/>
                <c:pt idx="0">
                  <c:v>C</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q1_q2_q4_q5_Fig!$S$9:$AC$9</c:f>
              <c:numCache>
                <c:formatCode>General</c:formatCode>
                <c:ptCount val="11"/>
                <c:pt idx="0">
                  <c:v>32824</c:v>
                </c:pt>
                <c:pt idx="1">
                  <c:v>32643</c:v>
                </c:pt>
                <c:pt idx="2">
                  <c:v>32895</c:v>
                </c:pt>
                <c:pt idx="3">
                  <c:v>32998</c:v>
                </c:pt>
                <c:pt idx="4">
                  <c:v>33278</c:v>
                </c:pt>
                <c:pt idx="5">
                  <c:v>33315</c:v>
                </c:pt>
                <c:pt idx="6">
                  <c:v>33177</c:v>
                </c:pt>
                <c:pt idx="7">
                  <c:v>31905</c:v>
                </c:pt>
                <c:pt idx="8">
                  <c:v>31715</c:v>
                </c:pt>
                <c:pt idx="9">
                  <c:v>30818</c:v>
                </c:pt>
                <c:pt idx="10">
                  <c:v>31733</c:v>
                </c:pt>
              </c:numCache>
            </c:numRef>
          </c:val>
          <c:extLst>
            <c:ext xmlns:c16="http://schemas.microsoft.com/office/drawing/2014/chart" uri="{C3380CC4-5D6E-409C-BE32-E72D297353CC}">
              <c16:uniqueId val="{00000001-37F2-45F6-A984-AC81FAFEB245}"/>
            </c:ext>
          </c:extLst>
        </c:ser>
        <c:ser>
          <c:idx val="3"/>
          <c:order val="3"/>
          <c:tx>
            <c:strRef>
              <c:f>q1_q2_q4_q5_Fig!$R$10</c:f>
              <c:strCache>
                <c:ptCount val="1"/>
                <c:pt idx="0">
                  <c:v>D</c:v>
                </c:pt>
              </c:strCache>
            </c:strRef>
          </c:tx>
          <c:spPr>
            <a:solidFill>
              <a:schemeClr val="accent1">
                <a:lumMod val="60000"/>
              </a:schemeClr>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q1_q2_q4_q5_Fig!$S$10:$AC$10</c:f>
              <c:numCache>
                <c:formatCode>General</c:formatCode>
                <c:ptCount val="11"/>
                <c:pt idx="0">
                  <c:v>184</c:v>
                </c:pt>
                <c:pt idx="1">
                  <c:v>189</c:v>
                </c:pt>
                <c:pt idx="2">
                  <c:v>193</c:v>
                </c:pt>
                <c:pt idx="3">
                  <c:v>211</c:v>
                </c:pt>
                <c:pt idx="4">
                  <c:v>204</c:v>
                </c:pt>
                <c:pt idx="5">
                  <c:v>194</c:v>
                </c:pt>
                <c:pt idx="6">
                  <c:v>183</c:v>
                </c:pt>
                <c:pt idx="7">
                  <c:v>185</c:v>
                </c:pt>
                <c:pt idx="8">
                  <c:v>198</c:v>
                </c:pt>
                <c:pt idx="9">
                  <c:v>192</c:v>
                </c:pt>
                <c:pt idx="10">
                  <c:v>209</c:v>
                </c:pt>
              </c:numCache>
            </c:numRef>
          </c:val>
          <c:extLst>
            <c:ext xmlns:c16="http://schemas.microsoft.com/office/drawing/2014/chart" uri="{C3380CC4-5D6E-409C-BE32-E72D297353CC}">
              <c16:uniqueId val="{00000003-37F2-45F6-A984-AC81FAFEB245}"/>
            </c:ext>
          </c:extLst>
        </c:ser>
        <c:ser>
          <c:idx val="4"/>
          <c:order val="4"/>
          <c:tx>
            <c:strRef>
              <c:f>q1_q2_q4_q5_Fig!$R$11</c:f>
              <c:strCache>
                <c:ptCount val="1"/>
                <c:pt idx="0">
                  <c:v>E</c:v>
                </c:pt>
              </c:strCache>
            </c:strRef>
          </c:tx>
          <c:spPr>
            <a:solidFill>
              <a:schemeClr val="accent3">
                <a:lumMod val="60000"/>
              </a:schemeClr>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q1_q2_q4_q5_Fig!$S$11:$AC$11</c:f>
              <c:numCache>
                <c:formatCode>General</c:formatCode>
                <c:ptCount val="11"/>
                <c:pt idx="0">
                  <c:v>624</c:v>
                </c:pt>
                <c:pt idx="1">
                  <c:v>640</c:v>
                </c:pt>
                <c:pt idx="2">
                  <c:v>637</c:v>
                </c:pt>
                <c:pt idx="3">
                  <c:v>623</c:v>
                </c:pt>
                <c:pt idx="4">
                  <c:v>605</c:v>
                </c:pt>
                <c:pt idx="5">
                  <c:v>607</c:v>
                </c:pt>
                <c:pt idx="6">
                  <c:v>602</c:v>
                </c:pt>
                <c:pt idx="7">
                  <c:v>617</c:v>
                </c:pt>
                <c:pt idx="8">
                  <c:v>625</c:v>
                </c:pt>
                <c:pt idx="9">
                  <c:v>620</c:v>
                </c:pt>
                <c:pt idx="10">
                  <c:v>636</c:v>
                </c:pt>
              </c:numCache>
            </c:numRef>
          </c:val>
          <c:extLst>
            <c:ext xmlns:c16="http://schemas.microsoft.com/office/drawing/2014/chart" uri="{C3380CC4-5D6E-409C-BE32-E72D297353CC}">
              <c16:uniqueId val="{00000004-37F2-45F6-A984-AC81FAFEB245}"/>
            </c:ext>
          </c:extLst>
        </c:ser>
        <c:ser>
          <c:idx val="5"/>
          <c:order val="5"/>
          <c:tx>
            <c:strRef>
              <c:f>q1_q2_q4_q5_Fig!$R$12</c:f>
              <c:strCache>
                <c:ptCount val="1"/>
                <c:pt idx="0">
                  <c:v>F</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q1_q2_q4_q5_Fig!$S$12:$AC$12</c:f>
              <c:numCache>
                <c:formatCode>General</c:formatCode>
                <c:ptCount val="11"/>
                <c:pt idx="0">
                  <c:v>29895</c:v>
                </c:pt>
                <c:pt idx="1">
                  <c:v>27952</c:v>
                </c:pt>
                <c:pt idx="2">
                  <c:v>27621</c:v>
                </c:pt>
                <c:pt idx="3">
                  <c:v>27400</c:v>
                </c:pt>
                <c:pt idx="4">
                  <c:v>27945</c:v>
                </c:pt>
                <c:pt idx="5">
                  <c:v>28669</c:v>
                </c:pt>
                <c:pt idx="6">
                  <c:v>29662</c:v>
                </c:pt>
                <c:pt idx="7">
                  <c:v>30134</c:v>
                </c:pt>
                <c:pt idx="8">
                  <c:v>31394</c:v>
                </c:pt>
                <c:pt idx="9">
                  <c:v>31375</c:v>
                </c:pt>
                <c:pt idx="10">
                  <c:v>33643</c:v>
                </c:pt>
              </c:numCache>
            </c:numRef>
          </c:val>
          <c:extLst>
            <c:ext xmlns:c16="http://schemas.microsoft.com/office/drawing/2014/chart" uri="{C3380CC4-5D6E-409C-BE32-E72D297353CC}">
              <c16:uniqueId val="{00000005-37F2-45F6-A984-AC81FAFEB245}"/>
            </c:ext>
          </c:extLst>
        </c:ser>
        <c:ser>
          <c:idx val="6"/>
          <c:order val="6"/>
          <c:tx>
            <c:strRef>
              <c:f>q1_q2_q4_q5_Fig!$R$13</c:f>
              <c:strCache>
                <c:ptCount val="1"/>
                <c:pt idx="0">
                  <c:v>G</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q1_q2_q4_q5_Fig!$S$13:$AC$13</c:f>
              <c:numCache>
                <c:formatCode>General</c:formatCode>
                <c:ptCount val="11"/>
                <c:pt idx="0">
                  <c:v>74719</c:v>
                </c:pt>
                <c:pt idx="1">
                  <c:v>73629</c:v>
                </c:pt>
                <c:pt idx="2">
                  <c:v>74208</c:v>
                </c:pt>
                <c:pt idx="3">
                  <c:v>74441</c:v>
                </c:pt>
                <c:pt idx="4">
                  <c:v>74332</c:v>
                </c:pt>
                <c:pt idx="5">
                  <c:v>73637</c:v>
                </c:pt>
                <c:pt idx="6">
                  <c:v>73191</c:v>
                </c:pt>
                <c:pt idx="7">
                  <c:v>69985</c:v>
                </c:pt>
                <c:pt idx="8">
                  <c:v>69568</c:v>
                </c:pt>
                <c:pt idx="9">
                  <c:v>67802</c:v>
                </c:pt>
                <c:pt idx="10">
                  <c:v>69554</c:v>
                </c:pt>
              </c:numCache>
            </c:numRef>
          </c:val>
          <c:extLst>
            <c:ext xmlns:c16="http://schemas.microsoft.com/office/drawing/2014/chart" uri="{C3380CC4-5D6E-409C-BE32-E72D297353CC}">
              <c16:uniqueId val="{0000000F-37F2-45F6-A984-AC81FAFEB245}"/>
            </c:ext>
          </c:extLst>
        </c:ser>
        <c:ser>
          <c:idx val="7"/>
          <c:order val="7"/>
          <c:tx>
            <c:strRef>
              <c:f>q1_q2_q4_q5_Fig!$R$14</c:f>
              <c:strCache>
                <c:ptCount val="1"/>
                <c:pt idx="0">
                  <c:v>H</c:v>
                </c:pt>
              </c:strCache>
            </c:strRef>
          </c:tx>
          <c:spPr>
            <a:solidFill>
              <a:schemeClr val="accent3">
                <a:lumMod val="80000"/>
                <a:lumOff val="20000"/>
              </a:schemeClr>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q1_q2_q4_q5_Fig!$S$14:$AC$14</c:f>
              <c:numCache>
                <c:formatCode>General</c:formatCode>
                <c:ptCount val="11"/>
                <c:pt idx="0">
                  <c:v>10925</c:v>
                </c:pt>
                <c:pt idx="1">
                  <c:v>10641</c:v>
                </c:pt>
                <c:pt idx="2">
                  <c:v>10632</c:v>
                </c:pt>
                <c:pt idx="3">
                  <c:v>10537</c:v>
                </c:pt>
                <c:pt idx="4">
                  <c:v>10462</c:v>
                </c:pt>
                <c:pt idx="5">
                  <c:v>10490</c:v>
                </c:pt>
                <c:pt idx="6">
                  <c:v>10497</c:v>
                </c:pt>
                <c:pt idx="7">
                  <c:v>10339</c:v>
                </c:pt>
                <c:pt idx="8">
                  <c:v>10288</c:v>
                </c:pt>
                <c:pt idx="9">
                  <c:v>9821</c:v>
                </c:pt>
                <c:pt idx="10">
                  <c:v>10445</c:v>
                </c:pt>
              </c:numCache>
            </c:numRef>
          </c:val>
          <c:extLst>
            <c:ext xmlns:c16="http://schemas.microsoft.com/office/drawing/2014/chart" uri="{C3380CC4-5D6E-409C-BE32-E72D297353CC}">
              <c16:uniqueId val="{00000010-37F2-45F6-A984-AC81FAFEB245}"/>
            </c:ext>
          </c:extLst>
        </c:ser>
        <c:ser>
          <c:idx val="8"/>
          <c:order val="8"/>
          <c:tx>
            <c:strRef>
              <c:f>q1_q2_q4_q5_Fig!$R$15</c:f>
              <c:strCache>
                <c:ptCount val="1"/>
                <c:pt idx="0">
                  <c:v>I</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q1_q2_q4_q5_Fig!$S$15:$AC$15</c:f>
              <c:numCache>
                <c:formatCode>General</c:formatCode>
                <c:ptCount val="11"/>
                <c:pt idx="0">
                  <c:v>30385</c:v>
                </c:pt>
                <c:pt idx="1">
                  <c:v>30313</c:v>
                </c:pt>
                <c:pt idx="2">
                  <c:v>31162</c:v>
                </c:pt>
                <c:pt idx="3">
                  <c:v>32218</c:v>
                </c:pt>
                <c:pt idx="4">
                  <c:v>33270</c:v>
                </c:pt>
                <c:pt idx="5">
                  <c:v>34159</c:v>
                </c:pt>
                <c:pt idx="6">
                  <c:v>34949</c:v>
                </c:pt>
                <c:pt idx="7">
                  <c:v>33798</c:v>
                </c:pt>
                <c:pt idx="8">
                  <c:v>33300</c:v>
                </c:pt>
                <c:pt idx="9">
                  <c:v>32645</c:v>
                </c:pt>
                <c:pt idx="10">
                  <c:v>34416</c:v>
                </c:pt>
              </c:numCache>
            </c:numRef>
          </c:val>
          <c:extLst>
            <c:ext xmlns:c16="http://schemas.microsoft.com/office/drawing/2014/chart" uri="{C3380CC4-5D6E-409C-BE32-E72D297353CC}">
              <c16:uniqueId val="{00000011-37F2-45F6-A984-AC81FAFEB245}"/>
            </c:ext>
          </c:extLst>
        </c:ser>
        <c:ser>
          <c:idx val="9"/>
          <c:order val="9"/>
          <c:tx>
            <c:strRef>
              <c:f>q1_q2_q4_q5_Fig!$R$16</c:f>
              <c:strCache>
                <c:ptCount val="1"/>
                <c:pt idx="0">
                  <c:v>J</c:v>
                </c:pt>
              </c:strCache>
            </c:strRef>
          </c:tx>
          <c:spPr>
            <a:solidFill>
              <a:schemeClr val="accent1">
                <a:lumMod val="80000"/>
              </a:schemeClr>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q1_q2_q4_q5_Fig!$S$16:$AC$16</c:f>
              <c:numCache>
                <c:formatCode>General</c:formatCode>
                <c:ptCount val="11"/>
                <c:pt idx="0">
                  <c:v>4095</c:v>
                </c:pt>
                <c:pt idx="1">
                  <c:v>4362</c:v>
                </c:pt>
                <c:pt idx="2">
                  <c:v>4637</c:v>
                </c:pt>
                <c:pt idx="3">
                  <c:v>4749</c:v>
                </c:pt>
                <c:pt idx="4">
                  <c:v>4883</c:v>
                </c:pt>
                <c:pt idx="5">
                  <c:v>5130</c:v>
                </c:pt>
                <c:pt idx="6">
                  <c:v>5304</c:v>
                </c:pt>
                <c:pt idx="7">
                  <c:v>5356</c:v>
                </c:pt>
                <c:pt idx="8">
                  <c:v>5633</c:v>
                </c:pt>
                <c:pt idx="9">
                  <c:v>5723</c:v>
                </c:pt>
                <c:pt idx="10">
                  <c:v>6314</c:v>
                </c:pt>
              </c:numCache>
            </c:numRef>
          </c:val>
          <c:extLst>
            <c:ext xmlns:c16="http://schemas.microsoft.com/office/drawing/2014/chart" uri="{C3380CC4-5D6E-409C-BE32-E72D297353CC}">
              <c16:uniqueId val="{00000013-37F2-45F6-A984-AC81FAFEB245}"/>
            </c:ext>
          </c:extLst>
        </c:ser>
        <c:ser>
          <c:idx val="10"/>
          <c:order val="10"/>
          <c:tx>
            <c:strRef>
              <c:f>q1_q2_q4_q5_Fig!$R$17</c:f>
              <c:strCache>
                <c:ptCount val="1"/>
                <c:pt idx="0">
                  <c:v>K</c:v>
                </c:pt>
              </c:strCache>
            </c:strRef>
          </c:tx>
          <c:spPr>
            <a:solidFill>
              <a:schemeClr val="accent3">
                <a:lumMod val="80000"/>
              </a:schemeClr>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q1_q2_q4_q5_Fig!$S$17:$AC$17</c:f>
              <c:numCache>
                <c:formatCode>General</c:formatCode>
                <c:ptCount val="11"/>
                <c:pt idx="0">
                  <c:v>3456</c:v>
                </c:pt>
                <c:pt idx="1">
                  <c:v>3582</c:v>
                </c:pt>
                <c:pt idx="2">
                  <c:v>3675</c:v>
                </c:pt>
                <c:pt idx="3">
                  <c:v>3674</c:v>
                </c:pt>
                <c:pt idx="4">
                  <c:v>3659</c:v>
                </c:pt>
                <c:pt idx="5">
                  <c:v>3692</c:v>
                </c:pt>
                <c:pt idx="6">
                  <c:v>3685</c:v>
                </c:pt>
                <c:pt idx="7">
                  <c:v>3647</c:v>
                </c:pt>
                <c:pt idx="8">
                  <c:v>3710</c:v>
                </c:pt>
                <c:pt idx="9">
                  <c:v>3599</c:v>
                </c:pt>
                <c:pt idx="10">
                  <c:v>3755</c:v>
                </c:pt>
              </c:numCache>
            </c:numRef>
          </c:val>
          <c:extLst>
            <c:ext xmlns:c16="http://schemas.microsoft.com/office/drawing/2014/chart" uri="{C3380CC4-5D6E-409C-BE32-E72D297353CC}">
              <c16:uniqueId val="{00000014-37F2-45F6-A984-AC81FAFEB245}"/>
            </c:ext>
          </c:extLst>
        </c:ser>
        <c:ser>
          <c:idx val="11"/>
          <c:order val="11"/>
          <c:tx>
            <c:strRef>
              <c:f>q1_q2_q4_q5_Fig!$R$18</c:f>
              <c:strCache>
                <c:ptCount val="1"/>
                <c:pt idx="0">
                  <c:v>L</c:v>
                </c:pt>
              </c:strCache>
            </c:strRef>
          </c:tx>
          <c:spPr>
            <a:solidFill>
              <a:schemeClr val="accent5">
                <a:lumMod val="80000"/>
              </a:schemeClr>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q1_q2_q4_q5_Fig!$S$18:$AC$18</c:f>
              <c:numCache>
                <c:formatCode>General</c:formatCode>
                <c:ptCount val="11"/>
                <c:pt idx="0">
                  <c:v>6220</c:v>
                </c:pt>
                <c:pt idx="1">
                  <c:v>6033</c:v>
                </c:pt>
                <c:pt idx="2">
                  <c:v>6325</c:v>
                </c:pt>
                <c:pt idx="3">
                  <c:v>6641</c:v>
                </c:pt>
                <c:pt idx="4">
                  <c:v>7069</c:v>
                </c:pt>
                <c:pt idx="5">
                  <c:v>7649</c:v>
                </c:pt>
                <c:pt idx="6">
                  <c:v>8416</c:v>
                </c:pt>
                <c:pt idx="7">
                  <c:v>8804</c:v>
                </c:pt>
                <c:pt idx="8">
                  <c:v>9411</c:v>
                </c:pt>
                <c:pt idx="9">
                  <c:v>9635</c:v>
                </c:pt>
                <c:pt idx="10">
                  <c:v>10313</c:v>
                </c:pt>
              </c:numCache>
            </c:numRef>
          </c:val>
          <c:extLst>
            <c:ext xmlns:c16="http://schemas.microsoft.com/office/drawing/2014/chart" uri="{C3380CC4-5D6E-409C-BE32-E72D297353CC}">
              <c16:uniqueId val="{00000015-37F2-45F6-A984-AC81FAFEB245}"/>
            </c:ext>
          </c:extLst>
        </c:ser>
        <c:ser>
          <c:idx val="12"/>
          <c:order val="12"/>
          <c:tx>
            <c:strRef>
              <c:f>q1_q2_q4_q5_Fig!$R$19</c:f>
              <c:strCache>
                <c:ptCount val="1"/>
                <c:pt idx="0">
                  <c:v>M</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q1_q2_q4_q5_Fig!$S$19:$AC$19</c:f>
              <c:numCache>
                <c:formatCode>General</c:formatCode>
                <c:ptCount val="11"/>
                <c:pt idx="0">
                  <c:v>20571</c:v>
                </c:pt>
                <c:pt idx="1">
                  <c:v>20799</c:v>
                </c:pt>
                <c:pt idx="2">
                  <c:v>21426</c:v>
                </c:pt>
                <c:pt idx="3">
                  <c:v>21717</c:v>
                </c:pt>
                <c:pt idx="4">
                  <c:v>22039</c:v>
                </c:pt>
                <c:pt idx="5">
                  <c:v>22524</c:v>
                </c:pt>
                <c:pt idx="6">
                  <c:v>23187</c:v>
                </c:pt>
                <c:pt idx="7">
                  <c:v>22977</c:v>
                </c:pt>
                <c:pt idx="8">
                  <c:v>23504</c:v>
                </c:pt>
                <c:pt idx="9">
                  <c:v>23335</c:v>
                </c:pt>
                <c:pt idx="10">
                  <c:v>24442</c:v>
                </c:pt>
              </c:numCache>
            </c:numRef>
          </c:val>
          <c:extLst>
            <c:ext xmlns:c16="http://schemas.microsoft.com/office/drawing/2014/chart" uri="{C3380CC4-5D6E-409C-BE32-E72D297353CC}">
              <c16:uniqueId val="{00000016-37F2-45F6-A984-AC81FAFEB245}"/>
            </c:ext>
          </c:extLst>
        </c:ser>
        <c:ser>
          <c:idx val="13"/>
          <c:order val="13"/>
          <c:tx>
            <c:strRef>
              <c:f>q1_q2_q4_q5_Fig!$R$20</c:f>
              <c:strCache>
                <c:ptCount val="1"/>
                <c:pt idx="0">
                  <c:v>N</c:v>
                </c:pt>
              </c:strCache>
            </c:strRef>
          </c:tx>
          <c:spPr>
            <a:solidFill>
              <a:schemeClr val="accent3">
                <a:lumMod val="60000"/>
                <a:lumOff val="40000"/>
              </a:schemeClr>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q1_q2_q4_q5_Fig!$S$20:$AC$20</c:f>
              <c:numCache>
                <c:formatCode>General</c:formatCode>
                <c:ptCount val="11"/>
                <c:pt idx="0">
                  <c:v>7180</c:v>
                </c:pt>
                <c:pt idx="1">
                  <c:v>7258</c:v>
                </c:pt>
                <c:pt idx="2">
                  <c:v>7438</c:v>
                </c:pt>
                <c:pt idx="3">
                  <c:v>7568</c:v>
                </c:pt>
                <c:pt idx="4">
                  <c:v>7855</c:v>
                </c:pt>
                <c:pt idx="5">
                  <c:v>7959</c:v>
                </c:pt>
                <c:pt idx="6">
                  <c:v>7811</c:v>
                </c:pt>
                <c:pt idx="7">
                  <c:v>7970</c:v>
                </c:pt>
                <c:pt idx="8">
                  <c:v>8005</c:v>
                </c:pt>
                <c:pt idx="9">
                  <c:v>7640</c:v>
                </c:pt>
                <c:pt idx="10">
                  <c:v>8560</c:v>
                </c:pt>
              </c:numCache>
            </c:numRef>
          </c:val>
          <c:extLst>
            <c:ext xmlns:c16="http://schemas.microsoft.com/office/drawing/2014/chart" uri="{C3380CC4-5D6E-409C-BE32-E72D297353CC}">
              <c16:uniqueId val="{00000017-37F2-45F6-A984-AC81FAFEB245}"/>
            </c:ext>
          </c:extLst>
        </c:ser>
        <c:ser>
          <c:idx val="14"/>
          <c:order val="14"/>
          <c:tx>
            <c:strRef>
              <c:f>q1_q2_q4_q5_Fig!$R$21</c:f>
              <c:strCache>
                <c:ptCount val="1"/>
                <c:pt idx="0">
                  <c:v>O</c:v>
                </c:pt>
              </c:strCache>
            </c:strRef>
          </c:tx>
          <c:spPr>
            <a:solidFill>
              <a:schemeClr val="accent5">
                <a:lumMod val="60000"/>
                <a:lumOff val="40000"/>
              </a:schemeClr>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q1_q2_q4_q5_Fig!$S$21:$AC$21</c:f>
              <c:numCache>
                <c:formatCode>General</c:formatCode>
                <c:ptCount val="11"/>
                <c:pt idx="0">
                  <c:v>638</c:v>
                </c:pt>
                <c:pt idx="1">
                  <c:v>586</c:v>
                </c:pt>
                <c:pt idx="2">
                  <c:v>599</c:v>
                </c:pt>
                <c:pt idx="3">
                  <c:v>596</c:v>
                </c:pt>
                <c:pt idx="4">
                  <c:v>560</c:v>
                </c:pt>
                <c:pt idx="5">
                  <c:v>559</c:v>
                </c:pt>
                <c:pt idx="6">
                  <c:v>564</c:v>
                </c:pt>
                <c:pt idx="7">
                  <c:v>546</c:v>
                </c:pt>
                <c:pt idx="8">
                  <c:v>558</c:v>
                </c:pt>
                <c:pt idx="9">
                  <c:v>517</c:v>
                </c:pt>
                <c:pt idx="10">
                  <c:v>520</c:v>
                </c:pt>
              </c:numCache>
            </c:numRef>
          </c:val>
          <c:extLst>
            <c:ext xmlns:c16="http://schemas.microsoft.com/office/drawing/2014/chart" uri="{C3380CC4-5D6E-409C-BE32-E72D297353CC}">
              <c16:uniqueId val="{00000018-37F2-45F6-A984-AC81FAFEB245}"/>
            </c:ext>
          </c:extLst>
        </c:ser>
        <c:ser>
          <c:idx val="15"/>
          <c:order val="15"/>
          <c:tx>
            <c:strRef>
              <c:f>q1_q2_q4_q5_Fig!$R$22</c:f>
              <c:strCache>
                <c:ptCount val="1"/>
                <c:pt idx="0">
                  <c:v>P</c:v>
                </c:pt>
              </c:strCache>
            </c:strRef>
          </c:tx>
          <c:spPr>
            <a:solidFill>
              <a:schemeClr val="accent1">
                <a:lumMod val="50000"/>
              </a:schemeClr>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q1_q2_q4_q5_Fig!$S$22:$AC$22</c:f>
              <c:numCache>
                <c:formatCode>General</c:formatCode>
                <c:ptCount val="11"/>
                <c:pt idx="0">
                  <c:v>3562</c:v>
                </c:pt>
                <c:pt idx="1">
                  <c:v>3602</c:v>
                </c:pt>
                <c:pt idx="2">
                  <c:v>3802</c:v>
                </c:pt>
                <c:pt idx="3">
                  <c:v>3857</c:v>
                </c:pt>
                <c:pt idx="4">
                  <c:v>3829</c:v>
                </c:pt>
                <c:pt idx="5">
                  <c:v>3817</c:v>
                </c:pt>
                <c:pt idx="6">
                  <c:v>3764</c:v>
                </c:pt>
                <c:pt idx="7">
                  <c:v>3671</c:v>
                </c:pt>
                <c:pt idx="8">
                  <c:v>3680</c:v>
                </c:pt>
                <c:pt idx="9">
                  <c:v>3577</c:v>
                </c:pt>
                <c:pt idx="10">
                  <c:v>3747</c:v>
                </c:pt>
              </c:numCache>
            </c:numRef>
          </c:val>
          <c:extLst>
            <c:ext xmlns:c16="http://schemas.microsoft.com/office/drawing/2014/chart" uri="{C3380CC4-5D6E-409C-BE32-E72D297353CC}">
              <c16:uniqueId val="{00000019-37F2-45F6-A984-AC81FAFEB245}"/>
            </c:ext>
          </c:extLst>
        </c:ser>
        <c:ser>
          <c:idx val="16"/>
          <c:order val="16"/>
          <c:tx>
            <c:strRef>
              <c:f>q1_q2_q4_q5_Fig!$R$23</c:f>
              <c:strCache>
                <c:ptCount val="1"/>
                <c:pt idx="0">
                  <c:v>Q</c:v>
                </c:pt>
              </c:strCache>
            </c:strRef>
          </c:tx>
          <c:spPr>
            <a:solidFill>
              <a:schemeClr val="accent3">
                <a:lumMod val="50000"/>
              </a:schemeClr>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q1_q2_q4_q5_Fig!$S$23:$AC$23</c:f>
              <c:numCache>
                <c:formatCode>General</c:formatCode>
                <c:ptCount val="11"/>
                <c:pt idx="0">
                  <c:v>14259</c:v>
                </c:pt>
                <c:pt idx="1">
                  <c:v>14586</c:v>
                </c:pt>
                <c:pt idx="2">
                  <c:v>14787</c:v>
                </c:pt>
                <c:pt idx="3">
                  <c:v>15110</c:v>
                </c:pt>
                <c:pt idx="4">
                  <c:v>15253</c:v>
                </c:pt>
                <c:pt idx="5">
                  <c:v>15453</c:v>
                </c:pt>
                <c:pt idx="6">
                  <c:v>15499</c:v>
                </c:pt>
                <c:pt idx="7">
                  <c:v>15300</c:v>
                </c:pt>
                <c:pt idx="8">
                  <c:v>15658</c:v>
                </c:pt>
                <c:pt idx="9">
                  <c:v>15268</c:v>
                </c:pt>
                <c:pt idx="10">
                  <c:v>16093</c:v>
                </c:pt>
              </c:numCache>
            </c:numRef>
          </c:val>
          <c:extLst>
            <c:ext xmlns:c16="http://schemas.microsoft.com/office/drawing/2014/chart" uri="{C3380CC4-5D6E-409C-BE32-E72D297353CC}">
              <c16:uniqueId val="{0000001A-37F2-45F6-A984-AC81FAFEB245}"/>
            </c:ext>
          </c:extLst>
        </c:ser>
        <c:ser>
          <c:idx val="17"/>
          <c:order val="17"/>
          <c:tx>
            <c:strRef>
              <c:f>q1_q2_q4_q5_Fig!$R$24</c:f>
              <c:strCache>
                <c:ptCount val="1"/>
                <c:pt idx="0">
                  <c:v>R</c:v>
                </c:pt>
              </c:strCache>
            </c:strRef>
          </c:tx>
          <c:spPr>
            <a:solidFill>
              <a:schemeClr val="accent5">
                <a:lumMod val="50000"/>
              </a:schemeClr>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q1_q2_q4_q5_Fig!$S$24:$AC$24</c:f>
              <c:numCache>
                <c:formatCode>General</c:formatCode>
                <c:ptCount val="11"/>
                <c:pt idx="0">
                  <c:v>2715</c:v>
                </c:pt>
                <c:pt idx="1">
                  <c:v>2849</c:v>
                </c:pt>
                <c:pt idx="2">
                  <c:v>3087</c:v>
                </c:pt>
                <c:pt idx="3">
                  <c:v>3213</c:v>
                </c:pt>
                <c:pt idx="4">
                  <c:v>3351</c:v>
                </c:pt>
                <c:pt idx="5">
                  <c:v>3605</c:v>
                </c:pt>
                <c:pt idx="6">
                  <c:v>3886</c:v>
                </c:pt>
                <c:pt idx="7">
                  <c:v>3917</c:v>
                </c:pt>
                <c:pt idx="8">
                  <c:v>3922</c:v>
                </c:pt>
                <c:pt idx="9">
                  <c:v>3932</c:v>
                </c:pt>
                <c:pt idx="10">
                  <c:v>4293</c:v>
                </c:pt>
              </c:numCache>
            </c:numRef>
          </c:val>
          <c:extLst>
            <c:ext xmlns:c16="http://schemas.microsoft.com/office/drawing/2014/chart" uri="{C3380CC4-5D6E-409C-BE32-E72D297353CC}">
              <c16:uniqueId val="{0000001B-37F2-45F6-A984-AC81FAFEB245}"/>
            </c:ext>
          </c:extLst>
        </c:ser>
        <c:ser>
          <c:idx val="18"/>
          <c:order val="18"/>
          <c:tx>
            <c:strRef>
              <c:f>q1_q2_q4_q5_Fig!$R$25</c:f>
              <c:strCache>
                <c:ptCount val="1"/>
                <c:pt idx="0">
                  <c:v>S</c:v>
                </c:pt>
              </c:strCache>
            </c:strRef>
          </c:tx>
          <c:spPr>
            <a:solidFill>
              <a:schemeClr val="accent1">
                <a:lumMod val="70000"/>
                <a:lumOff val="30000"/>
              </a:schemeClr>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q1_q2_q4_q5_Fig!$S$25:$AC$25</c:f>
              <c:numCache>
                <c:formatCode>General</c:formatCode>
                <c:ptCount val="11"/>
                <c:pt idx="0">
                  <c:v>13245</c:v>
                </c:pt>
                <c:pt idx="1">
                  <c:v>13201</c:v>
                </c:pt>
                <c:pt idx="2">
                  <c:v>13415</c:v>
                </c:pt>
                <c:pt idx="3">
                  <c:v>13491</c:v>
                </c:pt>
                <c:pt idx="4">
                  <c:v>13431</c:v>
                </c:pt>
                <c:pt idx="5">
                  <c:v>13330</c:v>
                </c:pt>
                <c:pt idx="6">
                  <c:v>13348</c:v>
                </c:pt>
                <c:pt idx="7">
                  <c:v>12528</c:v>
                </c:pt>
                <c:pt idx="8">
                  <c:v>12260</c:v>
                </c:pt>
                <c:pt idx="9">
                  <c:v>11606</c:v>
                </c:pt>
                <c:pt idx="10">
                  <c:v>12060</c:v>
                </c:pt>
              </c:numCache>
            </c:numRef>
          </c:val>
          <c:extLst>
            <c:ext xmlns:c16="http://schemas.microsoft.com/office/drawing/2014/chart" uri="{C3380CC4-5D6E-409C-BE32-E72D297353CC}">
              <c16:uniqueId val="{0000001C-37F2-45F6-A984-AC81FAFEB245}"/>
            </c:ext>
          </c:extLst>
        </c:ser>
        <c:ser>
          <c:idx val="19"/>
          <c:order val="19"/>
          <c:tx>
            <c:strRef>
              <c:f>q1_q2_q4_q5_Fig!$R$26</c:f>
              <c:strCache>
                <c:ptCount val="1"/>
                <c:pt idx="0">
                  <c:v>U</c:v>
                </c:pt>
              </c:strCache>
            </c:strRef>
          </c:tx>
          <c:spPr>
            <a:solidFill>
              <a:schemeClr val="accent3">
                <a:lumMod val="70000"/>
                <a:lumOff val="30000"/>
              </a:schemeClr>
            </a:solidFill>
            <a:ln>
              <a:noFill/>
            </a:ln>
            <a:effectLst/>
          </c:spPr>
          <c:invertIfNegative val="0"/>
          <c:cat>
            <c:numRef>
              <c:f>q1_q2_q4_q5_Fig!$S$6:$AC$6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q1_q2_q4_q5_Fig!$S$26:$AC$26</c:f>
              <c:numCache>
                <c:formatCode>General</c:formatCode>
                <c:ptCount val="11"/>
                <c:pt idx="0">
                  <c:v>8</c:v>
                </c:pt>
                <c:pt idx="1">
                  <c:v>11</c:v>
                </c:pt>
                <c:pt idx="2">
                  <c:v>15</c:v>
                </c:pt>
                <c:pt idx="3">
                  <c:v>13</c:v>
                </c:pt>
                <c:pt idx="4">
                  <c:v>16</c:v>
                </c:pt>
                <c:pt idx="5">
                  <c:v>13</c:v>
                </c:pt>
                <c:pt idx="6">
                  <c:v>14</c:v>
                </c:pt>
                <c:pt idx="7">
                  <c:v>15</c:v>
                </c:pt>
                <c:pt idx="8">
                  <c:v>17</c:v>
                </c:pt>
                <c:pt idx="9">
                  <c:v>16</c:v>
                </c:pt>
                <c:pt idx="10">
                  <c:v>15</c:v>
                </c:pt>
              </c:numCache>
            </c:numRef>
          </c:val>
          <c:extLst>
            <c:ext xmlns:c16="http://schemas.microsoft.com/office/drawing/2014/chart" uri="{C3380CC4-5D6E-409C-BE32-E72D297353CC}">
              <c16:uniqueId val="{0000001D-37F2-45F6-A984-AC81FAFEB245}"/>
            </c:ext>
          </c:extLst>
        </c:ser>
        <c:dLbls>
          <c:showLegendKey val="0"/>
          <c:showVal val="0"/>
          <c:showCatName val="0"/>
          <c:showSerName val="0"/>
          <c:showPercent val="0"/>
          <c:showBubbleSize val="0"/>
        </c:dLbls>
        <c:gapWidth val="50"/>
        <c:overlap val="100"/>
        <c:axId val="211072368"/>
        <c:axId val="1682385520"/>
        <c:extLst/>
      </c:barChart>
      <c:catAx>
        <c:axId val="21107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crossAx val="1682385520"/>
        <c:crosses val="autoZero"/>
        <c:auto val="1"/>
        <c:lblAlgn val="ctr"/>
        <c:lblOffset val="100"/>
        <c:noMultiLvlLbl val="0"/>
      </c:catAx>
      <c:valAx>
        <c:axId val="1682385520"/>
        <c:scaling>
          <c:orientation val="minMax"/>
          <c:max val="35000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211072368"/>
        <c:crosses val="autoZero"/>
        <c:crossBetween val="between"/>
      </c:valAx>
      <c:spPr>
        <a:noFill/>
        <a:ln>
          <a:noFill/>
        </a:ln>
        <a:effectLst/>
      </c:spPr>
    </c:plotArea>
    <c:legend>
      <c:legendPos val="b"/>
      <c:layout>
        <c:manualLayout>
          <c:xMode val="edge"/>
          <c:yMode val="edge"/>
          <c:x val="0.13543103448275862"/>
          <c:y val="0.82244956140350878"/>
          <c:w val="0.81429118773946374"/>
          <c:h val="0.149699561403508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PT"/>
        </a:p>
      </c:txPr>
    </c:legend>
    <c:plotVisOnly val="1"/>
    <c:dispBlanksAs val="gap"/>
    <c:showDLblsOverMax val="0"/>
  </c:chart>
  <c:spPr>
    <a:solidFill>
      <a:schemeClr val="bg1"/>
    </a:solid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pt-PT" sz="900">
                <a:solidFill>
                  <a:schemeClr val="tx2">
                    <a:lumMod val="75000"/>
                  </a:schemeClr>
                </a:solidFill>
              </a:rPr>
              <a:t>...por dimensão</a:t>
            </a:r>
          </a:p>
        </c:rich>
      </c:tx>
      <c:layout>
        <c:manualLayout>
          <c:xMode val="edge"/>
          <c:yMode val="edge"/>
          <c:x val="0.75006003767601337"/>
          <c:y val="3.404253798289474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pt-PT"/>
        </a:p>
      </c:txPr>
    </c:title>
    <c:autoTitleDeleted val="0"/>
    <c:plotArea>
      <c:layout/>
      <c:lineChart>
        <c:grouping val="standard"/>
        <c:varyColors val="0"/>
        <c:ser>
          <c:idx val="0"/>
          <c:order val="0"/>
          <c:tx>
            <c:strRef>
              <c:f>q1_q2_q4_q5_Fig!$R$31</c:f>
              <c:strCache>
                <c:ptCount val="1"/>
                <c:pt idx="0">
                  <c:v>Micro (1-9 pessoas)</c:v>
                </c:pt>
              </c:strCache>
            </c:strRef>
          </c:tx>
          <c:spPr>
            <a:ln w="25400" cap="rnd">
              <a:solidFill>
                <a:srgbClr val="3C1692"/>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7831-476F-934F-887DEBFD77DA}"/>
                </c:ext>
              </c:extLst>
            </c:dLbl>
            <c:dLbl>
              <c:idx val="1"/>
              <c:delete val="1"/>
              <c:extLst>
                <c:ext xmlns:c15="http://schemas.microsoft.com/office/drawing/2012/chart" uri="{CE6537A1-D6FC-4f65-9D91-7224C49458BB}"/>
                <c:ext xmlns:c16="http://schemas.microsoft.com/office/drawing/2014/chart" uri="{C3380CC4-5D6E-409C-BE32-E72D297353CC}">
                  <c16:uniqueId val="{00000001-7831-476F-934F-887DEBFD77DA}"/>
                </c:ext>
              </c:extLst>
            </c:dLbl>
            <c:dLbl>
              <c:idx val="2"/>
              <c:delete val="1"/>
              <c:extLst>
                <c:ext xmlns:c15="http://schemas.microsoft.com/office/drawing/2012/chart" uri="{CE6537A1-D6FC-4f65-9D91-7224C49458BB}"/>
                <c:ext xmlns:c16="http://schemas.microsoft.com/office/drawing/2014/chart" uri="{C3380CC4-5D6E-409C-BE32-E72D297353CC}">
                  <c16:uniqueId val="{00000002-7831-476F-934F-887DEBFD77DA}"/>
                </c:ext>
              </c:extLst>
            </c:dLbl>
            <c:dLbl>
              <c:idx val="3"/>
              <c:layout>
                <c:manualLayout>
                  <c:x val="0.22531828099800777"/>
                  <c:y val="0.10212761394868422"/>
                </c:manualLayout>
              </c:layout>
              <c:tx>
                <c:rich>
                  <a:bodyPr/>
                  <a:lstStyle/>
                  <a:p>
                    <a:fld id="{9CE6EBA3-6B90-4494-A3EB-93CA4F92D163}" type="SERIESNAME">
                      <a:rPr lang="en-US">
                        <a:solidFill>
                          <a:srgbClr val="3C1692"/>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7831-476F-934F-887DEBFD77DA}"/>
                </c:ext>
              </c:extLst>
            </c:dLbl>
            <c:dLbl>
              <c:idx val="4"/>
              <c:delete val="1"/>
              <c:extLst>
                <c:ext xmlns:c15="http://schemas.microsoft.com/office/drawing/2012/chart" uri="{CE6537A1-D6FC-4f65-9D91-7224C49458BB}"/>
                <c:ext xmlns:c16="http://schemas.microsoft.com/office/drawing/2014/chart" uri="{C3380CC4-5D6E-409C-BE32-E72D297353CC}">
                  <c16:uniqueId val="{00000004-7831-476F-934F-887DEBFD77DA}"/>
                </c:ext>
              </c:extLst>
            </c:dLbl>
            <c:dLbl>
              <c:idx val="5"/>
              <c:delete val="1"/>
              <c:extLst>
                <c:ext xmlns:c15="http://schemas.microsoft.com/office/drawing/2012/chart" uri="{CE6537A1-D6FC-4f65-9D91-7224C49458BB}"/>
                <c:ext xmlns:c16="http://schemas.microsoft.com/office/drawing/2014/chart" uri="{C3380CC4-5D6E-409C-BE32-E72D297353CC}">
                  <c16:uniqueId val="{00000005-7831-476F-934F-887DEBFD77DA}"/>
                </c:ext>
              </c:extLst>
            </c:dLbl>
            <c:dLbl>
              <c:idx val="6"/>
              <c:delete val="1"/>
              <c:extLst>
                <c:ext xmlns:c15="http://schemas.microsoft.com/office/drawing/2012/chart" uri="{CE6537A1-D6FC-4f65-9D91-7224C49458BB}"/>
                <c:ext xmlns:c16="http://schemas.microsoft.com/office/drawing/2014/chart" uri="{C3380CC4-5D6E-409C-BE32-E72D297353CC}">
                  <c16:uniqueId val="{00000006-7831-476F-934F-887DEBFD77DA}"/>
                </c:ext>
              </c:extLst>
            </c:dLbl>
            <c:dLbl>
              <c:idx val="7"/>
              <c:delete val="1"/>
              <c:extLst>
                <c:ext xmlns:c15="http://schemas.microsoft.com/office/drawing/2012/chart" uri="{CE6537A1-D6FC-4f65-9D91-7224C49458BB}"/>
                <c:ext xmlns:c16="http://schemas.microsoft.com/office/drawing/2014/chart" uri="{C3380CC4-5D6E-409C-BE32-E72D297353CC}">
                  <c16:uniqueId val="{00000007-7831-476F-934F-887DEBFD77DA}"/>
                </c:ext>
              </c:extLst>
            </c:dLbl>
            <c:dLbl>
              <c:idx val="8"/>
              <c:delete val="1"/>
              <c:extLst>
                <c:ext xmlns:c15="http://schemas.microsoft.com/office/drawing/2012/chart" uri="{CE6537A1-D6FC-4f65-9D91-7224C49458BB}"/>
                <c:ext xmlns:c16="http://schemas.microsoft.com/office/drawing/2014/chart" uri="{C3380CC4-5D6E-409C-BE32-E72D297353CC}">
                  <c16:uniqueId val="{00000008-7831-476F-934F-887DEBFD77DA}"/>
                </c:ext>
              </c:extLst>
            </c:dLbl>
            <c:dLbl>
              <c:idx val="9"/>
              <c:delete val="1"/>
              <c:extLst>
                <c:ext xmlns:c15="http://schemas.microsoft.com/office/drawing/2012/chart" uri="{CE6537A1-D6FC-4f65-9D91-7224C49458BB}"/>
                <c:ext xmlns:c16="http://schemas.microsoft.com/office/drawing/2014/chart" uri="{C3380CC4-5D6E-409C-BE32-E72D297353CC}">
                  <c16:uniqueId val="{00000009-7831-476F-934F-887DEBFD77DA}"/>
                </c:ext>
              </c:extLst>
            </c:dLbl>
            <c:dLbl>
              <c:idx val="10"/>
              <c:delete val="1"/>
              <c:extLst>
                <c:ext xmlns:c15="http://schemas.microsoft.com/office/drawing/2012/chart" uri="{CE6537A1-D6FC-4f65-9D91-7224C49458BB}"/>
                <c:ext xmlns:c16="http://schemas.microsoft.com/office/drawing/2014/chart" uri="{C3380CC4-5D6E-409C-BE32-E72D297353CC}">
                  <c16:uniqueId val="{0000000A-7831-476F-934F-887DEBFD77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3C1692"/>
                      </a:solidFill>
                    </a:ln>
                    <a:effectLst/>
                  </c:spPr>
                </c15:leaderLines>
              </c:ext>
            </c:extLst>
          </c:dLbls>
          <c:cat>
            <c:numRef>
              <c:f>q1_q2_q4_q5_Fig!$S$30:$AC$30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q1_q2_q4_q5_Fig!$S$31:$AC$31</c:f>
              <c:numCache>
                <c:formatCode>General</c:formatCode>
                <c:ptCount val="11"/>
                <c:pt idx="0">
                  <c:v>227936</c:v>
                </c:pt>
                <c:pt idx="1">
                  <c:v>226260</c:v>
                </c:pt>
                <c:pt idx="2">
                  <c:v>229443</c:v>
                </c:pt>
                <c:pt idx="3">
                  <c:v>231010</c:v>
                </c:pt>
                <c:pt idx="4">
                  <c:v>233017</c:v>
                </c:pt>
                <c:pt idx="5">
                  <c:v>233890</c:v>
                </c:pt>
                <c:pt idx="6">
                  <c:v>235060</c:v>
                </c:pt>
                <c:pt idx="7">
                  <c:v>227923</c:v>
                </c:pt>
                <c:pt idx="8">
                  <c:v>230042</c:v>
                </c:pt>
                <c:pt idx="9">
                  <c:v>224301</c:v>
                </c:pt>
                <c:pt idx="10">
                  <c:v>233783</c:v>
                </c:pt>
              </c:numCache>
            </c:numRef>
          </c:val>
          <c:smooth val="0"/>
          <c:extLst>
            <c:ext xmlns:c16="http://schemas.microsoft.com/office/drawing/2014/chart" uri="{C3380CC4-5D6E-409C-BE32-E72D297353CC}">
              <c16:uniqueId val="{0000000B-7831-476F-934F-887DEBFD77DA}"/>
            </c:ext>
          </c:extLst>
        </c:ser>
        <c:ser>
          <c:idx val="1"/>
          <c:order val="1"/>
          <c:tx>
            <c:strRef>
              <c:f>q1_q2_q4_q5_Fig!$R$32</c:f>
              <c:strCache>
                <c:ptCount val="1"/>
                <c:pt idx="0">
                  <c:v>Pequenas (10 - 49 pessoas)</c:v>
                </c:pt>
              </c:strCache>
            </c:strRef>
          </c:tx>
          <c:spPr>
            <a:ln w="25400" cap="rnd">
              <a:solidFill>
                <a:srgbClr val="1403EB"/>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C-7831-476F-934F-887DEBFD77DA}"/>
                </c:ext>
              </c:extLst>
            </c:dLbl>
            <c:dLbl>
              <c:idx val="1"/>
              <c:delete val="1"/>
              <c:extLst>
                <c:ext xmlns:c15="http://schemas.microsoft.com/office/drawing/2012/chart" uri="{CE6537A1-D6FC-4f65-9D91-7224C49458BB}"/>
                <c:ext xmlns:c16="http://schemas.microsoft.com/office/drawing/2014/chart" uri="{C3380CC4-5D6E-409C-BE32-E72D297353CC}">
                  <c16:uniqueId val="{0000000D-7831-476F-934F-887DEBFD77DA}"/>
                </c:ext>
              </c:extLst>
            </c:dLbl>
            <c:dLbl>
              <c:idx val="2"/>
              <c:delete val="1"/>
              <c:extLst>
                <c:ext xmlns:c15="http://schemas.microsoft.com/office/drawing/2012/chart" uri="{CE6537A1-D6FC-4f65-9D91-7224C49458BB}"/>
                <c:ext xmlns:c16="http://schemas.microsoft.com/office/drawing/2014/chart" uri="{C3380CC4-5D6E-409C-BE32-E72D297353CC}">
                  <c16:uniqueId val="{0000000E-7831-476F-934F-887DEBFD77DA}"/>
                </c:ext>
              </c:extLst>
            </c:dLbl>
            <c:dLbl>
              <c:idx val="3"/>
              <c:layout>
                <c:manualLayout>
                  <c:x val="5.0748505834361066E-2"/>
                  <c:y val="-0.17021268991447372"/>
                </c:manualLayout>
              </c:layout>
              <c:tx>
                <c:rich>
                  <a:bodyPr/>
                  <a:lstStyle/>
                  <a:p>
                    <a:fld id="{14240C8F-AF37-4B43-AB3A-8831BB2E3D41}" type="SERIESNAME">
                      <a:rPr lang="en-US">
                        <a:solidFill>
                          <a:srgbClr val="1403EB"/>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7831-476F-934F-887DEBFD77DA}"/>
                </c:ext>
              </c:extLst>
            </c:dLbl>
            <c:dLbl>
              <c:idx val="4"/>
              <c:delete val="1"/>
              <c:extLst>
                <c:ext xmlns:c15="http://schemas.microsoft.com/office/drawing/2012/chart" uri="{CE6537A1-D6FC-4f65-9D91-7224C49458BB}"/>
                <c:ext xmlns:c16="http://schemas.microsoft.com/office/drawing/2014/chart" uri="{C3380CC4-5D6E-409C-BE32-E72D297353CC}">
                  <c16:uniqueId val="{00000010-7831-476F-934F-887DEBFD77DA}"/>
                </c:ext>
              </c:extLst>
            </c:dLbl>
            <c:dLbl>
              <c:idx val="5"/>
              <c:delete val="1"/>
              <c:extLst>
                <c:ext xmlns:c15="http://schemas.microsoft.com/office/drawing/2012/chart" uri="{CE6537A1-D6FC-4f65-9D91-7224C49458BB}"/>
                <c:ext xmlns:c16="http://schemas.microsoft.com/office/drawing/2014/chart" uri="{C3380CC4-5D6E-409C-BE32-E72D297353CC}">
                  <c16:uniqueId val="{00000011-7831-476F-934F-887DEBFD77DA}"/>
                </c:ext>
              </c:extLst>
            </c:dLbl>
            <c:dLbl>
              <c:idx val="6"/>
              <c:delete val="1"/>
              <c:extLst>
                <c:ext xmlns:c15="http://schemas.microsoft.com/office/drawing/2012/chart" uri="{CE6537A1-D6FC-4f65-9D91-7224C49458BB}"/>
                <c:ext xmlns:c16="http://schemas.microsoft.com/office/drawing/2014/chart" uri="{C3380CC4-5D6E-409C-BE32-E72D297353CC}">
                  <c16:uniqueId val="{00000012-7831-476F-934F-887DEBFD77DA}"/>
                </c:ext>
              </c:extLst>
            </c:dLbl>
            <c:dLbl>
              <c:idx val="7"/>
              <c:delete val="1"/>
              <c:extLst>
                <c:ext xmlns:c15="http://schemas.microsoft.com/office/drawing/2012/chart" uri="{CE6537A1-D6FC-4f65-9D91-7224C49458BB}"/>
                <c:ext xmlns:c16="http://schemas.microsoft.com/office/drawing/2014/chart" uri="{C3380CC4-5D6E-409C-BE32-E72D297353CC}">
                  <c16:uniqueId val="{00000013-7831-476F-934F-887DEBFD77DA}"/>
                </c:ext>
              </c:extLst>
            </c:dLbl>
            <c:dLbl>
              <c:idx val="8"/>
              <c:delete val="1"/>
              <c:extLst>
                <c:ext xmlns:c15="http://schemas.microsoft.com/office/drawing/2012/chart" uri="{CE6537A1-D6FC-4f65-9D91-7224C49458BB}"/>
                <c:ext xmlns:c16="http://schemas.microsoft.com/office/drawing/2014/chart" uri="{C3380CC4-5D6E-409C-BE32-E72D297353CC}">
                  <c16:uniqueId val="{00000014-7831-476F-934F-887DEBFD77DA}"/>
                </c:ext>
              </c:extLst>
            </c:dLbl>
            <c:dLbl>
              <c:idx val="9"/>
              <c:delete val="1"/>
              <c:extLst>
                <c:ext xmlns:c15="http://schemas.microsoft.com/office/drawing/2012/chart" uri="{CE6537A1-D6FC-4f65-9D91-7224C49458BB}"/>
                <c:ext xmlns:c16="http://schemas.microsoft.com/office/drawing/2014/chart" uri="{C3380CC4-5D6E-409C-BE32-E72D297353CC}">
                  <c16:uniqueId val="{00000015-7831-476F-934F-887DEBFD77DA}"/>
                </c:ext>
              </c:extLst>
            </c:dLbl>
            <c:dLbl>
              <c:idx val="10"/>
              <c:delete val="1"/>
              <c:extLst>
                <c:ext xmlns:c15="http://schemas.microsoft.com/office/drawing/2012/chart" uri="{CE6537A1-D6FC-4f65-9D91-7224C49458BB}"/>
                <c:ext xmlns:c16="http://schemas.microsoft.com/office/drawing/2014/chart" uri="{C3380CC4-5D6E-409C-BE32-E72D297353CC}">
                  <c16:uniqueId val="{00000016-7831-476F-934F-887DEBFD77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1403EB"/>
                      </a:solidFill>
                    </a:ln>
                    <a:effectLst/>
                  </c:spPr>
                </c15:leaderLines>
              </c:ext>
            </c:extLst>
          </c:dLbls>
          <c:cat>
            <c:numRef>
              <c:f>q1_q2_q4_q5_Fig!$S$30:$AC$30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q1_q2_q4_q5_Fig!$S$32:$AC$32</c:f>
              <c:numCache>
                <c:formatCode>General</c:formatCode>
                <c:ptCount val="11"/>
                <c:pt idx="0">
                  <c:v>32460</c:v>
                </c:pt>
                <c:pt idx="1">
                  <c:v>31941</c:v>
                </c:pt>
                <c:pt idx="2">
                  <c:v>32961</c:v>
                </c:pt>
                <c:pt idx="3">
                  <c:v>34146</c:v>
                </c:pt>
                <c:pt idx="4">
                  <c:v>35096</c:v>
                </c:pt>
                <c:pt idx="5">
                  <c:v>36761</c:v>
                </c:pt>
                <c:pt idx="6">
                  <c:v>38306</c:v>
                </c:pt>
                <c:pt idx="7">
                  <c:v>38760</c:v>
                </c:pt>
                <c:pt idx="8">
                  <c:v>38234</c:v>
                </c:pt>
                <c:pt idx="9">
                  <c:v>38248</c:v>
                </c:pt>
                <c:pt idx="10">
                  <c:v>41070</c:v>
                </c:pt>
              </c:numCache>
            </c:numRef>
          </c:val>
          <c:smooth val="0"/>
          <c:extLst>
            <c:ext xmlns:c16="http://schemas.microsoft.com/office/drawing/2014/chart" uri="{C3380CC4-5D6E-409C-BE32-E72D297353CC}">
              <c16:uniqueId val="{00000017-7831-476F-934F-887DEBFD77DA}"/>
            </c:ext>
          </c:extLst>
        </c:ser>
        <c:ser>
          <c:idx val="2"/>
          <c:order val="2"/>
          <c:tx>
            <c:strRef>
              <c:f>q1_q2_q4_q5_Fig!$R$33</c:f>
              <c:strCache>
                <c:ptCount val="1"/>
                <c:pt idx="0">
                  <c:v>Médias (50 - 249 pessoas)</c:v>
                </c:pt>
              </c:strCache>
            </c:strRef>
          </c:tx>
          <c:spPr>
            <a:ln w="25400" cap="rnd">
              <a:solidFill>
                <a:schemeClr val="tx2">
                  <a:lumMod val="60000"/>
                  <a:lumOff val="40000"/>
                </a:schemeClr>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8-7831-476F-934F-887DEBFD77DA}"/>
                </c:ext>
              </c:extLst>
            </c:dLbl>
            <c:dLbl>
              <c:idx val="1"/>
              <c:delete val="1"/>
              <c:extLst>
                <c:ext xmlns:c15="http://schemas.microsoft.com/office/drawing/2012/chart" uri="{CE6537A1-D6FC-4f65-9D91-7224C49458BB}"/>
                <c:ext xmlns:c16="http://schemas.microsoft.com/office/drawing/2014/chart" uri="{C3380CC4-5D6E-409C-BE32-E72D297353CC}">
                  <c16:uniqueId val="{00000019-7831-476F-934F-887DEBFD77DA}"/>
                </c:ext>
              </c:extLst>
            </c:dLbl>
            <c:dLbl>
              <c:idx val="2"/>
              <c:layout>
                <c:manualLayout>
                  <c:x val="-0.18290891349424698"/>
                  <c:y val="-0.20992898422785092"/>
                </c:manualLayout>
              </c:layout>
              <c:tx>
                <c:rich>
                  <a:bodyPr/>
                  <a:lstStyle/>
                  <a:p>
                    <a:fld id="{C6AEB162-9E37-4A50-B5DB-382998C59862}" type="SERIESNAME">
                      <a:rPr lang="en-US">
                        <a:solidFill>
                          <a:srgbClr val="558ED5"/>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7831-476F-934F-887DEBFD77DA}"/>
                </c:ext>
              </c:extLst>
            </c:dLbl>
            <c:dLbl>
              <c:idx val="3"/>
              <c:delete val="1"/>
              <c:extLst>
                <c:ext xmlns:c15="http://schemas.microsoft.com/office/drawing/2012/chart" uri="{CE6537A1-D6FC-4f65-9D91-7224C49458BB}"/>
                <c:ext xmlns:c16="http://schemas.microsoft.com/office/drawing/2014/chart" uri="{C3380CC4-5D6E-409C-BE32-E72D297353CC}">
                  <c16:uniqueId val="{0000001B-7831-476F-934F-887DEBFD77DA}"/>
                </c:ext>
              </c:extLst>
            </c:dLbl>
            <c:dLbl>
              <c:idx val="4"/>
              <c:delete val="1"/>
              <c:extLst>
                <c:ext xmlns:c15="http://schemas.microsoft.com/office/drawing/2012/chart" uri="{CE6537A1-D6FC-4f65-9D91-7224C49458BB}"/>
                <c:ext xmlns:c16="http://schemas.microsoft.com/office/drawing/2014/chart" uri="{C3380CC4-5D6E-409C-BE32-E72D297353CC}">
                  <c16:uniqueId val="{0000001C-7831-476F-934F-887DEBFD77DA}"/>
                </c:ext>
              </c:extLst>
            </c:dLbl>
            <c:dLbl>
              <c:idx val="5"/>
              <c:delete val="1"/>
              <c:extLst>
                <c:ext xmlns:c15="http://schemas.microsoft.com/office/drawing/2012/chart" uri="{CE6537A1-D6FC-4f65-9D91-7224C49458BB}"/>
                <c:ext xmlns:c16="http://schemas.microsoft.com/office/drawing/2014/chart" uri="{C3380CC4-5D6E-409C-BE32-E72D297353CC}">
                  <c16:uniqueId val="{0000001D-7831-476F-934F-887DEBFD77DA}"/>
                </c:ext>
              </c:extLst>
            </c:dLbl>
            <c:dLbl>
              <c:idx val="6"/>
              <c:delete val="1"/>
              <c:extLst>
                <c:ext xmlns:c15="http://schemas.microsoft.com/office/drawing/2012/chart" uri="{CE6537A1-D6FC-4f65-9D91-7224C49458BB}"/>
                <c:ext xmlns:c16="http://schemas.microsoft.com/office/drawing/2014/chart" uri="{C3380CC4-5D6E-409C-BE32-E72D297353CC}">
                  <c16:uniqueId val="{0000001E-7831-476F-934F-887DEBFD77DA}"/>
                </c:ext>
              </c:extLst>
            </c:dLbl>
            <c:dLbl>
              <c:idx val="7"/>
              <c:delete val="1"/>
              <c:extLst>
                <c:ext xmlns:c15="http://schemas.microsoft.com/office/drawing/2012/chart" uri="{CE6537A1-D6FC-4f65-9D91-7224C49458BB}"/>
                <c:ext xmlns:c16="http://schemas.microsoft.com/office/drawing/2014/chart" uri="{C3380CC4-5D6E-409C-BE32-E72D297353CC}">
                  <c16:uniqueId val="{0000001F-7831-476F-934F-887DEBFD77DA}"/>
                </c:ext>
              </c:extLst>
            </c:dLbl>
            <c:dLbl>
              <c:idx val="8"/>
              <c:delete val="1"/>
              <c:extLst>
                <c:ext xmlns:c15="http://schemas.microsoft.com/office/drawing/2012/chart" uri="{CE6537A1-D6FC-4f65-9D91-7224C49458BB}"/>
                <c:ext xmlns:c16="http://schemas.microsoft.com/office/drawing/2014/chart" uri="{C3380CC4-5D6E-409C-BE32-E72D297353CC}">
                  <c16:uniqueId val="{00000020-7831-476F-934F-887DEBFD77DA}"/>
                </c:ext>
              </c:extLst>
            </c:dLbl>
            <c:dLbl>
              <c:idx val="9"/>
              <c:delete val="1"/>
              <c:extLst>
                <c:ext xmlns:c15="http://schemas.microsoft.com/office/drawing/2012/chart" uri="{CE6537A1-D6FC-4f65-9D91-7224C49458BB}"/>
                <c:ext xmlns:c16="http://schemas.microsoft.com/office/drawing/2014/chart" uri="{C3380CC4-5D6E-409C-BE32-E72D297353CC}">
                  <c16:uniqueId val="{00000021-7831-476F-934F-887DEBFD77DA}"/>
                </c:ext>
              </c:extLst>
            </c:dLbl>
            <c:dLbl>
              <c:idx val="10"/>
              <c:delete val="1"/>
              <c:extLst>
                <c:ext xmlns:c15="http://schemas.microsoft.com/office/drawing/2012/chart" uri="{CE6537A1-D6FC-4f65-9D91-7224C49458BB}"/>
                <c:ext xmlns:c16="http://schemas.microsoft.com/office/drawing/2014/chart" uri="{C3380CC4-5D6E-409C-BE32-E72D297353CC}">
                  <c16:uniqueId val="{00000022-7831-476F-934F-887DEBFD77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558ED5"/>
                      </a:solidFill>
                    </a:ln>
                    <a:effectLst/>
                  </c:spPr>
                </c15:leaderLines>
              </c:ext>
            </c:extLst>
          </c:dLbls>
          <c:cat>
            <c:numRef>
              <c:f>q1_q2_q4_q5_Fig!$S$30:$AC$30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q1_q2_q4_q5_Fig!$S$33:$AC$33</c:f>
              <c:numCache>
                <c:formatCode>General</c:formatCode>
                <c:ptCount val="11"/>
                <c:pt idx="0">
                  <c:v>5385</c:v>
                </c:pt>
                <c:pt idx="1">
                  <c:v>5440</c:v>
                </c:pt>
                <c:pt idx="2">
                  <c:v>5596</c:v>
                </c:pt>
                <c:pt idx="3">
                  <c:v>5749</c:v>
                </c:pt>
                <c:pt idx="4">
                  <c:v>5981</c:v>
                </c:pt>
                <c:pt idx="5">
                  <c:v>6271</c:v>
                </c:pt>
                <c:pt idx="6">
                  <c:v>6560</c:v>
                </c:pt>
                <c:pt idx="7">
                  <c:v>6679</c:v>
                </c:pt>
                <c:pt idx="8">
                  <c:v>6566</c:v>
                </c:pt>
                <c:pt idx="9">
                  <c:v>6728</c:v>
                </c:pt>
                <c:pt idx="10">
                  <c:v>7348</c:v>
                </c:pt>
              </c:numCache>
            </c:numRef>
          </c:val>
          <c:smooth val="0"/>
          <c:extLst>
            <c:ext xmlns:c16="http://schemas.microsoft.com/office/drawing/2014/chart" uri="{C3380CC4-5D6E-409C-BE32-E72D297353CC}">
              <c16:uniqueId val="{00000023-7831-476F-934F-887DEBFD77DA}"/>
            </c:ext>
          </c:extLst>
        </c:ser>
        <c:ser>
          <c:idx val="3"/>
          <c:order val="3"/>
          <c:tx>
            <c:strRef>
              <c:f>q1_q2_q4_q5_Fig!$R$34</c:f>
              <c:strCache>
                <c:ptCount val="1"/>
                <c:pt idx="0">
                  <c:v>Grandes (250 ou + pessoas)</c:v>
                </c:pt>
              </c:strCache>
            </c:strRef>
          </c:tx>
          <c:spPr>
            <a:ln w="25400" cap="rnd">
              <a:solidFill>
                <a:srgbClr val="B6C3FF"/>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4-7831-476F-934F-887DEBFD77DA}"/>
                </c:ext>
              </c:extLst>
            </c:dLbl>
            <c:dLbl>
              <c:idx val="1"/>
              <c:delete val="1"/>
              <c:extLst>
                <c:ext xmlns:c15="http://schemas.microsoft.com/office/drawing/2012/chart" uri="{CE6537A1-D6FC-4f65-9D91-7224C49458BB}"/>
                <c:ext xmlns:c16="http://schemas.microsoft.com/office/drawing/2014/chart" uri="{C3380CC4-5D6E-409C-BE32-E72D297353CC}">
                  <c16:uniqueId val="{00000025-7831-476F-934F-887DEBFD77DA}"/>
                </c:ext>
              </c:extLst>
            </c:dLbl>
            <c:dLbl>
              <c:idx val="2"/>
              <c:delete val="1"/>
              <c:extLst>
                <c:ext xmlns:c15="http://schemas.microsoft.com/office/drawing/2012/chart" uri="{CE6537A1-D6FC-4f65-9D91-7224C49458BB}"/>
                <c:ext xmlns:c16="http://schemas.microsoft.com/office/drawing/2014/chart" uri="{C3380CC4-5D6E-409C-BE32-E72D297353CC}">
                  <c16:uniqueId val="{00000026-7831-476F-934F-887DEBFD77DA}"/>
                </c:ext>
              </c:extLst>
            </c:dLbl>
            <c:dLbl>
              <c:idx val="3"/>
              <c:delete val="1"/>
              <c:extLst>
                <c:ext xmlns:c15="http://schemas.microsoft.com/office/drawing/2012/chart" uri="{CE6537A1-D6FC-4f65-9D91-7224C49458BB}"/>
                <c:ext xmlns:c16="http://schemas.microsoft.com/office/drawing/2014/chart" uri="{C3380CC4-5D6E-409C-BE32-E72D297353CC}">
                  <c16:uniqueId val="{00000027-7831-476F-934F-887DEBFD77DA}"/>
                </c:ext>
              </c:extLst>
            </c:dLbl>
            <c:dLbl>
              <c:idx val="4"/>
              <c:delete val="1"/>
              <c:extLst>
                <c:ext xmlns:c15="http://schemas.microsoft.com/office/drawing/2012/chart" uri="{CE6537A1-D6FC-4f65-9D91-7224C49458BB}"/>
                <c:ext xmlns:c16="http://schemas.microsoft.com/office/drawing/2014/chart" uri="{C3380CC4-5D6E-409C-BE32-E72D297353CC}">
                  <c16:uniqueId val="{00000028-7831-476F-934F-887DEBFD77DA}"/>
                </c:ext>
              </c:extLst>
            </c:dLbl>
            <c:dLbl>
              <c:idx val="5"/>
              <c:delete val="1"/>
              <c:extLst>
                <c:ext xmlns:c15="http://schemas.microsoft.com/office/drawing/2012/chart" uri="{CE6537A1-D6FC-4f65-9D91-7224C49458BB}"/>
                <c:ext xmlns:c16="http://schemas.microsoft.com/office/drawing/2014/chart" uri="{C3380CC4-5D6E-409C-BE32-E72D297353CC}">
                  <c16:uniqueId val="{00000029-7831-476F-934F-887DEBFD77DA}"/>
                </c:ext>
              </c:extLst>
            </c:dLbl>
            <c:dLbl>
              <c:idx val="6"/>
              <c:delete val="1"/>
              <c:extLst>
                <c:ext xmlns:c15="http://schemas.microsoft.com/office/drawing/2012/chart" uri="{CE6537A1-D6FC-4f65-9D91-7224C49458BB}"/>
                <c:ext xmlns:c16="http://schemas.microsoft.com/office/drawing/2014/chart" uri="{C3380CC4-5D6E-409C-BE32-E72D297353CC}">
                  <c16:uniqueId val="{0000002A-7831-476F-934F-887DEBFD77DA}"/>
                </c:ext>
              </c:extLst>
            </c:dLbl>
            <c:dLbl>
              <c:idx val="7"/>
              <c:delete val="1"/>
              <c:extLst>
                <c:ext xmlns:c15="http://schemas.microsoft.com/office/drawing/2012/chart" uri="{CE6537A1-D6FC-4f65-9D91-7224C49458BB}"/>
                <c:ext xmlns:c16="http://schemas.microsoft.com/office/drawing/2014/chart" uri="{C3380CC4-5D6E-409C-BE32-E72D297353CC}">
                  <c16:uniqueId val="{0000002B-7831-476F-934F-887DEBFD77DA}"/>
                </c:ext>
              </c:extLst>
            </c:dLbl>
            <c:dLbl>
              <c:idx val="8"/>
              <c:layout>
                <c:manualLayout>
                  <c:x val="-1.1325301204819277E-2"/>
                  <c:y val="-0.19858147156688605"/>
                </c:manualLayout>
              </c:layout>
              <c:tx>
                <c:rich>
                  <a:bodyPr/>
                  <a:lstStyle/>
                  <a:p>
                    <a:fld id="{9A72A3DB-84FE-459E-8AE0-97A949F82F8A}" type="SERIESNAME">
                      <a:rPr lang="en-US">
                        <a:solidFill>
                          <a:srgbClr val="B6C3FF"/>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C-7831-476F-934F-887DEBFD77DA}"/>
                </c:ext>
              </c:extLst>
            </c:dLbl>
            <c:dLbl>
              <c:idx val="9"/>
              <c:delete val="1"/>
              <c:extLst>
                <c:ext xmlns:c15="http://schemas.microsoft.com/office/drawing/2012/chart" uri="{CE6537A1-D6FC-4f65-9D91-7224C49458BB}"/>
                <c:ext xmlns:c16="http://schemas.microsoft.com/office/drawing/2014/chart" uri="{C3380CC4-5D6E-409C-BE32-E72D297353CC}">
                  <c16:uniqueId val="{0000002D-7831-476F-934F-887DEBFD77DA}"/>
                </c:ext>
              </c:extLst>
            </c:dLbl>
            <c:dLbl>
              <c:idx val="10"/>
              <c:delete val="1"/>
              <c:extLst>
                <c:ext xmlns:c15="http://schemas.microsoft.com/office/drawing/2012/chart" uri="{CE6537A1-D6FC-4f65-9D91-7224C49458BB}"/>
                <c:ext xmlns:c16="http://schemas.microsoft.com/office/drawing/2014/chart" uri="{C3380CC4-5D6E-409C-BE32-E72D297353CC}">
                  <c16:uniqueId val="{0000002E-7831-476F-934F-887DEBFD77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B6C3FF"/>
                      </a:solidFill>
                    </a:ln>
                    <a:effectLst/>
                  </c:spPr>
                </c15:leaderLines>
              </c:ext>
            </c:extLst>
          </c:dLbls>
          <c:cat>
            <c:numRef>
              <c:f>q1_q2_q4_q5_Fig!$S$30:$AC$30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q1_q2_q4_q5_Fig!$S$34:$AC$34</c:f>
              <c:numCache>
                <c:formatCode>General</c:formatCode>
                <c:ptCount val="11"/>
                <c:pt idx="0">
                  <c:v>806</c:v>
                </c:pt>
                <c:pt idx="1">
                  <c:v>798</c:v>
                </c:pt>
                <c:pt idx="2">
                  <c:v>813</c:v>
                </c:pt>
                <c:pt idx="3">
                  <c:v>847</c:v>
                </c:pt>
                <c:pt idx="4">
                  <c:v>902</c:v>
                </c:pt>
                <c:pt idx="5">
                  <c:v>958</c:v>
                </c:pt>
                <c:pt idx="6">
                  <c:v>1011</c:v>
                </c:pt>
                <c:pt idx="7">
                  <c:v>1055</c:v>
                </c:pt>
                <c:pt idx="8">
                  <c:v>1019</c:v>
                </c:pt>
                <c:pt idx="9">
                  <c:v>1033</c:v>
                </c:pt>
                <c:pt idx="10">
                  <c:v>1136</c:v>
                </c:pt>
              </c:numCache>
            </c:numRef>
          </c:val>
          <c:smooth val="0"/>
          <c:extLst>
            <c:ext xmlns:c16="http://schemas.microsoft.com/office/drawing/2014/chart" uri="{C3380CC4-5D6E-409C-BE32-E72D297353CC}">
              <c16:uniqueId val="{0000002F-7831-476F-934F-887DEBFD77DA}"/>
            </c:ext>
          </c:extLst>
        </c:ser>
        <c:dLbls>
          <c:dLblPos val="ctr"/>
          <c:showLegendKey val="0"/>
          <c:showVal val="1"/>
          <c:showCatName val="0"/>
          <c:showSerName val="0"/>
          <c:showPercent val="0"/>
          <c:showBubbleSize val="0"/>
        </c:dLbls>
        <c:smooth val="0"/>
        <c:axId val="1734530655"/>
        <c:axId val="1715689631"/>
      </c:lineChart>
      <c:catAx>
        <c:axId val="1734530655"/>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mn-lt"/>
                <a:ea typeface="+mn-ea"/>
                <a:cs typeface="+mn-cs"/>
              </a:defRPr>
            </a:pPr>
            <a:endParaRPr lang="pt-PT"/>
          </a:p>
        </c:txPr>
        <c:crossAx val="1715689631"/>
        <c:crosses val="autoZero"/>
        <c:auto val="1"/>
        <c:lblAlgn val="ctr"/>
        <c:lblOffset val="100"/>
        <c:tickMarkSkip val="1"/>
        <c:noMultiLvlLbl val="0"/>
      </c:catAx>
      <c:valAx>
        <c:axId val="1715689631"/>
        <c:scaling>
          <c:orientation val="minMax"/>
          <c:max val="3000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1734530655"/>
        <c:crosses val="autoZero"/>
        <c:crossBetween val="between"/>
        <c:majorUnit val="5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q1_q2_q4_q5_Fig!$AS$4</c:f>
              <c:strCache>
                <c:ptCount val="1"/>
                <c:pt idx="0">
                  <c:v>Empresas</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1.4299842519685028E-2"/>
                  <c:y val="1.9559194284403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EA-4849-B71D-96754438CC87}"/>
                </c:ext>
              </c:extLst>
            </c:dLbl>
            <c:dLbl>
              <c:idx val="10"/>
              <c:layout>
                <c:manualLayout>
                  <c:x val="8.9841469816271981E-3"/>
                  <c:y val="1.46693957133022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EA-4849-B71D-96754438CC87}"/>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EA-4849-B71D-96754438CC8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q1_q2_q4_q5_Fig!$AT$3:$BD$3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q1_q2_q4_q5_Fig!$AT$4:$BD$4</c:f>
              <c:numCache>
                <c:formatCode>#\ ###\ ##0</c:formatCode>
                <c:ptCount val="11"/>
                <c:pt idx="0">
                  <c:v>268026</c:v>
                </c:pt>
                <c:pt idx="1">
                  <c:v>265860</c:v>
                </c:pt>
                <c:pt idx="2">
                  <c:v>270181</c:v>
                </c:pt>
                <c:pt idx="3">
                  <c:v>273060</c:v>
                </c:pt>
                <c:pt idx="4">
                  <c:v>276332</c:v>
                </c:pt>
                <c:pt idx="5">
                  <c:v>279191</c:v>
                </c:pt>
                <c:pt idx="6">
                  <c:v>282236</c:v>
                </c:pt>
                <c:pt idx="7">
                  <c:v>275751</c:v>
                </c:pt>
                <c:pt idx="8">
                  <c:v>277641</c:v>
                </c:pt>
                <c:pt idx="9">
                  <c:v>271806</c:v>
                </c:pt>
                <c:pt idx="10">
                  <c:v>284860</c:v>
                </c:pt>
              </c:numCache>
            </c:numRef>
          </c:val>
          <c:extLst>
            <c:ext xmlns:c16="http://schemas.microsoft.com/office/drawing/2014/chart" uri="{C3380CC4-5D6E-409C-BE32-E72D297353CC}">
              <c16:uniqueId val="{00000003-20EA-4849-B71D-96754438CC87}"/>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q1_q2_q4_q5_Fig!$AS$5</c:f>
              <c:strCache>
                <c:ptCount val="1"/>
                <c:pt idx="0">
                  <c:v>Estabelecimentos</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circle"/>
              <c:size val="6"/>
              <c:spPr>
                <a:solidFill>
                  <a:srgbClr val="FFC000"/>
                </a:solidFill>
                <a:ln w="12700">
                  <a:no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4-20EA-4849-B71D-96754438CC87}"/>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20EA-4849-B71D-96754438CC87}"/>
              </c:ext>
            </c:extLst>
          </c:dPt>
          <c:dLbls>
            <c:dLbl>
              <c:idx val="0"/>
              <c:layout>
                <c:manualLayout>
                  <c:x val="2.9545616797900239E-2"/>
                  <c:y val="-6.27091640215551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EA-4849-B71D-96754438CC87}"/>
                </c:ext>
              </c:extLst>
            </c:dLbl>
            <c:dLbl>
              <c:idx val="10"/>
              <c:layout>
                <c:manualLayout>
                  <c:x val="-4.3894173228346454E-2"/>
                  <c:y val="-8.3126575708712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EA-4849-B71D-96754438CC87}"/>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EA-4849-B71D-96754438CC87}"/>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q1_q2_q4_q5_Fig!$AT$3:$BD$3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q1_q2_q4_q5_Fig!$AT$5:$BD$5</c:f>
              <c:numCache>
                <c:formatCode>#\ ###\ ##0</c:formatCode>
                <c:ptCount val="11"/>
                <c:pt idx="0">
                  <c:v>319177</c:v>
                </c:pt>
                <c:pt idx="1">
                  <c:v>315112</c:v>
                </c:pt>
                <c:pt idx="2">
                  <c:v>318886</c:v>
                </c:pt>
                <c:pt idx="3">
                  <c:v>321500</c:v>
                </c:pt>
                <c:pt idx="4">
                  <c:v>324933</c:v>
                </c:pt>
                <c:pt idx="5">
                  <c:v>327295</c:v>
                </c:pt>
                <c:pt idx="6">
                  <c:v>330668</c:v>
                </c:pt>
                <c:pt idx="7">
                  <c:v>322978</c:v>
                </c:pt>
                <c:pt idx="8">
                  <c:v>324959</c:v>
                </c:pt>
                <c:pt idx="9">
                  <c:v>318254</c:v>
                </c:pt>
                <c:pt idx="10">
                  <c:v>332683</c:v>
                </c:pt>
              </c:numCache>
            </c:numRef>
          </c:val>
          <c:smooth val="0"/>
          <c:extLst>
            <c:ext xmlns:c16="http://schemas.microsoft.com/office/drawing/2014/chart" uri="{C3380CC4-5D6E-409C-BE32-E72D297353CC}">
              <c16:uniqueId val="{00000007-20EA-4849-B71D-96754438CC87}"/>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2.4221308218089335E-2"/>
          <c:y val="0.886956194263678"/>
          <c:w val="0.70237154150197634"/>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PT" sz="900" b="1">
                <a:solidFill>
                  <a:schemeClr val="tx2">
                    <a:lumMod val="75000"/>
                  </a:schemeClr>
                </a:solidFill>
              </a:rPr>
              <a:t>...por Secção de Atividade Económica* do</a:t>
            </a:r>
            <a:r>
              <a:rPr lang="pt-PT" sz="900" b="1" baseline="0">
                <a:solidFill>
                  <a:schemeClr val="tx2">
                    <a:lumMod val="75000"/>
                  </a:schemeClr>
                </a:solidFill>
              </a:rPr>
              <a:t> estabelecimento</a:t>
            </a:r>
            <a:endParaRPr lang="pt-PT" sz="900" b="1">
              <a:solidFill>
                <a:schemeClr val="tx2">
                  <a:lumMod val="75000"/>
                </a:schemeClr>
              </a:solidFill>
            </a:endParaRPr>
          </a:p>
        </c:rich>
      </c:tx>
      <c:layout>
        <c:manualLayout>
          <c:xMode val="edge"/>
          <c:yMode val="edge"/>
          <c:x val="0.46600349040139616"/>
          <c:y val="3.71345029239766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PT"/>
        </a:p>
      </c:txPr>
    </c:title>
    <c:autoTitleDeleted val="0"/>
    <c:plotArea>
      <c:layout/>
      <c:barChart>
        <c:barDir val="col"/>
        <c:grouping val="stacked"/>
        <c:varyColors val="0"/>
        <c:ser>
          <c:idx val="0"/>
          <c:order val="0"/>
          <c:tx>
            <c:strRef>
              <c:f>q7_q8_q10_q11_Fig!$R$7</c:f>
              <c:strCache>
                <c:ptCount val="1"/>
                <c:pt idx="0">
                  <c:v>A</c:v>
                </c:pt>
              </c:strCache>
            </c:strRef>
          </c:tx>
          <c:spPr>
            <a:solidFill>
              <a:schemeClr val="accent1"/>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q7_q8_q10_q11_Fig!$S$7:$AC$7</c:f>
              <c:numCache>
                <c:formatCode>General</c:formatCode>
                <c:ptCount val="11"/>
                <c:pt idx="0">
                  <c:v>48046</c:v>
                </c:pt>
                <c:pt idx="1">
                  <c:v>52455</c:v>
                </c:pt>
                <c:pt idx="2">
                  <c:v>54661</c:v>
                </c:pt>
                <c:pt idx="3">
                  <c:v>57045</c:v>
                </c:pt>
                <c:pt idx="4">
                  <c:v>60375</c:v>
                </c:pt>
                <c:pt idx="5">
                  <c:v>61737</c:v>
                </c:pt>
                <c:pt idx="6">
                  <c:v>65121</c:v>
                </c:pt>
                <c:pt idx="7">
                  <c:v>66106</c:v>
                </c:pt>
                <c:pt idx="8">
                  <c:v>69923</c:v>
                </c:pt>
                <c:pt idx="9">
                  <c:v>68486</c:v>
                </c:pt>
                <c:pt idx="10">
                  <c:v>74274</c:v>
                </c:pt>
              </c:numCache>
            </c:numRef>
          </c:val>
          <c:extLst xmlns:c15="http://schemas.microsoft.com/office/drawing/2012/chart">
            <c:ext xmlns:c16="http://schemas.microsoft.com/office/drawing/2014/chart" uri="{C3380CC4-5D6E-409C-BE32-E72D297353CC}">
              <c16:uniqueId val="{00000000-68C7-4D1C-AF9C-5392E67CF5C4}"/>
            </c:ext>
          </c:extLst>
        </c:ser>
        <c:ser>
          <c:idx val="1"/>
          <c:order val="1"/>
          <c:tx>
            <c:strRef>
              <c:f>q7_q8_q10_q11_Fig!$R$8</c:f>
              <c:strCache>
                <c:ptCount val="1"/>
                <c:pt idx="0">
                  <c:v>B</c:v>
                </c:pt>
              </c:strCache>
            </c:strRef>
          </c:tx>
          <c:spPr>
            <a:solidFill>
              <a:schemeClr val="accent3"/>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q7_q8_q10_q11_Fig!$S$8:$AC$8</c:f>
              <c:numCache>
                <c:formatCode>General</c:formatCode>
                <c:ptCount val="11"/>
                <c:pt idx="0">
                  <c:v>8294</c:v>
                </c:pt>
                <c:pt idx="1">
                  <c:v>8319</c:v>
                </c:pt>
                <c:pt idx="2">
                  <c:v>8158</c:v>
                </c:pt>
                <c:pt idx="3">
                  <c:v>8132</c:v>
                </c:pt>
                <c:pt idx="4">
                  <c:v>8049</c:v>
                </c:pt>
                <c:pt idx="5">
                  <c:v>8407</c:v>
                </c:pt>
                <c:pt idx="6">
                  <c:v>8338</c:v>
                </c:pt>
                <c:pt idx="7">
                  <c:v>8161</c:v>
                </c:pt>
                <c:pt idx="8">
                  <c:v>8029</c:v>
                </c:pt>
                <c:pt idx="9">
                  <c:v>8140</c:v>
                </c:pt>
                <c:pt idx="10">
                  <c:v>8518</c:v>
                </c:pt>
              </c:numCache>
            </c:numRef>
          </c:val>
          <c:extLst>
            <c:ext xmlns:c16="http://schemas.microsoft.com/office/drawing/2014/chart" uri="{C3380CC4-5D6E-409C-BE32-E72D297353CC}">
              <c16:uniqueId val="{00000001-68C7-4D1C-AF9C-5392E67CF5C4}"/>
            </c:ext>
          </c:extLst>
        </c:ser>
        <c:ser>
          <c:idx val="2"/>
          <c:order val="2"/>
          <c:tx>
            <c:strRef>
              <c:f>q7_q8_q10_q11_Fig!$R$9</c:f>
              <c:strCache>
                <c:ptCount val="1"/>
                <c:pt idx="0">
                  <c:v>C</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q7_q8_q10_q11_Fig!$S$9:$AC$9</c:f>
              <c:numCache>
                <c:formatCode>General</c:formatCode>
                <c:ptCount val="11"/>
                <c:pt idx="0">
                  <c:v>539570</c:v>
                </c:pt>
                <c:pt idx="1">
                  <c:v>541161</c:v>
                </c:pt>
                <c:pt idx="2">
                  <c:v>557477</c:v>
                </c:pt>
                <c:pt idx="3">
                  <c:v>572207</c:v>
                </c:pt>
                <c:pt idx="4">
                  <c:v>589603</c:v>
                </c:pt>
                <c:pt idx="5">
                  <c:v>613379</c:v>
                </c:pt>
                <c:pt idx="6">
                  <c:v>633595</c:v>
                </c:pt>
                <c:pt idx="7">
                  <c:v>625633</c:v>
                </c:pt>
                <c:pt idx="8">
                  <c:v>614674</c:v>
                </c:pt>
                <c:pt idx="9">
                  <c:v>612054</c:v>
                </c:pt>
                <c:pt idx="10">
                  <c:v>642354</c:v>
                </c:pt>
              </c:numCache>
            </c:numRef>
          </c:val>
          <c:extLst>
            <c:ext xmlns:c16="http://schemas.microsoft.com/office/drawing/2014/chart" uri="{C3380CC4-5D6E-409C-BE32-E72D297353CC}">
              <c16:uniqueId val="{00000002-68C7-4D1C-AF9C-5392E67CF5C4}"/>
            </c:ext>
          </c:extLst>
        </c:ser>
        <c:ser>
          <c:idx val="3"/>
          <c:order val="3"/>
          <c:tx>
            <c:strRef>
              <c:f>q7_q8_q10_q11_Fig!$R$10</c:f>
              <c:strCache>
                <c:ptCount val="1"/>
                <c:pt idx="0">
                  <c:v>D</c:v>
                </c:pt>
              </c:strCache>
            </c:strRef>
          </c:tx>
          <c:spPr>
            <a:solidFill>
              <a:schemeClr val="accent1">
                <a:lumMod val="60000"/>
              </a:schemeClr>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q7_q8_q10_q11_Fig!$S$10:$AC$10</c:f>
              <c:numCache>
                <c:formatCode>General</c:formatCode>
                <c:ptCount val="11"/>
                <c:pt idx="0">
                  <c:v>6828</c:v>
                </c:pt>
                <c:pt idx="1">
                  <c:v>6577</c:v>
                </c:pt>
                <c:pt idx="2">
                  <c:v>6277</c:v>
                </c:pt>
                <c:pt idx="3">
                  <c:v>6611</c:v>
                </c:pt>
                <c:pt idx="4">
                  <c:v>6390</c:v>
                </c:pt>
                <c:pt idx="5">
                  <c:v>6505</c:v>
                </c:pt>
                <c:pt idx="6">
                  <c:v>6748</c:v>
                </c:pt>
                <c:pt idx="7">
                  <c:v>6736</c:v>
                </c:pt>
                <c:pt idx="8">
                  <c:v>6671</c:v>
                </c:pt>
                <c:pt idx="9">
                  <c:v>6574</c:v>
                </c:pt>
                <c:pt idx="10">
                  <c:v>6551</c:v>
                </c:pt>
              </c:numCache>
            </c:numRef>
          </c:val>
          <c:extLst>
            <c:ext xmlns:c16="http://schemas.microsoft.com/office/drawing/2014/chart" uri="{C3380CC4-5D6E-409C-BE32-E72D297353CC}">
              <c16:uniqueId val="{00000003-68C7-4D1C-AF9C-5392E67CF5C4}"/>
            </c:ext>
          </c:extLst>
        </c:ser>
        <c:ser>
          <c:idx val="4"/>
          <c:order val="4"/>
          <c:tx>
            <c:strRef>
              <c:f>q7_q8_q10_q11_Fig!$R$11</c:f>
              <c:strCache>
                <c:ptCount val="1"/>
                <c:pt idx="0">
                  <c:v>E</c:v>
                </c:pt>
              </c:strCache>
            </c:strRef>
          </c:tx>
          <c:spPr>
            <a:solidFill>
              <a:schemeClr val="accent3">
                <a:lumMod val="60000"/>
              </a:schemeClr>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q7_q8_q10_q11_Fig!$S$11:$AC$11</c:f>
              <c:numCache>
                <c:formatCode>General</c:formatCode>
                <c:ptCount val="11"/>
                <c:pt idx="0">
                  <c:v>19881</c:v>
                </c:pt>
                <c:pt idx="1">
                  <c:v>20353</c:v>
                </c:pt>
                <c:pt idx="2">
                  <c:v>20348</c:v>
                </c:pt>
                <c:pt idx="3">
                  <c:v>20860</c:v>
                </c:pt>
                <c:pt idx="4">
                  <c:v>22233</c:v>
                </c:pt>
                <c:pt idx="5">
                  <c:v>23079</c:v>
                </c:pt>
                <c:pt idx="6">
                  <c:v>23567</c:v>
                </c:pt>
                <c:pt idx="7">
                  <c:v>24904</c:v>
                </c:pt>
                <c:pt idx="8">
                  <c:v>25711</c:v>
                </c:pt>
                <c:pt idx="9">
                  <c:v>27469</c:v>
                </c:pt>
                <c:pt idx="10">
                  <c:v>28585</c:v>
                </c:pt>
              </c:numCache>
            </c:numRef>
          </c:val>
          <c:extLst>
            <c:ext xmlns:c16="http://schemas.microsoft.com/office/drawing/2014/chart" uri="{C3380CC4-5D6E-409C-BE32-E72D297353CC}">
              <c16:uniqueId val="{00000004-68C7-4D1C-AF9C-5392E67CF5C4}"/>
            </c:ext>
          </c:extLst>
        </c:ser>
        <c:ser>
          <c:idx val="5"/>
          <c:order val="5"/>
          <c:tx>
            <c:strRef>
              <c:f>q7_q8_q10_q11_Fig!$R$12</c:f>
              <c:strCache>
                <c:ptCount val="1"/>
                <c:pt idx="0">
                  <c:v>F</c:v>
                </c:pt>
              </c:strCache>
            </c:strRef>
          </c:tx>
          <c:spPr>
            <a:solidFill>
              <a:schemeClr val="accent5">
                <a:lumMod val="60000"/>
              </a:schemeClr>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5-68C7-4D1C-AF9C-5392E67CF5C4}"/>
                </c:ext>
              </c:extLst>
            </c:dLbl>
            <c:dLbl>
              <c:idx val="5"/>
              <c:delete val="1"/>
              <c:extLst>
                <c:ext xmlns:c15="http://schemas.microsoft.com/office/drawing/2012/chart" uri="{CE6537A1-D6FC-4f65-9D91-7224C49458BB}"/>
                <c:ext xmlns:c16="http://schemas.microsoft.com/office/drawing/2014/chart" uri="{C3380CC4-5D6E-409C-BE32-E72D297353CC}">
                  <c16:uniqueId val="{00000006-68C7-4D1C-AF9C-5392E67CF5C4}"/>
                </c:ext>
              </c:extLst>
            </c:dLbl>
            <c:dLbl>
              <c:idx val="6"/>
              <c:delete val="1"/>
              <c:extLst>
                <c:ext xmlns:c15="http://schemas.microsoft.com/office/drawing/2012/chart" uri="{CE6537A1-D6FC-4f65-9D91-7224C49458BB}"/>
                <c:ext xmlns:c16="http://schemas.microsoft.com/office/drawing/2014/chart" uri="{C3380CC4-5D6E-409C-BE32-E72D297353CC}">
                  <c16:uniqueId val="{00000007-68C7-4D1C-AF9C-5392E67CF5C4}"/>
                </c:ext>
              </c:extLst>
            </c:dLbl>
            <c:dLbl>
              <c:idx val="7"/>
              <c:delete val="1"/>
              <c:extLst>
                <c:ext xmlns:c15="http://schemas.microsoft.com/office/drawing/2012/chart" uri="{CE6537A1-D6FC-4f65-9D91-7224C49458BB}"/>
                <c:ext xmlns:c16="http://schemas.microsoft.com/office/drawing/2014/chart" uri="{C3380CC4-5D6E-409C-BE32-E72D297353CC}">
                  <c16:uniqueId val="{00000008-68C7-4D1C-AF9C-5392E67CF5C4}"/>
                </c:ext>
              </c:extLst>
            </c:dLbl>
            <c:dLbl>
              <c:idx val="8"/>
              <c:delete val="1"/>
              <c:extLst>
                <c:ext xmlns:c15="http://schemas.microsoft.com/office/drawing/2012/chart" uri="{CE6537A1-D6FC-4f65-9D91-7224C49458BB}"/>
                <c:ext xmlns:c16="http://schemas.microsoft.com/office/drawing/2014/chart" uri="{C3380CC4-5D6E-409C-BE32-E72D297353CC}">
                  <c16:uniqueId val="{00000009-68C7-4D1C-AF9C-5392E67CF5C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q7_q8_q10_q11_Fig!$S$12:$AC$12</c:f>
              <c:numCache>
                <c:formatCode>General</c:formatCode>
                <c:ptCount val="11"/>
                <c:pt idx="0">
                  <c:v>191754</c:v>
                </c:pt>
                <c:pt idx="1">
                  <c:v>178328</c:v>
                </c:pt>
                <c:pt idx="2">
                  <c:v>178366</c:v>
                </c:pt>
                <c:pt idx="3">
                  <c:v>178864</c:v>
                </c:pt>
                <c:pt idx="4">
                  <c:v>183547</c:v>
                </c:pt>
                <c:pt idx="5">
                  <c:v>195420</c:v>
                </c:pt>
                <c:pt idx="6">
                  <c:v>206868</c:v>
                </c:pt>
                <c:pt idx="7">
                  <c:v>219984</c:v>
                </c:pt>
                <c:pt idx="8">
                  <c:v>232381</c:v>
                </c:pt>
                <c:pt idx="9">
                  <c:v>234450</c:v>
                </c:pt>
                <c:pt idx="10">
                  <c:v>253501</c:v>
                </c:pt>
              </c:numCache>
            </c:numRef>
          </c:val>
          <c:extLst>
            <c:ext xmlns:c16="http://schemas.microsoft.com/office/drawing/2014/chart" uri="{C3380CC4-5D6E-409C-BE32-E72D297353CC}">
              <c16:uniqueId val="{0000000A-68C7-4D1C-AF9C-5392E67CF5C4}"/>
            </c:ext>
          </c:extLst>
        </c:ser>
        <c:ser>
          <c:idx val="6"/>
          <c:order val="6"/>
          <c:tx>
            <c:strRef>
              <c:f>q7_q8_q10_q11_Fig!$R$13</c:f>
              <c:strCache>
                <c:ptCount val="1"/>
                <c:pt idx="0">
                  <c:v>G</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q7_q8_q10_q11_Fig!$S$13:$AC$13</c:f>
              <c:numCache>
                <c:formatCode>General</c:formatCode>
                <c:ptCount val="11"/>
                <c:pt idx="0">
                  <c:v>460720</c:v>
                </c:pt>
                <c:pt idx="1">
                  <c:v>452371</c:v>
                </c:pt>
                <c:pt idx="2">
                  <c:v>463519</c:v>
                </c:pt>
                <c:pt idx="3">
                  <c:v>478256</c:v>
                </c:pt>
                <c:pt idx="4">
                  <c:v>492250</c:v>
                </c:pt>
                <c:pt idx="5">
                  <c:v>507360</c:v>
                </c:pt>
                <c:pt idx="6">
                  <c:v>522673</c:v>
                </c:pt>
                <c:pt idx="7">
                  <c:v>538367</c:v>
                </c:pt>
                <c:pt idx="8">
                  <c:v>525816</c:v>
                </c:pt>
                <c:pt idx="9">
                  <c:v>533620</c:v>
                </c:pt>
                <c:pt idx="10">
                  <c:v>559353</c:v>
                </c:pt>
              </c:numCache>
            </c:numRef>
          </c:val>
          <c:extLst>
            <c:ext xmlns:c16="http://schemas.microsoft.com/office/drawing/2014/chart" uri="{C3380CC4-5D6E-409C-BE32-E72D297353CC}">
              <c16:uniqueId val="{0000000B-68C7-4D1C-AF9C-5392E67CF5C4}"/>
            </c:ext>
          </c:extLst>
        </c:ser>
        <c:ser>
          <c:idx val="7"/>
          <c:order val="7"/>
          <c:tx>
            <c:strRef>
              <c:f>q7_q8_q10_q11_Fig!$R$14</c:f>
              <c:strCache>
                <c:ptCount val="1"/>
                <c:pt idx="0">
                  <c:v>H</c:v>
                </c:pt>
              </c:strCache>
            </c:strRef>
          </c:tx>
          <c:spPr>
            <a:solidFill>
              <a:schemeClr val="accent3">
                <a:lumMod val="80000"/>
                <a:lumOff val="20000"/>
              </a:schemeClr>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q7_q8_q10_q11_Fig!$S$14:$AC$14</c:f>
              <c:numCache>
                <c:formatCode>General</c:formatCode>
                <c:ptCount val="11"/>
                <c:pt idx="0">
                  <c:v>118244</c:v>
                </c:pt>
                <c:pt idx="1">
                  <c:v>116904</c:v>
                </c:pt>
                <c:pt idx="2">
                  <c:v>122986</c:v>
                </c:pt>
                <c:pt idx="3">
                  <c:v>127238</c:v>
                </c:pt>
                <c:pt idx="4">
                  <c:v>132842</c:v>
                </c:pt>
                <c:pt idx="5">
                  <c:v>140148</c:v>
                </c:pt>
                <c:pt idx="6">
                  <c:v>145741</c:v>
                </c:pt>
                <c:pt idx="7">
                  <c:v>147408</c:v>
                </c:pt>
                <c:pt idx="8">
                  <c:v>146314</c:v>
                </c:pt>
                <c:pt idx="9">
                  <c:v>142969</c:v>
                </c:pt>
                <c:pt idx="10">
                  <c:v>149925</c:v>
                </c:pt>
              </c:numCache>
            </c:numRef>
          </c:val>
          <c:extLst>
            <c:ext xmlns:c16="http://schemas.microsoft.com/office/drawing/2014/chart" uri="{C3380CC4-5D6E-409C-BE32-E72D297353CC}">
              <c16:uniqueId val="{0000000C-68C7-4D1C-AF9C-5392E67CF5C4}"/>
            </c:ext>
          </c:extLst>
        </c:ser>
        <c:ser>
          <c:idx val="8"/>
          <c:order val="8"/>
          <c:tx>
            <c:strRef>
              <c:f>q7_q8_q10_q11_Fig!$R$15</c:f>
              <c:strCache>
                <c:ptCount val="1"/>
                <c:pt idx="0">
                  <c:v>I</c:v>
                </c:pt>
              </c:strCache>
            </c:strRef>
          </c:tx>
          <c:spPr>
            <a:solidFill>
              <a:schemeClr val="accent5">
                <a:lumMod val="80000"/>
                <a:lumOff val="2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68C7-4D1C-AF9C-5392E67CF5C4}"/>
                </c:ext>
              </c:extLst>
            </c:dLbl>
            <c:dLbl>
              <c:idx val="1"/>
              <c:delete val="1"/>
              <c:extLst>
                <c:ext xmlns:c15="http://schemas.microsoft.com/office/drawing/2012/chart" uri="{CE6537A1-D6FC-4f65-9D91-7224C49458BB}"/>
                <c:ext xmlns:c16="http://schemas.microsoft.com/office/drawing/2014/chart" uri="{C3380CC4-5D6E-409C-BE32-E72D297353CC}">
                  <c16:uniqueId val="{0000000E-68C7-4D1C-AF9C-5392E67CF5C4}"/>
                </c:ext>
              </c:extLst>
            </c:dLbl>
            <c:dLbl>
              <c:idx val="2"/>
              <c:delete val="1"/>
              <c:extLst>
                <c:ext xmlns:c15="http://schemas.microsoft.com/office/drawing/2012/chart" uri="{CE6537A1-D6FC-4f65-9D91-7224C49458BB}"/>
                <c:ext xmlns:c16="http://schemas.microsoft.com/office/drawing/2014/chart" uri="{C3380CC4-5D6E-409C-BE32-E72D297353CC}">
                  <c16:uniqueId val="{0000000F-68C7-4D1C-AF9C-5392E67CF5C4}"/>
                </c:ext>
              </c:extLst>
            </c:dLbl>
            <c:dLbl>
              <c:idx val="3"/>
              <c:delete val="1"/>
              <c:extLst>
                <c:ext xmlns:c15="http://schemas.microsoft.com/office/drawing/2012/chart" uri="{CE6537A1-D6FC-4f65-9D91-7224C49458BB}"/>
                <c:ext xmlns:c16="http://schemas.microsoft.com/office/drawing/2014/chart" uri="{C3380CC4-5D6E-409C-BE32-E72D297353CC}">
                  <c16:uniqueId val="{00000010-68C7-4D1C-AF9C-5392E67CF5C4}"/>
                </c:ext>
              </c:extLst>
            </c:dLbl>
            <c:dLbl>
              <c:idx val="9"/>
              <c:delete val="1"/>
              <c:extLst>
                <c:ext xmlns:c15="http://schemas.microsoft.com/office/drawing/2012/chart" uri="{CE6537A1-D6FC-4f65-9D91-7224C49458BB}"/>
                <c:ext xmlns:c16="http://schemas.microsoft.com/office/drawing/2014/chart" uri="{C3380CC4-5D6E-409C-BE32-E72D297353CC}">
                  <c16:uniqueId val="{00000011-68C7-4D1C-AF9C-5392E67CF5C4}"/>
                </c:ext>
              </c:extLst>
            </c:dLbl>
            <c:dLbl>
              <c:idx val="10"/>
              <c:delete val="1"/>
              <c:extLst>
                <c:ext xmlns:c15="http://schemas.microsoft.com/office/drawing/2012/chart" uri="{CE6537A1-D6FC-4f65-9D91-7224C49458BB}"/>
                <c:ext xmlns:c16="http://schemas.microsoft.com/office/drawing/2014/chart" uri="{C3380CC4-5D6E-409C-BE32-E72D297353CC}">
                  <c16:uniqueId val="{00000012-68C7-4D1C-AF9C-5392E67CF5C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q7_q8_q10_q11_Fig!$S$15:$AC$15</c:f>
              <c:numCache>
                <c:formatCode>General</c:formatCode>
                <c:ptCount val="11"/>
                <c:pt idx="0">
                  <c:v>166346</c:v>
                </c:pt>
                <c:pt idx="1">
                  <c:v>166559</c:v>
                </c:pt>
                <c:pt idx="2">
                  <c:v>174663</c:v>
                </c:pt>
                <c:pt idx="3">
                  <c:v>189219</c:v>
                </c:pt>
                <c:pt idx="4">
                  <c:v>204110</c:v>
                </c:pt>
                <c:pt idx="5">
                  <c:v>223805</c:v>
                </c:pt>
                <c:pt idx="6">
                  <c:v>241853</c:v>
                </c:pt>
                <c:pt idx="7">
                  <c:v>251350</c:v>
                </c:pt>
                <c:pt idx="8">
                  <c:v>214079</c:v>
                </c:pt>
                <c:pt idx="9">
                  <c:v>220649</c:v>
                </c:pt>
                <c:pt idx="10">
                  <c:v>259660</c:v>
                </c:pt>
              </c:numCache>
            </c:numRef>
          </c:val>
          <c:extLst>
            <c:ext xmlns:c16="http://schemas.microsoft.com/office/drawing/2014/chart" uri="{C3380CC4-5D6E-409C-BE32-E72D297353CC}">
              <c16:uniqueId val="{00000013-68C7-4D1C-AF9C-5392E67CF5C4}"/>
            </c:ext>
          </c:extLst>
        </c:ser>
        <c:ser>
          <c:idx val="9"/>
          <c:order val="9"/>
          <c:tx>
            <c:strRef>
              <c:f>q7_q8_q10_q11_Fig!$R$16</c:f>
              <c:strCache>
                <c:ptCount val="1"/>
                <c:pt idx="0">
                  <c:v>J</c:v>
                </c:pt>
              </c:strCache>
            </c:strRef>
          </c:tx>
          <c:spPr>
            <a:solidFill>
              <a:schemeClr val="accent1">
                <a:lumMod val="80000"/>
              </a:schemeClr>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q7_q8_q10_q11_Fig!$S$16:$AC$16</c:f>
              <c:numCache>
                <c:formatCode>General</c:formatCode>
                <c:ptCount val="11"/>
                <c:pt idx="0">
                  <c:v>63429</c:v>
                </c:pt>
                <c:pt idx="1">
                  <c:v>64630</c:v>
                </c:pt>
                <c:pt idx="2">
                  <c:v>67783</c:v>
                </c:pt>
                <c:pt idx="3">
                  <c:v>68812</c:v>
                </c:pt>
                <c:pt idx="4">
                  <c:v>72936</c:v>
                </c:pt>
                <c:pt idx="5">
                  <c:v>79205</c:v>
                </c:pt>
                <c:pt idx="6">
                  <c:v>86973</c:v>
                </c:pt>
                <c:pt idx="7">
                  <c:v>94794</c:v>
                </c:pt>
                <c:pt idx="8">
                  <c:v>102655</c:v>
                </c:pt>
                <c:pt idx="9">
                  <c:v>109224</c:v>
                </c:pt>
                <c:pt idx="10">
                  <c:v>127560</c:v>
                </c:pt>
              </c:numCache>
            </c:numRef>
          </c:val>
          <c:extLst>
            <c:ext xmlns:c16="http://schemas.microsoft.com/office/drawing/2014/chart" uri="{C3380CC4-5D6E-409C-BE32-E72D297353CC}">
              <c16:uniqueId val="{00000014-68C7-4D1C-AF9C-5392E67CF5C4}"/>
            </c:ext>
          </c:extLst>
        </c:ser>
        <c:ser>
          <c:idx val="10"/>
          <c:order val="10"/>
          <c:tx>
            <c:strRef>
              <c:f>q7_q8_q10_q11_Fig!$R$17</c:f>
              <c:strCache>
                <c:ptCount val="1"/>
                <c:pt idx="0">
                  <c:v>K</c:v>
                </c:pt>
              </c:strCache>
            </c:strRef>
          </c:tx>
          <c:spPr>
            <a:solidFill>
              <a:schemeClr val="accent3">
                <a:lumMod val="80000"/>
              </a:schemeClr>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q7_q8_q10_q11_Fig!$S$17:$AC$17</c:f>
              <c:numCache>
                <c:formatCode>General</c:formatCode>
                <c:ptCount val="11"/>
                <c:pt idx="0">
                  <c:v>82456</c:v>
                </c:pt>
                <c:pt idx="1">
                  <c:v>80489</c:v>
                </c:pt>
                <c:pt idx="2">
                  <c:v>79315</c:v>
                </c:pt>
                <c:pt idx="3">
                  <c:v>77783</c:v>
                </c:pt>
                <c:pt idx="4">
                  <c:v>76080</c:v>
                </c:pt>
                <c:pt idx="5">
                  <c:v>74708</c:v>
                </c:pt>
                <c:pt idx="6">
                  <c:v>75395</c:v>
                </c:pt>
                <c:pt idx="7">
                  <c:v>69033</c:v>
                </c:pt>
                <c:pt idx="8">
                  <c:v>75376</c:v>
                </c:pt>
                <c:pt idx="9">
                  <c:v>74155</c:v>
                </c:pt>
                <c:pt idx="10">
                  <c:v>76725</c:v>
                </c:pt>
              </c:numCache>
            </c:numRef>
          </c:val>
          <c:extLst>
            <c:ext xmlns:c16="http://schemas.microsoft.com/office/drawing/2014/chart" uri="{C3380CC4-5D6E-409C-BE32-E72D297353CC}">
              <c16:uniqueId val="{00000015-68C7-4D1C-AF9C-5392E67CF5C4}"/>
            </c:ext>
          </c:extLst>
        </c:ser>
        <c:ser>
          <c:idx val="11"/>
          <c:order val="11"/>
          <c:tx>
            <c:strRef>
              <c:f>q7_q8_q10_q11_Fig!$R$18</c:f>
              <c:strCache>
                <c:ptCount val="1"/>
                <c:pt idx="0">
                  <c:v>L</c:v>
                </c:pt>
              </c:strCache>
            </c:strRef>
          </c:tx>
          <c:spPr>
            <a:solidFill>
              <a:schemeClr val="accent5">
                <a:lumMod val="80000"/>
              </a:schemeClr>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q7_q8_q10_q11_Fig!$S$18:$AC$18</c:f>
              <c:numCache>
                <c:formatCode>General</c:formatCode>
                <c:ptCount val="11"/>
                <c:pt idx="0">
                  <c:v>15248</c:v>
                </c:pt>
                <c:pt idx="1">
                  <c:v>15074</c:v>
                </c:pt>
                <c:pt idx="2">
                  <c:v>16356</c:v>
                </c:pt>
                <c:pt idx="3">
                  <c:v>17668</c:v>
                </c:pt>
                <c:pt idx="4">
                  <c:v>18643</c:v>
                </c:pt>
                <c:pt idx="5">
                  <c:v>20754</c:v>
                </c:pt>
                <c:pt idx="6">
                  <c:v>23132</c:v>
                </c:pt>
                <c:pt idx="7">
                  <c:v>24348</c:v>
                </c:pt>
                <c:pt idx="8">
                  <c:v>24974</c:v>
                </c:pt>
                <c:pt idx="9">
                  <c:v>26345</c:v>
                </c:pt>
                <c:pt idx="10">
                  <c:v>28809</c:v>
                </c:pt>
              </c:numCache>
            </c:numRef>
          </c:val>
          <c:extLst>
            <c:ext xmlns:c16="http://schemas.microsoft.com/office/drawing/2014/chart" uri="{C3380CC4-5D6E-409C-BE32-E72D297353CC}">
              <c16:uniqueId val="{00000016-68C7-4D1C-AF9C-5392E67CF5C4}"/>
            </c:ext>
          </c:extLst>
        </c:ser>
        <c:ser>
          <c:idx val="12"/>
          <c:order val="12"/>
          <c:tx>
            <c:strRef>
              <c:f>q7_q8_q10_q11_Fig!$R$19</c:f>
              <c:strCache>
                <c:ptCount val="1"/>
                <c:pt idx="0">
                  <c:v>M</c:v>
                </c:pt>
              </c:strCache>
            </c:strRef>
          </c:tx>
          <c:spPr>
            <a:solidFill>
              <a:schemeClr val="accent1">
                <a:lumMod val="60000"/>
                <a:lumOff val="40000"/>
              </a:schemeClr>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q7_q8_q10_q11_Fig!$S$19:$AC$19</c:f>
              <c:numCache>
                <c:formatCode>General</c:formatCode>
                <c:ptCount val="11"/>
                <c:pt idx="0">
                  <c:v>97711</c:v>
                </c:pt>
                <c:pt idx="1">
                  <c:v>97511</c:v>
                </c:pt>
                <c:pt idx="2">
                  <c:v>105085</c:v>
                </c:pt>
                <c:pt idx="3">
                  <c:v>109770</c:v>
                </c:pt>
                <c:pt idx="4">
                  <c:v>111974</c:v>
                </c:pt>
                <c:pt idx="5">
                  <c:v>113617</c:v>
                </c:pt>
                <c:pt idx="6">
                  <c:v>123636</c:v>
                </c:pt>
                <c:pt idx="7">
                  <c:v>132611</c:v>
                </c:pt>
                <c:pt idx="8">
                  <c:v>134408</c:v>
                </c:pt>
                <c:pt idx="9">
                  <c:v>139839</c:v>
                </c:pt>
                <c:pt idx="10">
                  <c:v>159252</c:v>
                </c:pt>
              </c:numCache>
            </c:numRef>
          </c:val>
          <c:extLst>
            <c:ext xmlns:c16="http://schemas.microsoft.com/office/drawing/2014/chart" uri="{C3380CC4-5D6E-409C-BE32-E72D297353CC}">
              <c16:uniqueId val="{00000017-68C7-4D1C-AF9C-5392E67CF5C4}"/>
            </c:ext>
          </c:extLst>
        </c:ser>
        <c:ser>
          <c:idx val="13"/>
          <c:order val="13"/>
          <c:tx>
            <c:strRef>
              <c:f>q7_q8_q10_q11_Fig!$R$20</c:f>
              <c:strCache>
                <c:ptCount val="1"/>
                <c:pt idx="0">
                  <c:v>N</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q7_q8_q10_q11_Fig!$S$20:$AC$20</c:f>
              <c:numCache>
                <c:formatCode>General</c:formatCode>
                <c:ptCount val="11"/>
                <c:pt idx="0">
                  <c:v>214023</c:v>
                </c:pt>
                <c:pt idx="1">
                  <c:v>225603</c:v>
                </c:pt>
                <c:pt idx="2">
                  <c:v>238916</c:v>
                </c:pt>
                <c:pt idx="3">
                  <c:v>246451</c:v>
                </c:pt>
                <c:pt idx="4">
                  <c:v>268226</c:v>
                </c:pt>
                <c:pt idx="5">
                  <c:v>294174</c:v>
                </c:pt>
                <c:pt idx="6">
                  <c:v>293550</c:v>
                </c:pt>
                <c:pt idx="7">
                  <c:v>293948</c:v>
                </c:pt>
                <c:pt idx="8">
                  <c:v>285919</c:v>
                </c:pt>
                <c:pt idx="9">
                  <c:v>275843</c:v>
                </c:pt>
                <c:pt idx="10">
                  <c:v>307876</c:v>
                </c:pt>
              </c:numCache>
            </c:numRef>
          </c:val>
          <c:extLst>
            <c:ext xmlns:c16="http://schemas.microsoft.com/office/drawing/2014/chart" uri="{C3380CC4-5D6E-409C-BE32-E72D297353CC}">
              <c16:uniqueId val="{00000018-68C7-4D1C-AF9C-5392E67CF5C4}"/>
            </c:ext>
          </c:extLst>
        </c:ser>
        <c:ser>
          <c:idx val="14"/>
          <c:order val="14"/>
          <c:tx>
            <c:strRef>
              <c:f>q7_q8_q10_q11_Fig!$R$21</c:f>
              <c:strCache>
                <c:ptCount val="1"/>
                <c:pt idx="0">
                  <c:v>O</c:v>
                </c:pt>
              </c:strCache>
            </c:strRef>
          </c:tx>
          <c:spPr>
            <a:solidFill>
              <a:schemeClr val="accent5">
                <a:lumMod val="60000"/>
                <a:lumOff val="40000"/>
              </a:schemeClr>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q7_q8_q10_q11_Fig!$S$21:$AC$21</c:f>
              <c:numCache>
                <c:formatCode>General</c:formatCode>
                <c:ptCount val="11"/>
                <c:pt idx="0">
                  <c:v>10463</c:v>
                </c:pt>
                <c:pt idx="1">
                  <c:v>10222</c:v>
                </c:pt>
                <c:pt idx="2">
                  <c:v>10787</c:v>
                </c:pt>
                <c:pt idx="3">
                  <c:v>10612</c:v>
                </c:pt>
                <c:pt idx="4">
                  <c:v>10688</c:v>
                </c:pt>
                <c:pt idx="5">
                  <c:v>11236</c:v>
                </c:pt>
                <c:pt idx="6">
                  <c:v>11602</c:v>
                </c:pt>
                <c:pt idx="7">
                  <c:v>11794</c:v>
                </c:pt>
                <c:pt idx="8">
                  <c:v>12327</c:v>
                </c:pt>
                <c:pt idx="9">
                  <c:v>11997</c:v>
                </c:pt>
                <c:pt idx="10">
                  <c:v>13111</c:v>
                </c:pt>
              </c:numCache>
            </c:numRef>
          </c:val>
          <c:extLst>
            <c:ext xmlns:c16="http://schemas.microsoft.com/office/drawing/2014/chart" uri="{C3380CC4-5D6E-409C-BE32-E72D297353CC}">
              <c16:uniqueId val="{00000019-68C7-4D1C-AF9C-5392E67CF5C4}"/>
            </c:ext>
          </c:extLst>
        </c:ser>
        <c:ser>
          <c:idx val="15"/>
          <c:order val="15"/>
          <c:tx>
            <c:strRef>
              <c:f>q7_q8_q10_q11_Fig!$R$22</c:f>
              <c:strCache>
                <c:ptCount val="1"/>
                <c:pt idx="0">
                  <c:v>P</c:v>
                </c:pt>
              </c:strCache>
            </c:strRef>
          </c:tx>
          <c:spPr>
            <a:solidFill>
              <a:schemeClr val="accent1">
                <a:lumMod val="50000"/>
              </a:schemeClr>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q7_q8_q10_q11_Fig!$S$22:$AC$22</c:f>
              <c:numCache>
                <c:formatCode>General</c:formatCode>
                <c:ptCount val="11"/>
                <c:pt idx="0">
                  <c:v>51867</c:v>
                </c:pt>
                <c:pt idx="1">
                  <c:v>50566</c:v>
                </c:pt>
                <c:pt idx="2">
                  <c:v>50957</c:v>
                </c:pt>
                <c:pt idx="3">
                  <c:v>53876</c:v>
                </c:pt>
                <c:pt idx="4">
                  <c:v>53906</c:v>
                </c:pt>
                <c:pt idx="5">
                  <c:v>53502</c:v>
                </c:pt>
                <c:pt idx="6">
                  <c:v>57690</c:v>
                </c:pt>
                <c:pt idx="7">
                  <c:v>58269</c:v>
                </c:pt>
                <c:pt idx="8">
                  <c:v>59807</c:v>
                </c:pt>
                <c:pt idx="9">
                  <c:v>58921</c:v>
                </c:pt>
                <c:pt idx="10">
                  <c:v>62076</c:v>
                </c:pt>
              </c:numCache>
            </c:numRef>
          </c:val>
          <c:extLst>
            <c:ext xmlns:c16="http://schemas.microsoft.com/office/drawing/2014/chart" uri="{C3380CC4-5D6E-409C-BE32-E72D297353CC}">
              <c16:uniqueId val="{0000001A-68C7-4D1C-AF9C-5392E67CF5C4}"/>
            </c:ext>
          </c:extLst>
        </c:ser>
        <c:ser>
          <c:idx val="16"/>
          <c:order val="16"/>
          <c:tx>
            <c:strRef>
              <c:f>q7_q8_q10_q11_Fig!$R$23</c:f>
              <c:strCache>
                <c:ptCount val="1"/>
                <c:pt idx="0">
                  <c:v>Q</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q7_q8_q10_q11_Fig!$S$23:$AC$23</c:f>
              <c:numCache>
                <c:formatCode>General</c:formatCode>
                <c:ptCount val="11"/>
                <c:pt idx="0">
                  <c:v>209941</c:v>
                </c:pt>
                <c:pt idx="1">
                  <c:v>215109</c:v>
                </c:pt>
                <c:pt idx="2">
                  <c:v>221126</c:v>
                </c:pt>
                <c:pt idx="3">
                  <c:v>232717</c:v>
                </c:pt>
                <c:pt idx="4">
                  <c:v>246800</c:v>
                </c:pt>
                <c:pt idx="5">
                  <c:v>257306</c:v>
                </c:pt>
                <c:pt idx="6">
                  <c:v>263021</c:v>
                </c:pt>
                <c:pt idx="7">
                  <c:v>269760</c:v>
                </c:pt>
                <c:pt idx="8">
                  <c:v>280115</c:v>
                </c:pt>
                <c:pt idx="9">
                  <c:v>286750</c:v>
                </c:pt>
                <c:pt idx="10">
                  <c:v>299622</c:v>
                </c:pt>
              </c:numCache>
            </c:numRef>
          </c:val>
          <c:extLst>
            <c:ext xmlns:c16="http://schemas.microsoft.com/office/drawing/2014/chart" uri="{C3380CC4-5D6E-409C-BE32-E72D297353CC}">
              <c16:uniqueId val="{0000001B-68C7-4D1C-AF9C-5392E67CF5C4}"/>
            </c:ext>
          </c:extLst>
        </c:ser>
        <c:ser>
          <c:idx val="17"/>
          <c:order val="17"/>
          <c:tx>
            <c:strRef>
              <c:f>q7_q8_q10_q11_Fig!$R$24</c:f>
              <c:strCache>
                <c:ptCount val="1"/>
                <c:pt idx="0">
                  <c:v>R</c:v>
                </c:pt>
              </c:strCache>
            </c:strRef>
          </c:tx>
          <c:spPr>
            <a:solidFill>
              <a:schemeClr val="accent5">
                <a:lumMod val="50000"/>
              </a:schemeClr>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q7_q8_q10_q11_Fig!$S$24:$AC$24</c:f>
              <c:numCache>
                <c:formatCode>General</c:formatCode>
                <c:ptCount val="11"/>
                <c:pt idx="0">
                  <c:v>19721</c:v>
                </c:pt>
                <c:pt idx="1">
                  <c:v>19836</c:v>
                </c:pt>
                <c:pt idx="2">
                  <c:v>18760</c:v>
                </c:pt>
                <c:pt idx="3">
                  <c:v>21039</c:v>
                </c:pt>
                <c:pt idx="4">
                  <c:v>22077</c:v>
                </c:pt>
                <c:pt idx="5">
                  <c:v>24123</c:v>
                </c:pt>
                <c:pt idx="6">
                  <c:v>26529</c:v>
                </c:pt>
                <c:pt idx="7">
                  <c:v>28069</c:v>
                </c:pt>
                <c:pt idx="8">
                  <c:v>26263</c:v>
                </c:pt>
                <c:pt idx="9">
                  <c:v>28680</c:v>
                </c:pt>
                <c:pt idx="10">
                  <c:v>30827</c:v>
                </c:pt>
              </c:numCache>
            </c:numRef>
          </c:val>
          <c:extLst>
            <c:ext xmlns:c16="http://schemas.microsoft.com/office/drawing/2014/chart" uri="{C3380CC4-5D6E-409C-BE32-E72D297353CC}">
              <c16:uniqueId val="{0000001C-68C7-4D1C-AF9C-5392E67CF5C4}"/>
            </c:ext>
          </c:extLst>
        </c:ser>
        <c:ser>
          <c:idx val="18"/>
          <c:order val="18"/>
          <c:tx>
            <c:strRef>
              <c:f>q7_q8_q10_q11_Fig!$R$25</c:f>
              <c:strCache>
                <c:ptCount val="1"/>
                <c:pt idx="0">
                  <c:v>S</c:v>
                </c:pt>
              </c:strCache>
            </c:strRef>
          </c:tx>
          <c:spPr>
            <a:solidFill>
              <a:schemeClr val="accent1">
                <a:lumMod val="70000"/>
                <a:lumOff val="30000"/>
              </a:schemeClr>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q7_q8_q10_q11_Fig!$S$25:$AC$25</c:f>
              <c:numCache>
                <c:formatCode>General</c:formatCode>
                <c:ptCount val="11"/>
                <c:pt idx="0">
                  <c:v>62791</c:v>
                </c:pt>
                <c:pt idx="1">
                  <c:v>61973</c:v>
                </c:pt>
                <c:pt idx="2">
                  <c:v>62532</c:v>
                </c:pt>
                <c:pt idx="3">
                  <c:v>60404</c:v>
                </c:pt>
                <c:pt idx="4">
                  <c:v>61086</c:v>
                </c:pt>
                <c:pt idx="5">
                  <c:v>58964</c:v>
                </c:pt>
                <c:pt idx="6">
                  <c:v>61792</c:v>
                </c:pt>
                <c:pt idx="7">
                  <c:v>59107</c:v>
                </c:pt>
                <c:pt idx="8">
                  <c:v>57266</c:v>
                </c:pt>
                <c:pt idx="9">
                  <c:v>56071</c:v>
                </c:pt>
                <c:pt idx="10">
                  <c:v>59443</c:v>
                </c:pt>
              </c:numCache>
            </c:numRef>
          </c:val>
          <c:extLst>
            <c:ext xmlns:c16="http://schemas.microsoft.com/office/drawing/2014/chart" uri="{C3380CC4-5D6E-409C-BE32-E72D297353CC}">
              <c16:uniqueId val="{0000001D-68C7-4D1C-AF9C-5392E67CF5C4}"/>
            </c:ext>
          </c:extLst>
        </c:ser>
        <c:ser>
          <c:idx val="19"/>
          <c:order val="19"/>
          <c:tx>
            <c:strRef>
              <c:f>q7_q8_q10_q11_Fig!$R$26</c:f>
              <c:strCache>
                <c:ptCount val="1"/>
                <c:pt idx="0">
                  <c:v>U</c:v>
                </c:pt>
              </c:strCache>
            </c:strRef>
          </c:tx>
          <c:spPr>
            <a:solidFill>
              <a:schemeClr val="accent3">
                <a:lumMod val="70000"/>
                <a:lumOff val="30000"/>
              </a:schemeClr>
            </a:solidFill>
            <a:ln>
              <a:noFill/>
            </a:ln>
            <a:effectLst/>
          </c:spPr>
          <c:invertIfNegative val="0"/>
          <c:cat>
            <c:numRef>
              <c:f>q7_q8_q10_q11_Fig!$S$6:$AC$6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q7_q8_q10_q11_Fig!$S$26:$AC$26</c:f>
              <c:numCache>
                <c:formatCode>General</c:formatCode>
                <c:ptCount val="11"/>
                <c:pt idx="0">
                  <c:v>53</c:v>
                </c:pt>
                <c:pt idx="1">
                  <c:v>81</c:v>
                </c:pt>
                <c:pt idx="2">
                  <c:v>91</c:v>
                </c:pt>
                <c:pt idx="3">
                  <c:v>89</c:v>
                </c:pt>
                <c:pt idx="4">
                  <c:v>104</c:v>
                </c:pt>
                <c:pt idx="5">
                  <c:v>92</c:v>
                </c:pt>
                <c:pt idx="6">
                  <c:v>94</c:v>
                </c:pt>
                <c:pt idx="7">
                  <c:v>100</c:v>
                </c:pt>
                <c:pt idx="8">
                  <c:v>117</c:v>
                </c:pt>
                <c:pt idx="9">
                  <c:v>107</c:v>
                </c:pt>
                <c:pt idx="10">
                  <c:v>125</c:v>
                </c:pt>
              </c:numCache>
            </c:numRef>
          </c:val>
          <c:extLst>
            <c:ext xmlns:c16="http://schemas.microsoft.com/office/drawing/2014/chart" uri="{C3380CC4-5D6E-409C-BE32-E72D297353CC}">
              <c16:uniqueId val="{0000001E-68C7-4D1C-AF9C-5392E67CF5C4}"/>
            </c:ext>
          </c:extLst>
        </c:ser>
        <c:dLbls>
          <c:showLegendKey val="0"/>
          <c:showVal val="0"/>
          <c:showCatName val="0"/>
          <c:showSerName val="0"/>
          <c:showPercent val="0"/>
          <c:showBubbleSize val="0"/>
        </c:dLbls>
        <c:gapWidth val="50"/>
        <c:overlap val="100"/>
        <c:axId val="211072368"/>
        <c:axId val="1682385520"/>
        <c:extLst/>
      </c:barChart>
      <c:catAx>
        <c:axId val="21107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1" i="0" u="none" strike="noStrike" kern="1200" baseline="0">
                <a:solidFill>
                  <a:schemeClr val="tx1">
                    <a:lumMod val="65000"/>
                    <a:lumOff val="35000"/>
                  </a:schemeClr>
                </a:solidFill>
                <a:latin typeface="+mn-lt"/>
                <a:ea typeface="+mn-ea"/>
                <a:cs typeface="+mn-cs"/>
              </a:defRPr>
            </a:pPr>
            <a:endParaRPr lang="pt-PT"/>
          </a:p>
        </c:txPr>
        <c:crossAx val="1682385520"/>
        <c:crosses val="autoZero"/>
        <c:auto val="1"/>
        <c:lblAlgn val="ctr"/>
        <c:lblOffset val="100"/>
        <c:noMultiLvlLbl val="0"/>
      </c:catAx>
      <c:valAx>
        <c:axId val="1682385520"/>
        <c:scaling>
          <c:orientation val="minMax"/>
          <c:max val="3500000"/>
          <c:min val="0"/>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211072368"/>
        <c:crosses val="autoZero"/>
        <c:crossBetween val="between"/>
      </c:valAx>
      <c:spPr>
        <a:noFill/>
        <a:ln>
          <a:noFill/>
        </a:ln>
        <a:effectLst/>
      </c:spPr>
    </c:plotArea>
    <c:legend>
      <c:legendPos val="b"/>
      <c:layout>
        <c:manualLayout>
          <c:xMode val="edge"/>
          <c:yMode val="edge"/>
          <c:x val="3.7437102506546943E-2"/>
          <c:y val="0.89261540822590557"/>
          <c:w val="0.94198021885521888"/>
          <c:h val="7.953376304481277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pt-PT" sz="900">
                <a:solidFill>
                  <a:schemeClr val="tx2">
                    <a:lumMod val="75000"/>
                  </a:schemeClr>
                </a:solidFill>
              </a:rPr>
              <a:t>...por dimensão do estabelecimento</a:t>
            </a:r>
          </a:p>
        </c:rich>
      </c:tx>
      <c:layout>
        <c:manualLayout>
          <c:xMode val="edge"/>
          <c:yMode val="edge"/>
          <c:x val="0.75006003767601337"/>
          <c:y val="3.404253798289474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pt-PT"/>
        </a:p>
      </c:txPr>
    </c:title>
    <c:autoTitleDeleted val="0"/>
    <c:plotArea>
      <c:layout/>
      <c:lineChart>
        <c:grouping val="standard"/>
        <c:varyColors val="0"/>
        <c:ser>
          <c:idx val="0"/>
          <c:order val="0"/>
          <c:tx>
            <c:strRef>
              <c:f>q7_q8_q10_q11_Fig!$R$31</c:f>
              <c:strCache>
                <c:ptCount val="1"/>
                <c:pt idx="0">
                  <c:v>Micro (1-9 pessoas)</c:v>
                </c:pt>
              </c:strCache>
            </c:strRef>
          </c:tx>
          <c:spPr>
            <a:ln w="25400" cap="rnd">
              <a:solidFill>
                <a:srgbClr val="3C1692"/>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E35B-4366-8AB9-607A1685C114}"/>
                </c:ext>
              </c:extLst>
            </c:dLbl>
            <c:dLbl>
              <c:idx val="1"/>
              <c:delete val="1"/>
              <c:extLst>
                <c:ext xmlns:c15="http://schemas.microsoft.com/office/drawing/2012/chart" uri="{CE6537A1-D6FC-4f65-9D91-7224C49458BB}"/>
                <c:ext xmlns:c16="http://schemas.microsoft.com/office/drawing/2014/chart" uri="{C3380CC4-5D6E-409C-BE32-E72D297353CC}">
                  <c16:uniqueId val="{00000001-E35B-4366-8AB9-607A1685C114}"/>
                </c:ext>
              </c:extLst>
            </c:dLbl>
            <c:dLbl>
              <c:idx val="2"/>
              <c:delete val="1"/>
              <c:extLst>
                <c:ext xmlns:c15="http://schemas.microsoft.com/office/drawing/2012/chart" uri="{CE6537A1-D6FC-4f65-9D91-7224C49458BB}"/>
                <c:ext xmlns:c16="http://schemas.microsoft.com/office/drawing/2014/chart" uri="{C3380CC4-5D6E-409C-BE32-E72D297353CC}">
                  <c16:uniqueId val="{00000002-E35B-4366-8AB9-607A1685C114}"/>
                </c:ext>
              </c:extLst>
            </c:dLbl>
            <c:dLbl>
              <c:idx val="3"/>
              <c:layout>
                <c:manualLayout>
                  <c:x val="5.2322336290242126E-2"/>
                  <c:y val="8.1294291338582722E-2"/>
                </c:manualLayout>
              </c:layout>
              <c:tx>
                <c:rich>
                  <a:bodyPr/>
                  <a:lstStyle/>
                  <a:p>
                    <a:fld id="{A8C9B93E-BD4A-47C8-81CF-FD69EB3EB9F8}" type="SERIESNAME">
                      <a:rPr lang="en-US">
                        <a:solidFill>
                          <a:srgbClr val="3C1692"/>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E35B-4366-8AB9-607A1685C114}"/>
                </c:ext>
              </c:extLst>
            </c:dLbl>
            <c:dLbl>
              <c:idx val="4"/>
              <c:delete val="1"/>
              <c:extLst>
                <c:ext xmlns:c15="http://schemas.microsoft.com/office/drawing/2012/chart" uri="{CE6537A1-D6FC-4f65-9D91-7224C49458BB}"/>
                <c:ext xmlns:c16="http://schemas.microsoft.com/office/drawing/2014/chart" uri="{C3380CC4-5D6E-409C-BE32-E72D297353CC}">
                  <c16:uniqueId val="{00000004-E35B-4366-8AB9-607A1685C114}"/>
                </c:ext>
              </c:extLst>
            </c:dLbl>
            <c:dLbl>
              <c:idx val="5"/>
              <c:delete val="1"/>
              <c:extLst>
                <c:ext xmlns:c15="http://schemas.microsoft.com/office/drawing/2012/chart" uri="{CE6537A1-D6FC-4f65-9D91-7224C49458BB}"/>
                <c:ext xmlns:c16="http://schemas.microsoft.com/office/drawing/2014/chart" uri="{C3380CC4-5D6E-409C-BE32-E72D297353CC}">
                  <c16:uniqueId val="{00000005-E35B-4366-8AB9-607A1685C114}"/>
                </c:ext>
              </c:extLst>
            </c:dLbl>
            <c:dLbl>
              <c:idx val="6"/>
              <c:delete val="1"/>
              <c:extLst>
                <c:ext xmlns:c15="http://schemas.microsoft.com/office/drawing/2012/chart" uri="{CE6537A1-D6FC-4f65-9D91-7224C49458BB}"/>
                <c:ext xmlns:c16="http://schemas.microsoft.com/office/drawing/2014/chart" uri="{C3380CC4-5D6E-409C-BE32-E72D297353CC}">
                  <c16:uniqueId val="{00000006-E35B-4366-8AB9-607A1685C114}"/>
                </c:ext>
              </c:extLst>
            </c:dLbl>
            <c:dLbl>
              <c:idx val="7"/>
              <c:delete val="1"/>
              <c:extLst>
                <c:ext xmlns:c15="http://schemas.microsoft.com/office/drawing/2012/chart" uri="{CE6537A1-D6FC-4f65-9D91-7224C49458BB}"/>
                <c:ext xmlns:c16="http://schemas.microsoft.com/office/drawing/2014/chart" uri="{C3380CC4-5D6E-409C-BE32-E72D297353CC}">
                  <c16:uniqueId val="{00000007-E35B-4366-8AB9-607A1685C114}"/>
                </c:ext>
              </c:extLst>
            </c:dLbl>
            <c:dLbl>
              <c:idx val="8"/>
              <c:delete val="1"/>
              <c:extLst>
                <c:ext xmlns:c15="http://schemas.microsoft.com/office/drawing/2012/chart" uri="{CE6537A1-D6FC-4f65-9D91-7224C49458BB}"/>
                <c:ext xmlns:c16="http://schemas.microsoft.com/office/drawing/2014/chart" uri="{C3380CC4-5D6E-409C-BE32-E72D297353CC}">
                  <c16:uniqueId val="{00000008-E35B-4366-8AB9-607A1685C114}"/>
                </c:ext>
              </c:extLst>
            </c:dLbl>
            <c:dLbl>
              <c:idx val="9"/>
              <c:delete val="1"/>
              <c:extLst>
                <c:ext xmlns:c15="http://schemas.microsoft.com/office/drawing/2012/chart" uri="{CE6537A1-D6FC-4f65-9D91-7224C49458BB}"/>
                <c:ext xmlns:c16="http://schemas.microsoft.com/office/drawing/2014/chart" uri="{C3380CC4-5D6E-409C-BE32-E72D297353CC}">
                  <c16:uniqueId val="{00000009-E35B-4366-8AB9-607A1685C114}"/>
                </c:ext>
              </c:extLst>
            </c:dLbl>
            <c:dLbl>
              <c:idx val="10"/>
              <c:delete val="1"/>
              <c:extLst>
                <c:ext xmlns:c15="http://schemas.microsoft.com/office/drawing/2012/chart" uri="{CE6537A1-D6FC-4f65-9D91-7224C49458BB}"/>
                <c:ext xmlns:c16="http://schemas.microsoft.com/office/drawing/2014/chart" uri="{C3380CC4-5D6E-409C-BE32-E72D297353CC}">
                  <c16:uniqueId val="{0000000A-E35B-4366-8AB9-607A1685C11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3C1692"/>
                      </a:solidFill>
                    </a:ln>
                    <a:effectLst/>
                  </c:spPr>
                </c15:leaderLines>
              </c:ext>
            </c:extLst>
          </c:dLbls>
          <c:cat>
            <c:numRef>
              <c:f>q7_q8_q10_q11_Fig!$S$30:$AC$30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q7_q8_q10_q11_Fig!$S$31:$AC$31</c:f>
              <c:numCache>
                <c:formatCode>General</c:formatCode>
                <c:ptCount val="11"/>
                <c:pt idx="0">
                  <c:v>680793</c:v>
                </c:pt>
                <c:pt idx="1">
                  <c:v>666913</c:v>
                </c:pt>
                <c:pt idx="2">
                  <c:v>674602</c:v>
                </c:pt>
                <c:pt idx="3">
                  <c:v>686838</c:v>
                </c:pt>
                <c:pt idx="4">
                  <c:v>698455</c:v>
                </c:pt>
                <c:pt idx="5">
                  <c:v>707551</c:v>
                </c:pt>
                <c:pt idx="6">
                  <c:v>717867</c:v>
                </c:pt>
                <c:pt idx="7">
                  <c:v>705572</c:v>
                </c:pt>
                <c:pt idx="8">
                  <c:v>709290</c:v>
                </c:pt>
                <c:pt idx="9">
                  <c:v>697277</c:v>
                </c:pt>
                <c:pt idx="10">
                  <c:v>727177</c:v>
                </c:pt>
              </c:numCache>
            </c:numRef>
          </c:val>
          <c:smooth val="0"/>
          <c:extLst>
            <c:ext xmlns:c16="http://schemas.microsoft.com/office/drawing/2014/chart" uri="{C3380CC4-5D6E-409C-BE32-E72D297353CC}">
              <c16:uniqueId val="{0000000B-E35B-4366-8AB9-607A1685C114}"/>
            </c:ext>
          </c:extLst>
        </c:ser>
        <c:ser>
          <c:idx val="1"/>
          <c:order val="1"/>
          <c:tx>
            <c:strRef>
              <c:f>q7_q8_q10_q11_Fig!$R$32</c:f>
              <c:strCache>
                <c:ptCount val="1"/>
                <c:pt idx="0">
                  <c:v>Pequenos (10 - 49 pessoas)</c:v>
                </c:pt>
              </c:strCache>
            </c:strRef>
          </c:tx>
          <c:spPr>
            <a:ln w="25400" cap="rnd">
              <a:solidFill>
                <a:srgbClr val="1403EB"/>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C-E35B-4366-8AB9-607A1685C114}"/>
                </c:ext>
              </c:extLst>
            </c:dLbl>
            <c:dLbl>
              <c:idx val="1"/>
              <c:delete val="1"/>
              <c:extLst>
                <c:ext xmlns:c15="http://schemas.microsoft.com/office/drawing/2012/chart" uri="{CE6537A1-D6FC-4f65-9D91-7224C49458BB}"/>
                <c:ext xmlns:c16="http://schemas.microsoft.com/office/drawing/2014/chart" uri="{C3380CC4-5D6E-409C-BE32-E72D297353CC}">
                  <c16:uniqueId val="{0000000D-E35B-4366-8AB9-607A1685C114}"/>
                </c:ext>
              </c:extLst>
            </c:dLbl>
            <c:dLbl>
              <c:idx val="2"/>
              <c:delete val="1"/>
              <c:extLst>
                <c:ext xmlns:c15="http://schemas.microsoft.com/office/drawing/2012/chart" uri="{CE6537A1-D6FC-4f65-9D91-7224C49458BB}"/>
                <c:ext xmlns:c16="http://schemas.microsoft.com/office/drawing/2014/chart" uri="{C3380CC4-5D6E-409C-BE32-E72D297353CC}">
                  <c16:uniqueId val="{0000000E-E35B-4366-8AB9-607A1685C114}"/>
                </c:ext>
              </c:extLst>
            </c:dLbl>
            <c:dLbl>
              <c:idx val="3"/>
              <c:layout>
                <c:manualLayout>
                  <c:x val="-7.5833748629522579E-2"/>
                  <c:y val="-0.19104617782152231"/>
                </c:manualLayout>
              </c:layout>
              <c:tx>
                <c:rich>
                  <a:bodyPr/>
                  <a:lstStyle/>
                  <a:p>
                    <a:fld id="{BE7735F4-BAB8-4FFE-9997-93C135EB11A4}" type="SERIESNAME">
                      <a:rPr lang="en-US">
                        <a:solidFill>
                          <a:srgbClr val="1403EB"/>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E35B-4366-8AB9-607A1685C114}"/>
                </c:ext>
              </c:extLst>
            </c:dLbl>
            <c:dLbl>
              <c:idx val="4"/>
              <c:delete val="1"/>
              <c:extLst>
                <c:ext xmlns:c15="http://schemas.microsoft.com/office/drawing/2012/chart" uri="{CE6537A1-D6FC-4f65-9D91-7224C49458BB}"/>
                <c:ext xmlns:c16="http://schemas.microsoft.com/office/drawing/2014/chart" uri="{C3380CC4-5D6E-409C-BE32-E72D297353CC}">
                  <c16:uniqueId val="{00000010-E35B-4366-8AB9-607A1685C114}"/>
                </c:ext>
              </c:extLst>
            </c:dLbl>
            <c:dLbl>
              <c:idx val="5"/>
              <c:delete val="1"/>
              <c:extLst>
                <c:ext xmlns:c15="http://schemas.microsoft.com/office/drawing/2012/chart" uri="{CE6537A1-D6FC-4f65-9D91-7224C49458BB}"/>
                <c:ext xmlns:c16="http://schemas.microsoft.com/office/drawing/2014/chart" uri="{C3380CC4-5D6E-409C-BE32-E72D297353CC}">
                  <c16:uniqueId val="{00000011-E35B-4366-8AB9-607A1685C114}"/>
                </c:ext>
              </c:extLst>
            </c:dLbl>
            <c:dLbl>
              <c:idx val="6"/>
              <c:delete val="1"/>
              <c:extLst>
                <c:ext xmlns:c15="http://schemas.microsoft.com/office/drawing/2012/chart" uri="{CE6537A1-D6FC-4f65-9D91-7224C49458BB}"/>
                <c:ext xmlns:c16="http://schemas.microsoft.com/office/drawing/2014/chart" uri="{C3380CC4-5D6E-409C-BE32-E72D297353CC}">
                  <c16:uniqueId val="{00000012-E35B-4366-8AB9-607A1685C114}"/>
                </c:ext>
              </c:extLst>
            </c:dLbl>
            <c:dLbl>
              <c:idx val="7"/>
              <c:delete val="1"/>
              <c:extLst>
                <c:ext xmlns:c15="http://schemas.microsoft.com/office/drawing/2012/chart" uri="{CE6537A1-D6FC-4f65-9D91-7224C49458BB}"/>
                <c:ext xmlns:c16="http://schemas.microsoft.com/office/drawing/2014/chart" uri="{C3380CC4-5D6E-409C-BE32-E72D297353CC}">
                  <c16:uniqueId val="{00000013-E35B-4366-8AB9-607A1685C114}"/>
                </c:ext>
              </c:extLst>
            </c:dLbl>
            <c:dLbl>
              <c:idx val="8"/>
              <c:delete val="1"/>
              <c:extLst>
                <c:ext xmlns:c15="http://schemas.microsoft.com/office/drawing/2012/chart" uri="{CE6537A1-D6FC-4f65-9D91-7224C49458BB}"/>
                <c:ext xmlns:c16="http://schemas.microsoft.com/office/drawing/2014/chart" uri="{C3380CC4-5D6E-409C-BE32-E72D297353CC}">
                  <c16:uniqueId val="{00000014-E35B-4366-8AB9-607A1685C114}"/>
                </c:ext>
              </c:extLst>
            </c:dLbl>
            <c:dLbl>
              <c:idx val="9"/>
              <c:delete val="1"/>
              <c:extLst>
                <c:ext xmlns:c15="http://schemas.microsoft.com/office/drawing/2012/chart" uri="{CE6537A1-D6FC-4f65-9D91-7224C49458BB}"/>
                <c:ext xmlns:c16="http://schemas.microsoft.com/office/drawing/2014/chart" uri="{C3380CC4-5D6E-409C-BE32-E72D297353CC}">
                  <c16:uniqueId val="{00000015-E35B-4366-8AB9-607A1685C114}"/>
                </c:ext>
              </c:extLst>
            </c:dLbl>
            <c:dLbl>
              <c:idx val="10"/>
              <c:delete val="1"/>
              <c:extLst>
                <c:ext xmlns:c15="http://schemas.microsoft.com/office/drawing/2012/chart" uri="{CE6537A1-D6FC-4f65-9D91-7224C49458BB}"/>
                <c:ext xmlns:c16="http://schemas.microsoft.com/office/drawing/2014/chart" uri="{C3380CC4-5D6E-409C-BE32-E72D297353CC}">
                  <c16:uniqueId val="{00000016-E35B-4366-8AB9-607A1685C11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1403EB"/>
                      </a:solidFill>
                    </a:ln>
                    <a:effectLst/>
                  </c:spPr>
                </c15:leaderLines>
              </c:ext>
            </c:extLst>
          </c:dLbls>
          <c:cat>
            <c:numRef>
              <c:f>q7_q8_q10_q11_Fig!$S$30:$AC$30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q7_q8_q10_q11_Fig!$S$32:$AC$32</c:f>
              <c:numCache>
                <c:formatCode>General</c:formatCode>
                <c:ptCount val="11"/>
                <c:pt idx="0">
                  <c:v>735582</c:v>
                </c:pt>
                <c:pt idx="1">
                  <c:v>727923</c:v>
                </c:pt>
                <c:pt idx="2">
                  <c:v>752242</c:v>
                </c:pt>
                <c:pt idx="3">
                  <c:v>779942</c:v>
                </c:pt>
                <c:pt idx="4">
                  <c:v>808880</c:v>
                </c:pt>
                <c:pt idx="5">
                  <c:v>849173</c:v>
                </c:pt>
                <c:pt idx="6">
                  <c:v>884241</c:v>
                </c:pt>
                <c:pt idx="7">
                  <c:v>903699</c:v>
                </c:pt>
                <c:pt idx="8">
                  <c:v>890723</c:v>
                </c:pt>
                <c:pt idx="9">
                  <c:v>899808</c:v>
                </c:pt>
                <c:pt idx="10">
                  <c:v>969158</c:v>
                </c:pt>
              </c:numCache>
            </c:numRef>
          </c:val>
          <c:smooth val="0"/>
          <c:extLst>
            <c:ext xmlns:c16="http://schemas.microsoft.com/office/drawing/2014/chart" uri="{C3380CC4-5D6E-409C-BE32-E72D297353CC}">
              <c16:uniqueId val="{00000017-E35B-4366-8AB9-607A1685C114}"/>
            </c:ext>
          </c:extLst>
        </c:ser>
        <c:ser>
          <c:idx val="2"/>
          <c:order val="2"/>
          <c:tx>
            <c:strRef>
              <c:f>q7_q8_q10_q11_Fig!$R$33</c:f>
              <c:strCache>
                <c:ptCount val="1"/>
                <c:pt idx="0">
                  <c:v>Médios (50 - 249 pessoas)</c:v>
                </c:pt>
              </c:strCache>
            </c:strRef>
          </c:tx>
          <c:spPr>
            <a:ln w="25400" cap="rnd">
              <a:solidFill>
                <a:schemeClr val="tx2">
                  <a:lumMod val="60000"/>
                  <a:lumOff val="40000"/>
                </a:schemeClr>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8-E35B-4366-8AB9-607A1685C114}"/>
                </c:ext>
              </c:extLst>
            </c:dLbl>
            <c:dLbl>
              <c:idx val="1"/>
              <c:delete val="1"/>
              <c:extLst>
                <c:ext xmlns:c15="http://schemas.microsoft.com/office/drawing/2012/chart" uri="{CE6537A1-D6FC-4f65-9D91-7224C49458BB}"/>
                <c:ext xmlns:c16="http://schemas.microsoft.com/office/drawing/2014/chart" uri="{C3380CC4-5D6E-409C-BE32-E72D297353CC}">
                  <c16:uniqueId val="{00000019-E35B-4366-8AB9-607A1685C114}"/>
                </c:ext>
              </c:extLst>
            </c:dLbl>
            <c:dLbl>
              <c:idx val="2"/>
              <c:layout>
                <c:manualLayout>
                  <c:x val="-2.2571514003787579E-2"/>
                  <c:y val="0.13382094816272966"/>
                </c:manualLayout>
              </c:layout>
              <c:tx>
                <c:rich>
                  <a:bodyPr/>
                  <a:lstStyle/>
                  <a:p>
                    <a:fld id="{66688D69-0E74-4700-B821-CD6491C19966}" type="SERIESNAME">
                      <a:rPr lang="en-US">
                        <a:solidFill>
                          <a:srgbClr val="558ED5"/>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E35B-4366-8AB9-607A1685C114}"/>
                </c:ext>
              </c:extLst>
            </c:dLbl>
            <c:dLbl>
              <c:idx val="3"/>
              <c:delete val="1"/>
              <c:extLst>
                <c:ext xmlns:c15="http://schemas.microsoft.com/office/drawing/2012/chart" uri="{CE6537A1-D6FC-4f65-9D91-7224C49458BB}"/>
                <c:ext xmlns:c16="http://schemas.microsoft.com/office/drawing/2014/chart" uri="{C3380CC4-5D6E-409C-BE32-E72D297353CC}">
                  <c16:uniqueId val="{0000001B-E35B-4366-8AB9-607A1685C114}"/>
                </c:ext>
              </c:extLst>
            </c:dLbl>
            <c:dLbl>
              <c:idx val="4"/>
              <c:delete val="1"/>
              <c:extLst>
                <c:ext xmlns:c15="http://schemas.microsoft.com/office/drawing/2012/chart" uri="{CE6537A1-D6FC-4f65-9D91-7224C49458BB}"/>
                <c:ext xmlns:c16="http://schemas.microsoft.com/office/drawing/2014/chart" uri="{C3380CC4-5D6E-409C-BE32-E72D297353CC}">
                  <c16:uniqueId val="{0000001C-E35B-4366-8AB9-607A1685C114}"/>
                </c:ext>
              </c:extLst>
            </c:dLbl>
            <c:dLbl>
              <c:idx val="5"/>
              <c:delete val="1"/>
              <c:extLst>
                <c:ext xmlns:c15="http://schemas.microsoft.com/office/drawing/2012/chart" uri="{CE6537A1-D6FC-4f65-9D91-7224C49458BB}"/>
                <c:ext xmlns:c16="http://schemas.microsoft.com/office/drawing/2014/chart" uri="{C3380CC4-5D6E-409C-BE32-E72D297353CC}">
                  <c16:uniqueId val="{0000001D-E35B-4366-8AB9-607A1685C114}"/>
                </c:ext>
              </c:extLst>
            </c:dLbl>
            <c:dLbl>
              <c:idx val="6"/>
              <c:delete val="1"/>
              <c:extLst>
                <c:ext xmlns:c15="http://schemas.microsoft.com/office/drawing/2012/chart" uri="{CE6537A1-D6FC-4f65-9D91-7224C49458BB}"/>
                <c:ext xmlns:c16="http://schemas.microsoft.com/office/drawing/2014/chart" uri="{C3380CC4-5D6E-409C-BE32-E72D297353CC}">
                  <c16:uniqueId val="{0000001E-E35B-4366-8AB9-607A1685C114}"/>
                </c:ext>
              </c:extLst>
            </c:dLbl>
            <c:dLbl>
              <c:idx val="7"/>
              <c:delete val="1"/>
              <c:extLst>
                <c:ext xmlns:c15="http://schemas.microsoft.com/office/drawing/2012/chart" uri="{CE6537A1-D6FC-4f65-9D91-7224C49458BB}"/>
                <c:ext xmlns:c16="http://schemas.microsoft.com/office/drawing/2014/chart" uri="{C3380CC4-5D6E-409C-BE32-E72D297353CC}">
                  <c16:uniqueId val="{0000001F-E35B-4366-8AB9-607A1685C114}"/>
                </c:ext>
              </c:extLst>
            </c:dLbl>
            <c:dLbl>
              <c:idx val="8"/>
              <c:delete val="1"/>
              <c:extLst>
                <c:ext xmlns:c15="http://schemas.microsoft.com/office/drawing/2012/chart" uri="{CE6537A1-D6FC-4f65-9D91-7224C49458BB}"/>
                <c:ext xmlns:c16="http://schemas.microsoft.com/office/drawing/2014/chart" uri="{C3380CC4-5D6E-409C-BE32-E72D297353CC}">
                  <c16:uniqueId val="{00000020-E35B-4366-8AB9-607A1685C114}"/>
                </c:ext>
              </c:extLst>
            </c:dLbl>
            <c:dLbl>
              <c:idx val="9"/>
              <c:delete val="1"/>
              <c:extLst>
                <c:ext xmlns:c15="http://schemas.microsoft.com/office/drawing/2012/chart" uri="{CE6537A1-D6FC-4f65-9D91-7224C49458BB}"/>
                <c:ext xmlns:c16="http://schemas.microsoft.com/office/drawing/2014/chart" uri="{C3380CC4-5D6E-409C-BE32-E72D297353CC}">
                  <c16:uniqueId val="{00000021-E35B-4366-8AB9-607A1685C114}"/>
                </c:ext>
              </c:extLst>
            </c:dLbl>
            <c:dLbl>
              <c:idx val="10"/>
              <c:delete val="1"/>
              <c:extLst>
                <c:ext xmlns:c15="http://schemas.microsoft.com/office/drawing/2012/chart" uri="{CE6537A1-D6FC-4f65-9D91-7224C49458BB}"/>
                <c:ext xmlns:c16="http://schemas.microsoft.com/office/drawing/2014/chart" uri="{C3380CC4-5D6E-409C-BE32-E72D297353CC}">
                  <c16:uniqueId val="{00000022-E35B-4366-8AB9-607A1685C11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rgbClr val="558ED5"/>
                      </a:solidFill>
                    </a:ln>
                    <a:effectLst/>
                  </c:spPr>
                </c15:leaderLines>
              </c:ext>
            </c:extLst>
          </c:dLbls>
          <c:cat>
            <c:numRef>
              <c:f>q7_q8_q10_q11_Fig!$S$30:$AC$30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q7_q8_q10_q11_Fig!$S$33:$AC$33</c:f>
              <c:numCache>
                <c:formatCode>General</c:formatCode>
                <c:ptCount val="11"/>
                <c:pt idx="0">
                  <c:v>559939</c:v>
                </c:pt>
                <c:pt idx="1">
                  <c:v>563970</c:v>
                </c:pt>
                <c:pt idx="2">
                  <c:v>581774</c:v>
                </c:pt>
                <c:pt idx="3">
                  <c:v>601283</c:v>
                </c:pt>
                <c:pt idx="4">
                  <c:v>628036</c:v>
                </c:pt>
                <c:pt idx="5">
                  <c:v>659773</c:v>
                </c:pt>
                <c:pt idx="6">
                  <c:v>694825</c:v>
                </c:pt>
                <c:pt idx="7">
                  <c:v>711328</c:v>
                </c:pt>
                <c:pt idx="8">
                  <c:v>700769</c:v>
                </c:pt>
                <c:pt idx="9">
                  <c:v>719552</c:v>
                </c:pt>
                <c:pt idx="10">
                  <c:v>788139</c:v>
                </c:pt>
              </c:numCache>
            </c:numRef>
          </c:val>
          <c:smooth val="0"/>
          <c:extLst>
            <c:ext xmlns:c16="http://schemas.microsoft.com/office/drawing/2014/chart" uri="{C3380CC4-5D6E-409C-BE32-E72D297353CC}">
              <c16:uniqueId val="{00000023-E35B-4366-8AB9-607A1685C114}"/>
            </c:ext>
          </c:extLst>
        </c:ser>
        <c:ser>
          <c:idx val="3"/>
          <c:order val="3"/>
          <c:tx>
            <c:strRef>
              <c:f>q7_q8_q10_q11_Fig!$R$34</c:f>
              <c:strCache>
                <c:ptCount val="1"/>
                <c:pt idx="0">
                  <c:v>Grandes (250 ou + pessoas)</c:v>
                </c:pt>
              </c:strCache>
            </c:strRef>
          </c:tx>
          <c:spPr>
            <a:ln w="25400" cap="rnd">
              <a:solidFill>
                <a:srgbClr val="B6C3FF"/>
              </a:solidFill>
              <a:round/>
            </a:ln>
            <a:effectLst>
              <a:outerShdw blurRad="40000" dist="23000" dir="5400000" rotWithShape="0">
                <a:srgbClr val="000000">
                  <a:alpha val="35000"/>
                </a:srgbClr>
              </a:outerShdw>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4-E35B-4366-8AB9-607A1685C114}"/>
                </c:ext>
              </c:extLst>
            </c:dLbl>
            <c:dLbl>
              <c:idx val="1"/>
              <c:delete val="1"/>
              <c:extLst>
                <c:ext xmlns:c15="http://schemas.microsoft.com/office/drawing/2012/chart" uri="{CE6537A1-D6FC-4f65-9D91-7224C49458BB}"/>
                <c:ext xmlns:c16="http://schemas.microsoft.com/office/drawing/2014/chart" uri="{C3380CC4-5D6E-409C-BE32-E72D297353CC}">
                  <c16:uniqueId val="{00000025-E35B-4366-8AB9-607A1685C114}"/>
                </c:ext>
              </c:extLst>
            </c:dLbl>
            <c:dLbl>
              <c:idx val="2"/>
              <c:delete val="1"/>
              <c:extLst>
                <c:ext xmlns:c15="http://schemas.microsoft.com/office/drawing/2012/chart" uri="{CE6537A1-D6FC-4f65-9D91-7224C49458BB}"/>
                <c:ext xmlns:c16="http://schemas.microsoft.com/office/drawing/2014/chart" uri="{C3380CC4-5D6E-409C-BE32-E72D297353CC}">
                  <c16:uniqueId val="{00000026-E35B-4366-8AB9-607A1685C114}"/>
                </c:ext>
              </c:extLst>
            </c:dLbl>
            <c:dLbl>
              <c:idx val="3"/>
              <c:delete val="1"/>
              <c:extLst>
                <c:ext xmlns:c15="http://schemas.microsoft.com/office/drawing/2012/chart" uri="{CE6537A1-D6FC-4f65-9D91-7224C49458BB}"/>
                <c:ext xmlns:c16="http://schemas.microsoft.com/office/drawing/2014/chart" uri="{C3380CC4-5D6E-409C-BE32-E72D297353CC}">
                  <c16:uniqueId val="{00000027-E35B-4366-8AB9-607A1685C114}"/>
                </c:ext>
              </c:extLst>
            </c:dLbl>
            <c:dLbl>
              <c:idx val="4"/>
              <c:delete val="1"/>
              <c:extLst>
                <c:ext xmlns:c15="http://schemas.microsoft.com/office/drawing/2012/chart" uri="{CE6537A1-D6FC-4f65-9D91-7224C49458BB}"/>
                <c:ext xmlns:c16="http://schemas.microsoft.com/office/drawing/2014/chart" uri="{C3380CC4-5D6E-409C-BE32-E72D297353CC}">
                  <c16:uniqueId val="{00000028-E35B-4366-8AB9-607A1685C114}"/>
                </c:ext>
              </c:extLst>
            </c:dLbl>
            <c:dLbl>
              <c:idx val="5"/>
              <c:delete val="1"/>
              <c:extLst>
                <c:ext xmlns:c15="http://schemas.microsoft.com/office/drawing/2012/chart" uri="{CE6537A1-D6FC-4f65-9D91-7224C49458BB}"/>
                <c:ext xmlns:c16="http://schemas.microsoft.com/office/drawing/2014/chart" uri="{C3380CC4-5D6E-409C-BE32-E72D297353CC}">
                  <c16:uniqueId val="{00000029-E35B-4366-8AB9-607A1685C114}"/>
                </c:ext>
              </c:extLst>
            </c:dLbl>
            <c:dLbl>
              <c:idx val="6"/>
              <c:delete val="1"/>
              <c:extLst>
                <c:ext xmlns:c15="http://schemas.microsoft.com/office/drawing/2012/chart" uri="{CE6537A1-D6FC-4f65-9D91-7224C49458BB}"/>
                <c:ext xmlns:c16="http://schemas.microsoft.com/office/drawing/2014/chart" uri="{C3380CC4-5D6E-409C-BE32-E72D297353CC}">
                  <c16:uniqueId val="{0000002A-E35B-4366-8AB9-607A1685C114}"/>
                </c:ext>
              </c:extLst>
            </c:dLbl>
            <c:dLbl>
              <c:idx val="7"/>
              <c:delete val="1"/>
              <c:extLst>
                <c:ext xmlns:c15="http://schemas.microsoft.com/office/drawing/2012/chart" uri="{CE6537A1-D6FC-4f65-9D91-7224C49458BB}"/>
                <c:ext xmlns:c16="http://schemas.microsoft.com/office/drawing/2014/chart" uri="{C3380CC4-5D6E-409C-BE32-E72D297353CC}">
                  <c16:uniqueId val="{0000002B-E35B-4366-8AB9-607A1685C114}"/>
                </c:ext>
              </c:extLst>
            </c:dLbl>
            <c:dLbl>
              <c:idx val="8"/>
              <c:layout>
                <c:manualLayout>
                  <c:x val="-1.9764111764510449E-2"/>
                  <c:y val="0.18162688648293954"/>
                </c:manualLayout>
              </c:layout>
              <c:tx>
                <c:rich>
                  <a:bodyPr/>
                  <a:lstStyle/>
                  <a:p>
                    <a:fld id="{2774078E-33D2-4E65-92A4-30963C09B901}" type="SERIESNAME">
                      <a:rPr lang="en-US">
                        <a:solidFill>
                          <a:srgbClr val="B6C3FF"/>
                        </a:solidFill>
                      </a:rPr>
                      <a:pPr/>
                      <a:t>[NOME DA SÉRIE]</a:t>
                    </a:fld>
                    <a:endParaRPr lang="pt-PT"/>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C-E35B-4366-8AB9-607A1685C114}"/>
                </c:ext>
              </c:extLst>
            </c:dLbl>
            <c:dLbl>
              <c:idx val="9"/>
              <c:delete val="1"/>
              <c:extLst>
                <c:ext xmlns:c15="http://schemas.microsoft.com/office/drawing/2012/chart" uri="{CE6537A1-D6FC-4f65-9D91-7224C49458BB}"/>
                <c:ext xmlns:c16="http://schemas.microsoft.com/office/drawing/2014/chart" uri="{C3380CC4-5D6E-409C-BE32-E72D297353CC}">
                  <c16:uniqueId val="{0000002D-E35B-4366-8AB9-607A1685C114}"/>
                </c:ext>
              </c:extLst>
            </c:dLbl>
            <c:dLbl>
              <c:idx val="10"/>
              <c:delete val="1"/>
              <c:extLst>
                <c:ext xmlns:c15="http://schemas.microsoft.com/office/drawing/2012/chart" uri="{CE6537A1-D6FC-4f65-9D91-7224C49458BB}"/>
                <c:ext xmlns:c16="http://schemas.microsoft.com/office/drawing/2014/chart" uri="{C3380CC4-5D6E-409C-BE32-E72D297353CC}">
                  <c16:uniqueId val="{0000002E-E35B-4366-8AB9-607A1685C11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pt-PT"/>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q7_q8_q10_q11_Fig!$S$30:$AC$30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q7_q8_q10_q11_Fig!$S$34:$AC$34</c:f>
              <c:numCache>
                <c:formatCode>General</c:formatCode>
                <c:ptCount val="11"/>
                <c:pt idx="0">
                  <c:v>408574</c:v>
                </c:pt>
                <c:pt idx="1">
                  <c:v>423096</c:v>
                </c:pt>
                <c:pt idx="2">
                  <c:v>447153</c:v>
                </c:pt>
                <c:pt idx="3">
                  <c:v>467633</c:v>
                </c:pt>
                <c:pt idx="4">
                  <c:v>504554</c:v>
                </c:pt>
                <c:pt idx="5">
                  <c:v>549108</c:v>
                </c:pt>
                <c:pt idx="6">
                  <c:v>579145</c:v>
                </c:pt>
                <c:pt idx="7">
                  <c:v>607584</c:v>
                </c:pt>
                <c:pt idx="8">
                  <c:v>598470</c:v>
                </c:pt>
                <c:pt idx="9">
                  <c:v>603335</c:v>
                </c:pt>
                <c:pt idx="10">
                  <c:v>661415</c:v>
                </c:pt>
              </c:numCache>
            </c:numRef>
          </c:val>
          <c:smooth val="0"/>
          <c:extLst>
            <c:ext xmlns:c16="http://schemas.microsoft.com/office/drawing/2014/chart" uri="{C3380CC4-5D6E-409C-BE32-E72D297353CC}">
              <c16:uniqueId val="{0000002F-E35B-4366-8AB9-607A1685C114}"/>
            </c:ext>
          </c:extLst>
        </c:ser>
        <c:dLbls>
          <c:dLblPos val="ctr"/>
          <c:showLegendKey val="0"/>
          <c:showVal val="1"/>
          <c:showCatName val="0"/>
          <c:showSerName val="0"/>
          <c:showPercent val="0"/>
          <c:showBubbleSize val="0"/>
        </c:dLbls>
        <c:smooth val="0"/>
        <c:axId val="1734530655"/>
        <c:axId val="1715689631"/>
      </c:lineChart>
      <c:catAx>
        <c:axId val="1734530655"/>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715689631"/>
        <c:crosses val="autoZero"/>
        <c:auto val="1"/>
        <c:lblAlgn val="ctr"/>
        <c:lblOffset val="100"/>
        <c:tickMarkSkip val="1"/>
        <c:noMultiLvlLbl val="0"/>
      </c:catAx>
      <c:valAx>
        <c:axId val="1715689631"/>
        <c:scaling>
          <c:orientation val="minMax"/>
          <c:max val="1250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crossAx val="1734530655"/>
        <c:crosses val="autoZero"/>
        <c:crossBetween val="between"/>
        <c:majorUnit val="25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q7_q8_q10_q11_Fig!$AS$4</c:f>
              <c:strCache>
                <c:ptCount val="1"/>
                <c:pt idx="0">
                  <c:v>Pessoas ao serviço</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1.1633263966213881E-2"/>
                  <c:y val="-8.04259153830711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B9-448C-8274-62D038DE3BE5}"/>
                </c:ext>
              </c:extLst>
            </c:dLbl>
            <c:dLbl>
              <c:idx val="10"/>
              <c:layout>
                <c:manualLayout>
                  <c:x val="5.5720542022900242E-2"/>
                  <c:y val="-8.0425915383071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B9-448C-8274-62D038DE3BE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q7_q8_q10_q11_Fig!$AT$3:$BD$3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q7_q8_q10_q11_Fig!$AT$4:$BD$4</c:f>
              <c:numCache>
                <c:formatCode>#\ ###\ ##0</c:formatCode>
                <c:ptCount val="11"/>
                <c:pt idx="0">
                  <c:v>2559732</c:v>
                </c:pt>
                <c:pt idx="1">
                  <c:v>2555676</c:v>
                </c:pt>
                <c:pt idx="2">
                  <c:v>2636881</c:v>
                </c:pt>
                <c:pt idx="3">
                  <c:v>2716011</c:v>
                </c:pt>
                <c:pt idx="4">
                  <c:v>2819978</c:v>
                </c:pt>
                <c:pt idx="5">
                  <c:v>2946903</c:v>
                </c:pt>
                <c:pt idx="6">
                  <c:v>3060489</c:v>
                </c:pt>
                <c:pt idx="7">
                  <c:v>3110949</c:v>
                </c:pt>
                <c:pt idx="8">
                  <c:v>3085566</c:v>
                </c:pt>
                <c:pt idx="9">
                  <c:v>3102345</c:v>
                </c:pt>
                <c:pt idx="10">
                  <c:v>3337082</c:v>
                </c:pt>
              </c:numCache>
            </c:numRef>
          </c:val>
          <c:extLst>
            <c:ext xmlns:c16="http://schemas.microsoft.com/office/drawing/2014/chart" uri="{C3380CC4-5D6E-409C-BE32-E72D297353CC}">
              <c16:uniqueId val="{00000002-CFB9-448C-8274-62D038DE3BE5}"/>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q7_q8_q10_q11_Fig!$AS$5</c:f>
              <c:strCache>
                <c:ptCount val="1"/>
                <c:pt idx="0">
                  <c:v>TCO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circle"/>
              <c:size val="6"/>
              <c:spPr>
                <a:solidFill>
                  <a:srgbClr val="FFC000"/>
                </a:solidFill>
                <a:ln w="12700">
                  <a:no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3-CFB9-448C-8274-62D038DE3BE5}"/>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4-CFB9-448C-8274-62D038DE3BE5}"/>
              </c:ext>
            </c:extLst>
          </c:dPt>
          <c:dLbls>
            <c:dLbl>
              <c:idx val="0"/>
              <c:layout>
                <c:manualLayout>
                  <c:x val="4.5508842286244036E-2"/>
                  <c:y val="-5.0294751963788437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FFC000"/>
                      </a:solidFill>
                      <a:latin typeface="+mn-lt"/>
                      <a:ea typeface="+mn-ea"/>
                      <a:cs typeface="+mn-cs"/>
                    </a:defRPr>
                  </a:pPr>
                  <a:endParaRPr lang="pt-PT"/>
                </a:p>
              </c:txPr>
              <c:showLegendKey val="0"/>
              <c:showVal val="1"/>
              <c:showCatName val="0"/>
              <c:showSerName val="0"/>
              <c:showPercent val="0"/>
              <c:showBubbleSize val="0"/>
              <c:extLst>
                <c:ext xmlns:c15="http://schemas.microsoft.com/office/drawing/2012/chart" uri="{CE6537A1-D6FC-4f65-9D91-7224C49458BB}">
                  <c15:layout>
                    <c:manualLayout>
                      <c:w val="0.15235967373628478"/>
                      <c:h val="5.2349626592401534E-2"/>
                    </c:manualLayout>
                  </c15:layout>
                </c:ext>
                <c:ext xmlns:c16="http://schemas.microsoft.com/office/drawing/2014/chart" uri="{C3380CC4-5D6E-409C-BE32-E72D297353CC}">
                  <c16:uniqueId val="{00000003-CFB9-448C-8274-62D038DE3BE5}"/>
                </c:ext>
              </c:extLst>
            </c:dLbl>
            <c:dLbl>
              <c:idx val="10"/>
              <c:layout>
                <c:manualLayout>
                  <c:x val="1.318458355744118E-2"/>
                  <c:y val="-1.0969271600849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B9-448C-8274-62D038DE3BE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q7_q8_q10_q11_Fig!$AT$3:$BD$3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q7_q8_q10_q11_Fig!$AT$5:$BD$5</c:f>
              <c:numCache>
                <c:formatCode>#\ ###\ ##0</c:formatCode>
                <c:ptCount val="11"/>
                <c:pt idx="0">
                  <c:v>2387386</c:v>
                </c:pt>
                <c:pt idx="1">
                  <c:v>2384121</c:v>
                </c:pt>
                <c:pt idx="2">
                  <c:v>2458163</c:v>
                </c:pt>
                <c:pt idx="3">
                  <c:v>2537653</c:v>
                </c:pt>
                <c:pt idx="4">
                  <c:v>2641919</c:v>
                </c:pt>
                <c:pt idx="5">
                  <c:v>2767521</c:v>
                </c:pt>
                <c:pt idx="6">
                  <c:v>2877918</c:v>
                </c:pt>
                <c:pt idx="7">
                  <c:v>2930482</c:v>
                </c:pt>
                <c:pt idx="8">
                  <c:v>2902825</c:v>
                </c:pt>
                <c:pt idx="9">
                  <c:v>2922343</c:v>
                </c:pt>
                <c:pt idx="10">
                  <c:v>3148147</c:v>
                </c:pt>
              </c:numCache>
            </c:numRef>
          </c:val>
          <c:smooth val="0"/>
          <c:extLst>
            <c:ext xmlns:c16="http://schemas.microsoft.com/office/drawing/2014/chart" uri="{C3380CC4-5D6E-409C-BE32-E72D297353CC}">
              <c16:uniqueId val="{00000006-CFB9-448C-8274-62D038DE3BE5}"/>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3600000"/>
          <c:min val="0"/>
        </c:scaling>
        <c:delete val="0"/>
        <c:axPos val="l"/>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majorUnit val="400000"/>
      </c:valAx>
      <c:spPr>
        <a:noFill/>
        <a:ln>
          <a:noFill/>
        </a:ln>
        <a:effectLst/>
      </c:spPr>
    </c:plotArea>
    <c:legend>
      <c:legendPos val="b"/>
      <c:layout>
        <c:manualLayout>
          <c:xMode val="edge"/>
          <c:yMode val="edge"/>
          <c:x val="1.3975067550970277E-2"/>
          <c:y val="0.87446938131313134"/>
          <c:w val="0.56198825022516985"/>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7015773028371451"/>
          <c:y val="0.22899703122140164"/>
          <c:w val="0.56635020622422194"/>
          <c:h val="0.77100296877859842"/>
        </c:manualLayout>
      </c:layout>
      <c:barChart>
        <c:barDir val="bar"/>
        <c:grouping val="clustered"/>
        <c:varyColors val="0"/>
        <c:ser>
          <c:idx val="0"/>
          <c:order val="0"/>
          <c:tx>
            <c:strRef>
              <c:f>q17_q18_q25_q26_Fig!$BM$20</c:f>
              <c:strCache>
                <c:ptCount val="1"/>
                <c:pt idx="0">
                  <c:v>Base - H</c:v>
                </c:pt>
              </c:strCache>
            </c:strRef>
          </c:tx>
          <c:spPr>
            <a:solidFill>
              <a:srgbClr val="4F81BD"/>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square" lIns="38100" tIns="0" rIns="0" bIns="19050" anchor="ctr" anchorCtr="1">
                <a:spAutoFit/>
              </a:bodyPr>
              <a:lstStyle/>
              <a:p>
                <a:pPr>
                  <a:defRPr sz="700" b="0" i="0" u="none" strike="noStrike" kern="1200" baseline="0">
                    <a:solidFill>
                      <a:sysClr val="windowText" lastClr="000000"/>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q17_q18_q25_q26_Fig!$BL$21:$BL$24</c:f>
              <c:strCache>
                <c:ptCount val="4"/>
                <c:pt idx="0">
                  <c:v>Micro (1-9 pessoas)</c:v>
                </c:pt>
                <c:pt idx="1">
                  <c:v>Pequenos (10 - 49 pessoas)</c:v>
                </c:pt>
                <c:pt idx="2">
                  <c:v>Médios (50 - 249 pessoas)</c:v>
                </c:pt>
                <c:pt idx="3">
                  <c:v>Grandes (250 ou + pessoas)</c:v>
                </c:pt>
              </c:strCache>
            </c:strRef>
          </c:cat>
          <c:val>
            <c:numRef>
              <c:f>q17_q18_q25_q26_Fig!$BM$21:$BM$24</c:f>
              <c:numCache>
                <c:formatCode>#,##0.00\ "€"</c:formatCode>
                <c:ptCount val="4"/>
                <c:pt idx="0">
                  <c:v>-982.98366719001524</c:v>
                </c:pt>
                <c:pt idx="1">
                  <c:v>-1130.8162900632708</c:v>
                </c:pt>
                <c:pt idx="2">
                  <c:v>-1344.5117888914799</c:v>
                </c:pt>
                <c:pt idx="3">
                  <c:v>-1469.7881888414699</c:v>
                </c:pt>
              </c:numCache>
            </c:numRef>
          </c:val>
          <c:extLst>
            <c:ext xmlns:c16="http://schemas.microsoft.com/office/drawing/2014/chart" uri="{C3380CC4-5D6E-409C-BE32-E72D297353CC}">
              <c16:uniqueId val="{00000000-B1D9-4032-B25D-A6BBC0F36310}"/>
            </c:ext>
          </c:extLst>
        </c:ser>
        <c:ser>
          <c:idx val="1"/>
          <c:order val="1"/>
          <c:tx>
            <c:strRef>
              <c:f>q17_q18_q25_q26_Fig!$BN$20</c:f>
              <c:strCache>
                <c:ptCount val="1"/>
                <c:pt idx="0">
                  <c:v>Ganho - H</c:v>
                </c:pt>
              </c:strCache>
            </c:strRef>
          </c:tx>
          <c:spPr>
            <a:solidFill>
              <a:srgbClr val="FFC000"/>
            </a:solidFill>
            <a:ln>
              <a:noFill/>
            </a:ln>
            <a:effectLst/>
            <a:scene3d>
              <a:camera prst="orthographicFront"/>
              <a:lightRig rig="threePt" dir="t"/>
            </a:scene3d>
            <a:sp3d>
              <a:bevelT w="0" h="0"/>
              <a:bevelB w="0" h="0"/>
            </a:sp3d>
          </c:spPr>
          <c:invertIfNegative val="0"/>
          <c:dLbls>
            <c:numFmt formatCode="#,##0.00\ &quot;€&quot;;#,##0.00\ &quot;€&quot;" sourceLinked="0"/>
            <c:spPr>
              <a:noFill/>
              <a:ln>
                <a:noFill/>
              </a:ln>
              <a:effectLst/>
            </c:spPr>
            <c:txPr>
              <a:bodyPr rot="0" spcFirstLastPara="1" vertOverflow="ellipsis" vert="horz" wrap="square" lIns="38100" tIns="0" rIns="0" bIns="19050" anchor="ctr" anchorCtr="1">
                <a:spAutoFit/>
              </a:bodyPr>
              <a:lstStyle/>
              <a:p>
                <a:pPr>
                  <a:defRPr sz="700" b="1" i="0" u="none" strike="noStrike" kern="1200" baseline="0">
                    <a:solidFill>
                      <a:sysClr val="windowText" lastClr="000000"/>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q17_q18_q25_q26_Fig!$BL$21:$BL$24</c:f>
              <c:strCache>
                <c:ptCount val="4"/>
                <c:pt idx="0">
                  <c:v>Micro (1-9 pessoas)</c:v>
                </c:pt>
                <c:pt idx="1">
                  <c:v>Pequenos (10 - 49 pessoas)</c:v>
                </c:pt>
                <c:pt idx="2">
                  <c:v>Médios (50 - 249 pessoas)</c:v>
                </c:pt>
                <c:pt idx="3">
                  <c:v>Grandes (250 ou + pessoas)</c:v>
                </c:pt>
              </c:strCache>
            </c:strRef>
          </c:cat>
          <c:val>
            <c:numRef>
              <c:f>q17_q18_q25_q26_Fig!$BN$21:$BN$24</c:f>
              <c:numCache>
                <c:formatCode>#,##0.00\ "€"</c:formatCode>
                <c:ptCount val="4"/>
                <c:pt idx="0">
                  <c:v>-1137.8086763707934</c:v>
                </c:pt>
                <c:pt idx="1">
                  <c:v>-1352.8319508155932</c:v>
                </c:pt>
                <c:pt idx="2">
                  <c:v>-1653.173529258532</c:v>
                </c:pt>
                <c:pt idx="3">
                  <c:v>-1846.9046497143181</c:v>
                </c:pt>
              </c:numCache>
            </c:numRef>
          </c:val>
          <c:extLst>
            <c:ext xmlns:c16="http://schemas.microsoft.com/office/drawing/2014/chart" uri="{C3380CC4-5D6E-409C-BE32-E72D297353CC}">
              <c16:uniqueId val="{00000001-B1D9-4032-B25D-A6BBC0F36310}"/>
            </c:ext>
          </c:extLst>
        </c:ser>
        <c:dLbls>
          <c:showLegendKey val="0"/>
          <c:showVal val="0"/>
          <c:showCatName val="0"/>
          <c:showSerName val="0"/>
          <c:showPercent val="0"/>
          <c:showBubbleSize val="0"/>
        </c:dLbls>
        <c:gapWidth val="42"/>
        <c:axId val="1261817855"/>
        <c:axId val="267587263"/>
      </c:barChart>
      <c:barChart>
        <c:barDir val="bar"/>
        <c:grouping val="clustered"/>
        <c:varyColors val="0"/>
        <c:ser>
          <c:idx val="2"/>
          <c:order val="2"/>
          <c:tx>
            <c:strRef>
              <c:f>q17_q18_q25_q26_Fig!$BO$20</c:f>
              <c:strCache>
                <c:ptCount val="1"/>
                <c:pt idx="0">
                  <c:v>Base - M</c:v>
                </c:pt>
              </c:strCache>
            </c:strRef>
          </c:tx>
          <c:spPr>
            <a:solidFill>
              <a:srgbClr val="95B3D7"/>
            </a:solidFill>
          </c:spPr>
          <c:invertIfNegative val="0"/>
          <c:dLbls>
            <c:spPr>
              <a:noFill/>
              <a:ln>
                <a:noFill/>
              </a:ln>
              <a:effectLst/>
            </c:spPr>
            <c:txPr>
              <a:bodyPr wrap="square" lIns="38100" tIns="19050" rIns="38100" bIns="19050" anchor="ctr">
                <a:spAutoFit/>
              </a:bodyPr>
              <a:lstStyle/>
              <a:p>
                <a:pPr>
                  <a:defRPr sz="700" b="0">
                    <a:solidFill>
                      <a:sysClr val="windowText" lastClr="000000"/>
                    </a:solidFill>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q17_q18_q25_q26_Fig!$BL$21:$BL$24</c:f>
              <c:strCache>
                <c:ptCount val="4"/>
                <c:pt idx="0">
                  <c:v>Micro (1-9 pessoas)</c:v>
                </c:pt>
                <c:pt idx="1">
                  <c:v>Pequenos (10 - 49 pessoas)</c:v>
                </c:pt>
                <c:pt idx="2">
                  <c:v>Médios (50 - 249 pessoas)</c:v>
                </c:pt>
                <c:pt idx="3">
                  <c:v>Grandes (250 ou + pessoas)</c:v>
                </c:pt>
              </c:strCache>
            </c:strRef>
          </c:cat>
          <c:val>
            <c:numRef>
              <c:f>q17_q18_q25_q26_Fig!$BO$21:$BO$24</c:f>
              <c:numCache>
                <c:formatCode>#,##0.00\ "€"</c:formatCode>
                <c:ptCount val="4"/>
                <c:pt idx="0">
                  <c:v>901.44201878089575</c:v>
                </c:pt>
                <c:pt idx="1">
                  <c:v>993.84864627030174</c:v>
                </c:pt>
                <c:pt idx="2">
                  <c:v>1136.4201496816147</c:v>
                </c:pt>
                <c:pt idx="3">
                  <c:v>1242.1348465562171</c:v>
                </c:pt>
              </c:numCache>
            </c:numRef>
          </c:val>
          <c:extLst>
            <c:ext xmlns:c16="http://schemas.microsoft.com/office/drawing/2014/chart" uri="{C3380CC4-5D6E-409C-BE32-E72D297353CC}">
              <c16:uniqueId val="{00000002-B1D9-4032-B25D-A6BBC0F36310}"/>
            </c:ext>
          </c:extLst>
        </c:ser>
        <c:ser>
          <c:idx val="3"/>
          <c:order val="3"/>
          <c:tx>
            <c:strRef>
              <c:f>q17_q18_q25_q26_Fig!$BP$20</c:f>
              <c:strCache>
                <c:ptCount val="1"/>
                <c:pt idx="0">
                  <c:v>Ganho - M</c:v>
                </c:pt>
              </c:strCache>
            </c:strRef>
          </c:tx>
          <c:spPr>
            <a:solidFill>
              <a:srgbClr val="FFEF57"/>
            </a:solidFill>
          </c:spPr>
          <c:invertIfNegative val="0"/>
          <c:dLbls>
            <c:spPr>
              <a:noFill/>
              <a:ln>
                <a:noFill/>
              </a:ln>
              <a:effectLst/>
            </c:spPr>
            <c:txPr>
              <a:bodyPr wrap="square" lIns="38100" tIns="19050" rIns="38100" bIns="19050" anchor="ctr">
                <a:spAutoFit/>
              </a:bodyPr>
              <a:lstStyle/>
              <a:p>
                <a:pPr>
                  <a:defRPr sz="700" b="1">
                    <a:solidFill>
                      <a:sysClr val="windowText" lastClr="000000"/>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q17_q18_q25_q26_Fig!$BL$21:$BL$24</c:f>
              <c:strCache>
                <c:ptCount val="4"/>
                <c:pt idx="0">
                  <c:v>Micro (1-9 pessoas)</c:v>
                </c:pt>
                <c:pt idx="1">
                  <c:v>Pequenos (10 - 49 pessoas)</c:v>
                </c:pt>
                <c:pt idx="2">
                  <c:v>Médios (50 - 249 pessoas)</c:v>
                </c:pt>
                <c:pt idx="3">
                  <c:v>Grandes (250 ou + pessoas)</c:v>
                </c:pt>
              </c:strCache>
            </c:strRef>
          </c:cat>
          <c:val>
            <c:numRef>
              <c:f>q17_q18_q25_q26_Fig!$BP$21:$BP$24</c:f>
              <c:numCache>
                <c:formatCode>#,##0.00\ "€"</c:formatCode>
                <c:ptCount val="4"/>
                <c:pt idx="0">
                  <c:v>1035.1351519929417</c:v>
                </c:pt>
                <c:pt idx="1">
                  <c:v>1150.6865329623424</c:v>
                </c:pt>
                <c:pt idx="2">
                  <c:v>1337.0565016194626</c:v>
                </c:pt>
                <c:pt idx="3">
                  <c:v>1507.7277863076592</c:v>
                </c:pt>
              </c:numCache>
            </c:numRef>
          </c:val>
          <c:extLst>
            <c:ext xmlns:c16="http://schemas.microsoft.com/office/drawing/2014/chart" uri="{C3380CC4-5D6E-409C-BE32-E72D297353CC}">
              <c16:uniqueId val="{00000003-B1D9-4032-B25D-A6BBC0F36310}"/>
            </c:ext>
          </c:extLst>
        </c:ser>
        <c:dLbls>
          <c:showLegendKey val="0"/>
          <c:showVal val="0"/>
          <c:showCatName val="0"/>
          <c:showSerName val="0"/>
          <c:showPercent val="0"/>
          <c:showBubbleSize val="0"/>
        </c:dLbls>
        <c:gapWidth val="42"/>
        <c:axId val="1450336576"/>
        <c:axId val="1128689328"/>
      </c:barChart>
      <c:catAx>
        <c:axId val="1261817855"/>
        <c:scaling>
          <c:orientation val="maxMin"/>
        </c:scaling>
        <c:delete val="0"/>
        <c:axPos val="l"/>
        <c:majorGridlines>
          <c:spPr>
            <a:ln>
              <a:solidFill>
                <a:srgbClr val="D9D9D9"/>
              </a:solidFill>
            </a:ln>
          </c:spPr>
        </c:majorGridlines>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85000"/>
                    <a:lumOff val="15000"/>
                  </a:schemeClr>
                </a:solidFill>
                <a:latin typeface="+mn-lt"/>
                <a:ea typeface="+mn-ea"/>
                <a:cs typeface="+mn-cs"/>
              </a:defRPr>
            </a:pPr>
            <a:endParaRPr lang="pt-PT"/>
          </a:p>
        </c:txPr>
        <c:crossAx val="267587263"/>
        <c:crosses val="autoZero"/>
        <c:auto val="1"/>
        <c:lblAlgn val="ctr"/>
        <c:lblOffset val="100"/>
        <c:noMultiLvlLbl val="0"/>
      </c:catAx>
      <c:valAx>
        <c:axId val="267587263"/>
        <c:scaling>
          <c:orientation val="minMax"/>
          <c:max val="2000"/>
          <c:min val="-2000"/>
        </c:scaling>
        <c:delete val="1"/>
        <c:axPos val="t"/>
        <c:numFmt formatCode="#,##0;#,##0" sourceLinked="0"/>
        <c:majorTickMark val="out"/>
        <c:minorTickMark val="none"/>
        <c:tickLblPos val="nextTo"/>
        <c:crossAx val="1261817855"/>
        <c:crosses val="autoZero"/>
        <c:crossBetween val="between"/>
        <c:majorUnit val="200"/>
      </c:valAx>
      <c:valAx>
        <c:axId val="1128689328"/>
        <c:scaling>
          <c:orientation val="minMax"/>
        </c:scaling>
        <c:delete val="1"/>
        <c:axPos val="b"/>
        <c:numFmt formatCode="#,##0.00\ &quot;€&quot;" sourceLinked="1"/>
        <c:majorTickMark val="out"/>
        <c:minorTickMark val="none"/>
        <c:tickLblPos val="nextTo"/>
        <c:crossAx val="1450336576"/>
        <c:crosses val="max"/>
        <c:crossBetween val="between"/>
      </c:valAx>
      <c:catAx>
        <c:axId val="1450336576"/>
        <c:scaling>
          <c:orientation val="maxMin"/>
        </c:scaling>
        <c:delete val="1"/>
        <c:axPos val="r"/>
        <c:numFmt formatCode="General" sourceLinked="1"/>
        <c:majorTickMark val="out"/>
        <c:minorTickMark val="none"/>
        <c:tickLblPos val="nextTo"/>
        <c:crossAx val="1128689328"/>
        <c:crosses val="max"/>
        <c:auto val="1"/>
        <c:lblAlgn val="ctr"/>
        <c:lblOffset val="100"/>
        <c:noMultiLvlLbl val="0"/>
      </c:catAx>
      <c:spPr>
        <a:noFill/>
        <a:ln>
          <a:noFill/>
        </a:ln>
        <a:effectLst/>
      </c:spPr>
    </c:plotArea>
    <c:legend>
      <c:legendPos val="t"/>
      <c:layout>
        <c:manualLayout>
          <c:xMode val="edge"/>
          <c:yMode val="edge"/>
          <c:x val="6.0333417610469058E-2"/>
          <c:y val="1.385837479029243E-2"/>
          <c:w val="0.89849809005671954"/>
          <c:h val="9.0611448323966642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85000"/>
                  <a:lumOff val="1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2"/>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q17_q18_q25_q26_Fig!$AS$4</c:f>
              <c:strCache>
                <c:ptCount val="1"/>
                <c:pt idx="0">
                  <c:v>Remuneração Base</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3.0450466947445524E-2"/>
                  <c:y val="1.62528955922576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29-4E51-B316-FA31BD9CA197}"/>
                </c:ext>
              </c:extLst>
            </c:dLbl>
            <c:dLbl>
              <c:idx val="10"/>
              <c:layout>
                <c:manualLayout>
                  <c:x val="6.5324697316061298E-3"/>
                  <c:y val="9.77959714220145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29-4E51-B316-FA31BD9CA197}"/>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q17_q18_q25_q26_Fig!$AT$3:$BD$3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q17_q18_q25_q26_Fig!$AT$4:$BD$4</c:f>
              <c:numCache>
                <c:formatCode>.\ \ ##;0000000000000000000000000000000000000000000000000000000000000000000000000000000000000000000000000000000000000000000000000000000000000000000000000000000000000000000000000000</c:formatCode>
                <c:ptCount val="11"/>
                <c:pt idx="0">
                  <c:v>915.01247006081212</c:v>
                </c:pt>
                <c:pt idx="1">
                  <c:v>912.18298170177309</c:v>
                </c:pt>
                <c:pt idx="2">
                  <c:v>909.49144915721399</c:v>
                </c:pt>
                <c:pt idx="3">
                  <c:v>913.92544791377406</c:v>
                </c:pt>
                <c:pt idx="4">
                  <c:v>924.9392153090821</c:v>
                </c:pt>
                <c:pt idx="5">
                  <c:v>943.00107511786211</c:v>
                </c:pt>
                <c:pt idx="6">
                  <c:v>970.41689676342503</c:v>
                </c:pt>
                <c:pt idx="7">
                  <c:v>1005.08927925103</c:v>
                </c:pt>
                <c:pt idx="8">
                  <c:v>1041.9948771786001</c:v>
                </c:pt>
                <c:pt idx="9">
                  <c:v>1082.7724697513502</c:v>
                </c:pt>
                <c:pt idx="10">
                  <c:v>1143.44558285689</c:v>
                </c:pt>
              </c:numCache>
            </c:numRef>
          </c:val>
          <c:extLst>
            <c:ext xmlns:c16="http://schemas.microsoft.com/office/drawing/2014/chart" uri="{C3380CC4-5D6E-409C-BE32-E72D297353CC}">
              <c16:uniqueId val="{00000002-9B29-4E51-B316-FA31BD9CA197}"/>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q17_q18_q25_q26_Fig!$AS$5</c:f>
              <c:strCache>
                <c:ptCount val="1"/>
                <c:pt idx="0">
                  <c:v>Remuneração Ganho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circle"/>
              <c:size val="6"/>
              <c:spPr>
                <a:solidFill>
                  <a:srgbClr val="FFC000"/>
                </a:solidFill>
                <a:ln w="12700">
                  <a:no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3-9B29-4E51-B316-FA31BD9CA197}"/>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4-9B29-4E51-B316-FA31BD9CA197}"/>
              </c:ext>
            </c:extLst>
          </c:dPt>
          <c:dLbls>
            <c:dLbl>
              <c:idx val="0"/>
              <c:layout>
                <c:manualLayout>
                  <c:x val="2.1333290999915332E-2"/>
                  <c:y val="-8.80163742798135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29-4E51-B316-FA31BD9CA197}"/>
                </c:ext>
              </c:extLst>
            </c:dLbl>
            <c:dLbl>
              <c:idx val="10"/>
              <c:layout>
                <c:manualLayout>
                  <c:x val="8.064516129032159E-3"/>
                  <c:y val="-5.8677582853209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29-4E51-B316-FA31BD9CA197}"/>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q17_q18_q25_q26_Fig!$AT$3:$BD$3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q17_q18_q25_q26_Fig!$AT$5:$BD$5</c:f>
              <c:numCache>
                <c:formatCode>.\ \ ##;0000000000000000000000000000000000000000000000000000000000000000000000000000000000000000000000000000000000000000000000000000000000000000000000000000000000000000000000000000000000000000000000000000000000000000000000000000000000000000000000000000</c:formatCode>
                <c:ptCount val="11"/>
                <c:pt idx="0">
                  <c:v>1095.58619281857</c:v>
                </c:pt>
                <c:pt idx="1">
                  <c:v>1093.8178723953499</c:v>
                </c:pt>
                <c:pt idx="2">
                  <c:v>1093.20854089105</c:v>
                </c:pt>
                <c:pt idx="3">
                  <c:v>1096.65734127991</c:v>
                </c:pt>
                <c:pt idx="4">
                  <c:v>1107.85636561875</c:v>
                </c:pt>
                <c:pt idx="5">
                  <c:v>1133.34288689707</c:v>
                </c:pt>
                <c:pt idx="6">
                  <c:v>1170.2525051678801</c:v>
                </c:pt>
                <c:pt idx="7">
                  <c:v>1209.93900485576</c:v>
                </c:pt>
                <c:pt idx="8">
                  <c:v>1250.75197084447</c:v>
                </c:pt>
                <c:pt idx="9">
                  <c:v>1294.10894067238</c:v>
                </c:pt>
                <c:pt idx="10">
                  <c:v>1367.9952489883699</c:v>
                </c:pt>
              </c:numCache>
            </c:numRef>
          </c:val>
          <c:smooth val="0"/>
          <c:extLst>
            <c:ext xmlns:c16="http://schemas.microsoft.com/office/drawing/2014/chart" uri="{C3380CC4-5D6E-409C-BE32-E72D297353CC}">
              <c16:uniqueId val="{00000006-9B29-4E51-B316-FA31BD9CA197}"/>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1400"/>
          <c:min val="0"/>
        </c:scaling>
        <c:delete val="0"/>
        <c:axPos val="l"/>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majorUnit val="200"/>
      </c:valAx>
      <c:spPr>
        <a:noFill/>
        <a:ln>
          <a:noFill/>
        </a:ln>
        <a:effectLst/>
      </c:spPr>
    </c:plotArea>
    <c:legend>
      <c:legendPos val="b"/>
      <c:layout>
        <c:manualLayout>
          <c:xMode val="edge"/>
          <c:yMode val="edge"/>
          <c:x val="0"/>
          <c:y val="0.90565922955255651"/>
          <c:w val="0.64269409872153083"/>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02415867900997E-2"/>
          <c:y val="0.18472812943831005"/>
          <c:w val="0.80869505356964055"/>
          <c:h val="0.58657484618386491"/>
        </c:manualLayout>
      </c:layout>
      <c:lineChart>
        <c:grouping val="standard"/>
        <c:varyColors val="0"/>
        <c:ser>
          <c:idx val="0"/>
          <c:order val="0"/>
          <c:tx>
            <c:strRef>
              <c:f>q17_q18_q25_q26_Fig!$R$51</c:f>
              <c:strCache>
                <c:ptCount val="1"/>
                <c:pt idx="0">
                  <c:v>Micro (1-9 pessoas)</c:v>
                </c:pt>
              </c:strCache>
            </c:strRef>
          </c:tx>
          <c:spPr>
            <a:ln w="31750" cap="rnd">
              <a:solidFill>
                <a:srgbClr val="3C1692"/>
              </a:solidFill>
              <a:round/>
            </a:ln>
            <a:effectLst/>
          </c:spPr>
          <c:marker>
            <c:symbol val="circle"/>
            <c:size val="6"/>
            <c:spPr>
              <a:solidFill>
                <a:srgbClr val="3C1692"/>
              </a:solidFill>
              <a:ln w="9525">
                <a:noFill/>
              </a:ln>
              <a:effectLst/>
            </c:spPr>
          </c:marker>
          <c:cat>
            <c:numRef>
              <c:f>q17_q18_q25_q26_Fig!$S$50:$AC$50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q17_q18_q25_q26_Fig!$S$51:$AC$51</c:f>
              <c:numCache>
                <c:formatCode>0.00</c:formatCode>
                <c:ptCount val="11"/>
                <c:pt idx="0">
                  <c:v>743.58292049621616</c:v>
                </c:pt>
                <c:pt idx="1">
                  <c:v>740.81113427879666</c:v>
                </c:pt>
                <c:pt idx="2">
                  <c:v>743.1896559413243</c:v>
                </c:pt>
                <c:pt idx="3">
                  <c:v>741.72346108913666</c:v>
                </c:pt>
                <c:pt idx="4">
                  <c:v>755.98997789720329</c:v>
                </c:pt>
                <c:pt idx="5">
                  <c:v>774.5510595915548</c:v>
                </c:pt>
                <c:pt idx="6">
                  <c:v>798.39362542964363</c:v>
                </c:pt>
                <c:pt idx="7">
                  <c:v>825.35989397402784</c:v>
                </c:pt>
                <c:pt idx="8">
                  <c:v>862.12708824020444</c:v>
                </c:pt>
                <c:pt idx="9">
                  <c:v>897.66026872455643</c:v>
                </c:pt>
                <c:pt idx="10">
                  <c:v>944.24478854155598</c:v>
                </c:pt>
              </c:numCache>
            </c:numRef>
          </c:val>
          <c:smooth val="0"/>
          <c:extLst>
            <c:ext xmlns:c16="http://schemas.microsoft.com/office/drawing/2014/chart" uri="{C3380CC4-5D6E-409C-BE32-E72D297353CC}">
              <c16:uniqueId val="{00000000-3F95-4C7F-A2CA-9CCFAEEEFF24}"/>
            </c:ext>
          </c:extLst>
        </c:ser>
        <c:ser>
          <c:idx val="1"/>
          <c:order val="1"/>
          <c:tx>
            <c:strRef>
              <c:f>q17_q18_q25_q26_Fig!$R$52</c:f>
              <c:strCache>
                <c:ptCount val="1"/>
                <c:pt idx="0">
                  <c:v>Pequenos (10 - 49 pessoas)</c:v>
                </c:pt>
              </c:strCache>
            </c:strRef>
          </c:tx>
          <c:spPr>
            <a:ln w="31750" cap="rnd">
              <a:solidFill>
                <a:srgbClr val="1403EB"/>
              </a:solidFill>
              <a:round/>
            </a:ln>
            <a:effectLst/>
          </c:spPr>
          <c:marker>
            <c:symbol val="circle"/>
            <c:size val="6"/>
            <c:spPr>
              <a:solidFill>
                <a:srgbClr val="1403EB"/>
              </a:solidFill>
              <a:ln w="9525">
                <a:noFill/>
              </a:ln>
              <a:effectLst/>
            </c:spPr>
          </c:marker>
          <c:cat>
            <c:numRef>
              <c:f>q17_q18_q25_q26_Fig!$S$50:$AC$50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q17_q18_q25_q26_Fig!$S$52:$AC$52</c:f>
              <c:numCache>
                <c:formatCode>0.00</c:formatCode>
                <c:ptCount val="11"/>
                <c:pt idx="0">
                  <c:v>886.03413030358979</c:v>
                </c:pt>
                <c:pt idx="1">
                  <c:v>880.69844559663761</c:v>
                </c:pt>
                <c:pt idx="2">
                  <c:v>875.5270905585777</c:v>
                </c:pt>
                <c:pt idx="3">
                  <c:v>876.08013653293108</c:v>
                </c:pt>
                <c:pt idx="4">
                  <c:v>882.80530988207897</c:v>
                </c:pt>
                <c:pt idx="5">
                  <c:v>896.4722523640778</c:v>
                </c:pt>
                <c:pt idx="6">
                  <c:v>919.58524604114712</c:v>
                </c:pt>
                <c:pt idx="7">
                  <c:v>948.36081891733545</c:v>
                </c:pt>
                <c:pt idx="8">
                  <c:v>989.62749356880101</c:v>
                </c:pt>
                <c:pt idx="9">
                  <c:v>1024.3181100472259</c:v>
                </c:pt>
                <c:pt idx="10">
                  <c:v>1070.1151648546956</c:v>
                </c:pt>
              </c:numCache>
            </c:numRef>
          </c:val>
          <c:smooth val="0"/>
          <c:extLst>
            <c:ext xmlns:c16="http://schemas.microsoft.com/office/drawing/2014/chart" uri="{C3380CC4-5D6E-409C-BE32-E72D297353CC}">
              <c16:uniqueId val="{00000001-3F95-4C7F-A2CA-9CCFAEEEFF24}"/>
            </c:ext>
          </c:extLst>
        </c:ser>
        <c:ser>
          <c:idx val="2"/>
          <c:order val="2"/>
          <c:tx>
            <c:strRef>
              <c:f>q17_q18_q25_q26_Fig!$R$53</c:f>
              <c:strCache>
                <c:ptCount val="1"/>
                <c:pt idx="0">
                  <c:v>Médios (50 - 249 pessoas)</c:v>
                </c:pt>
              </c:strCache>
            </c:strRef>
          </c:tx>
          <c:spPr>
            <a:ln w="31750" cap="rnd">
              <a:solidFill>
                <a:srgbClr val="558ED5"/>
              </a:solidFill>
              <a:round/>
            </a:ln>
            <a:effectLst/>
          </c:spPr>
          <c:marker>
            <c:symbol val="circle"/>
            <c:size val="6"/>
            <c:spPr>
              <a:solidFill>
                <a:srgbClr val="558ED5"/>
              </a:solidFill>
              <a:ln w="9525">
                <a:noFill/>
              </a:ln>
              <a:effectLst/>
            </c:spPr>
          </c:marker>
          <c:cat>
            <c:numRef>
              <c:f>q17_q18_q25_q26_Fig!$S$50:$AC$50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q17_q18_q25_q26_Fig!$S$53:$AC$53</c:f>
              <c:numCache>
                <c:formatCode>0.00</c:formatCode>
                <c:ptCount val="11"/>
                <c:pt idx="0">
                  <c:v>1049.3663383300029</c:v>
                </c:pt>
                <c:pt idx="1">
                  <c:v>1042.7234273191029</c:v>
                </c:pt>
                <c:pt idx="2">
                  <c:v>1033.4462446703631</c:v>
                </c:pt>
                <c:pt idx="3">
                  <c:v>1043.9948238642926</c:v>
                </c:pt>
                <c:pt idx="4">
                  <c:v>1048.9024058545212</c:v>
                </c:pt>
                <c:pt idx="5">
                  <c:v>1063.2205857493338</c:v>
                </c:pt>
                <c:pt idx="6">
                  <c:v>1090.6277371485573</c:v>
                </c:pt>
                <c:pt idx="7">
                  <c:v>1118.9973468408616</c:v>
                </c:pt>
                <c:pt idx="8">
                  <c:v>1164.7308444214914</c:v>
                </c:pt>
                <c:pt idx="9">
                  <c:v>1194.2578287563724</c:v>
                </c:pt>
                <c:pt idx="10">
                  <c:v>1252.1737579991295</c:v>
                </c:pt>
              </c:numCache>
            </c:numRef>
          </c:val>
          <c:smooth val="0"/>
          <c:extLst>
            <c:ext xmlns:c16="http://schemas.microsoft.com/office/drawing/2014/chart" uri="{C3380CC4-5D6E-409C-BE32-E72D297353CC}">
              <c16:uniqueId val="{00000002-3F95-4C7F-A2CA-9CCFAEEEFF24}"/>
            </c:ext>
          </c:extLst>
        </c:ser>
        <c:ser>
          <c:idx val="3"/>
          <c:order val="3"/>
          <c:tx>
            <c:strRef>
              <c:f>q17_q18_q25_q26_Fig!$R$54</c:f>
              <c:strCache>
                <c:ptCount val="1"/>
                <c:pt idx="0">
                  <c:v>Grandes (250 ou + pessoas)</c:v>
                </c:pt>
              </c:strCache>
            </c:strRef>
          </c:tx>
          <c:spPr>
            <a:ln w="31750" cap="rnd">
              <a:solidFill>
                <a:srgbClr val="B6C3FF"/>
              </a:solidFill>
              <a:round/>
            </a:ln>
            <a:effectLst/>
          </c:spPr>
          <c:marker>
            <c:symbol val="circle"/>
            <c:size val="6"/>
            <c:spPr>
              <a:solidFill>
                <a:srgbClr val="B6C3FF"/>
              </a:solidFill>
              <a:ln w="9525">
                <a:noFill/>
              </a:ln>
              <a:effectLst/>
            </c:spPr>
          </c:marker>
          <c:cat>
            <c:numRef>
              <c:f>q17_q18_q25_q26_Fig!$S$50:$AC$50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q17_q18_q25_q26_Fig!$S$54:$AC$54</c:f>
              <c:numCache>
                <c:formatCode>0.00</c:formatCode>
                <c:ptCount val="11"/>
                <c:pt idx="0">
                  <c:v>1091.4436407693956</c:v>
                </c:pt>
                <c:pt idx="1">
                  <c:v>1086.3858777541591</c:v>
                </c:pt>
                <c:pt idx="2">
                  <c:v>1085.2273360912188</c:v>
                </c:pt>
                <c:pt idx="3">
                  <c:v>1088.7322217053959</c:v>
                </c:pt>
                <c:pt idx="4">
                  <c:v>1103.3644691262884</c:v>
                </c:pt>
                <c:pt idx="5">
                  <c:v>1117.6163821959772</c:v>
                </c:pt>
                <c:pt idx="6">
                  <c:v>1146.9318293946403</c:v>
                </c:pt>
                <c:pt idx="7">
                  <c:v>1193.8097437693536</c:v>
                </c:pt>
                <c:pt idx="8">
                  <c:v>1207.2450165587788</c:v>
                </c:pt>
                <c:pt idx="9">
                  <c:v>1276.5702814511374</c:v>
                </c:pt>
                <c:pt idx="10">
                  <c:v>1366.1708828126364</c:v>
                </c:pt>
              </c:numCache>
            </c:numRef>
          </c:val>
          <c:smooth val="0"/>
          <c:extLst>
            <c:ext xmlns:c16="http://schemas.microsoft.com/office/drawing/2014/chart" uri="{C3380CC4-5D6E-409C-BE32-E72D297353CC}">
              <c16:uniqueId val="{00000003-3F95-4C7F-A2CA-9CCFAEEEFF24}"/>
            </c:ext>
          </c:extLst>
        </c:ser>
        <c:dLbls>
          <c:showLegendKey val="0"/>
          <c:showVal val="0"/>
          <c:showCatName val="0"/>
          <c:showSerName val="0"/>
          <c:showPercent val="0"/>
          <c:showBubbleSize val="0"/>
        </c:dLbls>
        <c:marker val="1"/>
        <c:smooth val="0"/>
        <c:axId val="903145471"/>
        <c:axId val="857673247"/>
      </c:lineChart>
      <c:catAx>
        <c:axId val="903145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PT"/>
          </a:p>
        </c:txPr>
        <c:crossAx val="857673247"/>
        <c:crosses val="autoZero"/>
        <c:auto val="1"/>
        <c:lblAlgn val="ctr"/>
        <c:lblOffset val="100"/>
        <c:noMultiLvlLbl val="0"/>
      </c:catAx>
      <c:valAx>
        <c:axId val="857673247"/>
        <c:scaling>
          <c:orientation val="minMax"/>
          <c:max val="1800"/>
          <c:min val="0"/>
        </c:scaling>
        <c:delete val="0"/>
        <c:axPos val="l"/>
        <c:majorGridlines>
          <c:spPr>
            <a:ln w="9525" cap="flat" cmpd="sng" algn="ctr">
              <a:noFill/>
              <a:round/>
            </a:ln>
            <a:effectLst/>
          </c:spPr>
        </c:majorGridlines>
        <c:numFmt formatCode="#,##0\ &quot;€&quot;"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PT"/>
          </a:p>
        </c:txPr>
        <c:crossAx val="903145471"/>
        <c:crosses val="autoZero"/>
        <c:crossBetween val="between"/>
        <c:majorUnit val="200"/>
      </c:valAx>
      <c:spPr>
        <a:noFill/>
        <a:ln>
          <a:noFill/>
        </a:ln>
        <a:effectLst/>
      </c:spPr>
    </c:plotArea>
    <c:legend>
      <c:legendPos val="b"/>
      <c:layout>
        <c:manualLayout>
          <c:xMode val="edge"/>
          <c:yMode val="edge"/>
          <c:x val="4.8193870222194721E-2"/>
          <c:y val="0.86939811246391219"/>
          <c:w val="0.88139020122484701"/>
          <c:h val="0.12002934858142644"/>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q17_q18_q25_q26_Fig!$AS$4</c:f>
              <c:strCache>
                <c:ptCount val="1"/>
                <c:pt idx="0">
                  <c:v>Remuneração Base</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3.0450466947445524E-2"/>
                  <c:y val="1.62528955922576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56-4B41-90AB-F1B52AB911CC}"/>
                </c:ext>
              </c:extLst>
            </c:dLbl>
            <c:dLbl>
              <c:idx val="10"/>
              <c:layout>
                <c:manualLayout>
                  <c:x val="6.5324697316061298E-3"/>
                  <c:y val="9.77959714220145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56-4B41-90AB-F1B52AB911CC}"/>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q17_q18_q25_q26_Fig!$AT$3:$BD$3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q17_q18_q25_q26_Fig!$AT$4:$BD$4</c:f>
              <c:numCache>
                <c:formatCode>.\ \ ##;0000000000000000000000000000000000000000000000000000000000000000000000000000000000000000000000000000000000000000000000000000000000000000000000000000000000000000000000000000</c:formatCode>
                <c:ptCount val="11"/>
                <c:pt idx="0">
                  <c:v>915.01247006081212</c:v>
                </c:pt>
                <c:pt idx="1">
                  <c:v>912.18298170177309</c:v>
                </c:pt>
                <c:pt idx="2">
                  <c:v>909.49144915721399</c:v>
                </c:pt>
                <c:pt idx="3">
                  <c:v>913.92544791377406</c:v>
                </c:pt>
                <c:pt idx="4">
                  <c:v>924.9392153090821</c:v>
                </c:pt>
                <c:pt idx="5">
                  <c:v>943.00107511786211</c:v>
                </c:pt>
                <c:pt idx="6">
                  <c:v>970.41689676342503</c:v>
                </c:pt>
                <c:pt idx="7">
                  <c:v>1005.08927925103</c:v>
                </c:pt>
                <c:pt idx="8">
                  <c:v>1041.9948771786001</c:v>
                </c:pt>
                <c:pt idx="9">
                  <c:v>1082.7724697513502</c:v>
                </c:pt>
                <c:pt idx="10">
                  <c:v>1143.44558285689</c:v>
                </c:pt>
              </c:numCache>
            </c:numRef>
          </c:val>
          <c:extLst>
            <c:ext xmlns:c16="http://schemas.microsoft.com/office/drawing/2014/chart" uri="{C3380CC4-5D6E-409C-BE32-E72D297353CC}">
              <c16:uniqueId val="{00000002-B756-4B41-90AB-F1B52AB911CC}"/>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q17_q18_q25_q26_Fig!$AS$5</c:f>
              <c:strCache>
                <c:ptCount val="1"/>
                <c:pt idx="0">
                  <c:v>Remuneração Ganho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3-B756-4B41-90AB-F1B52AB911CC}"/>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4-B756-4B41-90AB-F1B52AB911CC}"/>
              </c:ext>
            </c:extLst>
          </c:dPt>
          <c:dLbls>
            <c:dLbl>
              <c:idx val="0"/>
              <c:layout>
                <c:manualLayout>
                  <c:x val="2.1333290999915332E-2"/>
                  <c:y val="-8.80163742798135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56-4B41-90AB-F1B52AB911CC}"/>
                </c:ext>
              </c:extLst>
            </c:dLbl>
            <c:dLbl>
              <c:idx val="10"/>
              <c:layout>
                <c:manualLayout>
                  <c:x val="5.0125355442092786E-3"/>
                  <c:y val="-3.6456068735581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756-4B41-90AB-F1B52AB911CC}"/>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rgbClr val="FFC000"/>
                      </a:solidFill>
                    </a:ln>
                    <a:effectLst/>
                  </c:spPr>
                </c15:leaderLines>
              </c:ext>
            </c:extLst>
          </c:dLbls>
          <c:cat>
            <c:numRef>
              <c:f>q17_q18_q25_q26_Fig!$AT$3:$BD$3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q17_q18_q25_q26_Fig!$AT$5:$BD$5</c:f>
              <c:numCache>
                <c:formatCode>.\ \ ##;0000000000000000000000000000000000000000000000000000000000000000000000000000000000000000000000000000000000000000000000000000000000000000000000000000000000000000000000000000000000000000000000000000000000000000000000000000000000000000000000000000</c:formatCode>
                <c:ptCount val="11"/>
                <c:pt idx="0">
                  <c:v>1095.58619281857</c:v>
                </c:pt>
                <c:pt idx="1">
                  <c:v>1093.8178723953499</c:v>
                </c:pt>
                <c:pt idx="2">
                  <c:v>1093.20854089105</c:v>
                </c:pt>
                <c:pt idx="3">
                  <c:v>1096.65734127991</c:v>
                </c:pt>
                <c:pt idx="4">
                  <c:v>1107.85636561875</c:v>
                </c:pt>
                <c:pt idx="5">
                  <c:v>1133.34288689707</c:v>
                </c:pt>
                <c:pt idx="6">
                  <c:v>1170.2525051678801</c:v>
                </c:pt>
                <c:pt idx="7">
                  <c:v>1209.93900485576</c:v>
                </c:pt>
                <c:pt idx="8">
                  <c:v>1250.75197084447</c:v>
                </c:pt>
                <c:pt idx="9">
                  <c:v>1294.10894067238</c:v>
                </c:pt>
                <c:pt idx="10">
                  <c:v>1367.9952489883699</c:v>
                </c:pt>
              </c:numCache>
            </c:numRef>
          </c:val>
          <c:smooth val="0"/>
          <c:extLst>
            <c:ext xmlns:c16="http://schemas.microsoft.com/office/drawing/2014/chart" uri="{C3380CC4-5D6E-409C-BE32-E72D297353CC}">
              <c16:uniqueId val="{00000006-B756-4B41-90AB-F1B52AB911CC}"/>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1400"/>
          <c:min val="0"/>
        </c:scaling>
        <c:delete val="0"/>
        <c:axPos val="l"/>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majorUnit val="200"/>
      </c:valAx>
      <c:spPr>
        <a:noFill/>
        <a:ln>
          <a:noFill/>
        </a:ln>
        <a:effectLst/>
      </c:spPr>
    </c:plotArea>
    <c:legend>
      <c:legendPos val="b"/>
      <c:layout>
        <c:manualLayout>
          <c:xMode val="edge"/>
          <c:yMode val="edge"/>
          <c:x val="0"/>
          <c:y val="0.90565922955255651"/>
          <c:w val="0.64269409872153083"/>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739160909181934E-2"/>
          <c:y val="0.18472812943831005"/>
          <c:w val="0.9205216781816361"/>
          <c:h val="0.59150628175582409"/>
        </c:manualLayout>
      </c:layout>
      <c:lineChart>
        <c:grouping val="standard"/>
        <c:varyColors val="0"/>
        <c:ser>
          <c:idx val="0"/>
          <c:order val="0"/>
          <c:tx>
            <c:strRef>
              <c:f>q17_q18_q25_q26_Fig!$R$59</c:f>
              <c:strCache>
                <c:ptCount val="1"/>
                <c:pt idx="0">
                  <c:v>Micro (1-9 pessoas)</c:v>
                </c:pt>
              </c:strCache>
            </c:strRef>
          </c:tx>
          <c:spPr>
            <a:ln w="31750" cap="rnd">
              <a:solidFill>
                <a:srgbClr val="C27535"/>
              </a:solidFill>
              <a:round/>
            </a:ln>
            <a:effectLst/>
          </c:spPr>
          <c:marker>
            <c:symbol val="circle"/>
            <c:size val="6"/>
            <c:spPr>
              <a:solidFill>
                <a:srgbClr val="C27535"/>
              </a:solidFill>
              <a:ln w="9525">
                <a:noFill/>
              </a:ln>
              <a:effectLst/>
            </c:spPr>
          </c:marker>
          <c:cat>
            <c:numRef>
              <c:f>q17_q18_q25_q26_Fig!$S$58:$AC$58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q17_q18_q25_q26_Fig!$S$59:$AC$59</c:f>
              <c:numCache>
                <c:formatCode>0.00</c:formatCode>
                <c:ptCount val="11"/>
                <c:pt idx="0">
                  <c:v>874.4088640110333</c:v>
                </c:pt>
                <c:pt idx="1">
                  <c:v>871.09488801635575</c:v>
                </c:pt>
                <c:pt idx="2">
                  <c:v>874.37519607753302</c:v>
                </c:pt>
                <c:pt idx="3">
                  <c:v>869.15989072939612</c:v>
                </c:pt>
                <c:pt idx="4">
                  <c:v>881.40256963178547</c:v>
                </c:pt>
                <c:pt idx="5">
                  <c:v>903.88500110214306</c:v>
                </c:pt>
                <c:pt idx="6">
                  <c:v>932.68739452465616</c:v>
                </c:pt>
                <c:pt idx="7">
                  <c:v>964.75873486930425</c:v>
                </c:pt>
                <c:pt idx="8">
                  <c:v>1001.1682751358071</c:v>
                </c:pt>
                <c:pt idx="9">
                  <c:v>1037.9321989118446</c:v>
                </c:pt>
                <c:pt idx="10">
                  <c:v>1089.0304473444785</c:v>
                </c:pt>
              </c:numCache>
            </c:numRef>
          </c:val>
          <c:smooth val="0"/>
          <c:extLst>
            <c:ext xmlns:c16="http://schemas.microsoft.com/office/drawing/2014/chart" uri="{C3380CC4-5D6E-409C-BE32-E72D297353CC}">
              <c16:uniqueId val="{00000000-DD4F-4A53-9159-594470C33E53}"/>
            </c:ext>
          </c:extLst>
        </c:ser>
        <c:ser>
          <c:idx val="1"/>
          <c:order val="1"/>
          <c:tx>
            <c:strRef>
              <c:f>q17_q18_q25_q26_Fig!$R$60</c:f>
              <c:strCache>
                <c:ptCount val="1"/>
                <c:pt idx="0">
                  <c:v>Pequenos (10 - 49 pessoas)</c:v>
                </c:pt>
              </c:strCache>
            </c:strRef>
          </c:tx>
          <c:spPr>
            <a:ln w="31750" cap="rnd">
              <a:solidFill>
                <a:srgbClr val="E78C41"/>
              </a:solidFill>
              <a:round/>
            </a:ln>
            <a:effectLst/>
          </c:spPr>
          <c:marker>
            <c:symbol val="circle"/>
            <c:size val="6"/>
            <c:spPr>
              <a:solidFill>
                <a:srgbClr val="E78C41"/>
              </a:solidFill>
              <a:ln w="9525">
                <a:noFill/>
              </a:ln>
              <a:effectLst/>
            </c:spPr>
          </c:marker>
          <c:cat>
            <c:numRef>
              <c:f>q17_q18_q25_q26_Fig!$S$58:$AC$58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q17_q18_q25_q26_Fig!$S$60:$AC$60</c:f>
              <c:numCache>
                <c:formatCode>0.00</c:formatCode>
                <c:ptCount val="11"/>
                <c:pt idx="0">
                  <c:v>1044.3186456182934</c:v>
                </c:pt>
                <c:pt idx="1">
                  <c:v>1040.4937004689864</c:v>
                </c:pt>
                <c:pt idx="2">
                  <c:v>1038.4259368086427</c:v>
                </c:pt>
                <c:pt idx="3">
                  <c:v>1036.736388496523</c:v>
                </c:pt>
                <c:pt idx="4">
                  <c:v>1041.9235729286365</c:v>
                </c:pt>
                <c:pt idx="5">
                  <c:v>1063.0813478083085</c:v>
                </c:pt>
                <c:pt idx="6">
                  <c:v>1093.0957187514737</c:v>
                </c:pt>
                <c:pt idx="7">
                  <c:v>1128.5558181957092</c:v>
                </c:pt>
                <c:pt idx="8">
                  <c:v>1173.352663927217</c:v>
                </c:pt>
                <c:pt idx="9">
                  <c:v>1209.6495593610559</c:v>
                </c:pt>
                <c:pt idx="10">
                  <c:v>1263.2454325719268</c:v>
                </c:pt>
              </c:numCache>
            </c:numRef>
          </c:val>
          <c:smooth val="0"/>
          <c:extLst>
            <c:ext xmlns:c16="http://schemas.microsoft.com/office/drawing/2014/chart" uri="{C3380CC4-5D6E-409C-BE32-E72D297353CC}">
              <c16:uniqueId val="{00000001-DD4F-4A53-9159-594470C33E53}"/>
            </c:ext>
          </c:extLst>
        </c:ser>
        <c:ser>
          <c:idx val="2"/>
          <c:order val="2"/>
          <c:tx>
            <c:strRef>
              <c:f>q17_q18_q25_q26_Fig!$R$61</c:f>
              <c:strCache>
                <c:ptCount val="1"/>
                <c:pt idx="0">
                  <c:v>Médios (50 - 249 pessoas)</c:v>
                </c:pt>
              </c:strCache>
            </c:strRef>
          </c:tx>
          <c:spPr>
            <a:ln w="31750" cap="rnd">
              <a:solidFill>
                <a:srgbClr val="F8AA79"/>
              </a:solidFill>
              <a:round/>
            </a:ln>
            <a:effectLst/>
          </c:spPr>
          <c:marker>
            <c:symbol val="circle"/>
            <c:size val="6"/>
            <c:spPr>
              <a:solidFill>
                <a:srgbClr val="F8AA79"/>
              </a:solidFill>
              <a:ln w="9525">
                <a:noFill/>
              </a:ln>
              <a:effectLst/>
            </c:spPr>
          </c:marker>
          <c:cat>
            <c:numRef>
              <c:f>q17_q18_q25_q26_Fig!$S$58:$AC$58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q17_q18_q25_q26_Fig!$S$61:$AC$61</c:f>
              <c:numCache>
                <c:formatCode>0.00</c:formatCode>
                <c:ptCount val="11"/>
                <c:pt idx="0">
                  <c:v>1261.0248521291974</c:v>
                </c:pt>
                <c:pt idx="1">
                  <c:v>1260.63205969605</c:v>
                </c:pt>
                <c:pt idx="2">
                  <c:v>1253.7793883565216</c:v>
                </c:pt>
                <c:pt idx="3">
                  <c:v>1264.2648494931959</c:v>
                </c:pt>
                <c:pt idx="4">
                  <c:v>1269.8240128498057</c:v>
                </c:pt>
                <c:pt idx="5">
                  <c:v>1290.1473252698147</c:v>
                </c:pt>
                <c:pt idx="6">
                  <c:v>1326.6959033790447</c:v>
                </c:pt>
                <c:pt idx="7">
                  <c:v>1354.8206728114872</c:v>
                </c:pt>
                <c:pt idx="8">
                  <c:v>1408.3636674412585</c:v>
                </c:pt>
                <c:pt idx="9">
                  <c:v>1440.2830030357516</c:v>
                </c:pt>
                <c:pt idx="10">
                  <c:v>1512.9005996272995</c:v>
                </c:pt>
              </c:numCache>
            </c:numRef>
          </c:val>
          <c:smooth val="0"/>
          <c:extLst>
            <c:ext xmlns:c16="http://schemas.microsoft.com/office/drawing/2014/chart" uri="{C3380CC4-5D6E-409C-BE32-E72D297353CC}">
              <c16:uniqueId val="{00000002-DD4F-4A53-9159-594470C33E53}"/>
            </c:ext>
          </c:extLst>
        </c:ser>
        <c:ser>
          <c:idx val="3"/>
          <c:order val="3"/>
          <c:tx>
            <c:strRef>
              <c:f>q17_q18_q25_q26_Fig!$R$62</c:f>
              <c:strCache>
                <c:ptCount val="1"/>
                <c:pt idx="0">
                  <c:v>Grandes (250 ou + pessoas)</c:v>
                </c:pt>
              </c:strCache>
            </c:strRef>
          </c:tx>
          <c:spPr>
            <a:ln w="31750" cap="rnd">
              <a:solidFill>
                <a:srgbClr val="FACBB4">
                  <a:alpha val="97647"/>
                </a:srgbClr>
              </a:solidFill>
              <a:round/>
            </a:ln>
            <a:effectLst/>
          </c:spPr>
          <c:marker>
            <c:symbol val="circle"/>
            <c:size val="6"/>
            <c:spPr>
              <a:solidFill>
                <a:srgbClr val="FACBB4"/>
              </a:solidFill>
              <a:ln w="9525">
                <a:noFill/>
              </a:ln>
              <a:effectLst/>
            </c:spPr>
          </c:marker>
          <c:cat>
            <c:numRef>
              <c:f>q17_q18_q25_q26_Fig!$S$58:$AC$58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q17_q18_q25_q26_Fig!$S$62:$AC$62</c:f>
              <c:numCache>
                <c:formatCode>0.00</c:formatCode>
                <c:ptCount val="11"/>
                <c:pt idx="0">
                  <c:v>1363.1977115259285</c:v>
                </c:pt>
                <c:pt idx="1">
                  <c:v>1348.800240174025</c:v>
                </c:pt>
                <c:pt idx="2">
                  <c:v>1348.2678684968982</c:v>
                </c:pt>
                <c:pt idx="3">
                  <c:v>1352.765925358432</c:v>
                </c:pt>
                <c:pt idx="4">
                  <c:v>1370.865716156547</c:v>
                </c:pt>
                <c:pt idx="5">
                  <c:v>1393.1674963357668</c:v>
                </c:pt>
                <c:pt idx="6">
                  <c:v>1439.2990998706205</c:v>
                </c:pt>
                <c:pt idx="7">
                  <c:v>1487.6118355479396</c:v>
                </c:pt>
                <c:pt idx="8">
                  <c:v>1503.5195097934022</c:v>
                </c:pt>
                <c:pt idx="9">
                  <c:v>1578.7347895211078</c:v>
                </c:pt>
                <c:pt idx="10">
                  <c:v>1692.5269783798362</c:v>
                </c:pt>
              </c:numCache>
            </c:numRef>
          </c:val>
          <c:smooth val="0"/>
          <c:extLst>
            <c:ext xmlns:c16="http://schemas.microsoft.com/office/drawing/2014/chart" uri="{C3380CC4-5D6E-409C-BE32-E72D297353CC}">
              <c16:uniqueId val="{00000003-DD4F-4A53-9159-594470C33E53}"/>
            </c:ext>
          </c:extLst>
        </c:ser>
        <c:dLbls>
          <c:showLegendKey val="0"/>
          <c:showVal val="0"/>
          <c:showCatName val="0"/>
          <c:showSerName val="0"/>
          <c:showPercent val="0"/>
          <c:showBubbleSize val="0"/>
        </c:dLbls>
        <c:marker val="1"/>
        <c:smooth val="0"/>
        <c:axId val="903145471"/>
        <c:axId val="857673247"/>
      </c:lineChart>
      <c:catAx>
        <c:axId val="903145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PT"/>
          </a:p>
        </c:txPr>
        <c:crossAx val="857673247"/>
        <c:crosses val="autoZero"/>
        <c:auto val="1"/>
        <c:lblAlgn val="ctr"/>
        <c:lblOffset val="100"/>
        <c:noMultiLvlLbl val="0"/>
      </c:catAx>
      <c:valAx>
        <c:axId val="857673247"/>
        <c:scaling>
          <c:orientation val="minMax"/>
          <c:max val="1800"/>
          <c:min val="0"/>
        </c:scaling>
        <c:delete val="1"/>
        <c:axPos val="l"/>
        <c:majorGridlines>
          <c:spPr>
            <a:ln w="9525" cap="flat" cmpd="sng" algn="ctr">
              <a:noFill/>
              <a:round/>
            </a:ln>
            <a:effectLst/>
          </c:spPr>
        </c:majorGridlines>
        <c:numFmt formatCode="#,##0\ &quot;€&quot;" sourceLinked="0"/>
        <c:majorTickMark val="out"/>
        <c:minorTickMark val="none"/>
        <c:tickLblPos val="nextTo"/>
        <c:crossAx val="903145471"/>
        <c:crosses val="autoZero"/>
        <c:crossBetween val="between"/>
        <c:majorUnit val="200"/>
      </c:valAx>
      <c:spPr>
        <a:noFill/>
        <a:ln>
          <a:noFill/>
        </a:ln>
        <a:effectLst/>
      </c:spPr>
    </c:plotArea>
    <c:legend>
      <c:legendPos val="b"/>
      <c:layout>
        <c:manualLayout>
          <c:xMode val="edge"/>
          <c:yMode val="edge"/>
          <c:x val="1.3448542886017892E-2"/>
          <c:y val="0.86939811246391219"/>
          <c:w val="0.94643320407438769"/>
          <c:h val="0.11362950338713067"/>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[Dashboard_seriesqp_2012_2022.xlsx]q18_q26_Fig!Tabela Dinâmica3</c:name>
    <c:fmtId val="0"/>
  </c:pivotSource>
  <c:chart>
    <c:autoTitleDeleted val="1"/>
    <c:pivotFmts>
      <c:pivotFmt>
        <c:idx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28165952940093"/>
          <c:y val="0.1568292505103529"/>
          <c:w val="0.87613077312704335"/>
          <c:h val="0.7443664333624963"/>
        </c:manualLayout>
      </c:layout>
      <c:barChart>
        <c:barDir val="col"/>
        <c:grouping val="clustered"/>
        <c:varyColors val="0"/>
        <c:ser>
          <c:idx val="0"/>
          <c:order val="0"/>
          <c:tx>
            <c:strRef>
              <c:f>q18_q26_Fig!$B$80:$B$82</c:f>
              <c:strCache>
                <c:ptCount val="1"/>
                <c:pt idx="0">
                  <c:v>Base - Total</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q18_q26_Fig!$A$83:$A$93</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f>q18_q26_Fig!$B$83:$B$93</c:f>
              <c:numCache>
                <c:formatCode>General</c:formatCode>
                <c:ptCount val="11"/>
                <c:pt idx="0">
                  <c:v>915.01247006081212</c:v>
                </c:pt>
                <c:pt idx="1">
                  <c:v>912.18298170177309</c:v>
                </c:pt>
                <c:pt idx="2">
                  <c:v>909.49144915721399</c:v>
                </c:pt>
                <c:pt idx="3">
                  <c:v>913.92544791377406</c:v>
                </c:pt>
                <c:pt idx="4">
                  <c:v>924.9392153090821</c:v>
                </c:pt>
                <c:pt idx="5">
                  <c:v>943.00107511786211</c:v>
                </c:pt>
                <c:pt idx="6">
                  <c:v>970.41689676342503</c:v>
                </c:pt>
                <c:pt idx="7">
                  <c:v>1005.08927925103</c:v>
                </c:pt>
                <c:pt idx="8">
                  <c:v>1041.9948771786001</c:v>
                </c:pt>
                <c:pt idx="9">
                  <c:v>1082.7724697513502</c:v>
                </c:pt>
                <c:pt idx="10">
                  <c:v>1143.44558285689</c:v>
                </c:pt>
              </c:numCache>
            </c:numRef>
          </c:val>
          <c:extLst>
            <c:ext xmlns:c16="http://schemas.microsoft.com/office/drawing/2014/chart" uri="{C3380CC4-5D6E-409C-BE32-E72D297353CC}">
              <c16:uniqueId val="{00000009-8475-40D2-A1FF-8237C0B48A8C}"/>
            </c:ext>
          </c:extLst>
        </c:ser>
        <c:ser>
          <c:idx val="1"/>
          <c:order val="1"/>
          <c:tx>
            <c:strRef>
              <c:f>q18_q26_Fig!$C$80:$C$82</c:f>
              <c:strCache>
                <c:ptCount val="1"/>
                <c:pt idx="0">
                  <c:v>Ganho - Total</c:v>
                </c:pt>
              </c:strCache>
            </c:strRef>
          </c:tx>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q18_q26_Fig!$A$83:$A$93</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f>q18_q26_Fig!$C$83:$C$93</c:f>
              <c:numCache>
                <c:formatCode>General</c:formatCode>
                <c:ptCount val="11"/>
                <c:pt idx="0">
                  <c:v>1095.58619281857</c:v>
                </c:pt>
                <c:pt idx="1">
                  <c:v>1093.8178723953499</c:v>
                </c:pt>
                <c:pt idx="2">
                  <c:v>1093.20854089105</c:v>
                </c:pt>
                <c:pt idx="3">
                  <c:v>1096.65734127991</c:v>
                </c:pt>
                <c:pt idx="4">
                  <c:v>1107.85636561875</c:v>
                </c:pt>
                <c:pt idx="5">
                  <c:v>1133.34288689707</c:v>
                </c:pt>
                <c:pt idx="6">
                  <c:v>1170.2525051678801</c:v>
                </c:pt>
                <c:pt idx="7">
                  <c:v>1209.93900485576</c:v>
                </c:pt>
                <c:pt idx="8">
                  <c:v>1250.75197084447</c:v>
                </c:pt>
                <c:pt idx="9">
                  <c:v>1294.10894067238</c:v>
                </c:pt>
                <c:pt idx="10">
                  <c:v>1367.9952489883699</c:v>
                </c:pt>
              </c:numCache>
            </c:numRef>
          </c:val>
          <c:extLst>
            <c:ext xmlns:c16="http://schemas.microsoft.com/office/drawing/2014/chart" uri="{C3380CC4-5D6E-409C-BE32-E72D297353CC}">
              <c16:uniqueId val="{00000000-D0E6-49C6-B061-F34C2B3A91E3}"/>
            </c:ext>
          </c:extLst>
        </c:ser>
        <c:dLbls>
          <c:dLblPos val="inEnd"/>
          <c:showLegendKey val="0"/>
          <c:showVal val="1"/>
          <c:showCatName val="0"/>
          <c:showSerName val="0"/>
          <c:showPercent val="0"/>
          <c:showBubbleSize val="0"/>
        </c:dLbls>
        <c:gapWidth val="41"/>
        <c:axId val="935681696"/>
        <c:axId val="883457568"/>
      </c:barChart>
      <c:catAx>
        <c:axId val="9356816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65000"/>
                    <a:lumOff val="35000"/>
                  </a:schemeClr>
                </a:solidFill>
                <a:effectLst/>
                <a:latin typeface="+mn-lt"/>
                <a:ea typeface="+mn-ea"/>
                <a:cs typeface="+mn-cs"/>
              </a:defRPr>
            </a:pPr>
            <a:endParaRPr lang="pt-PT"/>
          </a:p>
        </c:txPr>
        <c:crossAx val="883457568"/>
        <c:crosses val="autoZero"/>
        <c:auto val="1"/>
        <c:lblAlgn val="ctr"/>
        <c:lblOffset val="100"/>
        <c:noMultiLvlLbl val="0"/>
      </c:catAx>
      <c:valAx>
        <c:axId val="883457568"/>
        <c:scaling>
          <c:orientation val="minMax"/>
          <c:max val="1600"/>
          <c:min val="0"/>
        </c:scaling>
        <c:delete val="0"/>
        <c:axPos val="l"/>
        <c:numFmt formatCode="#,##0\ &quot;€&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pt-PT"/>
          </a:p>
        </c:txPr>
        <c:crossAx val="935681696"/>
        <c:crosses val="autoZero"/>
        <c:crossBetween val="between"/>
      </c:valAx>
      <c:spPr>
        <a:noFill/>
        <a:ln>
          <a:noFill/>
        </a:ln>
        <a:effectLst/>
      </c:spPr>
    </c:plotArea>
    <c:legend>
      <c:legendPos val="t"/>
      <c:layout>
        <c:manualLayout>
          <c:xMode val="edge"/>
          <c:yMode val="edge"/>
          <c:x val="0.15743150527236729"/>
          <c:y val="6.9444444444444448E-2"/>
          <c:w val="0.2562374383981752"/>
          <c:h val="7.10531288852051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[Dashboard_seriesqp_2012_2022.xlsx]q17_q25_Fig!Tabela Dinâmica1</c:name>
    <c:fmtId val="10"/>
  </c:pivotSource>
  <c:chart>
    <c:autoTitleDeleted val="1"/>
    <c:pivotFmts>
      <c:pivotFmt>
        <c:idx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clip" horzOverflow="clip"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clip" horzOverflow="clip"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4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horzOverflow="clip" vert="horz" wrap="square" lIns="38100" tIns="36000" rIns="38100" bIns="3600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4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8"/>
      </c:pivotFmt>
      <c:pivotFmt>
        <c:idx val="4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clip" horzOverflow="clip"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clip" horzOverflow="clip"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7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8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8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8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8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
        <c:idx val="9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0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2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65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4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5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6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7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7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7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7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7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pivotFmt>
    </c:pivotFmts>
    <c:plotArea>
      <c:layout>
        <c:manualLayout>
          <c:layoutTarget val="inner"/>
          <c:xMode val="edge"/>
          <c:yMode val="edge"/>
          <c:x val="4.160946204071217E-2"/>
          <c:y val="0.10694915712855482"/>
          <c:w val="0.9285441549297756"/>
          <c:h val="0.74702347773538613"/>
        </c:manualLayout>
      </c:layout>
      <c:barChart>
        <c:barDir val="col"/>
        <c:grouping val="clustered"/>
        <c:varyColors val="0"/>
        <c:ser>
          <c:idx val="0"/>
          <c:order val="0"/>
          <c:tx>
            <c:strRef>
              <c:f>q17_q25_Fig!$J$5:$J$7</c:f>
              <c:strCache>
                <c:ptCount val="1"/>
                <c:pt idx="0">
                  <c:v>C - Base</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q17_q25_Fig!$I$8:$I$19</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f>q17_q25_Fig!$J$8:$J$19</c:f>
              <c:numCache>
                <c:formatCode>#,##0.0\ "€"</c:formatCode>
                <c:ptCount val="11"/>
                <c:pt idx="0">
                  <c:v>836.46267618588308</c:v>
                </c:pt>
                <c:pt idx="1">
                  <c:v>839.40630322254503</c:v>
                </c:pt>
                <c:pt idx="2">
                  <c:v>844.00682901366599</c:v>
                </c:pt>
                <c:pt idx="3">
                  <c:v>856.12305859116407</c:v>
                </c:pt>
                <c:pt idx="4">
                  <c:v>870.08486223409204</c:v>
                </c:pt>
                <c:pt idx="5">
                  <c:v>895.89243994149103</c:v>
                </c:pt>
                <c:pt idx="6">
                  <c:v>929.15451693602415</c:v>
                </c:pt>
                <c:pt idx="7">
                  <c:v>964.71261065318311</c:v>
                </c:pt>
                <c:pt idx="8">
                  <c:v>1003.2084417479001</c:v>
                </c:pt>
                <c:pt idx="9">
                  <c:v>1031.02559057797</c:v>
                </c:pt>
                <c:pt idx="10">
                  <c:v>1095.17302564704</c:v>
                </c:pt>
              </c:numCache>
            </c:numRef>
          </c:val>
          <c:extLst>
            <c:ext xmlns:c16="http://schemas.microsoft.com/office/drawing/2014/chart" uri="{C3380CC4-5D6E-409C-BE32-E72D297353CC}">
              <c16:uniqueId val="{00000000-CE87-4924-A3E0-DE915F5E263E}"/>
            </c:ext>
          </c:extLst>
        </c:ser>
        <c:ser>
          <c:idx val="1"/>
          <c:order val="1"/>
          <c:tx>
            <c:strRef>
              <c:f>q17_q25_Fig!$K$5:$K$7</c:f>
              <c:strCache>
                <c:ptCount val="1"/>
                <c:pt idx="0">
                  <c:v>C - Ganho</c:v>
                </c:pt>
              </c:strCache>
            </c:strRef>
          </c:tx>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q17_q25_Fig!$I$8:$I$19</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f>q17_q25_Fig!$K$8:$K$19</c:f>
              <c:numCache>
                <c:formatCode>#,##0.0\ "€"</c:formatCode>
                <c:ptCount val="11"/>
                <c:pt idx="0">
                  <c:v>988.75687182708407</c:v>
                </c:pt>
                <c:pt idx="1">
                  <c:v>996.63412584612513</c:v>
                </c:pt>
                <c:pt idx="2">
                  <c:v>1003.09180358052</c:v>
                </c:pt>
                <c:pt idx="3">
                  <c:v>1015.8172835393801</c:v>
                </c:pt>
                <c:pt idx="4">
                  <c:v>1031.59799499223</c:v>
                </c:pt>
                <c:pt idx="5">
                  <c:v>1068.4328290201402</c:v>
                </c:pt>
                <c:pt idx="6">
                  <c:v>1110.54337234992</c:v>
                </c:pt>
                <c:pt idx="7">
                  <c:v>1154.9381361412102</c:v>
                </c:pt>
                <c:pt idx="8">
                  <c:v>1198.0430402166501</c:v>
                </c:pt>
                <c:pt idx="9">
                  <c:v>1224.7920291855</c:v>
                </c:pt>
                <c:pt idx="10">
                  <c:v>1302.5883482423701</c:v>
                </c:pt>
              </c:numCache>
            </c:numRef>
          </c:val>
          <c:extLst>
            <c:ext xmlns:c16="http://schemas.microsoft.com/office/drawing/2014/chart" uri="{C3380CC4-5D6E-409C-BE32-E72D297353CC}">
              <c16:uniqueId val="{00000029-D9C2-4202-8CD1-020F5C7C441B}"/>
            </c:ext>
          </c:extLst>
        </c:ser>
        <c:dLbls>
          <c:dLblPos val="inBase"/>
          <c:showLegendKey val="0"/>
          <c:showVal val="1"/>
          <c:showCatName val="0"/>
          <c:showSerName val="0"/>
          <c:showPercent val="0"/>
          <c:showBubbleSize val="0"/>
        </c:dLbls>
        <c:gapWidth val="91"/>
        <c:axId val="518723167"/>
        <c:axId val="384185983"/>
      </c:barChart>
      <c:catAx>
        <c:axId val="51872316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65000"/>
                    <a:lumOff val="35000"/>
                  </a:schemeClr>
                </a:solidFill>
                <a:effectLst/>
                <a:latin typeface="+mn-lt"/>
                <a:ea typeface="+mn-ea"/>
                <a:cs typeface="+mn-cs"/>
              </a:defRPr>
            </a:pPr>
            <a:endParaRPr lang="pt-PT"/>
          </a:p>
        </c:txPr>
        <c:crossAx val="384185983"/>
        <c:crosses val="autoZero"/>
        <c:auto val="1"/>
        <c:lblAlgn val="ctr"/>
        <c:lblOffset val="100"/>
        <c:noMultiLvlLbl val="0"/>
      </c:catAx>
      <c:valAx>
        <c:axId val="384185983"/>
        <c:scaling>
          <c:orientation val="minMax"/>
          <c:max val="3500"/>
          <c:min val="0"/>
        </c:scaling>
        <c:delete val="0"/>
        <c:axPos val="l"/>
        <c:numFmt formatCode="#,##0\ &quot;€&quot;"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65000"/>
                    <a:lumOff val="35000"/>
                  </a:schemeClr>
                </a:solidFill>
                <a:latin typeface="+mn-lt"/>
                <a:ea typeface="+mn-ea"/>
                <a:cs typeface="+mn-cs"/>
              </a:defRPr>
            </a:pPr>
            <a:endParaRPr lang="pt-PT"/>
          </a:p>
        </c:txPr>
        <c:crossAx val="518723167"/>
        <c:crosses val="autoZero"/>
        <c:crossBetween val="between"/>
      </c:valAx>
      <c:spPr>
        <a:noFill/>
        <a:ln>
          <a:noFill/>
        </a:ln>
        <a:effectLst/>
      </c:spPr>
    </c:plotArea>
    <c:legend>
      <c:legendPos val="t"/>
      <c:layout>
        <c:manualLayout>
          <c:xMode val="edge"/>
          <c:yMode val="edge"/>
          <c:x val="9.1424355351236872E-2"/>
          <c:y val="2.4076554940779288E-2"/>
          <c:w val="0.16829744085264589"/>
          <c:h val="6.229553773282751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q3_q6_q9_q12_q19_q27_Fig!$S$22</c:f>
              <c:strCache>
                <c:ptCount val="1"/>
                <c:pt idx="0">
                  <c:v>Empresas</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9.4642401217357536E-2"/>
                  <c:y val="-6.61133915314620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37-4024-A907-7A0529BAB478}"/>
                </c:ext>
              </c:extLst>
            </c:dLbl>
            <c:dLbl>
              <c:idx val="10"/>
              <c:layout>
                <c:manualLayout>
                  <c:x val="-8.9589141824198137E-2"/>
                  <c:y val="-6.13910064220719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37-4024-A907-7A0529BAB478}"/>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37-4024-A907-7A0529BAB47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q3_q6_q9_q12_q19_q27_Fig!$T$21:$AD$21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q3_q6_q9_q12_q19_q27_Fig!$T$22:$AD$22</c:f>
              <c:numCache>
                <c:formatCode>#\ ###\ ##0</c:formatCode>
                <c:ptCount val="11"/>
                <c:pt idx="0">
                  <c:v>59928</c:v>
                </c:pt>
                <c:pt idx="1">
                  <c:v>59109</c:v>
                </c:pt>
                <c:pt idx="2">
                  <c:v>59911</c:v>
                </c:pt>
                <c:pt idx="3">
                  <c:v>60537</c:v>
                </c:pt>
                <c:pt idx="4">
                  <c:v>60939</c:v>
                </c:pt>
                <c:pt idx="5">
                  <c:v>61816</c:v>
                </c:pt>
                <c:pt idx="6">
                  <c:v>62991</c:v>
                </c:pt>
                <c:pt idx="7">
                  <c:v>61257</c:v>
                </c:pt>
                <c:pt idx="8">
                  <c:v>62466</c:v>
                </c:pt>
                <c:pt idx="9">
                  <c:v>60609</c:v>
                </c:pt>
                <c:pt idx="10" formatCode="#,##0">
                  <c:v>63924</c:v>
                </c:pt>
              </c:numCache>
            </c:numRef>
          </c:val>
          <c:extLst>
            <c:ext xmlns:c16="http://schemas.microsoft.com/office/drawing/2014/chart" uri="{C3380CC4-5D6E-409C-BE32-E72D297353CC}">
              <c16:uniqueId val="{00000003-2337-4024-A907-7A0529BAB478}"/>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q3_q6_q9_q12_q19_q27_Fig!$S$23</c:f>
              <c:strCache>
                <c:ptCount val="1"/>
                <c:pt idx="0">
                  <c:v>Estabelecimentos</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circle"/>
              <c:size val="6"/>
              <c:spPr>
                <a:solidFill>
                  <a:srgbClr val="FFC000"/>
                </a:solidFill>
                <a:ln w="12700">
                  <a:no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4-2337-4024-A907-7A0529BAB478}"/>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2337-4024-A907-7A0529BAB478}"/>
              </c:ext>
            </c:extLst>
          </c:dPt>
          <c:dLbls>
            <c:dLbl>
              <c:idx val="0"/>
              <c:layout>
                <c:manualLayout>
                  <c:x val="4.9644290572627835E-2"/>
                  <c:y val="-2.1414343185021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37-4024-A907-7A0529BAB478}"/>
                </c:ext>
              </c:extLst>
            </c:dLbl>
            <c:dLbl>
              <c:idx val="10"/>
              <c:layout>
                <c:manualLayout>
                  <c:x val="-8.8428567051686627E-2"/>
                  <c:y val="-6.8324732023237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337-4024-A907-7A0529BAB478}"/>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337-4024-A907-7A0529BAB478}"/>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q3_q6_q9_q12_q19_q27_Fig!$T$21:$AD$21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q3_q6_q9_q12_q19_q27_Fig!$T$23:$AD$23</c:f>
              <c:numCache>
                <c:formatCode>#\ ###\ ##0</c:formatCode>
                <c:ptCount val="11"/>
                <c:pt idx="0">
                  <c:v>72164</c:v>
                </c:pt>
                <c:pt idx="1">
                  <c:v>70961</c:v>
                </c:pt>
                <c:pt idx="2">
                  <c:v>71690</c:v>
                </c:pt>
                <c:pt idx="3">
                  <c:v>72246</c:v>
                </c:pt>
                <c:pt idx="4">
                  <c:v>72756</c:v>
                </c:pt>
                <c:pt idx="5">
                  <c:v>73389</c:v>
                </c:pt>
                <c:pt idx="6">
                  <c:v>74689</c:v>
                </c:pt>
                <c:pt idx="7">
                  <c:v>72677</c:v>
                </c:pt>
                <c:pt idx="8">
                  <c:v>73809</c:v>
                </c:pt>
                <c:pt idx="9">
                  <c:v>71616</c:v>
                </c:pt>
                <c:pt idx="10">
                  <c:v>75266</c:v>
                </c:pt>
              </c:numCache>
            </c:numRef>
          </c:val>
          <c:smooth val="0"/>
          <c:extLst>
            <c:ext xmlns:c16="http://schemas.microsoft.com/office/drawing/2014/chart" uri="{C3380CC4-5D6E-409C-BE32-E72D297353CC}">
              <c16:uniqueId val="{00000007-2337-4024-A907-7A0529BAB478}"/>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92521828481056423"/>
          <c:w val="0.70237154150197634"/>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q3_q6_q9_q12_q19_q27_Fig!$S$62</c:f>
              <c:strCache>
                <c:ptCount val="1"/>
                <c:pt idx="0">
                  <c:v>Pessoas ao serviço</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8.4266266327603992E-2"/>
                  <c:y val="-4.25014659845113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4B-45A9-9F9F-25990AA21E17}"/>
                </c:ext>
              </c:extLst>
            </c:dLbl>
            <c:dLbl>
              <c:idx val="10"/>
              <c:layout>
                <c:manualLayout>
                  <c:x val="-3.2520399930553431E-2"/>
                  <c:y val="-4.72238510939023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4B-45A9-9F9F-25990AA21E17}"/>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4B-45A9-9F9F-25990AA21E1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q3_q6_q9_q12_q19_q27_Fig!$T$61:$AD$61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q3_q6_q9_q12_q19_q27_Fig!$T$62:$AD$62</c:f>
              <c:numCache>
                <c:formatCode>#\ ###\ ##0</c:formatCode>
                <c:ptCount val="11"/>
                <c:pt idx="0">
                  <c:v>737138</c:v>
                </c:pt>
                <c:pt idx="1">
                  <c:v>739291</c:v>
                </c:pt>
                <c:pt idx="2">
                  <c:v>764524</c:v>
                </c:pt>
                <c:pt idx="3">
                  <c:v>780947</c:v>
                </c:pt>
                <c:pt idx="4">
                  <c:v>817508</c:v>
                </c:pt>
                <c:pt idx="5">
                  <c:v>847011</c:v>
                </c:pt>
                <c:pt idx="6">
                  <c:v>886123</c:v>
                </c:pt>
                <c:pt idx="7">
                  <c:v>905022</c:v>
                </c:pt>
                <c:pt idx="8">
                  <c:v>895425</c:v>
                </c:pt>
                <c:pt idx="9">
                  <c:v>900307</c:v>
                </c:pt>
                <c:pt idx="10">
                  <c:v>981424</c:v>
                </c:pt>
              </c:numCache>
            </c:numRef>
          </c:val>
          <c:extLst>
            <c:ext xmlns:c16="http://schemas.microsoft.com/office/drawing/2014/chart" uri="{C3380CC4-5D6E-409C-BE32-E72D297353CC}">
              <c16:uniqueId val="{00000003-884B-45A9-9F9F-25990AA21E17}"/>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q3_q6_q9_q12_q19_q27_Fig!$S$63</c:f>
              <c:strCache>
                <c:ptCount val="1"/>
                <c:pt idx="0">
                  <c:v>TCO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circle"/>
              <c:size val="6"/>
              <c:spPr>
                <a:solidFill>
                  <a:srgbClr val="FFC000"/>
                </a:solidFill>
                <a:ln w="12700">
                  <a:no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4-884B-45A9-9F9F-25990AA21E17}"/>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884B-45A9-9F9F-25990AA21E17}"/>
              </c:ext>
            </c:extLst>
          </c:dPt>
          <c:dLbls>
            <c:dLbl>
              <c:idx val="0"/>
              <c:layout>
                <c:manualLayout>
                  <c:x val="2.370395334824392E-2"/>
                  <c:y val="-3.558149851319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4B-45A9-9F9F-25990AA21E17}"/>
                </c:ext>
              </c:extLst>
            </c:dLbl>
            <c:dLbl>
              <c:idx val="10"/>
              <c:layout>
                <c:manualLayout>
                  <c:x val="-0.13512117405557769"/>
                  <c:y val="-0.12971573844530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84B-45A9-9F9F-25990AA21E17}"/>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84B-45A9-9F9F-25990AA21E17}"/>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q3_q6_q9_q12_q19_q27_Fig!$T$61:$AD$61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q3_q6_q9_q12_q19_q27_Fig!$T$63:$AD$63</c:f>
              <c:numCache>
                <c:formatCode>#\ ###\ ##0</c:formatCode>
                <c:ptCount val="11"/>
                <c:pt idx="0">
                  <c:v>696796</c:v>
                </c:pt>
                <c:pt idx="1">
                  <c:v>699433</c:v>
                </c:pt>
                <c:pt idx="2">
                  <c:v>722854</c:v>
                </c:pt>
                <c:pt idx="3">
                  <c:v>739126</c:v>
                </c:pt>
                <c:pt idx="4">
                  <c:v>776535</c:v>
                </c:pt>
                <c:pt idx="5">
                  <c:v>805619</c:v>
                </c:pt>
                <c:pt idx="6">
                  <c:v>843599</c:v>
                </c:pt>
                <c:pt idx="7">
                  <c:v>863493</c:v>
                </c:pt>
                <c:pt idx="8">
                  <c:v>853268</c:v>
                </c:pt>
                <c:pt idx="9">
                  <c:v>859051</c:v>
                </c:pt>
                <c:pt idx="10">
                  <c:v>937531</c:v>
                </c:pt>
              </c:numCache>
            </c:numRef>
          </c:val>
          <c:smooth val="0"/>
          <c:extLst>
            <c:ext xmlns:c16="http://schemas.microsoft.com/office/drawing/2014/chart" uri="{C3380CC4-5D6E-409C-BE32-E72D297353CC}">
              <c16:uniqueId val="{00000007-884B-45A9-9F9F-25990AA21E17}"/>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92521828481056423"/>
          <c:w val="0.70237154150197634"/>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q3_q6_q9_q12_q19_q27_Fig!$S$102</c:f>
              <c:strCache>
                <c:ptCount val="1"/>
                <c:pt idx="0">
                  <c:v>Base</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4.7924056306658441E-2"/>
                  <c:y val="-9.93165942042836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CC-4215-9802-00BDE431F5BF}"/>
                </c:ext>
              </c:extLst>
            </c:dLbl>
            <c:dLbl>
              <c:idx val="10"/>
              <c:layout>
                <c:manualLayout>
                  <c:x val="-7.402493948956769E-2"/>
                  <c:y val="-4.72238510939014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CC-4215-9802-00BDE431F5BF}"/>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CC-4215-9802-00BDE431F5BF}"/>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q3_q6_q9_q12_q19_q27_Fig!$T$101:$AD$101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q3_q6_q9_q12_q19_q27_Fig!$T$102:$AD$102</c:f>
              <c:numCache>
                <c:formatCode>#,##0.00</c:formatCode>
                <c:ptCount val="11"/>
                <c:pt idx="0">
                  <c:v>1167.6580160847802</c:v>
                </c:pt>
                <c:pt idx="1">
                  <c:v>1160.86936374842</c:v>
                </c:pt>
                <c:pt idx="2">
                  <c:v>1150.4698448745501</c:v>
                </c:pt>
                <c:pt idx="3">
                  <c:v>1151.63595646608</c:v>
                </c:pt>
                <c:pt idx="4">
                  <c:v>1155.93299539847</c:v>
                </c:pt>
                <c:pt idx="5">
                  <c:v>1171.8790741674702</c:v>
                </c:pt>
                <c:pt idx="6">
                  <c:v>1194.2196335718302</c:v>
                </c:pt>
                <c:pt idx="7">
                  <c:v>1230.1318842360802</c:v>
                </c:pt>
                <c:pt idx="8">
                  <c:v>1266.69296096934</c:v>
                </c:pt>
                <c:pt idx="9">
                  <c:v>1312.06898770012</c:v>
                </c:pt>
                <c:pt idx="10">
                  <c:v>1388.3698339134201</c:v>
                </c:pt>
              </c:numCache>
            </c:numRef>
          </c:val>
          <c:extLst>
            <c:ext xmlns:c16="http://schemas.microsoft.com/office/drawing/2014/chart" uri="{C3380CC4-5D6E-409C-BE32-E72D297353CC}">
              <c16:uniqueId val="{00000003-C6CC-4215-9802-00BDE431F5BF}"/>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q3_q6_q9_q12_q19_q27_Fig!$S$103</c:f>
              <c:strCache>
                <c:ptCount val="1"/>
                <c:pt idx="0">
                  <c:v>Ganho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circle"/>
              <c:size val="6"/>
              <c:spPr>
                <a:solidFill>
                  <a:srgbClr val="FFC000"/>
                </a:solidFill>
                <a:ln w="12700">
                  <a:no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4-C6CC-4215-9802-00BDE431F5BF}"/>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C6CC-4215-9802-00BDE431F5BF}"/>
              </c:ext>
            </c:extLst>
          </c:dPt>
          <c:dLbls>
            <c:dLbl>
              <c:idx val="0"/>
              <c:layout>
                <c:manualLayout>
                  <c:x val="3.7413401141463549E-4"/>
                  <c:y val="-7.75958907432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CC-4215-9802-00BDE431F5BF}"/>
                </c:ext>
              </c:extLst>
            </c:dLbl>
            <c:dLbl>
              <c:idx val="10"/>
              <c:layout>
                <c:manualLayout>
                  <c:x val="-0.16101192942522166"/>
                  <c:y val="-4.0693742161344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6CC-4215-9802-00BDE431F5BF}"/>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CC-4215-9802-00BDE431F5BF}"/>
                </c:ext>
              </c:extLst>
            </c:dLbl>
            <c:numFmt formatCode="#,##0.00\ &quot;€&quot;" sourceLinked="0"/>
            <c:spPr>
              <a:noFill/>
              <a:ln>
                <a:noFill/>
              </a:ln>
              <a:effectLst/>
            </c:spPr>
            <c:txPr>
              <a:bodyPr rot="0" spcFirstLastPara="1" vertOverflow="overflow" horzOverflow="overflow" vert="horz" wrap="square" lIns="38100" tIns="19050" rIns="38100" bIns="19050" anchor="ctr" anchorCtr="1">
                <a:spAutoFit/>
              </a:bodyPr>
              <a:lstStyle/>
              <a:p>
                <a:pPr>
                  <a:defRPr sz="8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q3_q6_q9_q12_q19_q27_Fig!$T$101:$AD$101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q3_q6_q9_q12_q19_q27_Fig!$T$103:$AD$103</c:f>
              <c:numCache>
                <c:formatCode>#,##0.00</c:formatCode>
                <c:ptCount val="11"/>
                <c:pt idx="0">
                  <c:v>1405.9388575032701</c:v>
                </c:pt>
                <c:pt idx="1">
                  <c:v>1399.09217671998</c:v>
                </c:pt>
                <c:pt idx="2">
                  <c:v>1392.4169824671101</c:v>
                </c:pt>
                <c:pt idx="3">
                  <c:v>1391.1672518277201</c:v>
                </c:pt>
                <c:pt idx="4">
                  <c:v>1395.7455929932601</c:v>
                </c:pt>
                <c:pt idx="5">
                  <c:v>1416.5629019995702</c:v>
                </c:pt>
                <c:pt idx="6">
                  <c:v>1449.4349569758201</c:v>
                </c:pt>
                <c:pt idx="7">
                  <c:v>1487.75002061441</c:v>
                </c:pt>
                <c:pt idx="8">
                  <c:v>1526.7734244358101</c:v>
                </c:pt>
                <c:pt idx="9">
                  <c:v>1576.1486947511598</c:v>
                </c:pt>
                <c:pt idx="10">
                  <c:v>1668.91834858224</c:v>
                </c:pt>
              </c:numCache>
            </c:numRef>
          </c:val>
          <c:smooth val="0"/>
          <c:extLst>
            <c:ext xmlns:c16="http://schemas.microsoft.com/office/drawing/2014/chart" uri="{C3380CC4-5D6E-409C-BE32-E72D297353CC}">
              <c16:uniqueId val="{00000007-C6CC-4215-9802-00BDE431F5BF}"/>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1600"/>
          <c:min val="0"/>
        </c:scaling>
        <c:delete val="0"/>
        <c:axPos val="l"/>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92521828481056423"/>
          <c:w val="0.70237154150197634"/>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480007681966582"/>
          <c:y val="3.567815386713024E-2"/>
          <c:w val="0.60796750997841242"/>
          <c:h val="0.92049561986569861"/>
        </c:manualLayout>
      </c:layout>
      <c:barChart>
        <c:barDir val="bar"/>
        <c:grouping val="clustered"/>
        <c:varyColors val="0"/>
        <c:ser>
          <c:idx val="0"/>
          <c:order val="0"/>
          <c:tx>
            <c:strRef>
              <c:f>q3_q6_q9_q12_q19_q27_Fig!$AM$19</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q3_q6_q9_q12_q19_q27_Fig!$AL$20:$AL$38</c15:sqref>
                  </c15:fullRef>
                </c:ext>
              </c:extLst>
              <c:f>q3_q6_q9_q12_q19_q27_Fig!$AL$20:$AL$37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extLst>
                <c:ext xmlns:c15="http://schemas.microsoft.com/office/drawing/2012/chart" uri="{02D57815-91ED-43cb-92C2-25804820EDAC}">
                  <c15:fullRef>
                    <c15:sqref>q3_q6_q9_q12_q19_q27_Fig!$AM$20:$AM$38</c15:sqref>
                  </c15:fullRef>
                </c:ext>
              </c:extLst>
              <c:f>q3_q6_q9_q12_q19_q27_Fig!$AM$20:$AM$37</c:f>
              <c:numCache>
                <c:formatCode>#,##0</c:formatCode>
                <c:ptCount val="18"/>
                <c:pt idx="0">
                  <c:v>19850</c:v>
                </c:pt>
                <c:pt idx="1">
                  <c:v>4593</c:v>
                </c:pt>
                <c:pt idx="2">
                  <c:v>28579</c:v>
                </c:pt>
                <c:pt idx="3">
                  <c:v>3640</c:v>
                </c:pt>
                <c:pt idx="4">
                  <c:v>4718</c:v>
                </c:pt>
                <c:pt idx="5">
                  <c:v>10273</c:v>
                </c:pt>
                <c:pt idx="6">
                  <c:v>5048</c:v>
                </c:pt>
                <c:pt idx="7">
                  <c:v>17066</c:v>
                </c:pt>
                <c:pt idx="8">
                  <c:v>4127</c:v>
                </c:pt>
                <c:pt idx="9">
                  <c:v>15824</c:v>
                </c:pt>
                <c:pt idx="10">
                  <c:v>63924</c:v>
                </c:pt>
                <c:pt idx="11">
                  <c:v>2877</c:v>
                </c:pt>
                <c:pt idx="12">
                  <c:v>53630</c:v>
                </c:pt>
                <c:pt idx="13">
                  <c:v>11687</c:v>
                </c:pt>
                <c:pt idx="14">
                  <c:v>16564</c:v>
                </c:pt>
                <c:pt idx="15">
                  <c:v>7227</c:v>
                </c:pt>
                <c:pt idx="16">
                  <c:v>5152</c:v>
                </c:pt>
                <c:pt idx="17">
                  <c:v>10081</c:v>
                </c:pt>
              </c:numCache>
            </c:numRef>
          </c:val>
          <c:extLst>
            <c:ext xmlns:c16="http://schemas.microsoft.com/office/drawing/2014/chart" uri="{C3380CC4-5D6E-409C-BE32-E72D297353CC}">
              <c16:uniqueId val="{00000000-4781-4235-88FE-502D90D94F4D}"/>
            </c:ext>
          </c:extLst>
        </c:ser>
        <c:ser>
          <c:idx val="1"/>
          <c:order val="1"/>
          <c:tx>
            <c:strRef>
              <c:f>q3_q6_q9_q12_q19_q27_Fig!$AN$19</c:f>
              <c:strCache>
                <c:ptCount val="1"/>
                <c:pt idx="0">
                  <c:v>Estabele-
cimentos</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q3_q6_q9_q12_q19_q27_Fig!$AL$20:$AL$38</c15:sqref>
                  </c15:fullRef>
                </c:ext>
              </c:extLst>
              <c:f>q3_q6_q9_q12_q19_q27_Fig!$AL$20:$AL$37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extLst>
                <c:ext xmlns:c15="http://schemas.microsoft.com/office/drawing/2012/chart" uri="{02D57815-91ED-43cb-92C2-25804820EDAC}">
                  <c15:fullRef>
                    <c15:sqref>q3_q6_q9_q12_q19_q27_Fig!$AN$20:$AN$38</c15:sqref>
                  </c15:fullRef>
                </c:ext>
              </c:extLst>
              <c:f>q3_q6_q9_q12_q19_q27_Fig!$AN$20:$AN$37</c:f>
              <c:numCache>
                <c:formatCode>#,##0</c:formatCode>
                <c:ptCount val="18"/>
                <c:pt idx="0">
                  <c:v>22628</c:v>
                </c:pt>
                <c:pt idx="1">
                  <c:v>5312</c:v>
                </c:pt>
                <c:pt idx="2">
                  <c:v>31910</c:v>
                </c:pt>
                <c:pt idx="3">
                  <c:v>4210</c:v>
                </c:pt>
                <c:pt idx="4">
                  <c:v>5592</c:v>
                </c:pt>
                <c:pt idx="5">
                  <c:v>12457</c:v>
                </c:pt>
                <c:pt idx="6">
                  <c:v>6051</c:v>
                </c:pt>
                <c:pt idx="7">
                  <c:v>20699</c:v>
                </c:pt>
                <c:pt idx="8">
                  <c:v>4760</c:v>
                </c:pt>
                <c:pt idx="9">
                  <c:v>18449</c:v>
                </c:pt>
                <c:pt idx="10">
                  <c:v>75266</c:v>
                </c:pt>
                <c:pt idx="11">
                  <c:v>3433</c:v>
                </c:pt>
                <c:pt idx="12">
                  <c:v>61907</c:v>
                </c:pt>
                <c:pt idx="13">
                  <c:v>13899</c:v>
                </c:pt>
                <c:pt idx="14">
                  <c:v>20105</c:v>
                </c:pt>
                <c:pt idx="15">
                  <c:v>8261</c:v>
                </c:pt>
                <c:pt idx="16">
                  <c:v>6063</c:v>
                </c:pt>
                <c:pt idx="17">
                  <c:v>11681</c:v>
                </c:pt>
              </c:numCache>
            </c:numRef>
          </c:val>
          <c:extLst>
            <c:ext xmlns:c16="http://schemas.microsoft.com/office/drawing/2014/chart" uri="{C3380CC4-5D6E-409C-BE32-E72D297353CC}">
              <c16:uniqueId val="{00000001-4781-4235-88FE-502D90D94F4D}"/>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legend>
      <c:legendPos val="b"/>
      <c:layout>
        <c:manualLayout>
          <c:xMode val="edge"/>
          <c:yMode val="edge"/>
          <c:x val="0.59894841213051209"/>
          <c:y val="0.8958285000206182"/>
          <c:w val="0.33981512399659702"/>
          <c:h val="7.684796893293005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480007681966582"/>
          <c:y val="3.567815386713024E-2"/>
          <c:w val="0.60796750997841242"/>
          <c:h val="0.92049561986569861"/>
        </c:manualLayout>
      </c:layout>
      <c:barChart>
        <c:barDir val="bar"/>
        <c:grouping val="clustered"/>
        <c:varyColors val="0"/>
        <c:ser>
          <c:idx val="0"/>
          <c:order val="0"/>
          <c:tx>
            <c:strRef>
              <c:f>q3_q6_q9_q12_q19_q27_Fig!$AT$19</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q3_q6_q9_q12_q19_q27_Fig!$AS$20:$AS$37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f>q3_q6_q9_q12_q19_q27_Fig!$AT$20:$AT$37</c:f>
              <c:numCache>
                <c:formatCode>#,##0</c:formatCode>
                <c:ptCount val="18"/>
                <c:pt idx="0">
                  <c:v>250317</c:v>
                </c:pt>
                <c:pt idx="1">
                  <c:v>45331</c:v>
                </c:pt>
                <c:pt idx="2">
                  <c:v>304660</c:v>
                </c:pt>
                <c:pt idx="3">
                  <c:v>23249</c:v>
                </c:pt>
                <c:pt idx="4">
                  <c:v>42765</c:v>
                </c:pt>
                <c:pt idx="5">
                  <c:v>109304</c:v>
                </c:pt>
                <c:pt idx="6">
                  <c:v>43523</c:v>
                </c:pt>
                <c:pt idx="7">
                  <c:v>165503</c:v>
                </c:pt>
                <c:pt idx="8">
                  <c:v>31779</c:v>
                </c:pt>
                <c:pt idx="9">
                  <c:v>157094</c:v>
                </c:pt>
                <c:pt idx="10">
                  <c:v>981424</c:v>
                </c:pt>
                <c:pt idx="11">
                  <c:v>23056</c:v>
                </c:pt>
                <c:pt idx="12">
                  <c:v>647496</c:v>
                </c:pt>
                <c:pt idx="13">
                  <c:v>116005</c:v>
                </c:pt>
                <c:pt idx="14">
                  <c:v>189206</c:v>
                </c:pt>
                <c:pt idx="15">
                  <c:v>68558</c:v>
                </c:pt>
                <c:pt idx="16">
                  <c:v>38651</c:v>
                </c:pt>
                <c:pt idx="17">
                  <c:v>99161</c:v>
                </c:pt>
              </c:numCache>
            </c:numRef>
          </c:val>
          <c:extLst>
            <c:ext xmlns:c16="http://schemas.microsoft.com/office/drawing/2014/chart" uri="{C3380CC4-5D6E-409C-BE32-E72D297353CC}">
              <c16:uniqueId val="{00000000-E329-42D7-90CC-DEFE1810171A}"/>
            </c:ext>
          </c:extLst>
        </c:ser>
        <c:ser>
          <c:idx val="1"/>
          <c:order val="1"/>
          <c:tx>
            <c:strRef>
              <c:f>q3_q6_q9_q12_q19_q27_Fig!$AU$19</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q3_q6_q9_q12_q19_q27_Fig!$AS$20:$AS$37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f>q3_q6_q9_q12_q19_q27_Fig!$AU$20:$AU$37</c:f>
              <c:numCache>
                <c:formatCode>#,##0</c:formatCode>
                <c:ptCount val="18"/>
                <c:pt idx="0">
                  <c:v>234940</c:v>
                </c:pt>
                <c:pt idx="1">
                  <c:v>43289</c:v>
                </c:pt>
                <c:pt idx="2">
                  <c:v>285498</c:v>
                </c:pt>
                <c:pt idx="3">
                  <c:v>21226</c:v>
                </c:pt>
                <c:pt idx="4">
                  <c:v>39840</c:v>
                </c:pt>
                <c:pt idx="5">
                  <c:v>101940</c:v>
                </c:pt>
                <c:pt idx="6">
                  <c:v>40691</c:v>
                </c:pt>
                <c:pt idx="7">
                  <c:v>154670</c:v>
                </c:pt>
                <c:pt idx="8">
                  <c:v>29721</c:v>
                </c:pt>
                <c:pt idx="9">
                  <c:v>145795</c:v>
                </c:pt>
                <c:pt idx="10">
                  <c:v>937531</c:v>
                </c:pt>
                <c:pt idx="11">
                  <c:v>21623</c:v>
                </c:pt>
                <c:pt idx="12">
                  <c:v>611659</c:v>
                </c:pt>
                <c:pt idx="13">
                  <c:v>108232</c:v>
                </c:pt>
                <c:pt idx="14">
                  <c:v>178440</c:v>
                </c:pt>
                <c:pt idx="15">
                  <c:v>64187</c:v>
                </c:pt>
                <c:pt idx="16">
                  <c:v>35875</c:v>
                </c:pt>
                <c:pt idx="17">
                  <c:v>92990</c:v>
                </c:pt>
              </c:numCache>
            </c:numRef>
          </c:val>
          <c:extLst>
            <c:ext xmlns:c16="http://schemas.microsoft.com/office/drawing/2014/chart" uri="{C3380CC4-5D6E-409C-BE32-E72D297353CC}">
              <c16:uniqueId val="{00000001-E329-42D7-90CC-DEFE1810171A}"/>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59894841213051209"/>
          <c:y val="0.8958285000206182"/>
          <c:w val="0.29038922336032225"/>
          <c:h val="7.684796893293005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31480007681966582"/>
          <c:y val="3.567815386713024E-2"/>
          <c:w val="0.60796750997841242"/>
          <c:h val="0.92049561986569861"/>
        </c:manualLayout>
      </c:layout>
      <c:barChart>
        <c:barDir val="bar"/>
        <c:grouping val="clustered"/>
        <c:varyColors val="0"/>
        <c:ser>
          <c:idx val="0"/>
          <c:order val="0"/>
          <c:tx>
            <c:strRef>
              <c:f>q3_q6_q9_q12_q19_q27_Fig!$BA$19</c:f>
              <c:strCache>
                <c:ptCount val="1"/>
                <c:pt idx="0">
                  <c:v>Base</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q3_q6_q9_q12_q19_q27_Fig!$AZ$20:$AZ$37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f>q3_q6_q9_q12_q19_q27_Fig!$BA$20:$BA$37</c:f>
              <c:numCache>
                <c:formatCode>#,##0\ "€"</c:formatCode>
                <c:ptCount val="18"/>
                <c:pt idx="0">
                  <c:v>1052.7972743375899</c:v>
                </c:pt>
                <c:pt idx="1">
                  <c:v>947.74026093299312</c:v>
                </c:pt>
                <c:pt idx="2">
                  <c:v>988.00150691903912</c:v>
                </c:pt>
                <c:pt idx="3">
                  <c:v>892.75012004236817</c:v>
                </c:pt>
                <c:pt idx="4">
                  <c:v>932.85300061654311</c:v>
                </c:pt>
                <c:pt idx="5">
                  <c:v>1016.0729735121099</c:v>
                </c:pt>
                <c:pt idx="6">
                  <c:v>984.10746899954609</c:v>
                </c:pt>
                <c:pt idx="7">
                  <c:v>965.82601351644109</c:v>
                </c:pt>
                <c:pt idx="8">
                  <c:v>905.20674300469909</c:v>
                </c:pt>
                <c:pt idx="9">
                  <c:v>1007.35363342332</c:v>
                </c:pt>
                <c:pt idx="10">
                  <c:v>1388.3698339134201</c:v>
                </c:pt>
                <c:pt idx="11">
                  <c:v>939.134315018758</c:v>
                </c:pt>
                <c:pt idx="12">
                  <c:v>1135.72575816629</c:v>
                </c:pt>
                <c:pt idx="13">
                  <c:v>975.11611004518909</c:v>
                </c:pt>
                <c:pt idx="14">
                  <c:v>1127.3913262441799</c:v>
                </c:pt>
                <c:pt idx="15">
                  <c:v>955.66561814916508</c:v>
                </c:pt>
                <c:pt idx="16">
                  <c:v>927.78715854618304</c:v>
                </c:pt>
                <c:pt idx="17">
                  <c:v>932.68407294832809</c:v>
                </c:pt>
              </c:numCache>
            </c:numRef>
          </c:val>
          <c:extLst>
            <c:ext xmlns:c16="http://schemas.microsoft.com/office/drawing/2014/chart" uri="{C3380CC4-5D6E-409C-BE32-E72D297353CC}">
              <c16:uniqueId val="{00000000-367F-43EB-B340-184F34632EA8}"/>
            </c:ext>
          </c:extLst>
        </c:ser>
        <c:ser>
          <c:idx val="1"/>
          <c:order val="1"/>
          <c:tx>
            <c:strRef>
              <c:f>q3_q6_q9_q12_q19_q27_Fig!$BB$19</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q3_q6_q9_q12_q19_q27_Fig!$AZ$20:$AZ$37</c:f>
              <c:strCache>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Cache>
            </c:strRef>
          </c:cat>
          <c:val>
            <c:numRef>
              <c:f>q3_q6_q9_q12_q19_q27_Fig!$BB$20:$BB$37</c:f>
              <c:numCache>
                <c:formatCode>#,##0\ "€"</c:formatCode>
                <c:ptCount val="18"/>
                <c:pt idx="0">
                  <c:v>1252.0317901891301</c:v>
                </c:pt>
                <c:pt idx="1">
                  <c:v>1192.7577344915603</c:v>
                </c:pt>
                <c:pt idx="2">
                  <c:v>1156.32258506215</c:v>
                </c:pt>
                <c:pt idx="3">
                  <c:v>1054.3714764034401</c:v>
                </c:pt>
                <c:pt idx="4">
                  <c:v>1106.65014764578</c:v>
                </c:pt>
                <c:pt idx="5">
                  <c:v>1222.9665008964</c:v>
                </c:pt>
                <c:pt idx="6">
                  <c:v>1190.5704398493799</c:v>
                </c:pt>
                <c:pt idx="7">
                  <c:v>1150.8139774726001</c:v>
                </c:pt>
                <c:pt idx="8">
                  <c:v>1100.1031647123602</c:v>
                </c:pt>
                <c:pt idx="9">
                  <c:v>1211.2745490185598</c:v>
                </c:pt>
                <c:pt idx="10">
                  <c:v>1668.91834858224</c:v>
                </c:pt>
                <c:pt idx="11">
                  <c:v>1126.59658901125</c:v>
                </c:pt>
                <c:pt idx="12">
                  <c:v>1343.1844642727101</c:v>
                </c:pt>
                <c:pt idx="13">
                  <c:v>1182.0420284769402</c:v>
                </c:pt>
                <c:pt idx="14">
                  <c:v>1373.2480942960999</c:v>
                </c:pt>
                <c:pt idx="15">
                  <c:v>1154.3373996243001</c:v>
                </c:pt>
                <c:pt idx="16">
                  <c:v>1104.2442491235602</c:v>
                </c:pt>
                <c:pt idx="17">
                  <c:v>1127.39969363407</c:v>
                </c:pt>
              </c:numCache>
            </c:numRef>
          </c:val>
          <c:extLst>
            <c:ext xmlns:c16="http://schemas.microsoft.com/office/drawing/2014/chart" uri="{C3380CC4-5D6E-409C-BE32-E72D297353CC}">
              <c16:uniqueId val="{00000001-367F-43EB-B340-184F34632EA8}"/>
            </c:ext>
          </c:extLst>
        </c:ser>
        <c:dLbls>
          <c:dLblPos val="inEnd"/>
          <c:showLegendKey val="0"/>
          <c:showVal val="1"/>
          <c:showCatName val="0"/>
          <c:showSerName val="0"/>
          <c:showPercent val="0"/>
          <c:showBubbleSize val="0"/>
        </c:dLbls>
        <c:gapWidth val="100"/>
        <c:axId val="641469711"/>
        <c:axId val="891542255"/>
      </c:barChart>
      <c:catAx>
        <c:axId val="641469711"/>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out"/>
        <c:minorTickMark val="none"/>
        <c:tickLblPos val="nextTo"/>
        <c:crossAx val="641469711"/>
        <c:crosses val="autoZero"/>
        <c:crossBetween val="between"/>
      </c:valAx>
      <c:spPr>
        <a:noFill/>
        <a:ln>
          <a:noFill/>
        </a:ln>
        <a:effectLst/>
      </c:spPr>
    </c:plotArea>
    <c:legend>
      <c:legendPos val="b"/>
      <c:layout>
        <c:manualLayout>
          <c:xMode val="edge"/>
          <c:yMode val="edge"/>
          <c:x val="0.8051136322373027"/>
          <c:y val="0.85028928160986517"/>
          <c:w val="0.18730661330692686"/>
          <c:h val="0.1087254218204571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8865639479324895E-2"/>
          <c:y val="3.567815386713024E-2"/>
          <c:w val="0.91419483055977524"/>
          <c:h val="0.92049561986569861"/>
        </c:manualLayout>
      </c:layout>
      <c:barChart>
        <c:barDir val="bar"/>
        <c:grouping val="clustered"/>
        <c:varyColors val="0"/>
        <c:ser>
          <c:idx val="0"/>
          <c:order val="0"/>
          <c:tx>
            <c:strRef>
              <c:f>q3_q6_q9_q12_q19_q27_Fig!$AM$19</c:f>
              <c:strCache>
                <c:ptCount val="1"/>
                <c:pt idx="0">
                  <c:v>Empresas</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75B5-47A8-8A2A-EAAB72D2D7A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q3_q6_q9_q12_q19_q27_Fig!$AL$38</c:f>
              <c:strCache>
                <c:ptCount val="1"/>
                <c:pt idx="0">
                  <c:v>Continente</c:v>
                </c:pt>
              </c:strCache>
            </c:strRef>
          </c:cat>
          <c:val>
            <c:numRef>
              <c:f>q3_q6_q9_q12_q19_q27_Fig!$AM$38</c:f>
              <c:numCache>
                <c:formatCode>#,##0</c:formatCode>
                <c:ptCount val="1"/>
                <c:pt idx="0">
                  <c:v>284860</c:v>
                </c:pt>
              </c:numCache>
            </c:numRef>
          </c:val>
          <c:extLst>
            <c:ext xmlns:c16="http://schemas.microsoft.com/office/drawing/2014/chart" uri="{C3380CC4-5D6E-409C-BE32-E72D297353CC}">
              <c16:uniqueId val="{00000000-75B5-47A8-8A2A-EAAB72D2D7AB}"/>
            </c:ext>
          </c:extLst>
        </c:ser>
        <c:ser>
          <c:idx val="1"/>
          <c:order val="1"/>
          <c:tx>
            <c:strRef>
              <c:f>q3_q6_q9_q12_q19_q27_Fig!$AN$19</c:f>
              <c:strCache>
                <c:ptCount val="1"/>
                <c:pt idx="0">
                  <c:v>Estabele-
cimentos</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75B5-47A8-8A2A-EAAB72D2D7A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q3_q6_q9_q12_q19_q27_Fig!$AL$38</c:f>
              <c:strCache>
                <c:ptCount val="1"/>
                <c:pt idx="0">
                  <c:v>Continente</c:v>
                </c:pt>
              </c:strCache>
            </c:strRef>
          </c:cat>
          <c:val>
            <c:numRef>
              <c:f>q3_q6_q9_q12_q19_q27_Fig!$AN$38</c:f>
              <c:numCache>
                <c:formatCode>#,##0</c:formatCode>
                <c:ptCount val="1"/>
                <c:pt idx="0">
                  <c:v>332683</c:v>
                </c:pt>
              </c:numCache>
            </c:numRef>
          </c:val>
          <c:extLst>
            <c:ext xmlns:c16="http://schemas.microsoft.com/office/drawing/2014/chart" uri="{C3380CC4-5D6E-409C-BE32-E72D297353CC}">
              <c16:uniqueId val="{00000001-75B5-47A8-8A2A-EAAB72D2D7AB}"/>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[Dashboard_seriesqp_2012_2022.xlsx]q18_q26_Fig!Tabela Dinâmica3</c:name>
    <c:fmtId val="2"/>
  </c:pivotSource>
  <c:chart>
    <c:autoTitleDeleted val="1"/>
    <c:pivotFmts>
      <c:pivotFmt>
        <c:idx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dLbl>
          <c:idx val="0"/>
          <c:numFmt formatCode="#,##0.00\ &quot;€&quot;" sourceLinked="0"/>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sourceLinked="0"/>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marker>
          <c:symbol val="none"/>
        </c:marker>
        <c:dLbl>
          <c:idx val="0"/>
          <c:numFmt formatCode="#,##0.00\ &quot;€&quot;" sourceLinked="0"/>
          <c:spPr>
            <a:noFill/>
            <a:ln>
              <a:noFill/>
            </a:ln>
            <a:effectLst/>
          </c:spPr>
          <c:txPr>
            <a:bodyPr rot="-540000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7691875107930455E-2"/>
          <c:y val="6.1792516320075375E-2"/>
          <c:w val="0.9127264577058416"/>
          <c:h val="0.84700349956255483"/>
        </c:manualLayout>
      </c:layout>
      <c:barChart>
        <c:barDir val="col"/>
        <c:grouping val="clustered"/>
        <c:varyColors val="0"/>
        <c:ser>
          <c:idx val="0"/>
          <c:order val="0"/>
          <c:tx>
            <c:strRef>
              <c:f>q18_q26_Fig!$B$80:$B$82</c:f>
              <c:strCache>
                <c:ptCount val="1"/>
                <c:pt idx="0">
                  <c:v>Base - Total</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q18_q26_Fig!$A$83:$A$93</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f>q18_q26_Fig!$B$83:$B$93</c:f>
              <c:numCache>
                <c:formatCode>General</c:formatCode>
                <c:ptCount val="11"/>
                <c:pt idx="0">
                  <c:v>915.01247006081212</c:v>
                </c:pt>
                <c:pt idx="1">
                  <c:v>912.18298170177309</c:v>
                </c:pt>
                <c:pt idx="2">
                  <c:v>909.49144915721399</c:v>
                </c:pt>
                <c:pt idx="3">
                  <c:v>913.92544791377406</c:v>
                </c:pt>
                <c:pt idx="4">
                  <c:v>924.9392153090821</c:v>
                </c:pt>
                <c:pt idx="5">
                  <c:v>943.00107511786211</c:v>
                </c:pt>
                <c:pt idx="6">
                  <c:v>970.41689676342503</c:v>
                </c:pt>
                <c:pt idx="7">
                  <c:v>1005.08927925103</c:v>
                </c:pt>
                <c:pt idx="8">
                  <c:v>1041.9948771786001</c:v>
                </c:pt>
                <c:pt idx="9">
                  <c:v>1082.7724697513502</c:v>
                </c:pt>
                <c:pt idx="10">
                  <c:v>1143.44558285689</c:v>
                </c:pt>
              </c:numCache>
            </c:numRef>
          </c:val>
          <c:extLst>
            <c:ext xmlns:c16="http://schemas.microsoft.com/office/drawing/2014/chart" uri="{C3380CC4-5D6E-409C-BE32-E72D297353CC}">
              <c16:uniqueId val="{00000009-7D82-4A5B-872E-D965A4F072AC}"/>
            </c:ext>
          </c:extLst>
        </c:ser>
        <c:ser>
          <c:idx val="1"/>
          <c:order val="1"/>
          <c:tx>
            <c:strRef>
              <c:f>q18_q26_Fig!$C$80:$C$82</c:f>
              <c:strCache>
                <c:ptCount val="1"/>
                <c:pt idx="0">
                  <c:v>Ganho - Total</c:v>
                </c:pt>
              </c:strCache>
            </c:strRef>
          </c:tx>
          <c:spPr>
            <a:gradFill>
              <a:gsLst>
                <a:gs pos="0">
                  <a:schemeClr val="accent3"/>
                </a:gs>
                <a:gs pos="100000">
                  <a:schemeClr val="accent3">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0.00\ &quot;€&quot;"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q18_q26_Fig!$A$83:$A$93</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f>q18_q26_Fig!$C$83:$C$93</c:f>
              <c:numCache>
                <c:formatCode>General</c:formatCode>
                <c:ptCount val="11"/>
                <c:pt idx="0">
                  <c:v>1095.58619281857</c:v>
                </c:pt>
                <c:pt idx="1">
                  <c:v>1093.8178723953499</c:v>
                </c:pt>
                <c:pt idx="2">
                  <c:v>1093.20854089105</c:v>
                </c:pt>
                <c:pt idx="3">
                  <c:v>1096.65734127991</c:v>
                </c:pt>
                <c:pt idx="4">
                  <c:v>1107.85636561875</c:v>
                </c:pt>
                <c:pt idx="5">
                  <c:v>1133.34288689707</c:v>
                </c:pt>
                <c:pt idx="6">
                  <c:v>1170.2525051678801</c:v>
                </c:pt>
                <c:pt idx="7">
                  <c:v>1209.93900485576</c:v>
                </c:pt>
                <c:pt idx="8">
                  <c:v>1250.75197084447</c:v>
                </c:pt>
                <c:pt idx="9">
                  <c:v>1294.10894067238</c:v>
                </c:pt>
                <c:pt idx="10">
                  <c:v>1367.9952489883699</c:v>
                </c:pt>
              </c:numCache>
            </c:numRef>
          </c:val>
          <c:extLst>
            <c:ext xmlns:c16="http://schemas.microsoft.com/office/drawing/2014/chart" uri="{C3380CC4-5D6E-409C-BE32-E72D297353CC}">
              <c16:uniqueId val="{00000000-8017-4DD7-8685-3CBA44A5680F}"/>
            </c:ext>
          </c:extLst>
        </c:ser>
        <c:dLbls>
          <c:dLblPos val="inEnd"/>
          <c:showLegendKey val="0"/>
          <c:showVal val="1"/>
          <c:showCatName val="0"/>
          <c:showSerName val="0"/>
          <c:showPercent val="0"/>
          <c:showBubbleSize val="0"/>
        </c:dLbls>
        <c:gapWidth val="41"/>
        <c:axId val="935681696"/>
        <c:axId val="883457568"/>
      </c:barChart>
      <c:catAx>
        <c:axId val="9356816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65000"/>
                    <a:lumOff val="35000"/>
                  </a:schemeClr>
                </a:solidFill>
                <a:effectLst/>
                <a:latin typeface="+mn-lt"/>
                <a:ea typeface="+mn-ea"/>
                <a:cs typeface="+mn-cs"/>
              </a:defRPr>
            </a:pPr>
            <a:endParaRPr lang="pt-PT"/>
          </a:p>
        </c:txPr>
        <c:crossAx val="883457568"/>
        <c:crosses val="autoZero"/>
        <c:auto val="1"/>
        <c:lblAlgn val="ctr"/>
        <c:lblOffset val="100"/>
        <c:noMultiLvlLbl val="0"/>
      </c:catAx>
      <c:valAx>
        <c:axId val="883457568"/>
        <c:scaling>
          <c:orientation val="minMax"/>
          <c:max val="1600"/>
          <c:min val="0"/>
        </c:scaling>
        <c:delete val="0"/>
        <c:axPos val="l"/>
        <c:numFmt formatCode="#,##0\ &quot;€&quot;"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65000"/>
                    <a:lumOff val="35000"/>
                  </a:schemeClr>
                </a:solidFill>
                <a:latin typeface="+mn-lt"/>
                <a:ea typeface="+mn-ea"/>
                <a:cs typeface="+mn-cs"/>
              </a:defRPr>
            </a:pPr>
            <a:endParaRPr lang="pt-PT"/>
          </a:p>
        </c:txPr>
        <c:crossAx val="935681696"/>
        <c:crosses val="autoZero"/>
        <c:crossBetween val="between"/>
      </c:valAx>
      <c:spPr>
        <a:noFill/>
        <a:ln>
          <a:noFill/>
        </a:ln>
        <a:effectLst/>
      </c:spPr>
    </c:plotArea>
    <c:legend>
      <c:legendPos val="t"/>
      <c:layout>
        <c:manualLayout>
          <c:xMode val="edge"/>
          <c:yMode val="edge"/>
          <c:x val="0.13511635313368259"/>
          <c:y val="6.9444582585071607E-2"/>
          <c:w val="0.18591524460123485"/>
          <c:h val="6.1792516320075375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dk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4.0807028631546345E-2"/>
          <c:y val="3.567815386713024E-2"/>
          <c:w val="0.93031205225533231"/>
          <c:h val="0.92049561986569861"/>
        </c:manualLayout>
      </c:layout>
      <c:barChart>
        <c:barDir val="bar"/>
        <c:grouping val="clustered"/>
        <c:varyColors val="0"/>
        <c:ser>
          <c:idx val="0"/>
          <c:order val="0"/>
          <c:tx>
            <c:strRef>
              <c:f>q3_q6_q9_q12_q19_q27_Fig!$AT$19</c:f>
              <c:strCache>
                <c:ptCount val="1"/>
                <c:pt idx="0">
                  <c:v>Pessoas ao serviço</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9E32-4165-8EA9-B5512734F56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q3_q6_q9_q12_q19_q27_Fig!$AS$38</c:f>
              <c:strCache>
                <c:ptCount val="1"/>
                <c:pt idx="0">
                  <c:v>Continente</c:v>
                </c:pt>
              </c:strCache>
            </c:strRef>
          </c:cat>
          <c:val>
            <c:numRef>
              <c:f>q3_q6_q9_q12_q19_q27_Fig!$AT$38</c:f>
              <c:numCache>
                <c:formatCode>#,##0</c:formatCode>
                <c:ptCount val="1"/>
                <c:pt idx="0">
                  <c:v>3337082</c:v>
                </c:pt>
              </c:numCache>
            </c:numRef>
          </c:val>
          <c:extLst>
            <c:ext xmlns:c16="http://schemas.microsoft.com/office/drawing/2014/chart" uri="{C3380CC4-5D6E-409C-BE32-E72D297353CC}">
              <c16:uniqueId val="{00000001-9E32-4165-8EA9-B5512734F56C}"/>
            </c:ext>
          </c:extLst>
        </c:ser>
        <c:ser>
          <c:idx val="1"/>
          <c:order val="1"/>
          <c:tx>
            <c:strRef>
              <c:f>q3_q6_q9_q12_q19_q27_Fig!$AU$19</c:f>
              <c:strCache>
                <c:ptCount val="1"/>
                <c:pt idx="0">
                  <c:v>TCO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9E32-4165-8EA9-B5512734F56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q3_q6_q9_q12_q19_q27_Fig!$AS$38</c:f>
              <c:strCache>
                <c:ptCount val="1"/>
                <c:pt idx="0">
                  <c:v>Continente</c:v>
                </c:pt>
              </c:strCache>
            </c:strRef>
          </c:cat>
          <c:val>
            <c:numRef>
              <c:f>q3_q6_q9_q12_q19_q27_Fig!$AU$38</c:f>
              <c:numCache>
                <c:formatCode>#,##0</c:formatCode>
                <c:ptCount val="1"/>
                <c:pt idx="0">
                  <c:v>3148147</c:v>
                </c:pt>
              </c:numCache>
            </c:numRef>
          </c:val>
          <c:extLst>
            <c:ext xmlns:c16="http://schemas.microsoft.com/office/drawing/2014/chart" uri="{C3380CC4-5D6E-409C-BE32-E72D297353CC}">
              <c16:uniqueId val="{00000003-9E32-4165-8EA9-B5512734F56C}"/>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700" b="1" i="0" u="none" strike="noStrike" kern="1200" baseline="0">
                <a:solidFill>
                  <a:schemeClr val="tx2"/>
                </a:solidFill>
                <a:latin typeface="+mn-lt"/>
                <a:ea typeface="+mn-ea"/>
                <a:cs typeface="+mn-cs"/>
              </a:defRPr>
            </a:pPr>
            <a:r>
              <a:rPr lang="en-US" sz="700"/>
              <a:t>CONTINENTE</a:t>
            </a:r>
          </a:p>
        </c:rich>
      </c:tx>
      <c:layout>
        <c:manualLayout>
          <c:xMode val="edge"/>
          <c:yMode val="edge"/>
          <c:x val="0.39461240619967336"/>
          <c:y val="6.0569800569800568E-2"/>
        </c:manualLayout>
      </c:layout>
      <c:overlay val="0"/>
      <c:spPr>
        <a:noFill/>
        <a:ln>
          <a:noFill/>
        </a:ln>
        <a:effectLst/>
      </c:spPr>
    </c:title>
    <c:autoTitleDeleted val="0"/>
    <c:plotArea>
      <c:layout>
        <c:manualLayout>
          <c:layoutTarget val="inner"/>
          <c:xMode val="edge"/>
          <c:yMode val="edge"/>
          <c:x val="5.6924250327103458E-2"/>
          <c:y val="3.567815386713024E-2"/>
          <c:w val="0.86584316547310392"/>
          <c:h val="0.92049561986569861"/>
        </c:manualLayout>
      </c:layout>
      <c:barChart>
        <c:barDir val="bar"/>
        <c:grouping val="clustered"/>
        <c:varyColors val="0"/>
        <c:ser>
          <c:idx val="0"/>
          <c:order val="0"/>
          <c:tx>
            <c:strRef>
              <c:f>q3_q6_q9_q12_q19_q27_Fig!$BA$19</c:f>
              <c:strCache>
                <c:ptCount val="1"/>
                <c:pt idx="0">
                  <c:v>Base</c:v>
                </c:pt>
              </c:strCache>
            </c:strRef>
          </c:tx>
          <c:spPr>
            <a:solidFill>
              <a:schemeClr val="accent1">
                <a:shade val="76000"/>
              </a:schemeClr>
            </a:solidFill>
            <a:ln>
              <a:noFill/>
            </a:ln>
            <a:effectLst>
              <a:outerShdw blurRad="40000" dist="23000" dir="5400000" rotWithShape="0">
                <a:srgbClr val="000000">
                  <a:alpha val="35000"/>
                </a:srgbClr>
              </a:outerShdw>
            </a:effectLst>
          </c:spPr>
          <c:invertIfNegative val="0"/>
          <c:dLbls>
            <c:dLbl>
              <c:idx val="0"/>
              <c:layout>
                <c:manualLayout>
                  <c:x val="-0.27898879028194984"/>
                  <c:y val="1.1307870370370371E-2"/>
                </c:manualLayout>
              </c:layout>
              <c:numFmt formatCode="#,##0\ &quot;€&quot;"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pt-PT"/>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24272535873508994"/>
                      <c:h val="0.25610398860398853"/>
                    </c:manualLayout>
                  </c15:layout>
                </c:ext>
                <c:ext xmlns:c16="http://schemas.microsoft.com/office/drawing/2014/chart" uri="{C3380CC4-5D6E-409C-BE32-E72D297353CC}">
                  <c16:uniqueId val="{00000000-49BD-4AAF-A276-4098319ACECD}"/>
                </c:ext>
              </c:extLst>
            </c:dLbl>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chemeClr val="tx2"/>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q3_q6_q9_q12_q19_q27_Fig!$AZ$38</c:f>
              <c:strCache>
                <c:ptCount val="1"/>
                <c:pt idx="0">
                  <c:v>Continente</c:v>
                </c:pt>
              </c:strCache>
            </c:strRef>
          </c:cat>
          <c:val>
            <c:numRef>
              <c:f>q3_q6_q9_q12_q19_q27_Fig!$BA$38</c:f>
              <c:numCache>
                <c:formatCode>#,##0\ "€"</c:formatCode>
                <c:ptCount val="1"/>
                <c:pt idx="0">
                  <c:v>1143.44558285689</c:v>
                </c:pt>
              </c:numCache>
            </c:numRef>
          </c:val>
          <c:extLst>
            <c:ext xmlns:c16="http://schemas.microsoft.com/office/drawing/2014/chart" uri="{C3380CC4-5D6E-409C-BE32-E72D297353CC}">
              <c16:uniqueId val="{00000001-49BD-4AAF-A276-4098319ACECD}"/>
            </c:ext>
          </c:extLst>
        </c:ser>
        <c:ser>
          <c:idx val="1"/>
          <c:order val="1"/>
          <c:tx>
            <c:strRef>
              <c:f>q3_q6_q9_q12_q19_q27_Fig!$BB$19</c:f>
              <c:strCache>
                <c:ptCount val="1"/>
                <c:pt idx="0">
                  <c:v>Ganho</c:v>
                </c:pt>
              </c:strCache>
            </c:strRef>
          </c:tx>
          <c:spPr>
            <a:solidFill>
              <a:srgbClr val="FFC000"/>
            </a:solidFill>
            <a:ln>
              <a:noFill/>
            </a:ln>
            <a:effectLst>
              <a:outerShdw blurRad="40000" dist="23000" dir="5400000" rotWithShape="0">
                <a:srgbClr val="000000">
                  <a:alpha val="35000"/>
                </a:srgbClr>
              </a:outerShdw>
            </a:effectLst>
          </c:spPr>
          <c:invertIfNegative val="0"/>
          <c:dLbls>
            <c:dLbl>
              <c:idx val="0"/>
              <c:numFmt formatCode="#,##0\ &quot;€&quot;" sourceLinked="0"/>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49BD-4AAF-A276-4098319ACECD}"/>
                </c:ext>
              </c:extLst>
            </c:dLbl>
            <c:numFmt formatCode="#,##0\ &quot;€&quot;" sourceLinked="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00467A"/>
                    </a:solidFill>
                    <a:latin typeface="+mn-lt"/>
                    <a:ea typeface="+mn-ea"/>
                    <a:cs typeface="+mn-cs"/>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q3_q6_q9_q12_q19_q27_Fig!$AZ$38</c:f>
              <c:strCache>
                <c:ptCount val="1"/>
                <c:pt idx="0">
                  <c:v>Continente</c:v>
                </c:pt>
              </c:strCache>
            </c:strRef>
          </c:cat>
          <c:val>
            <c:numRef>
              <c:f>q3_q6_q9_q12_q19_q27_Fig!$BB$38</c:f>
              <c:numCache>
                <c:formatCode>#,##0\ "€"</c:formatCode>
                <c:ptCount val="1"/>
                <c:pt idx="0">
                  <c:v>1367.9952489883699</c:v>
                </c:pt>
              </c:numCache>
            </c:numRef>
          </c:val>
          <c:extLst>
            <c:ext xmlns:c16="http://schemas.microsoft.com/office/drawing/2014/chart" uri="{C3380CC4-5D6E-409C-BE32-E72D297353CC}">
              <c16:uniqueId val="{00000003-49BD-4AAF-A276-4098319ACECD}"/>
            </c:ext>
          </c:extLst>
        </c:ser>
        <c:dLbls>
          <c:dLblPos val="inEnd"/>
          <c:showLegendKey val="0"/>
          <c:showVal val="1"/>
          <c:showCatName val="0"/>
          <c:showSerName val="0"/>
          <c:showPercent val="0"/>
          <c:showBubbleSize val="0"/>
        </c:dLbls>
        <c:gapWidth val="307"/>
        <c:overlap val="-3"/>
        <c:axId val="641469711"/>
        <c:axId val="891542255"/>
      </c:barChart>
      <c:catAx>
        <c:axId val="641469711"/>
        <c:scaling>
          <c:orientation val="maxMin"/>
        </c:scaling>
        <c:delete val="1"/>
        <c:axPos val="l"/>
        <c:numFmt formatCode="General" sourceLinked="1"/>
        <c:majorTickMark val="none"/>
        <c:minorTickMark val="none"/>
        <c:tickLblPos val="nextTo"/>
        <c:crossAx val="891542255"/>
        <c:crosses val="autoZero"/>
        <c:auto val="1"/>
        <c:lblAlgn val="ctr"/>
        <c:lblOffset val="100"/>
        <c:noMultiLvlLbl val="0"/>
      </c:catAx>
      <c:valAx>
        <c:axId val="891542255"/>
        <c:scaling>
          <c:orientation val="minMax"/>
          <c:min val="0"/>
        </c:scaling>
        <c:delete val="1"/>
        <c:axPos val="t"/>
        <c:majorGridlines>
          <c:spPr>
            <a:ln w="9525" cap="flat" cmpd="sng" algn="ctr">
              <a:noFill/>
              <a:round/>
            </a:ln>
            <a:effectLst/>
          </c:spPr>
        </c:majorGridlines>
        <c:numFmt formatCode="#,##0" sourceLinked="0"/>
        <c:majorTickMark val="none"/>
        <c:minorTickMark val="none"/>
        <c:tickLblPos val="nextTo"/>
        <c:crossAx val="6414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'q3.1_6.1_9.1_12.1_19.1_27.1_Fig'!$R$6</c:f>
              <c:strCache>
                <c:ptCount val="1"/>
                <c:pt idx="0">
                  <c:v>Empresas</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6.2188007432133839E-2"/>
                  <c:y val="-0.105375815534839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0B-4E38-A0B2-A66A7C67D7EB}"/>
                </c:ext>
              </c:extLst>
            </c:dLbl>
            <c:dLbl>
              <c:idx val="10"/>
              <c:layout>
                <c:manualLayout>
                  <c:x val="-0.11392992711610846"/>
                  <c:y val="-6.62989296751308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80B-4E38-A0B2-A66A7C67D7EB}"/>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80B-4E38-A0B2-A66A7C67D7E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'q3.1_6.1_9.1_12.1_19.1_27.1_Fig'!$S$5:$AC$5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'q3.1_6.1_9.1_12.1_19.1_27.1_Fig'!$S$6:$AC$6</c:f>
              <c:numCache>
                <c:formatCode>#,##0</c:formatCode>
                <c:ptCount val="11"/>
                <c:pt idx="0">
                  <c:v>54272</c:v>
                </c:pt>
                <c:pt idx="1">
                  <c:v>53685</c:v>
                </c:pt>
                <c:pt idx="2">
                  <c:v>54415</c:v>
                </c:pt>
                <c:pt idx="3">
                  <c:v>55029</c:v>
                </c:pt>
                <c:pt idx="4">
                  <c:v>55354</c:v>
                </c:pt>
                <c:pt idx="5">
                  <c:v>56108</c:v>
                </c:pt>
                <c:pt idx="6">
                  <c:v>57209</c:v>
                </c:pt>
                <c:pt idx="7">
                  <c:v>55559</c:v>
                </c:pt>
                <c:pt idx="8">
                  <c:v>56643</c:v>
                </c:pt>
                <c:pt idx="9">
                  <c:v>54793</c:v>
                </c:pt>
                <c:pt idx="10">
                  <c:v>57854</c:v>
                </c:pt>
              </c:numCache>
            </c:numRef>
          </c:val>
          <c:extLst>
            <c:ext xmlns:c16="http://schemas.microsoft.com/office/drawing/2014/chart" uri="{C3380CC4-5D6E-409C-BE32-E72D297353CC}">
              <c16:uniqueId val="{00000003-980B-4E38-A0B2-A66A7C67D7EB}"/>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'q3.1_6.1_9.1_12.1_19.1_27.1_Fig'!$R$7</c:f>
              <c:strCache>
                <c:ptCount val="1"/>
                <c:pt idx="0">
                  <c:v>Estabelecimentos</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980B-4E38-A0B2-A66A7C67D7EB}"/>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980B-4E38-A0B2-A66A7C67D7EB}"/>
              </c:ext>
            </c:extLst>
          </c:dPt>
          <c:dLbls>
            <c:dLbl>
              <c:idx val="0"/>
              <c:layout>
                <c:manualLayout>
                  <c:x val="7.9394142669286016E-2"/>
                  <c:y val="-4.5953212075963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0B-4E38-A0B2-A66A7C67D7EB}"/>
                </c:ext>
              </c:extLst>
            </c:dLbl>
            <c:dLbl>
              <c:idx val="10"/>
              <c:layout>
                <c:manualLayout>
                  <c:x val="-6.6792310190435217E-2"/>
                  <c:y val="-6.3416854766688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80B-4E38-A0B2-A66A7C67D7EB}"/>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80B-4E38-A0B2-A66A7C67D7EB}"/>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'q3.1_6.1_9.1_12.1_19.1_27.1_Fig'!$S$5:$AC$5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'q3.1_6.1_9.1_12.1_19.1_27.1_Fig'!$S$7:$AC$7</c:f>
              <c:numCache>
                <c:formatCode>#,##0</c:formatCode>
                <c:ptCount val="11"/>
                <c:pt idx="0">
                  <c:v>65539</c:v>
                </c:pt>
                <c:pt idx="1">
                  <c:v>64587</c:v>
                </c:pt>
                <c:pt idx="2">
                  <c:v>65289</c:v>
                </c:pt>
                <c:pt idx="3">
                  <c:v>65847</c:v>
                </c:pt>
                <c:pt idx="4">
                  <c:v>66220</c:v>
                </c:pt>
                <c:pt idx="5">
                  <c:v>66764</c:v>
                </c:pt>
                <c:pt idx="6">
                  <c:v>67989</c:v>
                </c:pt>
                <c:pt idx="7">
                  <c:v>66115</c:v>
                </c:pt>
                <c:pt idx="8">
                  <c:v>67101</c:v>
                </c:pt>
                <c:pt idx="9">
                  <c:v>64927</c:v>
                </c:pt>
                <c:pt idx="10">
                  <c:v>68270</c:v>
                </c:pt>
              </c:numCache>
            </c:numRef>
          </c:val>
          <c:smooth val="0"/>
          <c:extLst>
            <c:ext xmlns:c16="http://schemas.microsoft.com/office/drawing/2014/chart" uri="{C3380CC4-5D6E-409C-BE32-E72D297353CC}">
              <c16:uniqueId val="{00000007-980B-4E38-A0B2-A66A7C67D7EB}"/>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92521828481056423"/>
          <c:w val="0.70237154150197634"/>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'q3.1_6.1_9.1_12.1_19.1_27.1_Fig'!$R$38</c:f>
              <c:strCache>
                <c:ptCount val="1"/>
                <c:pt idx="0">
                  <c:v>Pessoas ao serviço</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6.2188007432133839E-2"/>
                  <c:y val="-0.105375815534839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91-4BA8-B76A-3629BFCCD9F1}"/>
                </c:ext>
              </c:extLst>
            </c:dLbl>
            <c:dLbl>
              <c:idx val="10"/>
              <c:layout>
                <c:manualLayout>
                  <c:x val="-0.11392992711610846"/>
                  <c:y val="-6.62989296751308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91-4BA8-B76A-3629BFCCD9F1}"/>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91-4BA8-B76A-3629BFCCD9F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'q3.1_6.1_9.1_12.1_19.1_27.1_Fig'!$S$37:$AC$37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'q3.1_6.1_9.1_12.1_19.1_27.1_Fig'!$S$38:$AC$38</c:f>
              <c:numCache>
                <c:formatCode>#,##0</c:formatCode>
                <c:ptCount val="11"/>
                <c:pt idx="0">
                  <c:v>688888.00000000012</c:v>
                </c:pt>
                <c:pt idx="1">
                  <c:v>692704</c:v>
                </c:pt>
                <c:pt idx="2">
                  <c:v>715126</c:v>
                </c:pt>
                <c:pt idx="3">
                  <c:v>730551</c:v>
                </c:pt>
                <c:pt idx="4">
                  <c:v>765222</c:v>
                </c:pt>
                <c:pt idx="5">
                  <c:v>790694</c:v>
                </c:pt>
                <c:pt idx="6">
                  <c:v>826919</c:v>
                </c:pt>
                <c:pt idx="7">
                  <c:v>845336</c:v>
                </c:pt>
                <c:pt idx="8">
                  <c:v>835460</c:v>
                </c:pt>
                <c:pt idx="9">
                  <c:v>838586</c:v>
                </c:pt>
                <c:pt idx="10">
                  <c:v>915180</c:v>
                </c:pt>
              </c:numCache>
            </c:numRef>
          </c:val>
          <c:extLst>
            <c:ext xmlns:c16="http://schemas.microsoft.com/office/drawing/2014/chart" uri="{C3380CC4-5D6E-409C-BE32-E72D297353CC}">
              <c16:uniqueId val="{00000003-6991-4BA8-B76A-3629BFCCD9F1}"/>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'q3.1_6.1_9.1_12.1_19.1_27.1_Fig'!$R$39</c:f>
              <c:strCache>
                <c:ptCount val="1"/>
                <c:pt idx="0">
                  <c:v>TCO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6991-4BA8-B76A-3629BFCCD9F1}"/>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6991-4BA8-B76A-3629BFCCD9F1}"/>
              </c:ext>
            </c:extLst>
          </c:dPt>
          <c:dLbls>
            <c:dLbl>
              <c:idx val="0"/>
              <c:layout>
                <c:manualLayout>
                  <c:x val="1.4485420559752521E-2"/>
                  <c:y val="-9.0123386658288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91-4BA8-B76A-3629BFCCD9F1}"/>
                </c:ext>
              </c:extLst>
            </c:dLbl>
            <c:dLbl>
              <c:idx val="10"/>
              <c:layout>
                <c:manualLayout>
                  <c:x val="-6.6792310190435217E-2"/>
                  <c:y val="-6.3416854766688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91-4BA8-B76A-3629BFCCD9F1}"/>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991-4BA8-B76A-3629BFCCD9F1}"/>
                </c:ext>
              </c:extLst>
            </c:dLbl>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'q3.1_6.1_9.1_12.1_19.1_27.1_Fig'!$S$37:$AC$37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'q3.1_6.1_9.1_12.1_19.1_27.1_Fig'!$S$39:$AC$39</c:f>
              <c:numCache>
                <c:formatCode>#,##0</c:formatCode>
                <c:ptCount val="11"/>
                <c:pt idx="0">
                  <c:v>652354</c:v>
                </c:pt>
                <c:pt idx="1">
                  <c:v>656569.99999999988</c:v>
                </c:pt>
                <c:pt idx="2">
                  <c:v>677265</c:v>
                </c:pt>
                <c:pt idx="3">
                  <c:v>692513</c:v>
                </c:pt>
                <c:pt idx="4">
                  <c:v>728120</c:v>
                </c:pt>
                <c:pt idx="5">
                  <c:v>753266.00000000012</c:v>
                </c:pt>
                <c:pt idx="6">
                  <c:v>788380.00000000012</c:v>
                </c:pt>
                <c:pt idx="7">
                  <c:v>807855</c:v>
                </c:pt>
                <c:pt idx="8">
                  <c:v>797460</c:v>
                </c:pt>
                <c:pt idx="9">
                  <c:v>801493</c:v>
                </c:pt>
                <c:pt idx="10">
                  <c:v>875584</c:v>
                </c:pt>
              </c:numCache>
            </c:numRef>
          </c:val>
          <c:smooth val="0"/>
          <c:extLst>
            <c:ext xmlns:c16="http://schemas.microsoft.com/office/drawing/2014/chart" uri="{C3380CC4-5D6E-409C-BE32-E72D297353CC}">
              <c16:uniqueId val="{00000007-6991-4BA8-B76A-3629BFCCD9F1}"/>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92521828481056423"/>
          <c:w val="0.70237154150197634"/>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37811309099102"/>
          <c:y val="0.16374822452063048"/>
          <c:w val="0.48737231956677352"/>
          <c:h val="0.61909228840533581"/>
        </c:manualLayout>
      </c:layout>
      <c:barChart>
        <c:barDir val="col"/>
        <c:grouping val="clustered"/>
        <c:varyColors val="0"/>
        <c:ser>
          <c:idx val="0"/>
          <c:order val="0"/>
          <c:tx>
            <c:strRef>
              <c:f>'q3.1_6.1_9.1_12.1_19.1_27.1_Fig'!$R$72</c:f>
              <c:strCache>
                <c:ptCount val="1"/>
                <c:pt idx="0">
                  <c:v>Base</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5.8742180554002758E-2"/>
                  <c:y val="-6.8825092678146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24-4D6E-BC8F-E0CC3DD6E3BF}"/>
                </c:ext>
              </c:extLst>
            </c:dLbl>
            <c:dLbl>
              <c:idx val="10"/>
              <c:layout>
                <c:manualLayout>
                  <c:x val="-7.6729435189769629E-2"/>
                  <c:y val="-5.3800277387150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24-4D6E-BC8F-E0CC3DD6E3BF}"/>
                </c:ext>
              </c:extLst>
            </c:dLbl>
            <c:dLbl>
              <c:idx val="11"/>
              <c:layout>
                <c:manualLayout>
                  <c:x val="-7.75548364600552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24-4D6E-BC8F-E0CC3DD6E3BF}"/>
                </c:ext>
              </c:extLst>
            </c:dLbl>
            <c:numFmt formatCode="#,##0.00\ &quot;€&quot;"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'q3.1_6.1_9.1_12.1_19.1_27.1_Fig'!$S$71:$AC$71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'q3.1_6.1_9.1_12.1_19.1_27.1_Fig'!$S$72:$AC$72</c:f>
              <c:numCache>
                <c:formatCode>#,##0.00</c:formatCode>
                <c:ptCount val="11"/>
                <c:pt idx="0">
                  <c:v>1192.6909840284645</c:v>
                </c:pt>
                <c:pt idx="1">
                  <c:v>1184.3394968190814</c:v>
                </c:pt>
                <c:pt idx="2">
                  <c:v>1174.2335426887817</c:v>
                </c:pt>
                <c:pt idx="3">
                  <c:v>1175.5703698145885</c:v>
                </c:pt>
                <c:pt idx="4">
                  <c:v>1179.7804523135078</c:v>
                </c:pt>
                <c:pt idx="5">
                  <c:v>1197.3980544344977</c:v>
                </c:pt>
                <c:pt idx="6">
                  <c:v>1219.74446356669</c:v>
                </c:pt>
                <c:pt idx="7">
                  <c:v>1255.7750738574869</c:v>
                </c:pt>
                <c:pt idx="8">
                  <c:v>1293.0735258916031</c:v>
                </c:pt>
                <c:pt idx="9">
                  <c:v>1339.8023759541529</c:v>
                </c:pt>
                <c:pt idx="10">
                  <c:v>1418.3948630060115</c:v>
                </c:pt>
              </c:numCache>
            </c:numRef>
          </c:val>
          <c:extLst>
            <c:ext xmlns:c16="http://schemas.microsoft.com/office/drawing/2014/chart" uri="{C3380CC4-5D6E-409C-BE32-E72D297353CC}">
              <c16:uniqueId val="{00000003-BF24-4D6E-BC8F-E0CC3DD6E3BF}"/>
            </c:ext>
          </c:extLst>
        </c:ser>
        <c:dLbls>
          <c:showLegendKey val="0"/>
          <c:showVal val="0"/>
          <c:showCatName val="0"/>
          <c:showSerName val="0"/>
          <c:showPercent val="0"/>
          <c:showBubbleSize val="0"/>
        </c:dLbls>
        <c:gapWidth val="50"/>
        <c:axId val="1115773631"/>
        <c:axId val="1103588127"/>
      </c:barChart>
      <c:lineChart>
        <c:grouping val="standard"/>
        <c:varyColors val="0"/>
        <c:ser>
          <c:idx val="1"/>
          <c:order val="1"/>
          <c:tx>
            <c:strRef>
              <c:f>'q3.1_6.1_9.1_12.1_19.1_27.1_Fig'!$R$73</c:f>
              <c:strCache>
                <c:ptCount val="1"/>
                <c:pt idx="0">
                  <c:v>Ganho</c:v>
                </c:pt>
              </c:strCache>
            </c:strRef>
          </c:tx>
          <c:spPr>
            <a:ln w="31750" cap="rnd">
              <a:solidFill>
                <a:srgbClr val="FFC000"/>
              </a:solidFill>
              <a:round/>
            </a:ln>
            <a:effectLst>
              <a:outerShdw blurRad="40000" dist="23000" dir="5400000" rotWithShape="0">
                <a:srgbClr val="000000">
                  <a:alpha val="35000"/>
                </a:srgbClr>
              </a:outerShdw>
            </a:effectLst>
          </c:spPr>
          <c:marker>
            <c:symbol val="none"/>
          </c:marker>
          <c:dPt>
            <c:idx val="0"/>
            <c:marker>
              <c:symbol val="none"/>
            </c:marker>
            <c:bubble3D val="0"/>
            <c:extLst>
              <c:ext xmlns:c16="http://schemas.microsoft.com/office/drawing/2014/chart" uri="{C3380CC4-5D6E-409C-BE32-E72D297353CC}">
                <c16:uniqueId val="{00000004-BF24-4D6E-BC8F-E0CC3DD6E3BF}"/>
              </c:ext>
            </c:extLst>
          </c:dPt>
          <c:dPt>
            <c:idx val="11"/>
            <c:marker>
              <c:symbol val="circle"/>
              <c:size val="6"/>
              <c:spPr>
                <a:solidFill>
                  <a:srgbClr val="FFC000"/>
                </a:solidFill>
                <a:ln w="12700" cap="rnd">
                  <a:solidFill>
                    <a:srgbClr val="FF0000"/>
                  </a:solidFill>
                  <a:round/>
                </a:ln>
                <a:effectLst>
                  <a:outerShdw blurRad="40000" dist="23000" dir="5400000" rotWithShape="0">
                    <a:srgbClr val="000000">
                      <a:alpha val="35000"/>
                    </a:srgbClr>
                  </a:outerShdw>
                </a:effectLst>
              </c:spPr>
            </c:marker>
            <c:bubble3D val="0"/>
            <c:extLst>
              <c:ext xmlns:c16="http://schemas.microsoft.com/office/drawing/2014/chart" uri="{C3380CC4-5D6E-409C-BE32-E72D297353CC}">
                <c16:uniqueId val="{00000005-BF24-4D6E-BC8F-E0CC3DD6E3BF}"/>
              </c:ext>
            </c:extLst>
          </c:dPt>
          <c:dLbls>
            <c:dLbl>
              <c:idx val="0"/>
              <c:layout>
                <c:manualLayout>
                  <c:x val="3.7416215467993025E-4"/>
                  <c:y val="-0.126673723074259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24-4D6E-BC8F-E0CC3DD6E3BF}"/>
                </c:ext>
              </c:extLst>
            </c:dLbl>
            <c:dLbl>
              <c:idx val="10"/>
              <c:layout>
                <c:manualLayout>
                  <c:x val="-0.1934663238089154"/>
                  <c:y val="-9.46795227766229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24-4D6E-BC8F-E0CC3DD6E3BF}"/>
                </c:ext>
              </c:extLst>
            </c:dLbl>
            <c:dLbl>
              <c:idx val="11"/>
              <c:layout>
                <c:manualLayout>
                  <c:x val="-2.7144192761019353E-2"/>
                  <c:y val="-4.49736532299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24-4D6E-BC8F-E0CC3DD6E3BF}"/>
                </c:ext>
              </c:extLst>
            </c:dLbl>
            <c:numFmt formatCode="#,##0.00\ &quot;€&quot;" sourceLinked="0"/>
            <c:spPr>
              <a:noFill/>
              <a:ln>
                <a:noFill/>
              </a:ln>
              <a:effectLst/>
            </c:spPr>
            <c:txPr>
              <a:bodyPr rot="0" spcFirstLastPara="1" vertOverflow="overflow" horzOverflow="overflow" vert="horz" wrap="square" lIns="38100" tIns="19050" rIns="38100" bIns="19050" anchor="ctr" anchorCtr="1">
                <a:spAutoFit/>
              </a:bodyPr>
              <a:lstStyle/>
              <a:p>
                <a:pPr>
                  <a:defRPr sz="800" b="1" i="0" u="none" strike="noStrike" kern="1200" baseline="0">
                    <a:solidFill>
                      <a:srgbClr val="FFC000"/>
                    </a:solidFill>
                    <a:latin typeface="+mn-lt"/>
                    <a:ea typeface="+mn-ea"/>
                    <a:cs typeface="+mn-cs"/>
                  </a:defRPr>
                </a:pPr>
                <a:endParaRPr lang="pt-PT"/>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'q3.1_6.1_9.1_12.1_19.1_27.1_Fig'!$S$71:$AC$71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'q3.1_6.1_9.1_12.1_19.1_27.1_Fig'!$S$73:$AC$73</c:f>
              <c:numCache>
                <c:formatCode>#,##0.00</c:formatCode>
                <c:ptCount val="11"/>
                <c:pt idx="0">
                  <c:v>1436.7508171929078</c:v>
                </c:pt>
                <c:pt idx="1">
                  <c:v>1427.9555868243838</c:v>
                </c:pt>
                <c:pt idx="2">
                  <c:v>1421.2480737947819</c:v>
                </c:pt>
                <c:pt idx="3">
                  <c:v>1420.2438087132427</c:v>
                </c:pt>
                <c:pt idx="4">
                  <c:v>1424.2804857352442</c:v>
                </c:pt>
                <c:pt idx="5">
                  <c:v>1447.5142165713758</c:v>
                </c:pt>
                <c:pt idx="6">
                  <c:v>1480.7625560860886</c:v>
                </c:pt>
                <c:pt idx="7">
                  <c:v>1518.6031180967984</c:v>
                </c:pt>
                <c:pt idx="8">
                  <c:v>1558.3371113726521</c:v>
                </c:pt>
                <c:pt idx="9">
                  <c:v>1609.1367002569812</c:v>
                </c:pt>
                <c:pt idx="10">
                  <c:v>1705.138574047387</c:v>
                </c:pt>
              </c:numCache>
            </c:numRef>
          </c:val>
          <c:smooth val="0"/>
          <c:extLst>
            <c:ext xmlns:c16="http://schemas.microsoft.com/office/drawing/2014/chart" uri="{C3380CC4-5D6E-409C-BE32-E72D297353CC}">
              <c16:uniqueId val="{00000007-BF24-4D6E-BC8F-E0CC3DD6E3BF}"/>
            </c:ext>
          </c:extLst>
        </c:ser>
        <c:dLbls>
          <c:showLegendKey val="0"/>
          <c:showVal val="0"/>
          <c:showCatName val="0"/>
          <c:showSerName val="0"/>
          <c:showPercent val="0"/>
          <c:showBubbleSize val="0"/>
        </c:dLbls>
        <c:marker val="1"/>
        <c:smooth val="0"/>
        <c:axId val="1115773631"/>
        <c:axId val="1103588127"/>
      </c:lineChart>
      <c:catAx>
        <c:axId val="11157736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700" b="0" i="0" u="none" strike="noStrike" kern="1200" baseline="0">
                <a:solidFill>
                  <a:sysClr val="windowText" lastClr="000000"/>
                </a:solidFill>
                <a:latin typeface="+mn-lt"/>
                <a:ea typeface="+mn-ea"/>
                <a:cs typeface="+mn-cs"/>
              </a:defRPr>
            </a:pPr>
            <a:endParaRPr lang="pt-PT"/>
          </a:p>
        </c:txPr>
        <c:crossAx val="1103588127"/>
        <c:crosses val="autoZero"/>
        <c:auto val="1"/>
        <c:lblAlgn val="ctr"/>
        <c:lblOffset val="100"/>
        <c:noMultiLvlLbl val="0"/>
      </c:catAx>
      <c:valAx>
        <c:axId val="1103588127"/>
        <c:scaling>
          <c:orientation val="minMax"/>
          <c:max val="1800"/>
          <c:min val="0"/>
        </c:scaling>
        <c:delete val="0"/>
        <c:axPos val="l"/>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crossAx val="1115773631"/>
        <c:crosses val="autoZero"/>
        <c:crossBetween val="between"/>
      </c:valAx>
      <c:spPr>
        <a:noFill/>
        <a:ln>
          <a:noFill/>
        </a:ln>
        <a:effectLst/>
      </c:spPr>
    </c:plotArea>
    <c:legend>
      <c:legendPos val="b"/>
      <c:layout>
        <c:manualLayout>
          <c:xMode val="edge"/>
          <c:yMode val="edge"/>
          <c:x val="1.9174371713357886E-2"/>
          <c:y val="0.92521828481056423"/>
          <c:w val="0.70237154150197634"/>
          <c:h val="7.4781715189435743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'q3.1_6.1_9.1_12.1_19.1_27.1_Fig'!$AS$37</c:f>
              <c:strCache>
                <c:ptCount val="1"/>
                <c:pt idx="0">
                  <c:v>Empresas</c:v>
                </c:pt>
              </c:strCache>
            </c:strRef>
          </c:tx>
          <c:spPr>
            <a:solidFill>
              <a:srgbClr val="4572A5"/>
            </a:solidFill>
            <a:ln w="15875" cmpd="sng">
              <a:noFill/>
              <a:prstDash val="soli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'q3.1_6.1_9.1_12.1_19.1_27.1_Fig'!$AR$38</c:f>
              <c:strCache>
                <c:ptCount val="1"/>
                <c:pt idx="0">
                  <c:v>Norte</c:v>
                </c:pt>
              </c:strCache>
            </c:strRef>
          </c:cat>
          <c:val>
            <c:numRef>
              <c:extLst>
                <c:ext xmlns:c15="http://schemas.microsoft.com/office/drawing/2012/chart" uri="{02D57815-91ED-43cb-92C2-25804820EDAC}">
                  <c15:fullRef>
                    <c15:sqref>'q3.1_6.1_9.1_12.1_19.1_27.1_Fig'!$AS$38:$AS$44</c15:sqref>
                  </c15:fullRef>
                </c:ext>
              </c:extLst>
              <c:f>'q3.1_6.1_9.1_12.1_19.1_27.1_Fig'!$AS$38</c:f>
              <c:numCache>
                <c:formatCode>#,##0</c:formatCode>
                <c:ptCount val="1"/>
                <c:pt idx="0">
                  <c:v>110941</c:v>
                </c:pt>
              </c:numCache>
            </c:numRef>
          </c:val>
          <c:extLst>
            <c:ext xmlns:c16="http://schemas.microsoft.com/office/drawing/2014/chart" uri="{C3380CC4-5D6E-409C-BE32-E72D297353CC}">
              <c16:uniqueId val="{00000000-054E-4AD8-B0B8-6A5BE91409B9}"/>
            </c:ext>
          </c:extLst>
        </c:ser>
        <c:ser>
          <c:idx val="1"/>
          <c:order val="1"/>
          <c:tx>
            <c:strRef>
              <c:f>'q3.1_6.1_9.1_12.1_19.1_27.1_Fig'!$AT$37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'q3.1_6.1_9.1_12.1_19.1_27.1_Fig'!$AR$38</c:f>
              <c:strCache>
                <c:ptCount val="1"/>
                <c:pt idx="0">
                  <c:v>Norte</c:v>
                </c:pt>
              </c:strCache>
            </c:strRef>
          </c:cat>
          <c:val>
            <c:numRef>
              <c:extLst>
                <c:ext xmlns:c15="http://schemas.microsoft.com/office/drawing/2012/chart" uri="{02D57815-91ED-43cb-92C2-25804820EDAC}">
                  <c15:fullRef>
                    <c15:sqref>'q3.1_6.1_9.1_12.1_19.1_27.1_Fig'!$AT$38:$AT$44</c15:sqref>
                  </c15:fullRef>
                </c:ext>
              </c:extLst>
              <c:f>'q3.1_6.1_9.1_12.1_19.1_27.1_Fig'!$AT$38</c:f>
              <c:numCache>
                <c:formatCode>#,##0</c:formatCode>
                <c:ptCount val="1"/>
                <c:pt idx="0">
                  <c:v>126463</c:v>
                </c:pt>
              </c:numCache>
            </c:numRef>
          </c:val>
          <c:extLst>
            <c:ext xmlns:c16="http://schemas.microsoft.com/office/drawing/2014/chart" uri="{C3380CC4-5D6E-409C-BE32-E72D297353CC}">
              <c16:uniqueId val="{00000001-054E-4AD8-B0B8-6A5BE91409B9}"/>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'q3.1_6.1_9.1_12.1_19.1_27.1_Fig'!$AR$39</c:f>
              <c:strCache>
                <c:ptCount val="1"/>
                <c:pt idx="0">
                  <c:v>Centro</c:v>
                </c:pt>
              </c:strCache>
            </c:strRef>
          </c:cat>
          <c:val>
            <c:numRef>
              <c:extLst>
                <c:ext xmlns:c15="http://schemas.microsoft.com/office/drawing/2012/chart" uri="{02D57815-91ED-43cb-92C2-25804820EDAC}">
                  <c15:fullRef>
                    <c15:sqref>'q3.1_6.1_9.1_12.1_19.1_27.1_Fig'!$AS$38:$AS$44</c15:sqref>
                  </c15:fullRef>
                </c:ext>
              </c:extLst>
              <c:f>'q3.1_6.1_9.1_12.1_19.1_27.1_Fig'!$AS$39</c:f>
              <c:numCache>
                <c:formatCode>#,##0</c:formatCode>
                <c:ptCount val="1"/>
                <c:pt idx="0">
                  <c:v>46520</c:v>
                </c:pt>
              </c:numCache>
            </c:numRef>
          </c:val>
          <c:extLst>
            <c:ext xmlns:c16="http://schemas.microsoft.com/office/drawing/2014/chart" uri="{C3380CC4-5D6E-409C-BE32-E72D297353CC}">
              <c16:uniqueId val="{00000000-52AA-4ADF-B576-C40A2A007439}"/>
            </c:ext>
          </c:extLst>
        </c:ser>
        <c:ser>
          <c:idx val="1"/>
          <c:order val="1"/>
          <c:tx>
            <c:strRef>
              <c:f>'q3.1_6.1_9.1_12.1_19.1_27.1_Fig'!$AT$37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'q3.1_6.1_9.1_12.1_19.1_27.1_Fig'!$AR$39</c:f>
              <c:strCache>
                <c:ptCount val="1"/>
                <c:pt idx="0">
                  <c:v>Centro</c:v>
                </c:pt>
              </c:strCache>
            </c:strRef>
          </c:cat>
          <c:val>
            <c:numRef>
              <c:extLst>
                <c:ext xmlns:c15="http://schemas.microsoft.com/office/drawing/2012/chart" uri="{02D57815-91ED-43cb-92C2-25804820EDAC}">
                  <c15:fullRef>
                    <c15:sqref>'q3.1_6.1_9.1_12.1_19.1_27.1_Fig'!$AT$38:$AT$44</c15:sqref>
                  </c15:fullRef>
                </c:ext>
              </c:extLst>
              <c:f>'q3.1_6.1_9.1_12.1_19.1_27.1_Fig'!$AT$39</c:f>
              <c:numCache>
                <c:formatCode>#,##0</c:formatCode>
                <c:ptCount val="1"/>
                <c:pt idx="0">
                  <c:v>54851</c:v>
                </c:pt>
              </c:numCache>
            </c:numRef>
          </c:val>
          <c:extLst>
            <c:ext xmlns:c16="http://schemas.microsoft.com/office/drawing/2014/chart" uri="{C3380CC4-5D6E-409C-BE32-E72D297353CC}">
              <c16:uniqueId val="{00000001-52AA-4ADF-B576-C40A2A007439}"/>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'q3.1_6.1_9.1_12.1_19.1_27.1_Fig'!$AR$40</c:f>
              <c:strCache>
                <c:ptCount val="1"/>
                <c:pt idx="0">
                  <c:v>Oeste e Vale do Tejo</c:v>
                </c:pt>
              </c:strCache>
            </c:strRef>
          </c:cat>
          <c:val>
            <c:numRef>
              <c:extLst>
                <c:ext xmlns:c15="http://schemas.microsoft.com/office/drawing/2012/chart" uri="{02D57815-91ED-43cb-92C2-25804820EDAC}">
                  <c15:fullRef>
                    <c15:sqref>'q3.1_6.1_9.1_12.1_19.1_27.1_Fig'!$AS$38:$AS$44</c15:sqref>
                  </c15:fullRef>
                </c:ext>
              </c:extLst>
              <c:f>'q3.1_6.1_9.1_12.1_19.1_27.1_Fig'!$AS$40</c:f>
              <c:numCache>
                <c:formatCode>#,##0</c:formatCode>
                <c:ptCount val="1"/>
                <c:pt idx="0">
                  <c:v>23397</c:v>
                </c:pt>
              </c:numCache>
            </c:numRef>
          </c:val>
          <c:extLst>
            <c:ext xmlns:c16="http://schemas.microsoft.com/office/drawing/2014/chart" uri="{C3380CC4-5D6E-409C-BE32-E72D297353CC}">
              <c16:uniqueId val="{00000000-52E8-464F-8D59-2460A0752D49}"/>
            </c:ext>
          </c:extLst>
        </c:ser>
        <c:ser>
          <c:idx val="1"/>
          <c:order val="1"/>
          <c:tx>
            <c:strRef>
              <c:f>'q3.1_6.1_9.1_12.1_19.1_27.1_Fig'!$AT$37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'q3.1_6.1_9.1_12.1_19.1_27.1_Fig'!$AR$40</c:f>
              <c:strCache>
                <c:ptCount val="1"/>
                <c:pt idx="0">
                  <c:v>Oeste e Vale do Tejo</c:v>
                </c:pt>
              </c:strCache>
            </c:strRef>
          </c:cat>
          <c:val>
            <c:numRef>
              <c:extLst>
                <c:ext xmlns:c15="http://schemas.microsoft.com/office/drawing/2012/chart" uri="{02D57815-91ED-43cb-92C2-25804820EDAC}">
                  <c15:fullRef>
                    <c15:sqref>'q3.1_6.1_9.1_12.1_19.1_27.1_Fig'!$AT$38:$AT$44</c15:sqref>
                  </c15:fullRef>
                </c:ext>
              </c:extLst>
              <c:f>'q3.1_6.1_9.1_12.1_19.1_27.1_Fig'!$AT$40</c:f>
              <c:numCache>
                <c:formatCode>#,##0</c:formatCode>
                <c:ptCount val="1"/>
                <c:pt idx="0">
                  <c:v>27499</c:v>
                </c:pt>
              </c:numCache>
            </c:numRef>
          </c:val>
          <c:extLst>
            <c:ext xmlns:c16="http://schemas.microsoft.com/office/drawing/2014/chart" uri="{C3380CC4-5D6E-409C-BE32-E72D297353CC}">
              <c16:uniqueId val="{00000001-52E8-464F-8D59-2460A0752D49}"/>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majorUnit val="4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'q3.1_6.1_9.1_12.1_19.1_27.1_Fig'!$AR$42</c:f>
              <c:strCache>
                <c:ptCount val="1"/>
                <c:pt idx="0">
                  <c:v>Península de Setúbal</c:v>
                </c:pt>
              </c:strCache>
            </c:strRef>
          </c:cat>
          <c:val>
            <c:numRef>
              <c:extLst>
                <c:ext xmlns:c15="http://schemas.microsoft.com/office/drawing/2012/chart" uri="{02D57815-91ED-43cb-92C2-25804820EDAC}">
                  <c15:fullRef>
                    <c15:sqref>'q3.1_6.1_9.1_12.1_19.1_27.1_Fig'!$AS$38:$AS$44</c15:sqref>
                  </c15:fullRef>
                </c:ext>
              </c:extLst>
              <c:f>'q3.1_6.1_9.1_12.1_19.1_27.1_Fig'!$AS$42</c:f>
              <c:numCache>
                <c:formatCode>#,##0</c:formatCode>
                <c:ptCount val="1"/>
                <c:pt idx="0">
                  <c:v>14699</c:v>
                </c:pt>
              </c:numCache>
            </c:numRef>
          </c:val>
          <c:extLst>
            <c:ext xmlns:c16="http://schemas.microsoft.com/office/drawing/2014/chart" uri="{C3380CC4-5D6E-409C-BE32-E72D297353CC}">
              <c16:uniqueId val="{00000000-CD41-4F3A-A4D1-43622F02BDE8}"/>
            </c:ext>
          </c:extLst>
        </c:ser>
        <c:ser>
          <c:idx val="1"/>
          <c:order val="1"/>
          <c:tx>
            <c:strRef>
              <c:f>'q3.1_6.1_9.1_12.1_19.1_27.1_Fig'!$AT$37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'q3.1_6.1_9.1_12.1_19.1_27.1_Fig'!$AR$42</c:f>
              <c:strCache>
                <c:ptCount val="1"/>
                <c:pt idx="0">
                  <c:v>Península de Setúbal</c:v>
                </c:pt>
              </c:strCache>
            </c:strRef>
          </c:cat>
          <c:val>
            <c:numRef>
              <c:extLst>
                <c:ext xmlns:c15="http://schemas.microsoft.com/office/drawing/2012/chart" uri="{02D57815-91ED-43cb-92C2-25804820EDAC}">
                  <c15:fullRef>
                    <c15:sqref>'q3.1_6.1_9.1_12.1_19.1_27.1_Fig'!$AT$38:$AT$44</c15:sqref>
                  </c15:fullRef>
                </c:ext>
              </c:extLst>
              <c:f>'q3.1_6.1_9.1_12.1_19.1_27.1_Fig'!$AT$42</c:f>
              <c:numCache>
                <c:formatCode>#,##0</c:formatCode>
                <c:ptCount val="1"/>
                <c:pt idx="0">
                  <c:v>17786</c:v>
                </c:pt>
              </c:numCache>
            </c:numRef>
          </c:val>
          <c:extLst>
            <c:ext xmlns:c16="http://schemas.microsoft.com/office/drawing/2014/chart" uri="{C3380CC4-5D6E-409C-BE32-E72D297353CC}">
              <c16:uniqueId val="{00000001-CD41-4F3A-A4D1-43622F02BDE8}"/>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00000"/>
          <c:min val="0"/>
        </c:scaling>
        <c:delete val="1"/>
        <c:axPos val="l"/>
        <c:numFmt formatCode="#,##0" sourceLinked="1"/>
        <c:majorTickMark val="out"/>
        <c:minorTickMark val="none"/>
        <c:tickLblPos val="nextTo"/>
        <c:crossAx val="636287087"/>
        <c:crosses val="autoZero"/>
        <c:crossBetween val="between"/>
        <c:majorUnit val="50000"/>
        <c:minorUnit val="1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'q3.1_6.1_9.1_12.1_19.1_27.1_Fig'!$AS$37</c:f>
              <c:strCache>
                <c:ptCount val="1"/>
                <c:pt idx="0">
                  <c:v>Empresas</c:v>
                </c:pt>
              </c:strCache>
            </c:strRef>
          </c:tx>
          <c:spPr>
            <a:solidFill>
              <a:srgbClr val="4572A5"/>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bg1"/>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'q3.1_6.1_9.1_12.1_19.1_27.1_Fig'!$AR$41</c:f>
              <c:strCache>
                <c:ptCount val="1"/>
                <c:pt idx="0">
                  <c:v>Grande Lisboa</c:v>
                </c:pt>
              </c:strCache>
            </c:strRef>
          </c:cat>
          <c:val>
            <c:numRef>
              <c:extLst>
                <c:ext xmlns:c15="http://schemas.microsoft.com/office/drawing/2012/chart" uri="{02D57815-91ED-43cb-92C2-25804820EDAC}">
                  <c15:fullRef>
                    <c15:sqref>'q3.1_6.1_9.1_12.1_19.1_27.1_Fig'!$AS$38:$AS$44</c15:sqref>
                  </c15:fullRef>
                </c:ext>
              </c:extLst>
              <c:f>'q3.1_6.1_9.1_12.1_19.1_27.1_Fig'!$AS$41</c:f>
              <c:numCache>
                <c:formatCode>#,##0</c:formatCode>
                <c:ptCount val="1"/>
                <c:pt idx="0">
                  <c:v>57854</c:v>
                </c:pt>
              </c:numCache>
            </c:numRef>
          </c:val>
          <c:extLst>
            <c:ext xmlns:c16="http://schemas.microsoft.com/office/drawing/2014/chart" uri="{C3380CC4-5D6E-409C-BE32-E72D297353CC}">
              <c16:uniqueId val="{00000000-872C-4922-941E-D056918216FF}"/>
            </c:ext>
          </c:extLst>
        </c:ser>
        <c:ser>
          <c:idx val="1"/>
          <c:order val="1"/>
          <c:tx>
            <c:strRef>
              <c:f>'q3.1_6.1_9.1_12.1_19.1_27.1_Fig'!$AT$37</c:f>
              <c:strCache>
                <c:ptCount val="1"/>
                <c:pt idx="0">
                  <c:v>Estabelecimentos</c:v>
                </c:pt>
              </c:strCache>
            </c:strRef>
          </c:tx>
          <c:spPr>
            <a:solidFill>
              <a:srgbClr val="FFC000"/>
            </a:solidFill>
            <a:ln w="127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chemeClr val="tx1">
                        <a:lumMod val="75000"/>
                        <a:lumOff val="25000"/>
                      </a:schemeClr>
                    </a:solidFill>
                    <a:latin typeface="+mn-lt"/>
                    <a:ea typeface="+mn-ea"/>
                    <a:cs typeface="+mn-cs"/>
                  </a:defRPr>
                </a:pPr>
                <a:endParaRPr lang="pt-P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'q3.1_6.1_9.1_12.1_19.1_27.1_Fig'!$AR$38:$AR$44</c15:sqref>
                  </c15:fullRef>
                </c:ext>
              </c:extLst>
              <c:f>'q3.1_6.1_9.1_12.1_19.1_27.1_Fig'!$AR$41</c:f>
              <c:strCache>
                <c:ptCount val="1"/>
                <c:pt idx="0">
                  <c:v>Grande Lisboa</c:v>
                </c:pt>
              </c:strCache>
            </c:strRef>
          </c:cat>
          <c:val>
            <c:numRef>
              <c:extLst>
                <c:ext xmlns:c15="http://schemas.microsoft.com/office/drawing/2012/chart" uri="{02D57815-91ED-43cb-92C2-25804820EDAC}">
                  <c15:fullRef>
                    <c15:sqref>'q3.1_6.1_9.1_12.1_19.1_27.1_Fig'!$AT$38:$AT$44</c15:sqref>
                  </c15:fullRef>
                </c:ext>
              </c:extLst>
              <c:f>'q3.1_6.1_9.1_12.1_19.1_27.1_Fig'!$AT$41</c:f>
              <c:numCache>
                <c:formatCode>#,##0</c:formatCode>
                <c:ptCount val="1"/>
                <c:pt idx="0">
                  <c:v>68270</c:v>
                </c:pt>
              </c:numCache>
            </c:numRef>
          </c:val>
          <c:extLst>
            <c:ext xmlns:c16="http://schemas.microsoft.com/office/drawing/2014/chart" uri="{C3380CC4-5D6E-409C-BE32-E72D297353CC}">
              <c16:uniqueId val="{00000001-872C-4922-941E-D056918216FF}"/>
            </c:ext>
          </c:extLst>
        </c:ser>
        <c:dLbls>
          <c:showLegendKey val="0"/>
          <c:showVal val="0"/>
          <c:showCatName val="0"/>
          <c:showSerName val="0"/>
          <c:showPercent val="0"/>
          <c:showBubbleSize val="0"/>
        </c:dLbls>
        <c:gapWidth val="186"/>
        <c:overlap val="-18"/>
        <c:axId val="636287087"/>
        <c:axId val="527088143"/>
      </c:barChart>
      <c:catAx>
        <c:axId val="636287087"/>
        <c:scaling>
          <c:orientation val="minMax"/>
        </c:scaling>
        <c:delete val="1"/>
        <c:axPos val="b"/>
        <c:numFmt formatCode="General" sourceLinked="1"/>
        <c:majorTickMark val="none"/>
        <c:minorTickMark val="none"/>
        <c:tickLblPos val="nextTo"/>
        <c:crossAx val="527088143"/>
        <c:crosses val="autoZero"/>
        <c:auto val="1"/>
        <c:lblAlgn val="ctr"/>
        <c:lblOffset val="100"/>
        <c:noMultiLvlLbl val="0"/>
      </c:catAx>
      <c:valAx>
        <c:axId val="527088143"/>
        <c:scaling>
          <c:orientation val="minMax"/>
          <c:max val="140000"/>
          <c:min val="0"/>
        </c:scaling>
        <c:delete val="1"/>
        <c:axPos val="l"/>
        <c:numFmt formatCode="#,##0" sourceLinked="1"/>
        <c:majorTickMark val="out"/>
        <c:minorTickMark val="none"/>
        <c:tickLblPos val="nextTo"/>
        <c:crossAx val="63628708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_xlchart.v5.9</cx:f>
        <cx:nf>_xlchart.v5.8</cx:nf>
      </cx:strDim>
      <cx:numDim type="colorVal">
        <cx:f>_xlchart.v5.11</cx:f>
        <cx:nf>_xlchart.v5.10</cx:nf>
      </cx:numDim>
    </cx:data>
  </cx:chartData>
  <cx:chart>
    <cx:plotArea>
      <cx:plotAreaRegion>
        <cx:series layoutId="regionMap" uniqueId="{8671570F-A959-4E8A-BBD8-90A5CA973BCF}">
          <cx:tx>
            <cx:txData>
              <cx:f>_xlchart.v5.10</cx:f>
              <cx:v>Empresas</cx:v>
            </cx:txData>
          </cx:tx>
          <cx:dataId val="0"/>
          <cx:layoutPr>
            <cx:geography viewedRegionType="dataOnly" cultureLanguage="pt-PT" cultureRegion="PT" attribution="Com tecnologia Bing">
              <cx:geoCache provider="{E9337A44-BEBE-4D9F-B70C-5C5E7DAFC167}">
                <cx:binary>7HzZct24suWvOPzcVGEiCJw4dSMaJPegrdmSLfuFIcsSCU4gCXD8g/slHf0L/Xp+rHPbkktSqaY+
FR3XEVflsEPEBjeIhcxcKzNZ/7yd/nFb3t10b6aqrO0/bqef32bONf/46Sd7m91VN/ag0redsebe
Hdya6idzf69v73760t2Muk5/Igizn26zm87dTW//459wt/TOHJnbG6dNfd7fdfPFne1LZ39n7NWh
NzdfKl1H2rpO3zr889vVTWfevrmrnXbz5dzc/fz22Sfevvnp5X1+9Z1vSliW67/AXBocEBbAfzxA
X3/o2zelqdOHYU8cYOrTgEsiv/3wx+8+ualg/h+t5utabr586e6shUf5+u/jrGfrfrx4a/ra7Xcr
hY37+e2Z6Vyf3pRv32hrwm9jodmv/Ozy66P+9Hyr/+OfLy7Aw7+48gSNlzv1R0O/AuO9tnf94478
+2gwdBBIIQIqHnY7eI5GcCACJFEQBK+j8YfLeR2Oh2kv8Hi4+mMB8j+HO/132sceEQLnn/j4ORTi
AExG+NRnD1CQx2PwzTD+eCGvY/E47wUYj5d/LDT+9Z+D6W4eN+bftw8qDjiiknEuv3mrF6CAfTAs
SYAeQRGP3/0NlD9ez+ugPM57Acrj5R8LlL1L/RsjCMMHBEIIARv5ZgkvfJY4oD7xERH4wVBeYPKH
y3kdkodpLxB5uPpjAaLu8r/TRsAIiAQTIOI3bEQyiC88eAj4CCL+NzbxzUb+aDWvw/Ft1gs0vl38
wcDobtKb+l//629EBCzER5Iy+WgCLyyEHwhfMoCMv24h6s8s6Tdg+WXqS2x+GfkBAXo8sv9+SNmD
4xOJpHiMGS/jPEWSIyToN2tCL9zXV3B+bzm/A8zb53zy57cPN/uxAHl3U7ub7l//u/q9XfiLqkQe
EAnUSviw28/lCAsCAArhBzTAlJ46rz+1ltcReTL1hak8GfmxkAlvrLsrzRs4VvXt3xjyqTwADsYC
Xz6EGOC+T1EKwN9h7lP8KGPkc5T+/Lpeh+rl/Bd4vRz+rw3ab67uqcR/9qG/KvHlARcEy8B/EXeC
AwkDIpD0Ie68MKY9mfqmvX97Ka8D9MvMZwv/Ly/nQ6Orz3+nYAH5SBCjBNjvq2QMyDH1Aw5K8gGC
FyryTyzodQS+T3xpG49P+GMBs+5vui9/JyVDB5whP/AZ+rbxvzINQiTxA/wwLF9E/T9ez+uwPM57
gcrj5R8LlCNtP5u/ERQIKwhhKgn1XwVFHmCwFIbpo3Jhz8PKH6/ndVAe570A5fHyDwYK5L/03wtK
gAMfgbk8uKjnsV4cACED6SLYAyN7ISeP/nA9vwHKw7yXoDxc/rFA2cfDm/Iu7e4eT+y/L1zAWvA+
CwapyVetJTjgBPkc48e8y4vM/Z9b0+vgPJ37AqCnQz8WSO91efPm4m5fa3jKd54931+kXl/FJeS+
gke98qK6AhhR7AeUPNgOwo/f/S0X86eW9DpET6Y+e4Kf3z4Z+bEAenfn/vV/Pv+d+EA+mVKOAZ4H
3/YruQmZZuzz75mZFwz5z6zodXh+mfkCnV8Gfixw3uub+ubNF/PmQX09HuR/39GBEYkAsssMkmhf
f15wNQFqE1ACXvAA4gsO/VdW9jpYv77DC9B+/YH/z+D9donze/E3unE38deq8ZMq5++Pft0NqGO/
mPp77vGb59x++fltIAiwAv+Jx9zf5lm25tfb9sr0O0hi/PwWCtFQ9qQCYYGoL4TgcArGu4chIZBA
MhAUkkY+45BuqCHiZj+/ZeQAM5/TwMeEoABRcLDW9F+HMNSS9soLQUWVggum3+v2Z6acU1N/35yH
39/UfXVmdO3sz28x3Kj59rH9w/qcc0HFXskFkF0HrwHctLm9uYDegP2n/4dNm6VsCt4r3M5h5fGj
3I+lbOLR0o1M61WdL/HoD5FB42bePdm1V74caly//nbfp0AFIOmPBWPo+bcHXoJGz9Tw7Q4noU5m
p0qiVZ50bpWMJhZ5e4fzIQ37IiGqbW9H225Gr87jtuPXXuqVMZm5U56VTeSjLCT+uiuXd1ONL2jS
H6fOS6OCmi++Rn6oWa7DeXFEZTV/X3t+VLCmjlPkLqfR3ovO1KGE5grlJ20eZTzpojxfjnBSJ2oa
55j63spMLYkaLVQBmcCwn9NR9a66X7qijrGeUqVbWYYTzlcYsyLkWdsoM5ehJaxfd1Lb2E/4NbO9
PKzrLIjyxAvHRO+Y6KazbBryY2HZYSOmCGXMWwVJokPD2RfYxOtmaAOVD8eVS8MsSH1VBtMu4ONH
hudgl45jpXS3zLCFNt3091JfjSVC8ZwOVWy9vjvieXtvPE/vcLmoWbrmvBKr0S10q2lznrgmOLQj
386y95VLSb5J5Rg1fZWrdGymDaP9dpza4lgkyUlL+afKH3QkSxvixmGVWnIxIisP07k6rLCp1l7d
COWSC43ZGHaJvwmw9yFIfBkae+/liQmLrtTKDnm6SZm9NaVNtqlth3DZeCl+R5cu1LzD267MV7Yt
ZeTKsovIVGwwqagyZJjDtF3ukIAzxJncUL9u4mJk3TaH+KgqrxlUPU03Ohu2rUFLOJYK7C49LQnZ
9LPzjjQrPpQkC/uhTN8hNsETLvlWMz9RGWo/jl4ybd072rH2OIsmLXXImTesxUiadS/nkwzjM4lJ
rwqU3rURl/kQF6jnYTppsS3xcFd1QpGiOuoJtcpD5aBIKexaymrtKs0OUXeDFw1fTG20BORwrsRp
V2aHmqfvCoyjQcxZBEfSqtGVaVh22Is63Meilmaz1MOkqmJQeNA70gm6bSf/o4c6qpZpCTZzk6yX
tP/skslTQVr4ocFeaK046kwv167v7p233DUWJVFO+xuMTaMqnaMwyc7GRTaHbqg3pTS5qv3UqSxw
Tk1M0DXS4rgc/WVVuuE6cItKTX68yJGss2VbVL1USXMMxdf3lZHBRhp/R3I7qbELbqag1JGWqY5w
aUg4MV8fyqUM3VzkapCpXaeEKCIys0rzHow9A3sqErC+BAWn3dhFmItalV7cIL28S2R/1iy1apOp
uijxeZ6O5Vmgt12woDjQlVZBl9YnaaNmZ+8K6/dx2o2nQU/jgPexTqcd7Ol6EPbc5QuYtnRk82GQ
Q7Mq5t6qSZqrpm5WYxniaV4ZMEU2JqOyWfbZ9+0JyrNTKYbrtlwF7XIc9GksvCHq0n6V2vlkFvS0
R/kJmbOjJSnXTesORb/NbHk1FPp84UHMm+yUlJ+mkr5v+uWYTfdNN23Bxs/aoV5z32x6I1eEFYuS
WMdWwHl1Pph7EsEOr6e+jZO5/uAF+H03LdcdS09M2cUpLnau90561J9kOb0EYXZGDKsVF5Va/PmY
6ukISrLnqa7XTLhOVYEXakE289yfVPm4TfCyq9LlE+uWM38aTnq5KvN5VzV62wSwuSxYde10WqfJ
RYD0UdKg4zRaxuKsYvmZQPpE8Gq3+PKiMfq0bvhRh8yWMhR3fhuhyUXZmF7TYl6Rlpy1dihUj6nq
vPRdw/lhmnebJF9WCbOHJkVHbso/IYl3AuPTustPLDc7IUjY2x1qj3HJNqQudjMtjpCp16LNz1xQ
R2kNPhyePOD2wnTTCpzF2sg65OZqv7ui/1AQetj5y1kmssirliMrplbpmn7KZnTW0kjU3sf9DniN
3O4fjsj8dCzns1DDBu+ftGqLoz4hO72QT+VCNwk8dcdPAlRGM0nAKx9mpT0MWnsm/CD8GkUfqNGz
mH5rmrnTafbQjvf91/+4NBX8+dox9svFfTffL78dP7YB/u6n1ndmL+Hsyw/tV/P9Xr/0pu2p0fdG
tRd061vj4G9wsd8d/LNEjcLxAtL8vXHwV0TtZUXlKU17mPxA06CWzamA9gLJCAYitL/vd5pGBKSJ
JBQifCh4Ayf7haahA4agEAFlCuhto8CgvtM0SHP4hO9FcgBKDJp/8F+hadAn9JIpBRzt0/HwB1gj
2tPIpzytIhCe5oQZxUawr/FSgm8La+ASkZvgKFtXH9co+ZgMfqFI3jTnni891edeHmNiWUjJOJ0T
K1uVllxp38S8n/uQDqSKswptUGPJrq0iv51xPC+pCTnpwrKawsVVIWOT3HrMAJmq7HXjtWGFcaaI
XWwYqCw5hZYzdFSgsg11zjadpiKquVW89ZuolfMMtCWIsqBMoybLhBJdXsZIyybMPafyJUEh8pOL
ZaovCzSvcVqrhHc8bsfMV0XanZrJE+Gs889iFmd9VouNnMskrvjoK79mO2nbZSerm7IiJEzzJldm
IjtXiOXbX3ju0W5A3qapgvKIB2DMGS3WMu+ro7Z5N1ZZvUuLodrVJat22CFf8UncB4hYJWlEUSpX
Zugz5bIArbgIelV73IXNPNuoiea6Y6onvF8nN2RIUuUP86LqQTrV0+E6L+froKTdymO63Cx4uOrd
+Clhea7YUG0Hw8uIWi+NtefXYZcX7UqXnYJOWlVmnrISu7CbxLVt7KwqeqjLge/8zEGw/KKTsVXU
d8umt12q2jwlaugbdNiZxVeyPecG6PIgRR267rJCwJZJoF3cOS+uYMlqaMZA2Xz5jEfEI8aSbtXN
QRK1RaLjqh7qsCiSJLJCY0WS4gO9ZksRbJjFZQQZpHXL2Rhzj9iIe42SSTOeNbkfyqE7bGxfqd5H
Reib7GM625O2KKIuW8bV0FTHCFjA3KWfMl6pfExO8yBTAWlXdIQPzKOfh7Mf7CTKtkkNzCOfvuiU
bzzL1nw2l4vTl5iSKdIYX7V2CqfJpuE8yThP5b3XsjRigRePeCqjEQdEBc0QyxSkTZsd1YtrwsLV
WGG6rWm3bPDkbpNJHGU6Y2FC+usJiW47L4euh4CZEhuWdtAqm5etXw5XyxI1shQqd23YMOpWZdvP
ALvyxTBFgc/9uF2SSFdJzI1HQzy34xoncNhZuYStJrWyi2OrohG7PiBd1Lqljvm9qKrthFHyvhjL
dNWJ9H1mkiJcfDCYKajG9bREhDYiDOrRU6yduUKO87DTLpLaNMdzW2Jl7EIjW01rTf1FjaKGk1J0
bAM+DCjM2CtpxYmcC7pxAreqKayNuinVikozqDmhn3JSlGrO0kxxS9b+sAyHQ1Ve9ohf+gRMHU99
NLn7kbZtVOUdh+MyhT3P0lORlEoM1aaftD3VHs1XSS5gEd5UxoustktvCNjssKyGxMRtkTK1dM2w
7pLhpiCkjHUiPvSVf0bLolA087ydoH2vRA03znIZBy2Rp8OCQGO0OFo6IO9Vwj8xFlSqQ8suQzpV
HYjyyMNl3Eh36H0wU1nusGeSEATHGUPpqc4Ei75uj3CBv041vdPefD8Y3Gz8ivgbkXMdi9QMcaXn
QmENWoPy4ZAE07u5dPk6X7p1U9BmY1XF3Kms5K2/zPyQmGNuex31YLfRIP0spH5iN3TKgBrNAyiv
XufxvrVn7efNSTLYddFkIsqbgIdY8BEkkyZbU3hZuGTNFhcyRKDeglokIbwFgNWSyY+gMUqVLBNY
O6JXxo3wtDDOu1qEYu99shHulIFDNk2+0aS8ZZSe5rwxn9saPIObZapGVnjR5JnqxEsKt2rKOYgT
wAlUqTkrfMRU64HjIEtVxNC9p1I3uwhSEGVMkw8uGeO+sCT2IJkf+YMrTuZmAOEzol0gZxourb2V
Fk46zmAPujrKTTcqjw+rMmvyMBk4UoXuzxj2cKgbDfGic1oNOctWY4ey8x6eVg2+r+ZKqiKxw6rX
aSRIeTjmto7oxCDKJDTq/TRXRONp603tJh3CPM/Op64iIRl9UGZVWa380cyhFWeQcrjts+owBaFS
B32hGls5GBhiWsqwdKRV4zRvC5NvwVkfFwmOvamgairVUsxbZkzkCXPR6voK1zFty3sziat+w4Bu
qoIhrPz+fqrdtMqcL0JUuesejrgNZLEaivZKOPoFl60y43RTLGTecj/pIZIPgAgFsdr70yqw1ipT
L5+Wjt/NwcDVgoYkTJLpCGvqwsxapDCrN+bak6Q6GrAFCj/ayKS5Vj0rtnmrldw7XpEikAmoWJdO
vguqcjUvsM8OyU6lUNFUw0jACqpopuImn+hVQjOVTiApKfuYanToNydmyFaT7+2CAUJ+LVYBavsw
sac1Pk9dEDX1EA1DlqiOlxdWJruhLm67eutq2iuvrS6Kpb5ftKyiIRkjTGaqyjZfQprZLePJORCv
Qx81d1l2nuSlCfsO3JkbktWS5O8rH14ywTS5liY5phSnK+mhbVMEfTiSpVXzIJLN0jQGUjr049SZ
sJxQH1WMi7AKxBg6AQHUeW0ZVSYPlz79QLnQcdJyCNKk+ewquYPdsIcpmt51vmIyt6uOTRdkBt8C
p1jhJrnpfT7EvMzeDf4qaSU/dAs8W5Z8BiF10VRoi8ePAx3CxpMDMLRsVEttz0XWbnPqZ1HqBZBU
EkWkdV+uxqL/KPRymlfk0owUwWJkrqZ2gSSTyEPkzBCOfneasXLtpXkROkaZqhHQpqAcQjF3uWpK
jUPhZlgwWwKQMnMMIepUtnOi2oAixXH7vhu2rhzTzeL3x21jgrPZkSY0bJZxlYRl2c+rRryXfIgc
7S4TL6+OdMHcNunnjSkaepjzZeuhSq9Rm0ulg/yLZ+076VlvlWDQNsLgYW0scDw+abPOTbvymzxV
gmTAXhpyigbXRpC42VTI5GuMa6Q6Gai2nDU8hz3R9aRjh3Eb+/4tpzZuzQI+gaZLBOyx8q6YbQKF
IE5o1F+UjN0JrYtoXMwtYeS4n9JD3jbv/RoexVSoiuue5kdyOcQFZqBG2WpuuqvW54faiZOEDlsk
ypVYiIxHpIFTmLCe7Zcx6ZbIwSZVmkRGZBRILW+nDqCyihbLthvz0Bb6shr1p342xdbt41ohCRy3
QzPO3fnAstOxwZC/NAZH0k3phjZTKBOI4sswzeAa3GaojV5jBrlFIyY1B9UMAXcEj9f0F3hos3C0
vIuznvpq8vwLWvShaKeT/9aLv/1W2TPJRxCBavJv68XH1olXJn1P50N9AN5iCiArzxkGTfZdJ4Lg
21e1QUBCXISsg4BU+0M6H8QghYyUFJRBx3RAOKziIZ2/fzUE2hQo0BH219P50MHwQieCIoHqOWNQ
TcAB9NLD+p7qRFPInlS13OewyXVdE5B4o7ySvDrxhRlVmtjzSmepyvu14ODT02yDq1qoufQKNTY0
hjgcpdSzkfb0Z3irRXk5vxzyvlaBHiVk2vehVF4QD2+6Jbtv6Nwqgs7ZdFpO8r3VoggbkVZKLt3G
RzUkLVt3a6zUipf3OneFgjbZY8Tt2Ty119lYh6I0EyRpua9qSj+1mFyBMal+Oa2TCf7NYFpS+6rn
wXsM/lAJtElqlipXm3uQDbs+G1w4VWjdBy0Ns2XOVLfsQGd+WaYiVQgXl0EyFsp3sSNVs/ZL66tx
AWWygDrOadWqornndAAnzIkqPAskZc5Q2Bv+qSvZBT+HYg0NzZJNKnCaq96O90tOz2peelGDlm09
zieumkU8MDOrLtNtOAgeJxWdlKt6T+XNqdV+dYSbNFVyCq4EbVeQEL4uxqRXne8jNZTuMMj8z4g3
ftjki1TG6zYCgbcfCgfhRiefhvyENtaFgYibjl8l+UxUQwKQkbrUwHq0aozhYV6BNhDgcaJuAfKe
eulHneanS21UVWv+od2rUCpBS/JcwNdMQD5zczkXtj0aIaHJK3RT64u0r8xG06lTvgE8RboRg4Oc
mTytxwHvZs+d9hC0OwJOeDhZ3BQ3VPZbUjdHfZaSCK7saomW1VixUmkyhW3Wr0ZJ14NXsEM3Lhs2
OtghZLiSxu2WoF55iXc0t4VZ9865kMwgjbTwrhAsY+Pp7KMnC7uCbMaHgue1MkkNJMAVm9nWoDYQ
BCU/MOFk8JcxS5PNRLq1s7OJLG+uk7QGejF5ZxW8SXrKoM5CgsaP4K0sFw5wMAb0OWUT5CbbDJaY
AJ3wq7Auk+kUQXYXNyKPaV3vwHnfiRTfe2ANEo1xNTHQyAmugcFZux7n4Trrq/Sky4peobGAakL9
uWoC72Nhg9i5M2qQt62hxqSkSIdN5pIG7IrOEDauMLIlMJeWxKwk8YL0oGhQrXCXuFB3mVWJIB/Y
YHvFvKI4TqC2ADnsK0md25ISjVB2KMlJ7fUYEru4PbLpaEK01O9T3bF4KaGUAGnlRYGk0Ss+DZWq
jK/DrGImLuZpVFO9EWUC+ZOULaHXdHMceMO1x5LiqPVBCwz2gjiv3rQdGhQKGhdW1RyzUa8947PV
CG3wYZZAvWcidIuMnsMcBe/hWO4NPZAh1z5eC2FXwVgrqG92SqTZsk49A2ikUjVpd+zx7n3iQ0wH
S5nDCYSWElnvTsScf9SyQ0fAiu6XpJ3irt/1ufWPlyGCWhNeTbQ14KiGUzmcuQmUfD0KtpK6uy7b
MqzdsoCDKPKTua1vPMdnpccetrq+YjCmBkbXJNjKRrLjwqOH2Msa5UR7miMdNQadaC6vltI7tNJQ
FRdFcE6m0Q/zKRgVJGg+OkN2oJUh2lf4M7MLlFKgvjdY1kZQK/LDBGhdA3TZLypl2PsSZFlokyaP
JnqOfVAZM+wOnEW4w9Smq76rQVJ5H1JWjBGUl8/1OO0mITdt3R/Xk1kUQuMllG/3aR+hgBrVofZu
TMVbkE2DD8XIBUoaYxrWNA3bnJ/xVt7xFNzroId3pg1WPbWnk1cXUEqAVJlj77DHPpviYhH6Y1/k
H0a/3ZUTjVHFTuf+XV7aE5zna0/OYeBVVYRtf2FysZamdKoqCVILz267sQn3d1g4pJsGyJEB2cGh
KabPiddwqNRu9eITtXj4NKmbUtWFtlHJq6Pa9p+JcSyEc3QyiQrULXB6h09B5t9XaPGjupULsK4I
Zy0kCQdvz4rdoCyhUdvWJ7hvJSR2wBehueuVFZu0CkDtJlWIPPgcFvtg0za7mvD1QrPb/RexoT7J
kEmUP62hBl6AOBv2OZwJStJZHc5Vr9XUuXNd2QsdyAz2te7U0nefaEl2U+M2FbB71VfwLngqZwYV
JApuKQ3uaj/LlF8IFNJ2k3UgqE0/He3pfgo5hWTpb1taqbJjkI3C+igd+ca01c54UO3zRZ+qIgsF
Gu6pW4qo4lDnC8iopAcVaY+ezEk+hRj19423YZmVIZtAP4uuvAmGcmsFfW8R89UTSvRK1X5PmZ61
DADFIHtq4UODuJTQ1PCcYujanxE3tFFwAKDWDNoxGzLFsimCNodNr6tRNRTf4LS4YF29Qa0+tmMX
NlN7JlN4WjqO92m6q7J+N1dgE0l2NFt+OAVD2MqgUEsbJlAFnC87iTb/T2sH+sYJ9OZQ8qLdAeE0
WOaKNKrgkLgTtgEtAbWwr1vNmuyiIHzbd8FJMLEj048RuBRZnBtaXxFkbwNiP+mAHPVSH5qluprb
7vM8rxIEfhnOJlT6IQNpe+oUS/ghZFPWv798+srWw/tcsPkM+u+g4xhKEc/YnZ25rvZb3/mDDYeg
PRlxcTXOPApIplc4GZBK53SLIMccWpcfJTMIQm9vJaMgi6JmOUclUR0FZTrSu9HBYQZHfTKM7UbU
pgizGQqrrCM6rJALay2nME878FZDmKSohZorSKJlkJA3rtxZCxlQSIxUMn0XzCVSlJTbr4/839Wt
bw1mt0//txGPvWf7zhwsoefyt5XKvl316Tsu36d8r2dhQUBxQH9PwAT62lv0UM+i8OJzgCkT0ofz
HyCoJD3vOtqPgI7ZS5hfZAo6QPBCIYERnxF4/0b8lXIW3lernnYdUQzLQwJeVoCXeDi8Y/L8HI+Q
QVwYygPwlrne9s2XiXZqNAs7tcTxuGTyUmTWi4PensjKQG+K6f1tXxXrwTaXdSrlIeZmy4WdVg0P
5ujJXr7i4tjejp6tj32tsknuI9B7UBF8sb4GCuIZSLrQm3ixSvu8W1k0QWoFyukEcjFDKVaZFJuh
A/Hga5Ofdylmse/p86Zx5DBYsi2vNBSYgfR2GHQ8b3seE9lfFoLUIRJVe+rX2yWdst1iq9NW1PMJ
l91NayiPkjzNtlXHXDyks1shU7EI1W1/mLb6Bs14Oqlpmb5vy/w8pTyFikphIgM+N+Ut20q6pGfD
SOlJVwcxJN0uqB6rP9qi/RY83yKBwQvBEYM2e4bx3lU9aRxroQQT+OT/cncmS47zWJZ+IphxAoct
B82SS/IhPGID8z8inCDAAZwAkE9fR57dXZl/lmVld1rWoje0cHkMLpEA7j3nOzegqQrc7M2iZXz8
utThFB970817ClcN7sHgZjJg9TcnLMOCeqaHezPYrANEdZQoJcrStUe+AGpxZV0e7axhZFTkpix5
H2m9HOXssVtE5qd1NvVLF7ogOUiwHW0ZoWNV7MzbNlzTWHQQl/gCiXSCRsy3EcAb1C+mgS/hR0dR
m+jbig1ynXl1gN4Zos/1nZyUvrovlIR/8eX/Mrflv3iIoj9v1lhij4CuD+4IgBvyUn/6hFD2NCX3
TQbTjls772UN2bbkxtxF7bOLnvx8nak4atZPXapWyIY9zJyczK04BrMRR5T150nTi7KB3LjzIAom
bXmuh/BpAQ1yDqexPvMG0IGw3vbrpamCxZZoy4uOWufmzYnM64Cozdonzs0+Lg2lUQq3b9iB71lT
Gmh5SxYo6KIMP5d6vMKdUbdhdU5mLdVRWb/7y4W66n99GTJVtMoNjgyK4WVYqQ8Kpqt2Zhp2kqvu
LKO4OxM2OZks/WQzof4UcSd/0JpGm6CRZYZPzN1ZR9nTUvG9jqtxrx9ffb0EicKeFHySA0zjwodk
eiTtMh0n1bdH2BwUrW+2wDu6qIgNJ9aN/90e4P2ZTQRRB8IdoKWLpAKKhT894EQmY43li6Y1Jk7u
dV594Ty64mNZ0mT2h23pdBO4yFi8Gn+iKDX7+qUZnU3PnbFg1MK+Qwf5XJvp0E5TfO9XqNtBtVzq
FiKl8pW8jBJGTXypte7f1OK0qezC7tx6sMihgTbbvo3NWQVG/DeFRPyoc/5m9aL2SXAw+AEwU7zF
P21wehUydNEZZNaYP4KEm8K23J5ZsFT7ssSScmyqXUufuWHfg6V9G123upGQ/eRV3B8cwvjt66VV
RyRNwhk82OO1r0sTRiYPNWgBtjjbmvjVGxtnvtNCBnnMpHgjYxduSFIVMpiDLNDU3r8ukV72imh9
MY1d7nOnw0PvrQ+XHL+DD/Vy9yM+ZxNOgK1fpuBZxyvwJOcaDozkU2LC/OvLr0s0iGjTRXF51P1C
LsyMVcZCP/wIE3qVS8xfvQC+YwvsbqhD2FgJOpZ4kd9dWOo3x527qwt3z7J+UwYhpCI7JGOORybB
P6KKBnLKa93VohhL39u3rhPu3Rrm6+qsYJ58mA8DTquNE833sPWCJ1AR5VsZegfYVd1tFn35pnhX
KLeldxOoX//4DKP/xS0O/SD08Pji/kbh4/t/tUHHSRVWDjoMKFFUw/uPbmUTyJduQQO0ju9lG9Hv
JVr8kYsU+3V0+MsFQkLqxOVFerQ+2GBQ8HOAYBG78gzH2g3+dnz6uoBpjE9+HXS7ZkjuENjLPte1
90ODLAVZEQWnRg/tYYmmYzXYEXgsqs5w9N13vj6pOUEdHT7AB5QjRyeY2K6M5reytpBPlvgPyBLB
L9ntpwEmterac0mF5lmvCi5G58DJngh3OMg6gT2/OCs7cL//35eoD/N//HG67t/VBICCQkQvodM+
MO4/tz2WwLoaOq/LjC14GMwHqGxRnRrD9aEBiFNDNNTTnvthKlpK7/XjErsv6Eydm9BReZnjfgcV
E4b//7n0ZsqVZXrTTyHMWxQ1r700206E7jfaw7aPG7Ps26GDh8fpYak7vcXmCS+e48CH6UM7cHZJ
t94bFzQx8RkpQABGZzdQpw59xG2Qcw97MbZZ7QffEhdLhCRmyZjonVPv/1rCKNyhhLJp3wbDbXxc
qKcNoDow1ZB8in6K0Ve7aCvidbg5ieyP8xw4EFaZs8EntaYKYFze2ebN4/ZI3DG8CsOnpzCaD1Xv
0uPXZV0ZPdaE/6A2SbaKjeQ8S5+cgSrA5vd2ZKrZdVmC6jYs63YBg3OmFCjBuLi7hAAPjB4XgB5u
tky+vED+mDZWt/SpATddiETNN8fRTp4o0lyCgeg9KwWsxBn98OTWT5RXMM7oVJ86HZiH2FjnY912
P0xl32dlh7stVXvmidNnKwvaH6qeXhqvM6eRL+L2denWBeBr7x2aYW1tyiJ6NItPz0aQnzGgw5//
+Knz/24RI8QYJTh/PB++AzLZf7uIo7X22mWO6owPuaVa3Ru9qt2gmJMK3PAznb32WCeQASbPkSlv
Zo2iUu71Mqqjb+tx10ztJ3RM68DsSqadrKJvDKLsyQz8l6wSsuUkuLXLrZNlkst2lJtRueQeLMbs
JqAfVbUkp69L03OzAZkA3JuH+lX5fjaYav32j98ynv4/dweYFRei8sLu9RhxgjLqb990n0xmjgPo
I87jrAfq83Wp4UwLHnp34wXuuYTaNtZ0BJLAQb/Ah927FepNCqT2jRqnPRGWGLSttnqLoXkfjI5E
9vXdkIV6XwcRzUbj8zfLONu6c0bXqoNd6NavsYBBEo3FzPryrp16uhPfqfEvdfbw9eXYAy2YOE9w
SDr008KfPdsO590yxddBxUC22jEAoL1sWzbZrB37zNXW7NXavwk9vECuK0GU9L8EQz6g5P2PTl72
I69+xdJADJZLscrkB3vohPCFRzp9X/zkfURFm82/JxJ/thrymZKQugmcUi6XH9bHgeZ3cMA7nJjN
agCglctHbyqeOX63jcJSZtYHrb+GAfS60suqelYwYwFl9CZ+ivchW38kU2vSpa0ubk+KqWmvYtDf
xUB3MpIfce9vkz5mqUt1nXW9nLJOrNjD/cbdaBNfhriZtpSRj7XtoVauIfRkXp1JA8lLRGXKCYIC
qpPPLlWbWSeooih7E5V4H8hLGPbPeomCvQAQng7t9GMaGpnr0HwjLXoHMteZ6CfwJJY8iRiJkdkZ
6jRo7KsICIiAcFONZuvp9RnuWCrIK08AMPE2ObNF3WQ0qcKWeuu4KkhRDeQ4jLuiqyBE97ZrNs3Q
k3Rw2Xbw2m+9P/q5B7w8g8YHeQdg5K4O1noHWEBmM853wJNp7w/Vtnf9jSthB6wcsDrp6S4R8Kn0
nIBlU+VPZ0gJieJffQjdc5nFxgNjtnGnBmGHO0uCcRPUxF6oLoe0prNTuN0Teh7sTk0eRyJ+bT1b
NIlTzAGYuHhu6b4eNO58NW/doTb5AHA182bgjZ4G0qErAFvkFLCSH1oK3m8G02+4I9BPZ24d6e1s
Z7B8UZdSZcsTUfKIdwZvIqi7lHmsSvvZA1w2kG29OE+Ocj85UQAovbLacC6HjKztfZidF0G2s9aQ
52O1Cz2VexAme6vXvafogSe1SoUNrzEwyRSfJ0lVjwCGAHxCF8+9eHJ9WwfdFmNA50zOeB0HYrQJ
sevtqDd2qQX2FqDZ3WlLbaF1Rqr2LZniD4QKTF7tWOefQx/+1TQ509ba4YE4Rp/1wI6GwpK3kA2W
AQWGCXA7+zA8l7z24ZlxcnXX5562f4xluBUcuumKLWSsVMrKJNgtq9jMc58CFz4rm1xnT3TFOHvb
ibswDmEmWCHfiON8kMDgLCq/1R0HMOfsdKhT+VJxd0zrqU/SuYueJls9WTdeDtO3OVFYhir5DrZn
mzQLAVakc/U4qEDd2fknj767ZJzzyiwK4Rb3oO1vOdfd9wY/uLEl9LxORzcQTP7gPDULskjGYaB+
eyzmhXZ3TyYfoVzhz5o+yaFjiDQsuyAtSVzmdRzoTVQR96wd+9l2tksd2y6vtBK7sezKbEhwEPrz
aPPOOB7CKSXPXF/+UpIHBwPOtVibHjEOhtiCWfpb0pkWsIbeIV31x2jqdiuEPfoL38SsnQsAb+jy
SuSN6qT94VdLvxOqfltVeG0O7ABVsisGY3dNj5XWxr5XuFAsUt0ncDnKTVjJ3zEgzhp2qV6ntmAt
jF4a3pcYnOpE6zBblnDZrXmnqyAdeuMdVMueu1sjESiBhxVnY8N+zEG3n2u2Zp0JPUSz6BtKD3JO
jEvONqK7UEdxinMf+Z4kRRYmOLC4f2fREJ8gwVxwwz9F/Yh8qIqkvUfWfOmzbiLzzVjwRSHtU6cB
Dri0+hyFC/Z0T+EmJPOOzuBMdLSdezocwnqrIxjms8Rf00TsvQSPuxdLv2kUqzPFHZW3TufAYJhe
RybCnfQUkG0vzB1f/Z6rc+LeqyX8FJyWmwoRBSRZ5hXhPRfnCWvOg1rXTcCWb5NC1mb1jJsreN/Z
GJq+iAasXJdA29XV5G9Gw365fvM7jqv6vZGsQLoQoZpqba6tf6Vj+0pIfx+8sN+W8jKM862aNr3x
X9rOq3KmqudoCuAX641CTG6vvXXcUln/nsah2jTWgkgMbfnEIgtrZAx+sxoxw3hsZZbEz3Nsll3s
sThtwDLdWwBSNaXTdvbssZ+qKE2EZGmNwA68qxVP5carQarOvnsnMcq9zqIgskvm9G781AcvbtCD
L9SkAbRV38TiuPtK5F8eqRrBq9UStF7U7tqmiwoIQM7WIxw81i8vXvs9r7EhmrVq9kHfQ/hnYdbY
zimSQXQbLAXV659Jh1/Uuo62yjp/cBUPTxMrgUq28wsO27f+QfkkOvLPQ0XO1PA6VQ67aS8yl6Ct
mmIW8jeoBA07skEObQA6H9AlFxUaMGexrzFark3jdz/9GWbeJNpX33g35j8LtpZAvMY36veiMDGY
Ozqu59kjBW41Kzhp52xGosX0iCz2gOwRg5syGszAIRKw1RH8dYKy+DgS9W6MTVCRJH8A49sNAgwS
ky3Oh278qav5pKF0pMMQAw6wOirAxZpMVU0DB5ZtVIubsgrh50bLJDfc0h3sZQKnWjfLeUb3nHl1
YHbhVMp8Bgm3p9Y9/5Nsv1jD6yAIwmL/k2x/GFAwjQNQk3+N7Y+bSO4qZv9Ftn+I6vAIkRD1w1+x
/bqFF5gE4v9Dtp9HUyrH+W/YfrPKFzlZgPSJ/5osJmMWJnY9x4UJyac3rWXOA1ZEwMX/k+2XFTBC
Uv0V21+VB0S1/h1s/7omuatIQZiAfjWIf5rtxw4FZPMorKiO/HEpGySaZxrtl9HLGtN1m95BzoQp
V2YonxRCmQUU8BqegUr5i2cHs5OtJsVqEbEcfCIyYF6bxE1gmq5ICztdWGVJDTi2euRB3C/EQIvN
EtMntK+oUlsUR8t0XS3yJRrEC3D9aEOkcAux9t8qpk+mTnaiYtcGQGQhZqApFAQXXH8fZGuzPkni
fVv7ohtnQF6aP3UtMhmxGbcxEQCLHUgFs9CHEKdUMTrhFkuDZn3jztiR+x8mDuE6KhTyPm3AJQTB
DGJnL0jQpK5EkoWwYICmw39y5d/rTrVIvoZjFqjuA70pNpyqt7nXoKD1Sjc8OLLdrEDWNqtAm1Av
wy+fd/KBJgwpApChNicm/MuKgRqZkMhMeghxn9cQ1UA7gPTE0YAuCLlz7fRo3/IWPyTK+G5KfWR0
0sBt+sxw7uZytTdB2/Xgr6Am4tLsOwcsseBJNiwh6kJaHftl/WhcE6RuCaCURsWYjCE8eT4V4Rhh
z+/R2/B1PYSOireuE3xfFgDLOjklTXjT8wrOW8Qh/JEhyAEekCwBWn+ag3q/6PFV8bogS7VuZAnY
TcFciYJqzkfp/HCJqQ9kQC46rvofY+tVkKgNjFwvAUubBE9s+R518kn0pE/JyqOMoC8I3fUDKfGy
GDxvs5brCZxWdawFjiJPYb1N/DKUmA0QrqvJLZJyGYCKtWhKhEeHX9XSpLYJk43j87JQNoqBmfAM
pkv1hlQZ6vonSf3yWk72NUBgSNm2KYYWfyqOoKKxm7Uklw6/N1VGxeLfdaUeEQEebEE7LOkyoAOO
ZGLutCV7nUBql+PJdb0Pr9R7lzYhTj9duFMrdk7Q5hGyQ7sBWQ30ssDH5h4RYwsYjyHX6sT0NhD+
HRV4ruLgB4Ppk2FS+qv0gp3UI80RGnrS9lsMQiBb39kMsA7LgsBiRNZiDR56wpLojHsnKYm77Vj4
OjfqWlJv/VWXBmEEMgM29678wba1vDwrNejDwsLdAubRmzk+VLLsozSmeHO2bhCtqIZ8bMNorye2
DZsEHc6qCkTY3kYVfGCFIUiSoJutnWHJqNOMOV/5R112KM1Ntvopq9YadamMNvXMDrRmKDUT9P6u
S1JeTkM283ep6p0y+AvIjP57IhNHIYx14NdTVtL1lyjVe+kj4x2Z+TQLocBcoxEKkesY1+C5mSdk
ch2zR7bnRcIz44IfAwl8KvZGmXOMd8hZuX5bOv/FvkCz6nIPYbsDUJp9Bb8rW4npN2QFyx9pg+Sc
893t6QXuLstihu1qnZvfJUrSod7QkiEXb/TPLrDtvhuHPfIkG5BN08W7xrOjUijIIADBvcOGmbFJ
wjLdEwIXYtI+IDTuIfbYQfPQaCxLeu0RAo9jACcBEkqgDMFnijAu5irIe40WqytjbBMA+1Kv8bNK
D+Fu0tEJRc0zA+QBV00Xo4l0MUPqcT3sizBsaC83xrBntl74QiAPLFV/VKauUzn0ORxR8SQH80sb
BCQRHzkkFpFtqZEXSwb3iNp6wmn2Ocbmtbe9Pg5xtZn08Mlb22xbgp2cOd/HrjqSZgLX+diKyskR
ECdiH7kNB24hTabChoU2/IjnFYoAAYvqVWfBUPPXlf/hL0DcFP6TD6GbLImwzjCwQq/womF2sE1s
A+xKwTW0AckCipsUzl2Gt7CZunDNG0DyqdeVd2d2Ra6H+jXyJ9D7XNlC9gy9LUfUR0rAPhXSgIuq
wBSueByJM+LUuqIOhocFkS3vGXytyWs3gcfp4zfin9PyPhBZTLO7MV7zfQgOUdRExcLomjPCiiou
kbssLZLx4SslnBznBQq10/kRvhfgR527jUra54YNDb7STV7h71k7yN+hcVGRon4dDBIZ6Gsfzwnm
PDA33GMNSWz1a3Ai/TYhKkCDLb20LsejguGW9XoFHYagX2HgMkeEbnhlr2VbHYJ5trl2nJxKSAQK
VhQid82nRS2tw3cS1kfpZ4LJ6jDJ/smP63cjW4l6pLxOjIoNHdzftZdcwTLiaQNJ54y8R00Nzos1
9Y+R2E3SGDw6kOpwr+UPzp8mA1bQkTG6J4QHwZXlWApvMihtsZZagRj2T3YKZI4k7ZRihoQGRJag
xZtlTlf2B9ybIXVbzk89Zzliys9zvVbXu9JOe1CzuiNydSaPyLwtp3P9R8szwK4JFhvd63rpMh6O
UxoOIt6ACM7a8qUb3BcClHf2Ns3K0CG4oA7n9qNK+n07TzsVeALChcTp140H1Y8SmFDztMrAblo3
QF+CbvbrK2nhII8RObdzuPV8DCwZNU4k42LiROt6b+1Q+vnDOvIaCY2urN7U4Jfo3MRLGfljpgCY
oDnRS+rwYSo4zuoOVJ8/LZtQe7/BwZGDYevWSJYtAeu3hAIx0bFycghivs1bOshdFy9FLesg5R5K
63CyyHkN+EPdR2UgC+Hn6sEauiatEUBLRJ8LGn74HA6w8jEjxcM4jqYvvVtpRjhs0DbgiQG8wgyS
RqCyscZ7DcIB6UOoBW6ylNtGiXvZgBTjrfN7bIBg2wA0rrd6ERTidmNWp88hf7+2CwberDp8kj7d
JrrbUDTmu7LcTONtcJzlOMg+KSbedAD0IV3o8PsW/xXNO6aQIJTUghom9XWO7CNswzHZh3k3h0+f
ADSRqhXlO5uQk62bqzv15pAYCYjfaLZryvA0j+Mv6X72ESj+qsQm4ntvceSyNK7BuRGNLUKAvJAt
sF8H/rXqK3C4U3ObKr61ScV2AeIF5cGxS7ynI9AV7UeptB7D9jP8qC0Y5JPjBNDwkWfH+h/yxm3x
yY8gGHnw2jY98i9zxHfKDeNLYDvkVV0grf7isFQeeriLcXcNYIT4BDeJkmdM3kEJibieMshVDxjB
0s2kWBKghFUcPrOpOzUU7juLkzccpNiluHyLjKj3xFcQAh3U2AwSf2T7J7JgF0MuKcDZj6rVr3VQ
OJ09NgjupI4MRuzHKHFcs2ahGj+EcZyjwfqbxUS3oXXzEopLGsFeiGZ+tutUb9YgDoqBjXTTDmpG
zMsHJQB1wvfRyhsAKqD4Lv85DyeB77CLqv7fPA9HQCjPVmjA/zPzcHDqRg9i6/9pHs7iVgfBqucK
FYn9V+bh0JVs43H4A8cBSUNwRP/0PByCxAp4mcMom93/9TycVaDxEuW/ZR6ON42559J/aR4OkH90
AH83BAdGy2tDKi8dWaBSf+4/4UCUKeN1XlLrXU2MGI0Oos9GNtkQu09Aned0HlSZjiHKZVib4H56
xH8NJK3SDgpnGfuGgp8VDPXKzGh9jlT1M5ZLsMWQL8xmeDQrZARVm6DqNAMYvMl3X0zcuy+u6LYe
KmaEIS3spRj0aYmpFGBXnOUazcuhDdvyjuNj2sOtB+wd8KRgoyUZaER2oShcLrGzrgVGwphMqA5t
zJIcAZBMF58hU9+X3alyo+FCYsO30qDDIm+tUZ+lwAnkdnQ6YeOe025gyxb5JUjpQfKbcnH0+ng4
icamwwyux7qKX1Vft9ApFcp2iOpF6es/iOmObbi0e9C6kOukO1zaxqWP+VnTT2FTJCj91PFbZ1vC
G91MCZzOgUITqOp2yIfYMWfTz809wVibHlUhxupsm6kf7zAKC712BvMt2hC2tOhE7uH11n16ZKr3
Uxnqp4pK8xRP4YDUP2rWWXzMzUSvQgziXvkrxaAe/h6PpLp/XYRGVpIHaNoxwXDPw6pGVn1Rd/QH
wB4ChokAHYMjXdER8x1azIqruN0yVy03Eyv/OtdoJdzvGlTDAUMMqptclbgRFLKpndi8e3zT1E1w
IAiUXl2tVa57AdtUBeQKrcsUdJZhbns+5cSMSIwg+nNPHpdhDLAGubk4kg73pFvYEW/+vZkajCGT
DiZkNF78zKKfpULPDJMcMQ4cZyeXkiAf/KA/hYh1h2aG98DasxfZs7N6+rmpX5dY9Xf01OaZO/6Q
L2qttl9fAvDuUi+oms2SRL+6GYOwMievMVzhpabB8BLI7lMmrXOK+3F4iVsvAsfYYF7S45vl1GOK
Wbm+LL64Oz1PvhnPnSBI980uWbX/QjFcChaGs2ExSlBH+HY7+qFF6iton70StxC9CKY+lWP7HHkz
yfyFBJcmwOMiVRa+I4TefXoV8m4AG5szpxrGzkrCPBSlvSS8Kgs+8utaihEGevTh6wDhNjhcWT/E
u0EG8a0NYHJYHf5i6KgfQ9gCLJoPW/MfpXD06+BXLtiA6CZi4uZuN/Xgp4DIz8PYbh/66YnTXhyC
B6vX9N5JiUYBkPXmz2HwXiISOveYHL0K+oUuzXe1NBsfLvEp8KGUB8QcVhG/8NJvYZZSsEMzlrUd
LpGArfxIaGf4iZetmQooQMPrMJX9s0Sn5LrnuVr0t85lHUjKixPROh/cxhyWMikzt/fK44S6KWyd
8lSBHMtr+hILPyNRhwbZH8UuJNE9IbK7UMJGGGaGF5JI70xqvS9rfPT4UFjammZCHt3N+mileLbK
qtAhbKmgI4XLFPtGUW4dHNrFWUU/lQhKpPg6cpdieFkM8Q7+EEuIbq0tJl/xE+SVmxEIHDPHellc
We8M3NbNBwEkDjb5AvWi7oBgtduBijDt6NBvTU/obQnr9gnDZTa2R6i/ndt7K1V01EFyoLpFvhki
Upo8IA9vLk8zAo5Fs0z3YfkyUjzYHnHXn/y1oYces8oGTmsApE1WItd6bBL4Hq2n9cavMIDC84MW
pPL6A/sv20UyIvu5Ehq1cojMVtLc3WXqkASFh9mF7/6I8YFUAZFWExIUcV9dAIm+C4zPu3QDkgVJ
28TbFT3/dhz7q5wAqJQD/zSjG1++LsiB7qK+IQj0dQhQxr9HTG+bVgHHvY/+kJARaK2Qbm1jWLHW
C04VzqIEww0vMomLxUvKAzIStBiScJdgAFwhR/OIuuJBVSSKcpeFe78sTYZuGvhLeJWktftk8hKw
uOSkOCiYpSTNjk3QQVcrVI6hPUgzabUcIxLJzA0r9AL9A+Vldty0WMf7qom2per9n03r52rRaeOO
zrfaXZYT/EFAEMLKZ9qFGGUg4uPXpavASZPy26Cb9hY1ZXBvvZLk8fxeAmTZOLBRDpXn8p3XjT+c
LsIsi0b8CjzUEXG5hLcYRGXaJQ9hZ4VQO0bTqUUWx64jUEct81B6ziVJIMX0irB8lW17DR1wXRGd
eO7UMPjRbA0fXjL9Sp7c1ai7xKkcmBoTCDu/guwZzjBXoxoMyxDnfGmijShnIHzt8Nw0v9uy3S1y
XZ48GapXZsgv0oNVJ2K5VBZNRSzlXlUeP9VUZqVHxdkhQ6q0T9+WqaWnPsYMGkFWLNFFnVdevfoT
HD4jS/cmpxBW3OpKpJziEtV46W7bRiXnVosGO94MLRoxm8IC3QUZoW5AYVaMwJDBXceY5tcRb+89
GhSEqvi5jYLyHIFMjOu5CD1NC0wYYCfVehgEx5CnotwxucQOtU38ZbmtNtjzVUWX0o5m0431dBKC
ou6szUY8Xrd+O4CDSINRBte6g5GYjP4KbR4BM1VF2KIEUoXj0vPURVP5WqqHti4Cc1raIDrawXOR
+dduWo0B2cULW9/qwNkS7lUf2URdc3bZsuZV2XuId0UCY6AIFuW8yL3p6vb4dUFIE2JD68FSNQBg
kxnkf4wBWex1dpuoRYgUdjn286Co/4O981qOHDu39BNBsTc8biZi0ltm0psbBFkswntgwzz9+VBS
t6p7Ri3pGMWcmHNTEdXVSTKZmcC//7XWtyrDv8sj32PiYNEkZxJJFngPjd14D0X1qkPQupiTezdJ
LvH5BKNCDaWJ5xkv4+gK6xAbwQ2nec6GVRXdNrsJPT9IDXnLXkw7S9HjlZDGAb6OgaRfP02o3NvQ
5TU3HDcDoNOxdary7OSKbBdi7wHDmj1kgcyPOSuylZ92mBBNs7j4SVderI68dCCznd48hNlQH5vE
xz8rgue+tcYbPqS3ijDIl8tBtGqCVZ6Df1KTZa3+OucUvbVHRf9xT/DcUn8TXXfIkdRXtp9ZK0KQ
FpjVAIOx6LZ8NWtR27DIutotH51eqPWkeSCOjMxcVnoao3ri9zNFKa7ch1qub/nw4A0MKbUTlxtb
sw9Oy7aRz1Wyaqtq2ECs8LdZ6oxriBvNhgcExyhsnGXcts6DrfwtpoYMu40VPwXThkS8fTAK+3vq
jdtsCIs7GUKqBVZIRg3y07JptGKVdmJc1Y6dAdBK1dkf1rZy7z1AYnlhW/eGxz6qDqL3NEzZAgZ5
fap8TC+duJilDHZjLe4zaQenngFpWb/UTmRtSqeTD34uuSD6GjtYWC0HgGbLltTEIlJksk3BLpuI
s7cOAlZHuCqgEaUZuzo/BqpC+mTDLh+lQeKI8yq4kYXrV84ynUr94g1hvpja0NiZGWlnnxzgoiIA
fsX2htZftzc//qb7lVzgvXS3TZ7HhyLy301LddjPBpvdRNjt+nAqtpgDjSX71fKu8soS1/gn3tD8
QrAwP6chRMpmsk6YL/gDmWk5EbjHURKoq47R6OombgtNyroGZncnnFreAOjoH/r4QQ+F/vjjL7lx
X3qafkkD/cFiPj6XVk5agUD+6+iUew4xipVdlG4bq/JvG2vMbv/YAYnGg8HxZ3e+Q3WxqRvsCFxL
J6o1RxN+sm5XSaga5WMgijC+4J5pxK0d297Cgde5NuOyPXpzGCKSOXiDLshW+TjwIQqBCXmZuzJ8
0W24pRSLpMottqpTzxoNz0poPGVxkLKUkM5yrAkENkVpsXkpfNaLtXFkIT0bNjb47h0Xt72TtGfO
J8W1HOILmSV1/vGHNiCG5QN2mh9/FfFHGQHhy3RHHf3AXTWqaXYFBIQjppxwX0dhdPQAUO/HPK4O
WfNmKW5XXWVjNRRdHm7MuH3JyHK1sZtd1fxH2PDengxJBBfRCStLmKQbw2CzScYQv7KdP6aqtY5u
CDohKhTGVt9+GrpaEmifFqyvk93EyEEcGf8qEFmFE5F5nq9jvhqOtwPJM0tw4oiFTy4Klwxzqor2
OR/IxBdJmt+U/aRYyhXDUkv84q5jQ7xy08HZ/HjnGdHVdVrtXAXDi+4P8ROSDPmNIQ0OrfE8YKy5
+/GHazKMkazRN8WxCNP0pvDb6pSE4ap1tOK+bGE6//H75/8wDTs2rmvTcWzwH5at2zPz++e3Tx45
hVBslrluoCbWUQFwzijWHyqZtNfObi0i6Tn+DMH/E8dtf8g8Lm66zpaqJGbDCxZvnGQoyUXE1jl0
y3rBRSW6jk6dw21SILXM2r9oBlHxLh04mjhiE/oY4Er54jVFt8pb7l8NcWmVJiWwIOKjHL5ZUkvj
GpIb+HNK9G9mrczfY8x5yuBVpMSrIT3L/P1TFpXbt2XV1sSrC8UW1S5WiTeuDFXoa1/CJcgHTI6N
zvFa+vDrnBzuQ+NHl5Z7M9wIjG+FqNtDhB+u9OzmGZ6RdigqkawC5ovXDnDKIlU3WZdgiB+J2bsF
jwtC+yas35Xw36a8bG+kXqNDVg020mK4GAyOz6HZiYNfZc9uIg4yQ8ogg+IfZYaDE9UqPrITeOZE
lN3/8bvg9/ElAPHEtF1wM/xWiOn9LuETlLoexor3smZA1QWs/N3OtK9IMudX0Dd4JXAHKCtgH2/I
6O+8BX/kh35zBeO7Gy4vBPZuQxpzQcjPb0Ez95o+ikCP+aP5nmrR22Cbe5XF3qqa4nCRSO2gI6nC
KEaEBUtjDu9m6oLhaLvm72S+/2+/CBYUUP0lZZnOTHb9+UfhMqjFBUhy7rT559BAFOZEl6jQQmjr
jnYo8HqbU0fuXv/zb+Ffll3+fxO6SySWKNzfjib/0i79G4jSnx/0l3Cy8ycaMSya/QgSS3BJDgb/
X2G7NoUA1GkBQ3IR5Oc+gr9ClHhP8Si4RgJnzxzI41IydyIAUeIzzMPmxPMc7rf/mXSy+yO7+pt3
rwCRxoWTqLPNz+L9Lrk5JNY0APonfCJGugdYooGu/pB1AwgERSrMk80Y91/KYulqxP7Bicpdl/mL
0pHIjj7RnPA1Fvn53+3c5at7FABwRv0vdO5mGUhGE+cuKebfOncNrwWRbub/Uedunm0GwZH9P8W5
K4vQ2AS18c87d33Z3Q+69um7YbI0GmwAUFtGgFLcsDGqbIo09IB0yPNUi6PffOAqLh9aPfis4rbZ
mrBx11EC5MhroxUDIUTljE1LVrorK/TafYqj1cwduUgyFiZInNPS6b2dykxFSEc7xFb6romhXwMN
yjiWBQbnCHakxlrTq2ClAKUuXNhECy8aJyIq1q1hzJYNgS445F/R5FXbMSzUqgmdD4KR3JIMqEnC
ZwGQ1w2m6ksR3gkfZwUn4ImlevlV2RbBB2W3Z30K6GFwxc6NelCDZGHwTtjl0ii7W4u41doPhhG6
bzxjvKyDPjSPus6wr+ffXAVZ0JQ68CTBbyARy4Lbl0gJ5vema2+mwX0q5QjKfww+8YNfAxivV0fW
F6NO/U1k2OW2B99idnVIkKC3VrKKHsyaPokuRv2OTeebRmYP6665QAUUvczWIkdAJahl97gcKsf7
0hndRjedbjOtu08rgGFD8WknWrQapPXm6+ZbB7u1MDDmCpOzhQh5dkHHiOe73/xJ/5xqtMGyBZLj
GW/zx3qZ4bVZihDcKkFOschYfdmDdWybAlJMMz5K3Mie2UOVCYjgmXp/Cxjho5kw2sRGfKCkfN21
5l3LIhc6NNppNlM2m5NmBRHCoN0zJOEz6YvhcRjHPRl0sTYgYJ48FonL3OEF112XVg0Sky2qsW9+
tX1604hcw3PhPI862OAh0uJTPvI9hwDamVc6j7qKfJ7akCxjIFw1PrFdIMNs18MgR0P25wACNjZd
r+TWB2W69PIV3ogEb/XYgSx1+21piNu0lezDfevBi0oiBWCDV7Wmecuqr89NgBkhSMWmjvI1DmBz
GRY0VmAMU7CdsWqWkXqWk4s5pC3wHc3WYbPBeyfyGRKWuTmPrAOgsqQd3CHF+t12L5Cphj1x1EcJ
aGRfDfO+2+eo0AWXuGMxProRjqEkuymCEnc62aHWwscDk4g5DjibLxrGFsBbywidZaUMjpTh9OKU
UKe1cnwljvkUucZ5EKjy0qVcwVfRmcmLT05FGIu13aiRoiNw+tbX+bfaXOKpasneEpUqW3dh41X+
AaPgzDF918ge7Tub3A5tmz7+aCtl4AvkwQyL5z53t51f24exrS18fwgKwJ13Q8RSvm6nz6gRj1z0
vJOW+lgE0K4N1jOc9O0m/yZAWywlBo48SB16O7qzVxZX5YWf5qA8xjTenYIdc5LHwabSvJgpleO0
CaMcDulZVSSUcCEeYJBaK2s+BucVe0KW3DdqIM+oGlewFcMTZHqffZS8y2JCyJBPruZ/jP10zAGh
LZ0wuph52l2x7+grD5QdUihEI1VExS6txBfaSr1oHA4ppS2rpZFAlhsjFotpdldbVX0Kt74p7prm
9UvHvlVV8p17eYsuNpOFMYGuteClzUn9MGNjIQlCPpLNpB8ml9m563dWfAncYG87Y0/Uc8AvHutc
XSiEsJmOcZ51b1WWg3KXezMxznXRbKK86N87Q1B5wvgdR19NGibnYKZicOA9xaBJFyCbl2PV4VFM
uB5zOcoIgIuLGxUGawVhc+GlaAMGxb6qulX1iW3ixrbwKnRGgashQRQ0i2hTZ36/q9lvdIHnr8j8
KowRxl7ZXXaouaB5OEDWQyLRc2E7rmGOTYvOs+KFn9+x9yhWZqLvfb+Llzag4kMW5YsbWYzWYVJ9
ROAZpl2QDCMUVkwmtezu0iD55uq89mFm/rhQk34T2VM6ZvswikiG2VvpVtr9MPj+zgqgdTVpeQQt
/8XFreJCb+yoOJHLuiqdfRk6j6EulnXt7RN/TNdWXkW0eMibvoYjn31BDgvxwHr9seKjnblFtEjj
jnKSbFrySk9X6d4nbfymFUTFq7Gu7pumuQSpuiZeQhoZucIfo+DiDGwXAhQy8jkci6DCrdIpqVbo
JuD/nb49i5jtYteyskq9z7EK5APJ0YBV7gSF49Wt2kXjhXKbZcalMQ1gjCyA6zT1jimB7m1RuG+F
mJd1iPZ6Qqx4PNR6sBisac3Cr5XxsW5kvUEwcXdW/93hJH/QWg6xHvFkA5xtjHq30RxzWA1QXAN3
ilbN4HPEk068H6ZrV2T6rq4x6MrhlmF0i7ZTLtsse0oCaOjsLdHHNJScQkh6S/qcWKZvbQAEznzb
XTYOOHkm476SKn7k3PeiuYCBHTHVV1kA7S1lyN3Mk+EKxqB16XvDXjpZtNZqeLUlbDzwNwBk7CrZ
y3qQ68gcAEkUGsxf2lU6VC1rqFYuF76dAH7TlhLcfrNpayc5WD2JRBm82Nq7XuKDyiojuyRFp47C
mU7JmGE8tQ5R3X93w+g2bRggbHviXZ+q4zAMgFec6ZvSsCznTqDwAnJxF9DPCGp1ybvQ1V7FAIIT
IrCe+UQeCw62deN75WmIx1Otfxqx8WHzFjedYC0qgS4x2SfHniT3zpSESOSfLQygtpd8BSRrZof2
uu2PZcSaDv7+sLBEe9+O+hbdge6flutzmvXftHZLr9MHT+CaUzpwlFSmLAIKCWqqb1hR5iOfEve7
xrktoMEisQAslpUD/sEO92HvNGcX2ABat9q28QgCPcoOQNOMvZVHn2oMqSb4TMZwCXUZTmi4G1V1
cbn2PVrF+BF0/ufEKmuqoose5dHsL4AAPW0gO8TLKjCvwjGPJaavNWzMsbvSTuZf0qZfOROXlwDr
INsiAR95yvipJ9D9kCmhNE/lg2ZkdDDIWlu2XhktLOieVhq0G8iGXOgiLowBy96DwAY+2GV9UzVY
86U9LlWNp5R9g9gL4X5x72s2mRMto4vGqwv1z36TflJjtHfpJqpfOO8Qjwu1dcU1GT9bTEA0jqkr
YH/P++vFVNWXSIitydaYaBhjBvFZA+R5/k0NDxVuzTGVLNVRYEH9iV2UMGu0eXdoex9TwzDsBiqk
EJFbPpRVsdR8AmteH59jNp3rSreirZ6Nj/qEfz1qy4fIcdZljqrtsHsATOPRnzZhAvXJSyWzzVx+
6eO4G2z5rnz/dr6/YP64t32fO4+BV93UMrXh+nc1Mr/Y5xq+tMGHyGj4Kbd/78BleWGlZnRjDCRt
3ZSxMdUJE3ov3mg/DmbVL+JKHYo2o1YiJ4lsgWJZmYPzvXYH4+yFuL1LcN81xvQt9uO9X2T1RXOs
2VbcL3MzZ9DGx3yOreJZVSD3DK2+AT1QHaE0vkgRAm+3kuD049j8L1sf/FzZ87/+exX7eM588P/b
O4ZF/R68/4xLmzsUfzzm1xWDC7nLBGL2F6oyC6hfVwwsFoQlpIWxzbOx3v26YpgrO6lUFUxYUFws
Q7Ir+suKgX9i9zAvGIQ7t3aKf2rFYP5YIfy8YrBZfvADm6ZHQyjf7HdbKdbxo+WKEj9l4D2aoJFo
GduKintD095hRvePxTjlW1b3X6HMlxJteOuMzypwqDXR1l0VC3hbxR41ICBCKY9OpcimDO+4gJol
wP+nMWJOcgtaK6Lyamu9OI91eQWs9KWSEDFRVOuoK49C5RxXIANrvptsIna4rQFbMJbunQRIsMmU
TyGIxx13MrLlQP3NWk/0S9FBd0nPVALqNzV63TKtK2vZcreqJwo5ohL9qCguwEeqjecEmP6zeDcC
Ia7KoFkl0R5j7geHy2M9xMywg0FhDBdFiepygaX5kRt29pqNBwQ0KMBxnwL+xPunm3QhaDrsZiPI
tzp2mYxbqebUVAradnbB6xUTneRmVPiULOjtNjMXPrb8ouOaZdNmsza1EI1S1Musca01bOYqr5rV
2JjXqg2vpkQh7G24r7UwbzQ1vTbj+GiqiGCV5HTnKWsfd5F2qe/Nsb0UtSCUOr10rC3tACoH91nA
0an3XnU0vSX9987nrkVCvVrQDfdJIvIUzVt020Ufs/MNweSvqRKfKRn7qW23NWjbfRdHJ0L061CZ
gFzVcLaJg5Ccva851edNVays0gHfWwPT9n19Sf5KFXcpZSsLx5Vkjllb4PBa99zzOUJRXwM8QFrR
4xhsjNwb1wxg0yLpZQoiZUAWgnBv9fv/DBdrSY/mXPCYl94z/Ry7amYSd/5dUFAF6U9htiUYe+iN
2DuYhbij+AEexBxSsYnqRJn5lsTeTaEHybkoWyoRw2HXKuTNgEI9hId4VyW1hQOCa/NcVxnTWwnZ
mA4fdzN5bXmro0ybRJyPwGC/mi6tT1FeZus+AqtQ6g/6tyFLg11lMTCZTZthMMQ5Q+fKa+YMR29K
rAVxLpIa52ou23Qa8RLE+qfmcLBIuGduCIGvHMjRKZrwmXP5cDXrEJlLI0sGgMdUKU/Mt1+queqz
6Ydua9rJMnIyBsWBPg5IAJtqPk/qc1momGtDFf2hai4STQIo423jLIo4hZ49+pQgjWt9rh9N6CGN
5kJSe64mJdpUwveG9tvTW6pN7UNqUmRa0Gga0Ww6eqXOcoWyU47c1lIE2WevwASaNKKONKM2NKTO
rnLsUXVhlqsug1iKIpKu6xonWUE7TRGWO/w2aq5dZQETMKhW330+PSRBoO5Q2onniv6EsfcJ7+R8
xOVipmN5Hbw0+czRbN1RZWUjKk/dWx6DD1gJaD41sN/EO3jBXoQfTlAtNdhUsgZC17csGfYJhnuV
dnis6lVpPmfI8hVLmbB/nRK6FbSQpqnXZv5erI/ir6LZRhpNSjiFdKrBjrTtcIi9j0rORNziRVHx
nmM90zx3YuPYV70+THCKK+3Vbp8t+MD8cIFnLPTdaF8qGAmZGHk+6Jo8Kp8vytZHmNCFpdsbjwuN
p8f0Nn7DTrDlN0v1abisKUUZymYtfPh1aby1PwqBUlm+NYmzamObGhhvi+VgNbxzTVuRaW0EvUwJ
zJXuBi7KzpjcLSinBeCpRQrrYFIATtjMugGecVqqTM2h9cdbVNGmc85l1uzMbnSW0DmGBzNN4qNh
AGtrEOt3kRsTjHUVySu97ck9lISs+vxJGGl8aVyawWotv0a+loDvnnZJkEqWHgbQjeBzLAne4YQ1
6Xcxym2AMe7eMaYX6nUbjuFRuHajWz6F3qGa+ELDYMbr1GYUa/PcWzpOFC0K3b0KGl/QY32m+zTp
2C3YR7sK8wtEGX6bBRuTkaXjwpXGkx65mEALETKzlSQmHPTogCl0lTlGfAYKiBEL4c5l1qbSqdjX
pY3xq/DuQqPZQG1xlmHnvjlo1c1oNvsxaZ8wHGxNs6kXppE/1HmADkfOYw201ljQNndj5ONBOMnH
GI/YHet4FdSIoVLBhRE0cbISWuShd1PWNtfsKN+XRQ8/op9tSdr0bmAm3Gc2bE9S6sUyM/E7SzE8
NVVDI2kQBbCv8n7n4+Xc+r16NlRlwntP+2Vkkl6rQvOGHjZcP6H3YPLpH5hSFtJhFe0iti97ztTc
sSYIQQnXaRFIpk54QqTrY+AFxEPUOStbsHcZ+GuQxWvLSevlgN1MK4d9nPeQeWdD1P+Mof9YX4jJ
eYW57G+Pof9bfY/q4rdz6F8e9GtfCOOiO3dHknezdJjNP82hlCJSJeJRfW1DB52/1S8gXvknQROl
++dHoETBovtlDhXQex2GXcZXB/Qqldq/VGz+hUn6R/Xf5vz9f2M1sR0UOGC/jMLggMUP4vRPXgHK
ky06XrN6IYJb+PzpMRLDnW5r4a4rOQCORb3ijFdsZAAe3YzgNdm1sYXwaeJFctiCWFBpilrz1m5R
c54L/XFVzbU5E3bOHd7vTScrf21gCVlg5SmXrOmmxdtDinS9iNxw12bDe0vd09oMnTviXRTuELAi
NtZTBDSRtaOJOSAC27rLeuI+SYTANiuXOx+izUDaYOZSyLC7VhmEXUfPbmsPAkZGO5awuu95pXHd
GQrjthdbdxSkd1OWd3atAJAHzQ67MC2/ihaHkTWPIanMaGWPJMBOVAfYyKe/famJ0KWdpE2sdE9A
ciDQGfwI3cDiKDYMlnPcfeK932AMy+k2WySKLzQEwV2srC/cmiv6j7Y+99q10CnSxvPyLZlFGHPg
f+7YbZctwPkEx2YmgBz6WGPWYyT3gad5Rz0Z7nqA+kFku/smYaQlw+VVqD+OLo9k/Nwte4FgZdEp
LlPfXCrVF5t6YPIdagpC+7L4QFVqNwWxXRJdsc+N4uQmzTWyfIOEJP79AZM00ECnJUA8J8q0tVcS
d5qm4BtZAA+URw0UKrjNBMGBqsySBe5KbtOKjlDPX1sA42GeP2UNxA+3GONtgiX36CIwYfABadp0
eLdCXNAszIdPrGvWLZWQ7TKOUv3kNU72UAubl8YBVtsG+bquBu4AylqN9twBQvPe5CTHuNyJQQvg
gwhv6zQ1k3bTB3s5kveTGF0E0CqZgdth0cTmnvxdd6gNGUKtmcSiakBq9VlzE7T+JouFs6sU6eop
1k9YHot1F3A5TtpMLQrCmYvEZkoDSv9CFAxtr4npN+CWQighfbYKfeGNA9l7VXH378atgbcoUvqJ
iz9uNOYW+BXjOaTcKdCSdg9L+a1sam7+mfHYT+VXry7mWH2xd07WIkm+sxfdp6TSt31fcbv1ZwMU
6LGyfi/ibuON7UeqIK3HORBTPQHTO45nj8BmlJpHN+vOWt89R2kLuIrTl92M4XE2/GbuoM/mChpx
2IwRdRa3kUhPo6zvWLxeOFqggIru7Gr61gU4jFoCi1S4O9L++4w+1zWBhxfLHt/dVn3YXROdVPst
1yZynUNVHcDw7tqxKJdWKql1C3xnYVn6uJosyq7aMtwEySg2QVhTCkixZMZLdkpKmaIIYITERxXv
qMFe5CDJlzJX3Mj89KAcBrGm4B2FYf6usrgpq9y5oUKEWZ+QvpHkdwOnHhf68rqJvQnr7vTVS2II
yWDKLWCHZNF61ks3Q13A8lCordm3esUVTMX5g2d8mAWCGbvVe2GF7y1HJCzDdcOLow6DR0VRQVLZ
lIykMbAHipNOgQEyz6ZW1uyDYzdgSGOtuU5Fsva6GIoSlc+S/xiK/D4RWMl5a6f5wVXFlx/xb0pz
CeKqM6mKzRB7915pI1HRVBFPzqNXKDpEg4CS96rhENYwpRnW0rIhBNGme1R2vG/VXT+mHo3zPjyO
OadtILQ4zoZSY9TYsmPpbiSg0oYEWjLOmswgTYCttI6qZ5Ydq8GiEUAvrF1saLT40qvYehonlVpf
VoOkvHbyEAkfgzRwgK445trurJNv1/o6Hxnk+7g7Ep5Q+Jrie1fk8VKVR3hc8b2Qs6rHzqH12Ek6
eUY2yPl0at/d6k33Zvro4/xkaao4txT6B0hYhL3K8vDWYgJKoJ7kcoDonESkVppz3xgkMqzgm+f2
s/CgSwpkkv5UIljd19K576e4fCuNnOGyR3xs64FRrGNNynperaOMeFiIz3BhyLSDhzZ0SMozJTCq
2D/k/UmHJwNyYpBbPS3RBzkJtrFRHW2z7XHM4eDoxmzFL7nZpCWCPPPvhQsXRDBWv9xt4KyI0ASf
BbaL91B/tcchPXOF4Tuu+s7L7rm8cbi0DdzZ/Uk4ZJP9wHolKFC8WU+QEKYb18yP5JXBoFqhPFhG
vBzSvt4Nk1EeyeISckf/Yxhm60DojvIYy4HrUsUnEMoUxEWc7/9nyPsHh7yZgf1HQ97ie/y7VSMr
xfkhv1YteAaZKsrdCEHT7+bhS/rrqlE69twZzsIRTP5sdPrFzeT+CVK0EAJ/72ySM/EY/eJmcvgn
ZjI8Uo6OFfifqw6nkOV3Ix44VeEaTIqWjoPjR6vDzwa4cXI7A6tbir+jv4mi+JPxglnGlwe359MK
5O1ah4ZYjLR/wUvV2CH1B4NdAzC8z6Kx33WdWgL7ewLlcBPD/CRbXl07jxOMm4RnynnPc3S96Wx8
HYF2kCWTRxqzd1N2tLJJpO9UeKfHHscgfdjghAE6CoaQULeY1jTkYAIWqb1ic0XfdMoV33iWPtG1
kPToKqRTO9tOYd0ceZ4EMoX8SBPw/h5mfiLhBPQdlHOXGWKtp+MCMAIlzHXU467Ekl75PCHg+7uw
gMpnYcPtRfkeV2n0bInvZQBUVvU6qAPuBTFrA+IHBfzNBOK7hWTgW1RGpnRfUdS5D+JMYH+hMAxD
LA79zVBEahul2U0W0m/HsO6gmoQsJz3mHiuhejaNvDfOv9ySBwIg4KJLgasAYOwFhPyFaIO2AM9H
gcPMGbJNtTbVqpKpPOZlw9ruH2aj9jbisUnEAiHz77FRJaVx6DP/YjZqZE2Q0n1jJyLWeY0393z/
92Wjoh9r217pl/8KNqoxs1HN/5/YqIU3jYfoETITVjrLfu0kwMyc3XwXkdv7AzZqgsuyDF8bPJft
DJnNqKg0jHxHGdthElRP22X7pYuAxBOMlxCpN8PJ2eLobAhOLLtZtdNn/Q5zwss4K3r6rO31iHwJ
Yl8xq37FrP8FQTCgz7J2nrXBEJGwmdVCMeuGPgJiMyuJFpKiPWuL06wylrPemCA8jrMC6SNFFkiS
djbLjQwkMcpmixf5pvL4izzUJsKI1BQnEpf/Ukd6wYxYXIMmIGYOO35RCbta6sM9dW31pkMq7ZFM
9Qx4qjt+kZg3ZkXVS/EhTb6DA4MmQVLwjKoG1TMiKB84/68yXz1GxhhtlepwSljhua5pbtJp4aQ7
EIiuZ/lLOXBKpY0YEKjfHqrMueizElywEaiKHs41jpZ+eCD0/a2btWPSPit9VpOTtNXYA+ZfZmyw
A0dxzvMIHJGvVqMvvYU9Oj7BOPOuRKhuEaz1Wbm2e4OMMVp2fMkZIs1Z4ZZI3d6sefez+q0z3xH6
pjR3VsYlEnk4a+XhrJpHHfp5O1n4IgSA/Vlb72aVPTDR2/s2f4Dlywp51uK1H6p8ij7f6/gM3Vmz
58y6YsXtUy9zzYtdNWv70yzyz2L/rPoL5H8g6fNCMFoIjAECgwDy9yetyx/9IzbFaCouDVYCDUsB
DYtL/7OffQY2hgN3dh5EWBC62YtAFqXbNn29ZnvZnMM22FN+rK3wQlO7YdHrSX47ba3v6exywDfC
KIvxgSo2NIHZC4Eh6FpijnCyLQvzb93smWgIPC9DnCFMkPcw8fEMaPaE4n4Us+OiEAmr0eiLxvp9
ULrnsgKsY6S9ZOlonuTs2yBLEqyho/OafWjZZ9r2p6woThO9YDb8f5QBOgBHUa96jexT6sbl3lGc
tScjRter62PSqmSZTH19MAY6MUhIlnXd75XFRJBOmYeyXsFwpVekdyXBLPE49ZRCe753Dhgf6Bgd
b/oWqgANeh9FaqtlAYxs49e32lhd7AJvpZxXMR2CHTHGt2SYvVkE5kCekcwepb83TTjpXWpj7oyR
11w6ozlDjsa2ld7V6MpzNbJaQml4zcNMbjnq+qG5MltvQ43D3H2gXWPduuglhsDaDG+8gtGoKqN9
1sa3Q5jxKw7B/LUtFCEDESCLj5vKoKi+NSe2ttP0Vk7lczBY6CU2IwD1J+mazvNY14Y1HBpKjSpe
wC9Z8KakM0ZbaLWDybpKn0ofQC6Bz6PbTzn8iO4ld1uKb9vSX5P/jUM8jSMdQ8eoa1g/kKtnSzGl
a5FW9CxE1p6DcE8dpEFVdZyszICpqcurGDzeuEn1WDuoLMIYUbRbDtpbSOdiOyAy+ivAhWIVNRrM
VrIXeUENJD2kp7yc3pu0p70vdADx1N7WKM2PjI00KeyWsUek5UWmE2UWfMwyN+HT0FM+CPinCwFT
4DRZZUBszmbxZsZTfGB1ARAkuhb+GOBOSl/LbHxS7sheKVRYXh1VHtC8y0NcU2JAQwwff8+8TVVw
cEqefdYHAn/KwMF6Cre9jVdQKPXk60Q2RDTeYxLLiL6zNiipqiOYqm7g/V6kk7F4aGS/Drk4t5H4
SAyI9IVPIjxseohMRb8El2uQLoNB4KnceImC75mXwjrSYv3MjmxdwCggzj2ow9TuUjXSVMvKbRUO
wQrXSn3pR23kk8NOED7DQsbyrWlhJxBzqZHVwfqVSGhloZf7ofRPI/HsvaHURNrUZvnf6hcEqg0S
3wFrzs00aA+y/JAOREeveZFadlKT9t1uNRxTastQvuBMOrMIi2usADyl3sPU+MRqi1VEhC6AYcR8
/sNdZav8DazkvuB33pv6Ts1sEfJ0+JovNfurUqRvRd/TSANrEfcO52Al7Zs8MgkiD09Z9m/sncly
5Ea6pd+l95ABDsABLHoTiDkYZHBIThsYkwPmecYL9YP0i/XnWZKqpL63Suq+ZtVtpoW0yEwyIyMI
93845zvTOUSfmuv5RYr0qhPO8d7KzVsv5RxyiOosgk3u2tcd80OcPNpxMor7LIK0YKdX2WRvAwsH
45y4fhcfoyHd5DZ2t9k92hLIfGGspCzJ19SQGtyY4SHrPYAL3Xqeig1eVFCo2nZI5Vbgbib01to1
VfMslvJemapzubOa8j7X0g8kfqiI8pPp8TmV7Oma+GNJxUOWD+c5QTkxqys0gCpRWHsaoatew2fa
IbQP2k1Rlpeg7c+D0VxLmFYTIFVyzPZjQ00vBdAwEoSqdt31AKxGPL2xuR6G/WwxGOuZR5e7kfjQ
kTg62NbrumGyNY6gXMNrCHAPWJCvcda9ml23HrTh3P389rJOJYvl1CXNMzqTbc5JUZveQ2EFRzUk
+vFfOKynnoEOvz/2BULG/NXS0IYSykDnsEtk96jrxmYpsoL42WHbjIzLEh4zegDE9qW3NUtY7Z7p
NhuTraR51bvFAyid9TKE917qXGlt8q6nlAcEEZBTTFop6D0GGcMHOo8O4kOVJ9+6hASjmuRU3+LJ
pMu4M5P3ImkZ1Y7vScYxJR3HWVlDopD+pGBZHfvVbqhuvAvBDw2kHjJ/hzl/b6eOhOGb5FJ6zga6
zvTMitdIbLlqnADh7lgRndPucGaIzSi6GsD6rjdC8eRyzOteY99PbnHLeQ88U0zfcgLPNik8TZSw
66gRDHsj9733am3HUXrN0NlayUX/PMd9/NFCRfAbPOVZgNx/rvFQo6IzieYuKcxwYDMZPZvjlx1G
X/1QfeZ94zdDxMOWoQZNtXtsaTOtHRM0Wxf7CqVAhyO7NJNs27tyZ0NVQWGi1vsDSm5B/2uMLCD7
4GUekQO7xgKnUi0YXGFc+Nv5SvJjY3PYT0V5gKdK72qMYtWBW/Dzzrm44B/YE8p7t4XXARCiAYGs
7XKUFNWkZAAivsu16t0zpqesbk5zLfr7MdLeWeFsHIwMTP21F61pH9lL9euyY3SZtlWxbudG31fO
1ahO2gKp57HVxlcCpZlRp88WbtANxBMLOQ9ujSrTbqY0W/01a/ojsyaDYY8LD+qfDpuUsK34n//j
NxOnv3/hryMn6IbK6yb/t3RP5yfWeYL9IKGfzJeE/Rt1m+fyG8yibAuZm2Dh+MtWkYUjSTto5hhj
mdgkrT+zVWQN+buREy/LcngBNko5YTH64vf/YasYmdyzFg/bCvM+lWWgndjbhz7AO7FOSnOveUax
/oEgzrHacG79v4QgtqaWSh22z+7/HEGMvGsg14F09P8rBLHTM+OShQt5/9+CIDaF8RYBhGD/ysLk
vxBBHIS0SQMmxz+DIEa7Ox48K/nXCGIwVeXaYLp2/C9HEJs4yVGEE2DPkPjfhCCec3ldYwT8DYI4
Gu3q5E6Ysv4FghiWonHqbbwg/xJBzArp1FbTf4wgtiQEHmR1/zYEcWsv0s+M+P9TBHGQ7Li1/0ME
sUX1utG0P4MgDsv05ACX+XciiAmkGdhZ239HEJdDSaYTPsk/hCDWX5hi/zkE8aJPQLXD+g8hiPFq
bzMrh0UUV+V1XxTnySYjIrOrT4HQK5v05FBrw4duT2cbnw9xbTfuGBxaiy3AlF/SrKbXT4OLUWHu
gTMGGLgw+22Q6rjYLgFw/lWa2WeDTJpswKlWRx9A7ct1WMqLU5Qb/rbL3OaGP4QYA+eUYDEZO6TI
RdFtP4TfJ9lv6MA3zIPSdYwPfWWFleZr0q42iVb5o+H1FxscyV40RH71IaIExiq48eaMNMIRPLtd
++w2ldHEjbYCJC1hKrC9FzS5VbjsMmTAPq8AaTPzNmM2v8N7eu5jd+c6Ax4bBBF1ZDwkcXXNnKA9
elSrXopO+4qddY9PQhtWEVoQz+DLs3ZOd0kWXjmN3R5NYd9NNEwLV/pISQ4YCC0oLXRcKgVuCzAv
1r/KHpA3ac/2Qdb2Qz9eSABo1mAB0TV4zV1Cpq6RJe+9xRhvgWaJ8bIloJQFcxBopEKEIUJsbzt2
442JPL1OCLTLw+Ypz4Tl0++ul6zYe0Bi8IEa1cYJs9OoO8hQ2mg5dZ4Ht8wR0JL058QBBl44s7m1
mrlic8yAKXC38UPByb6boDVPqfZoh9aBsUV7wODXr/FLO1kPjZR9Daq/hhnfkK1mcx0VI5DvwMH+
w9u46MmuEHjU2gk5j0XI80qv4m8D6QjRCMG9duQWj3ixLbUmOQZecIZFkG7iNkV8E8t6M1fhaRpv
9TSodnPQkMyIaTIgfQs6CYgllgM7gww23pyROFzNa9bJoYgJv9QIDDNkejHH7q1c+neG4g135vBt
7syJhZXGJNHLwRqm9f0SfOZOC1CZFADlpCUufj4CRN0PqNP2iaPHqyqn+UY5Mkcw0DWXX5Ejgk07
n58TWPobz8v7KyQ2fgSMTHa977E5CyeIMmOOaXKIYTfl+sbukpeqgxU10T5akgDhjp8hPuKt3gXp
btLNSxKWJ3hkLxPKMq9rN/Os68iiECsQrPWOsnWlUT4ysevF2mCD75nX8VyJ+zlhHCrr6YqYM8aj
27B0wcamIfbwdmTAMDnVGtbeJjZCHmRoTm3mHAhW/PyrqfkjTY3jCuYM/3SB/hi3n/1vRZI/f82v
Zh3QHVgyUR8ibZQ/eBy/btBNmhUd/ZqNVUYYKnX37yJJoSNcpG2xWLL/TiTJYcNK/lcB5Z9qZ3Qa
o9+JJKGVILdEu+TQ2rCQ/007g8LQ0XsTyflcpN42RS4TDhj9JkeHohsb/SpsECq2FkP1VkE1Pfaw
AGdGvOg3aOsJbXLFttf061KrrtHGP3lciC4CqBQtTF0tZAdyi9nxcIRb9d550adu9e/d0iNFG6PX
6crujxF0TxEkV3kFEUCb2Gh4DKZgE60GoNjvFpHbZosXKNZq9NpOBp3U1c5LjLWxDu0Rvu3NCI6f
E9shry6s2GI/O0pmLxt47Hk5IzCf5G1YEHCMILCLBp51N6sfwuim7gvYD1Y9b2oQ70W0MWU5bkwN
BRFUrBdwBgWww7Up6VbYfAEYrTyVpx2sCBISUN1MvJCV9oooXT9MqQenAORUaayCBlmkHBCaJ3sj
TVMkZMV1EA0SgNTUrw1dSg7OKvKX1roTA0MM5KlKf9OsEhtYRE6f6Rd6YWDJbm6X8Qm2XX+yPHPn
Gs6DKTDkaOSyrx03+mrLJ1eAripVikMpWbh5CxruiLWXxpogl5NfNtHdUJk+GT4ql41pPMJsJPee
wDWrrOWCuLpmaHcTCnl9iUjlY2ppLZZzlDEX46w+dFyQm6Amm9nGFmm3HREooDIJicq+em1x2H8j
LvOYXg0GZoM+nBnSZ85l6OFzfoU2i6Ao2Yk5rA7gRdf5mMZbvglWYSc4N4jTOKpxbDrJpbUQfaJ3
KjZur72Gk/No0ZJv5wzpKssOQoey9pInfGloAKDQx+rVHY0XjlQBxhLWlSiPhCqNHa7MNDo1Hpk1
bo7PN9KwIoD8Q3qJWOtRaoa+nfLopq+tZc/RCyjM4ec+fU+0fLwZa+tQEBvvDsBM9OJRO4T59Gxn
k/vuRTDWtDm4lm3a8q4Oh6hsL4QqBocYhwKuau+QuAj0J0GWTYjGcB8uzEKDLQoK5Fqt5xLnh6Q/
Nl2ADfU1wdQHLNMLkTrFZ5Y1Bks5mJjmqGH6kePK8pjKMYxjk1m327pOTsuYy0tp6tdpZ5KWCkMR
oj8+90ja5jZyl52IMe9bWlasvRDBWAXj7ErgyMLNPFIptcCMG6NaS4uV02j3xmo04G+YKc+IwT4y
X7A0SFxhmFNmdxMZZnuE/Y3qK2OHoWo8p1jZU3fGh/isWS0SNvfao+IxMeupqNFdCYkDFg2blDJw
HkgsjO5qkQ5XMIjeEk9/qbLWACJs8iq50wV3e4jNHbChvjZ3vbr6677t/coaCj9QhUFNhaCpUiGj
ZlhU8WD8KCPG24WqIkwoLxJVaDiq5OAhPVeqCIGMcM9zVWzDvOCnPFQeDWCvRol5Lmims0hQHvep
2FCbEFrehL04CwKNWgs0BJxiiMmnBrLtoa7SBykSYH7kOGxJMQWLEGTx2bSfgyF/rIWgLk5fYnOU
fizE+1wAlg275DltaEnBKr+O9UDqzmJttDR8CuuHwcBlhDgnp5ao803LuUfC07SKleNqzDR5RWnG
6mVeNlYKQsWZ55vJDBFCF9FT4lbfQ9iJXtjnflYFz3b6FLksarUSSFzfUdGDtgOjHWjhNbuS6eS2
SFOMBxkNHurvZd6BqQT0iUsyQ+5YUpZYXjFuWORfyXG5SdgygXnPDmVJ+qFb4EfqNXDD7Fw4raye
XQd1amkQUbo40O4FMGEHysBcOeE2WkJUWBhlsJUMWLnxe+UDXUE+svIN+qHZAbDvy8wvOpgNuZTH
LoKIXOfmuKqyxNssOtKGNgazMnbNlm11NpooDiIqW2PcwS9yuXiabx6kKpS2JedqRpnUDBtyR15H
TfvuslwClF9+Jk33wo63lglnZJcjJO49EMftViBCZoOycIyEt2HV+KnSKQOUP7ht9NkpBXNpF1/D
cEM2+RcirW+kNhHdh+RZC9A+h4igE8TQrlJFe0ofHSGUFgim0a2SkB3htZramXUcSTyyeOrDDqCA
iY6be4OpUzU/u5qHvGkcUGU7yLsArXKwL1pBs6RfVUrF3Wets9faYDsg8KazyNa1O/CHGONvO009
kzYNSb5BRMn3VUrxEcm4PpNWioJcs8m3sVOcWmzgwj1oB6H05iilZn+SnFyVvTan4VwtMt90KYjX
wbb9QOnWU6Vg71yXK3NO7NsWeXusdO6dUrwbSvue4sEl7ixrTo5SxgMLiA5m8GgpzXyKnleK2m9t
audK6eqD0oX7aVyEBMvR2uhkCTL/XtU46ej0WCUXKx2Zfota3zwaQlcaYWmiHGgvkQsNG+5RmZF6
7blztw1F9j2TluTlxtbK0apyi5qNxEKsAovyDJgN7oEC8idY8ogBX+I3POZahNNgwHJgYD2wJuGd
ZvTgnnIlZMqf8IMtXWJZ6LAumMrDkCg3A0bA9zTAsZl39FM5emxrttcpFgi6tju94NgAtVWtRGh2
vCF7XXyPlXuiUz6KSTkqtII9qqFcFil2C3RzV643PBvKh5EpR0atvBkCb8WPZUqCbWNR/o2+sRry
hyGiKm9Hmo4ICLodMeni1lHW6jYidYQf6SGM4G2J9HbWCArUMY04mEdGTCTMsECAKV9Jrxwm9fIl
ksr1S5ddus6lsVpmgN9NGiykhKplT2DdRSkL+kjv3yJsLKnys9xfN5LbRIuw7SUxPBpAYkSwhgfR
1OhIonCGTsNA/Ecuuvm5BIKN7DiUMMXJgJ2MiQMBpBg41CYBEp/BCdXcwP+rU/ljnQrthfinnYpf
xvn35je7F8ACf/uqX3sVxxRqRWKDCXD5UOkFfu1VPLoY6Un9b62Kg2vrl15F/wmkgGlRddpA9H9o
cH9R+3o/eQK7o8v3RfBq2H8KLCCF6kV+CxbAagZ00wJhSHOmXsQ/rl48SDxGrGs8ZQ5WyqLMHyeh
QYyREoNMVeIvvvXa9jPwHBbxwW0ydoe0TiiIen4YF3daaykxfXpbfwEtvWsZbyGOOfRF+t54wcl0
i7uxT0hmJnZ+bN21E9557Y0kSxghyBatA9t5UEIl3J1MvyZn+cg05UXDG9FznsWT+W0y3Te5FOtm
gBGjS+jDAWFv0xIzC8uzLeOTewl0vk1NhfmwqLUwY+Y5PHgP27FVGu2aUInbBJvQlfVq4wnyNE56
hRQGRTKRLDXgScYWuiKi+LO0jFcJvoiZiTvBbHcGTN0MjMsEMI8bzAcr1t9Q0qyczvzo0/pbQ8rI
VtDipfrwHHY2TjN6ka1FWl+HD8h2a5J5WQG73xICP6ZuU9fVt9Ar74hpWQ8ckwaVVVnihgkMwrmh
3oOlIan6YBs2nuUo8Ntg3HhW3YEC7Nmp2zQfEVnogf7euBdrLGc/ybN8mwecS1nIHK1IklvSphqv
2SPGmQ45a9pVKQNz7cDUK/OJWEWRHbuYbIugHbYorvi2OKFzbB5To0fkTKBUcgiC4WTL2pVtaAYz
0P4iHAH+LqoSOsZhm5bM9Cysx5NFhOdEyaDXmJ292fTLVChUqvTRwqfXS+KAYihnsdFD+Fjm0n+O
vbWqxVMOkH49E2PrR3p4yqzomGtPokXCYgiO1VA3YerV+tpwsZDYxRhu+6ygRCLH9aBbr7OJ0Aoe
VeyXd241B8cBBcAhi+qbysrIslvQg8Am28f0WGUGMDzgHWwNmu/GmIiBcNpNlLfcdAxr6zESsLvs
c5nO29mEt17F5JagpCQlb0skWHtklpg5JKaAG/A96x34b7kt1MxqHO1NZ/dXJTKhlROHxl7vuGZc
is46hsFAUT+dmd8NwLW1lybWiHJJ7H0uuvsgKXYUbLh8D11Bzq1ISjSMpvvaRTpd8IBAjABe+gKi
7hcNayMThwSfEYoH4yuw9Zclghm5MFvmblvHjkZuYjpvGtWCR9ENnrjqYUqoAZGL+iE1fzxkEl8e
Ms+OYAczBS7m1s+9avFbM0TUwrd3S1jFA0MANQ5wADOpAdmmXnLyaKc8pG/CfuhlxntQV9RiTBMJ
ylmhA8uIwE2ujMw9ZvnRO5Yh/Gg1ljCYT/TMKQrmFVLNLdQAo/bGp7lPBGmaPj9ip45JR8XEY2Dy
MTIBySP0WvaZp2jJlYMf4z5RPRjraKpS7lhUVpTx4wS4OgQY7YKzmBvP3WbqEuzVdWiri5EPwNvO
6rJEaZfAhucCLYrFJFzkEwkdgBDuWENdtuC9Ej8O8WxzDeeECGx6DKmzcqbGeURqp2HNvEkFcX7K
wQqo01xVKdnDDMmtdTmkJmKzaieU95XHmGhmJUWtQ8BIyiEbYZVNszk7tcYlVp6cUblzjB8+HQw7
lnLuhFkQ+Yly80zK15OJEC0loLK9xPRTK/ePpXxAaDNOTqAv19lLqXxCGoYhQzmHeixE5TyZJIhS
lrdTft+M5LfMq9gssnMp+wuQq3plKEeSp7xJmnIpkZJtHQHhoXbGwZQqLxMaHOADuJsc5XPqleNp
oS7N47jetQD8dobyRU3KIWVilUIOzFxbNv2G2N4e2gOOqkR5qyzlsiK0kXdXOa8C5cGqlRtrUr6s
FoNWrZxaqfJsdcq95VnefEc2IjY9EwhUq1qRJXSdgy57/Zan/B4YFT4PGwhY6tBu9bKHmO4K6xLq
dXbWatpasfM4oe4Amro+0dLIX6OI47WSyQbbO6ptiF7EHsfWLZZZv8lMYjy1ojolpFM9LI9FjuWB
JNALBe26rfRdHkXEZGlO5BeYhSX7F5QxM6kcy7NohoxYvG2e8kfwPxe+N+0N8izXJUmum6Aj32Qx
weCB/uI0iHW/Ff1+ccdqa8dTuyvijt2NG2HP16yNPWn1Oa3UyesE4crQOWLHvk18HI+BuRDqXKUf
YtGb+yU30C4aKieZrCtus3wNDkRETAlqABcWvfU6QG5BcJFjcoTld2xs5CqdIsYUiXvNjGRbVBAP
6T6hw6JsP6XWuF7C2N47hWKiCtR1FrQANxC0Pxl5AH3xgmk580eUXL7UiO7EvJIGH3nmbnK9h3pZ
TNphNM7uiIzVNUS6KTJ4f5PZIcclpBXn8YuH1+0q90LwfXM5HGzclMLNU57J7pZLhmegesaV82PW
dQEvVm84qVw+VLLh3L7iUm7xMgpznVrWiIcngajjmjF8OhbPZca9ETcQJWNLX0N2cc+kCbC30x8j
yWKI54+JUYEa37O4WZuGY5BeEWD/ezjMXyi8ON/H/oUAtfCEPz9iGkcAtzSzR5cYhEcl0S3iCkZi
RA1Qu3iayLhgIFSZW1rN597usfIs+lukRXdjMLy01U2K5J22FXndmOQHKfLyWhSOhjQZumPXF6dF
seKyvDvNBvHVGjraVWGzNYy5g2DzYLkNk1PSK5wQOkEmVi+wnmb0xOPRsi2xZjd3ppjUVlVAt90b
ciUjLls6oCcvfnAKdAd4gK/0JqmPOAgwdQ/yWwwjgwEJ/XkdG5VfLNvEMluc17yzNDao8OgzgeWN
iA8Joa9s+4koOGfX9bEiznBg9IsLc8NCA1hkbz0THl+v5V2nofK2dQhRZd5mJ8NjlknHw7ebW59s
qQmcm1usR7KaZIbBv56iTxtR4EaMBZibQLfuSW1+15XXyyk+yTFlnJKVJ8/r3kyrfUzOkzd9FAOy
VrR6X7p2Ljsb2z9nWbHIaBMK75oJygey5r8Aa3+Drj/M1ed//29vH4BFkW+zSnvvfrt/IVJEEAjw
n5Mttm+/51r8/CW/tkGWLmBGuBgAHFtYKpDh722QJ11FeCed0KBB4bd+MT06P/FnBQI0iz9gOzqv
4Zc2SP5E4+SCXcd28GOd82dWNo761/ymDcL0KGmDOJLwT6JBo+/7xzYI1e8yRx4LXhNGIE0XRcDE
ipOarV9JgwSvok2CddhSSTtjAFogdW4BoBFkL1UNqYFXJFxlGUFRwD5+zTTPOmj3bnkxJOVW0/bX
3hIE50KG30V5oWHUdnYJd9KUvbZLvf7QzG3jkx+WXGCDkiED/iw2WqzAhbjLhhED4CxDJsO1CmVf
abX+UEcxAX/55K7ZrVs7wmauIgvCEDCy5UrTk+c+EMm5cPtb19r2ItJP3jgSVOEEoMewJdRUrAfZ
D/e6SyrYNOk3UVfO5GBp21yvm0MntBe0xiwI5idmaWR6zJj2Q8Cru+id/IyIc3RgWzOiA9eWjdTb
d46uHTE9r2V6fQAG9+GmeDc1ytEl9V5Zoub0EwypupfZ9J7bvGF88snY5YsyCzF1WfqEn7WrKJ1f
JzP6Jkx+JStxWOQLdukinN/qkX+zbpY7R1KDT3xYPsrBnVeGArRBT2mRcWHWo3vjHmSwvHpYqtnC
xdcGQuguL4gHGl6Sxmb+kr65tbnDZUEmoM0VXuJU9csEN5Zp5sZ2GN3rxs27nR1ob2j6b+MfUxhO
ljMUJoobGoFIoxStyvTeUEOlwWt2TlrhIetcIn7rta0MmmbEJE7Ds0k4oXKWGjeZg9WgnvCFhBZk
A+xMFVpHe5SvnclukHpiJj0qyFZ2NTooHWhnSV6+npV51HPzbTvkCr+yjpS9NIzEoTX19GoU03Do
y/5YuQFRKktSbnBO1CsvvU9KsrmB3DGwyz610Iqexrh4M6S+9bhncYB1exkw1U08dlZEgwx+GEG1
ENMEUUVtzZRhtqEiiEp6gykbEIyHy3e3GElF9KL2FGiEkSMw4EVVnZRYC4ynIE3uUp1oM2XVbeqA
PB1AWZtGGXkNZemlY5m2PYhux7jlJz3cE0QfU2KY/JAzfOxwBjfKIgxwcOvgGXbwDufxENITV5dU
2Yr1PA6382B+muKtwncs8/BDKLEzfmRrUGPqqboqOlAexNBf2gHDUNDqx9wBYyUbEPR2fz0jVxZK
txwRPB2ZRN5bmdduvPTZVhrnDrFzqVTPtMUkwTtXndJDZ0oZXfZw6TF595wK7eNoR6+u0lHz3TcT
wupFKaxzpNYBkusC6bWDBLtWWuy+du9EEbBJQqXtKb12ooTbfYUDuvUuwLoywDKouwul854RfOtK
+V32IY0G6hok4T/gM+2Ei0q2JPYNgfMy1dkDHQRkBiUpr0Z+S6nMCVWC4Y7uvCqQ6XON9kEr9gnT
Y1bQ89oO3Hueep8w9YZBaU3blH9ayNrF+DWKqx6YA+ofVO+EWDBO1ZC150oT3yKObzO4jxFy+U3t
TJ+Mrq2VQEo/KE39jLg+Vir7Qunts2gLnJWEu374BnrBgc9f3BpKo4/jb6t69qeFrMqphFzQ8edi
hP2pUvijXFphVZMrM1+79jI+h1JuiuvsplPugBGbQKn8AqVyDgQXpPg3zALgh/9wFqDygV5j4cRQ
vgMDEMlSN1hv3idsCTYfZ1wwAup/OBawLkxifF1idPwfGraGNM159pTTIdUbULRR/h657pXZBDB6
BE9l/TBHZwtbmHJMWMo7UUXu1m7CaNcqX0WLwSLFaKErxwVzPLLXu03YH3SjkmvZ0SN1AcYGWlMN
8m/Nqh5Ein2KjJofLx5+d1guOWH0mehJ/hbObcTdwbYmuwYQeDU631WTCyAz5yPApRpMn73BFC9m
0rJ0wTl1wR4GhnPjlO5LZ7BvZOq1r7LuNmGk4LtN8TCN9QYP4Lhqv0c6FFzpEkppOcQQTQ9RtjwE
3vDNo/0HAjwqxo/+ihX77IxvQexc8Foxi0q0d8PqKDLru2yMHkwMYn6Zy5nHGMOrM37vS16PPQWD
78w5wcZLDMJSrIfa7MgA/uwlGLi55XUTHKXjzaq/kylXMHJYPpdOHLPiyQ2ikfU7aiuDJEaunxZF
ePZlU2X4dak91dL5wLj7Q3HkF1HbblwzgMU06Cd4HUwCIzySVuK8dyI621W3M5v5QZoEP+a27g9N
d9OOzjsozFeRBPQXwbEBEC17fm4k45yVPjnvIAde4UZ/r4MtOMVtbaU9YxLjGhfLc1kT0ycNjVNc
UYuBLIXjY+yc0mpfjMXH4JJBMBb3dcnsc3B2Q4O3N56057j0bmsnAYx9TxLZyoifi7z4Hoec6xVJ
S8RkHMYofAkbl8lV+CIbsTUAlopwfMJNdW01y2dWFtdFkB4mk/aslXdhkF1ze5N/ee6upmKY6ECb
m1am5ykzHqbCeZ9M73EMnlBZoBYxj7adr3tNMdb9IGoPNvQWndnE0Gq3VWEf6vSpHfqnfjQuhcOW
TzfjE68F/GV1F10w4pm2elaNDVTH9QwJNk2BIhfWc9AsW1nzaZnvfTwBXrYeK6tf1o2ELT0hbhsd
+HVMDgEqVhPV6XuSim3TFe1Gy7snBRHLmRVnlfhoU0kmAFOMqr0pVaPaKSq/mzDqyWPTp3m7sSX9
UtmxqkmBtqBmBooEuGFF+jqCjGlOfG2eMfRW+Kjm6MYOW5oES/8UkMX5LpxGog1XpKIyypKBvioN
BC5B8DSxJLKTuNx2Nqt3N7W+d03HwKRm0qEN+TcKIci0S3S7uPqdWTfjhkDBrwFlwDwZr1buvTNs
Ttej81IVMSvn/FpIBkZE6F4Jg9kr7ZCdVleyjR5VsBdDt2g/9CFpZOX9PBf7jN3cWifGru5ndHwo
dVlXPwshC5/NcOgXk/vRMqTDE3ctJcOCNhjg9bc3HhN3vwmY3XD2XI8AuoOOCcKwyI2U8YdWOLdF
U93TXWEBTcYHLxCf3gTio8JmPqX8PVKzT3E1caYRQOCH1fIICmfDoiODf0O07ETjF+TDw1xqjLVT
bMe6/sB08kB0thIG8X6mmt3xXh2cikfXIyYOfGHJDPdDOrwWWeqfzswhCCJqjVWebLz83unnV3MG
xa/rO+SAICFjcXBivr3HZMuFdZNkuFZpBJmlRd5zhnPz2GXm/Y/X7KQ4qyln1zkaz3NQIWzQ3OSa
Ikop3AuEUE50n8wSFus0PQxu/xoXffUU0OfbhZtsUq/Nd1KGRMWi59wm2XxMjRGxQzaf+qn/5o2N
fZzdSdskKaflX0u2P7hkY/eEfu4/by13/Vvz8fa7fvRvX/SrvYnsQu55abNNM6VussP6ubl0fsKb
RJqbB9vLIgpEx031y47N+Mlg8oWU0HB0wgBVy/dzc2kBTTR1W/2a5+i0ncafaS7Z5/2uuSTVg2cD
HLgLMhGyD8Sff2wu4zSK+0EgvZtCJvPtsxV2pJq3c8cexmNLkSPlLRCW6ZNlreDrVBcx5xuvtZzN
MjXdtiuXHApdra2rnlU93RtH62yV30vDvoE4+V7bI2A11LSaNzLWBIw6Zy0jM4MaoejIXNfNb3lt
MGkXE2PayHvJMuWoxSnk62l3FYWBD330wPw7RlbQiMPE1mlFSriEF0BEaG91uyxAUBUDFZNZmWyG
DCT00ufhOhnzbs88PGJX6HHbt8grxAzjx5HHyMNiaHU37J9Ss9rHS7OD8IxeLdTvk3Y6Rvoys1mi
73YY4bMUkTEhAgHYMTJ497FtfFnS/kxlLHd17S3cnJG9tsb4BiAP7NiSf96UZafgqfS6Y2MAMytn
dx3qkFFrfTmx9STHr0VYUuEfCgpCbp1oORZd490YmrNB20ulVSuwL1wF5nDoYILcvMyTfEqEwGcb
DG8s+IcduRaU1kEJMm1YtnOPIXpGFz1aJrb9xF3oBc1kK0rgX64s9i2D0bxrw5uK9LAsaVBUmEz3
x+4rMRAqWkK/4iLDi108GLk7HGth7maP+witCJXYIF8tMG8rE7I3Abno+qKMbeDUt+ZexWDDRGIs
YVp+z223H1iOrX68Pe2APgbw+hqKJZ1pOFdnTesoCNnmMhlF4lcgfTNMpAoj8jQnJ03HTrINC4vU
Z5j5CDidC8jQg8eBmZ9lnZIpiU+R+l+Y1/sRsNhhBsHGxo7thg5TMqgMvKoV95PZb9JekEfkwq5+
INZs3GceYffLhDCoMbWECS9+aYNB3bCAWtKp6nwvQ81DANSKn07YFMGQbGfXvmEa46m912mcu8sy
dXjNwRKyYZJbImgJx17qJyAhV1Qy+yQmzzyPod72Jh1N63GCe+idiKe5STXVWmzKtucuHyLA59aO
9lDhznHUhnp4YDswHGVkh+RhEK6DcscnDIqPSKtfSQRWsOaO1D47D/3askgGKw+zw+S9Zvuy1wKW
P7MevUeVeRckOdI9bOK+VZVvlYF0kIJ2WiNoTzYsLOVRT4vtAmRjSzg00pi5+TCjMl0bvLpVeiLv
GmydZl0vHFh+QkDtWky1OMtw8SdylVcyNQoGHCR2DXp9aap1wYvcUI9A2AoUEMrIa39k0UFVMgH3
h0VoLu3N5IYELOvxBlI5ac8zs5aeFBdEq2+5QZdihP25tnkYaMaIdaFNka3Doq9m7h0ty7GBKsx6
3XmZ/xd7Z7LcOJJ16XfpPdIww7HoDedBpCRSooYNTCEpMAOOeXijfo5+sf48sobM/K2sq/ZVZpVl
WZmKkBikw++53zlngjvr/TufOJW+m6mKTQTvK1lT3EHE/dJ3elp6bXYUffOMt2WtTTERL2FFCldt
EH4ZE1OQ6u+GNmQHrc4tjqrqvSj7eDuaOnXQJlmGuW/fB9ObV+L9roi8SQikXqV4QB1lBvULlgCc
6dqx6Jy1BpZfKT6/dSgTgdeXgPuJIvgnxfKPiuqnC4cgTkB/XiChuP8ZAwBOS/MaWGeTFRYklTKZ
+hayBWESXvvpU6i8cjPGA+5NRNraJLj7bymGgwnjAWBoukVn25DWGC8czAltk3+2AwvqVmRvdCus
c5njYyi6fhdhbcDts3L1dulP4aHw4cagcu/IGsM57fSvAMrMDAFMdDwG0YFYSPZHMEGC/2c2MFeE
mdghWE6cEZAMWC8K5cHQg+9IeTIkh5DRYKmvbOSUcWifK+XgkFg50oETGmXMuFjt9Aag/eEmHjvq
ygkvPEGeUPOpZZld5kTT25qKLxWAphXAaQB4Ckb/agOijopI1UFT085LN1X0ECtmlT4KsZ5SNjGZ
IlqdlMplG7isV7Rrr7hXRxGwILe0AgPFeoqONRQnm0VTfSeBqRaWomgBlvkup2mbRTMrlDkCLUm9
kkYzUjckIK6uiFx4qGOoJQ3V4qw4QtXAB8W76BXJa4L0portHYF8haJ9bbDfMZFnm4cB31G5Bd7l
GVbW1a4afODR9ZBiN8kKqiy0YK75W7GPp6llLlasMdBxDXzM68zHQPHIgQKTFaEcgSqHB919FhN7
wJIhbazsfaq45h7AOaDcaFFhTxpgo5Eczy70+CbPXeMmegxYbe7AyXJZIWNBzjtv1A4Yb/IlfQad
PMRA1o2irb3BeJvBrzUdDjtTRLYHms0WH+xN0doDMa2bMnduAM/vLnPTulZst/SjB7xpKzrPAUsV
/q048EwR4T6PEEMx4lqYbDU73sdfHPUPY+Y8mBVB9VSZTUvZExChaHOT2vkd8eI/q1Awd1dZum9p
l8wlHWRD2FPuSGJNrMPGAI96hxmonaAVd9X25bbLCdmfQkH/m0mcnmLhfaD4nrQUBBf0I+QTzgzt
sVME/WCY2w6RfdmDFA2lfhiUKclX3H1bvliJ9j0XFh0hscdU0DlPpW5upWm1xyJ5kZF8LBXLT3Oa
u+wZydZpj+fCYEgzB8S5QpqXBoJwaSpfQKkcAsGA+kI6z3lMFfLaxjsXDqNSQMYImdErRCNRsIZU
2EZQN3wmeNIRFaPvwgkdTCbt3UBlWG1AYU8R06GDtDeJZBnxENO0ha9AkcTY6AocKSFIYG+DbQFT
UsCWTLEwVi60SaiwE6EAlMoYVwD5ZJygKg9DTtoItIqhsBUdfqVUIIvj1/d1KJF6GxkcygeRQwnM
Cn4BmjUbW99DdUD/+DLcMF+zLZ45dGJSXxdTN8N2zeLbHF9S+BqeecdRATeZQm+k+UKs16JQSM4M
m/PfqebfnGpMQ8Ul/Oup5o4k+PivU83vX/S3qYaOYqg8MiAI+9Q96Od/th77vznggcCDjCeszlyX
gePvU41OWTI7LLZpnuEyEzHw/H1l5v/Gco1JR+hw0Dqr4v9kqvmfkQ2Gigh1GZMIpYcr/vNMo8ug
KULTVGsk90JgGu++Lv2qh+5iyehp7obg9xH5X3a2/4+OcNczPMtgHwg2qV4S/c+/I5cGocURexN/
VM6fCSBG1nLtuzNZ0PqPQSOJPCq2YRetTeF9EG1xavL5zZj634nYf/mduL9+qz9Ck55uCJJRGeWg
YwQutD9/K6nFxojHG1WhspwJG3VZ5rBNT+Nu4zahufUyVOm2bwoeL/5Nx/7IRdfZ+60/LAeSXJFU
6JgvkY+7kqYkWquXPKL6BXFY5a62L3HENFgXZUZ89vQ615y79iSoGVEDylDskmkcFmFul+usxJ/r
jH2+iEht27QtT1OK9qJV6BPXpzse3lpPki9Ghwz2cW24Z29epqh7LJzQaS1a5LA0aLEuXmU/0nsf
x2RHobfLRNuns9i4XviiuwEOrG5+qROJhlnNe1SZeaknkw2NMNZ3Y6ovouCU1Zr26OTQ9FqXFOt2
Eu0qttqEnsdxPltmWe8S4dE4Wxvdg9CXyMDOcvDIe+68dth1WdAum+zgemzR9KZrn4PIe/PTud0b
VP5mI5cJLbvw2I6Wktluk3r8kFVTfnGhTZYn2nenG7LWU20W9cp32nxHtuxNRCwafdFRxNjG1pbp
hkcRau9dVYSPyFQrvouV0+OSaXPzyvrHuk16oAy3eILj8RSlggcUWeXYevFUtwiBJb8EhT/fetc1
x27orlVVuFAkqb8KKHJqHHdv69jPaqZQ+Bk8CL4aYrQiGbdTmnzVs88fcKfFVAqS3ZpluxJ4r/Af
O5/bCr3KfcL4F40YoevWoW1mBsviUF/OBt2/TFCyNdJDW3XXolHB016e8/1QV1wASxLbT1FOb6su
mJAmYHPg4Q+hi4CLSaIpoGV1aKJWP9uezn02fa6q+Mv26PNL8nIzsNtLG4RKl7VhKU3SuGKWp4Ns
Nmy5MCdm7vhEPU+blXeuONidfcM4o+2CH3buWmvXMa6mZrf72iJOT4QWkqwmXzwtehaNbp2wFWPz
SDc0nlA4nMIE1txTXfZcZwfxXaNl1mSqAgS5kmSOLdHxGJ7jmwvtGrb2hMUxQwdxl45gQElj6xaq
LuTMfihiPDFOYWP9MH3oEPTMRS16a2+P5Fm27cET+WU2w0+H7WaQ596hDreEtF97x+3Xjgh/aJzG
i25kQeHNF7L6m02Bp8WhErfKuZvl/tE25Q8TeAlklNojy4lfOgbbkW9hNXqZht0vGvEEaGI5Ovi/
jQRThEmYd98Q+9in2i7UTHI8J61b4mrZ47fkiR2H5yiP3hhCIUj5kxi1M9armCxGfGpqnBbyDGPz
sx4JDJugX9ITrTW3ACIGK9XRVYhMCSuj8pF72Bn6be2rpXAaji7CwWX6HfcwPoOlfbdZVK5IABtX
gwJyHIXmmFzApIJ1XIXt8AMh/RT2Jae/eUn6xwe79lNucKiUJbnmnQKAOoUC8Ul5kbPIF4bBhicJ
5LLkubQkIYrYM8Cl00wNr4MvJPBSrO8dIjBezWd60aPFrGAkAyrJVXiSiJ+42L5MvlpBzKMK3auX
pkKawqE+Yfk1V7U1HGaFPcnwjaUbzJYCokJDLSUUJKVDS9WOeJjR0Xk7cUOtIr85YvZZSnpKKq1W
sTQ6NZetKM62ke5LhWTpUVltU/3eZkbidL20ufVBRxwOHGguR2FdvgK8hEK9XAV99cQTrCOqqxQO
5sGFJQoQsxQq5uYBEfXQY6xMsYlR0ZbK/DMuCdxsFWqG7GRzrO8zBaH5vPMWBATe8O6fbLcRp8mZ
V9VMX3wYTBzbdstI7A/xNvBZkCUKdmPTwwhcOgs6Vjb0CYU097FBrxUk14fTQ6SwuUi+soiqmGn7
R0uBdS6EXapQu0JBd8x2oGD5m7CcepuRqbxMEhrrdX+gWaJ3xjUvuGuV2r5QQF8B2Ydv6WtiJUln
6qjAP5O/IUW1eBthAlkeQCgrTDCCFxQKHNQVQpi6FNB7nnYI4D4XpQINE4jDFvIwpb8aeyowYgaV
CNppLYNQp9PUnJJVnua0c4GcZvNydsp8ZSc5B0/TP+sKeLR+oY8wkLlRZ3uepGhiCRd81pjkwhFn
p9BJV0GUXjsf8W+eKTwol07Li8b7siKclvi8RDdpqa+dbZkpljBUxbda8u50uXFq7afcFv0WPblb
FdnwmlQzX+V/W3bwWovyKzRovhqJUj2aDXoWjkCaKbiMkNFhciyAK/O/lC7P69ZNCi4q7VuW8ANh
d/KQTPT7aSU1nu+ZbIBOawG1J67s7j7T6fjr7yt7/B6mgVApgaIUzfxQLqSASD7SAoB5sLFZdkjA
JVmXa5imThmN1sIdUkLEvV0xk/gJv/g0ATY23r32c3RrGmCcgPzM2d/UfYVP3CGJp9WH96z28HEY
3cvshs7CSYara6OH9jHyB5oCj3V6t6WM5RJ5ne5hK/qSU/jEYpzWjOaJagf8cT4Ni2FZgVJLJChf
LJ2wxoDQxmxudWymPf6GMZXPg5KEeTAi9eCnSgjArDTQ97bur5VgV2rdgcLwm1vmW+DXQDYDr5Wj
/SSVd09fFgUzLubupGlvclq3WNjdjtOlbHmA6GheSHGtjc/9izKXB6ovrnHHnNRrvB61MzM3F8Rx
Uoy75LgiF7GdgoWv49PSdH4WM8yZETPubclIep4HHK/51xxeFxOPBZVZMRqWoY/dPcyWQa7RRl5S
PNSzC6MARj3l8MZIQ99nCaauCYl/rjDQ1PBfer9T5eg895ju8sBfzh+RqnTDZfAByc4tIJXfpXqu
x3emalfOWo5lJ/PfmUBHqj47VCNt07HxjET5kTYp9TtS9XN/M5NPIDE6MYdp/aC50WmcJ8WwGjfX
9K+DFvOyhEBG8YjQajwGnb1KrOCqteJrlJe+iK8IcKxHO0H3DK7dNZQ26A+7tFYprlPwjKZw7xs5
B6F3K2a2bLatf4ZNdm3MZ2LGbgksP4m+D2NbOKc8PSSxs7XgbhZW8RwNHcIsBxrMh4Q56pLzrFmk
aUaUGFGV5MnE2TRjZC9F/4Az4H6wqpKfJzE3mk4fHgkcVXecgmpca3H6M8KKedekJHibSXsekrlm
w+txuwa73SSjvGWlPBleiF03KA//nWb/vWnW9HST6fNfT7MPZd1+ZN9h/f3nPd3fvvAfezo6w9RI
6xDSIQBE/9h8YdnMkrqBtY2ESf76j4nW8n9zFc3hMdbyVSzl/jnRit9I1/Bsna/ktvcfTrTwnoxt
fx7rGKVZCpoqg5Bv8S8zbUA7qBFrTQ5vx/arkTFlr6Y2Ey3KGaN1j8OoLegbVTnscisnslc9lyd1
aMoPF4Zz53TAR0AeXeXU6IXb3sNq0aX8MrkXvIa625LxV21yyfNTRjoCPvZwym3a5yZI3F1qyopf
jJQIS37L5uRG13hyfybcC0mSLSzsYd28MCoDPCTIT7Wc540dTC+tRKaazcFY2bFaxgRVtfZqblwG
xabLPm4pnxmCLwO0q2Zb8+oVGsuHkEdTPFOabj04TfHM2vFSm261DdMzgu1j3NKCZT0VpRmvAhlf
vda+G5x+I7ks7HtzbrZOmuGGrqn8HcdhhWUvvA+8EWd5Y38H5NvSsVHgkxLXTgzTTpgBMQEyiy8F
M2nmOKQDmOOxarlM+gmcF8/JZokQhW8N0xYVip1lXJDBe8zyNVaUCbqcnKzKfjLsqkBG1HLCHrLH
ZNKNfQwjpaUpaT0YC8lyLkgh3xV56a07PIVbUyNjJP4yxVztowxnzDDHGAQrCky6wF3mY6mved6U
nEQrWfWfPs6ZVdZn3rb0xx95WDT3dJ6vk6DonkBRb1WvkvN7zzq5pX/KFUQo9eCxN73hbBdxvu6S
9FtGUb/xoR+GrEZHth2VEcLzW5/GZ5GaNJlb5afVIZU2tXxOJ/sxsK5JMIfQEc3NsapkPQiP518z
nzpTW/NHjX9YK7plx319qEAJCaNeWU4BS2V3PBp83rle6S40eIsjVNXrMIxU6zb+D73qdnWST4sg
xX8zlM0nHse7jrqkBY5ubD1j761DMhaW4Br5r448WfCHMicJrkuMkSsSeJ0dGy3aJec+n06dIL2A
1Nlh57ZhyoIYl7ozGqd0DvSlVreELDOA8qKyRI0igb0RtMkiqYUwARCRnHd/XVDe18MvT2Q8NJUa
WotBv8vm+4KnMXBhYVCWyhIIM3fzGjolnXX26O91FHPippeeyVBRM5tnRWPwu6x0HhtH35l2Cfov
InXXUSFTrAdIJD5fFRvBbHyUYWkTVMI1O3EdGiNMv+ShaKY8g8VbNSQq5C2nmMpxVw7q/VKT5HfV
q7nUphW+H5J1rGmXJQgjtgOcKraxjSysjd4r/q5pWZpes2sMdJbIYjfR0A6QyOxm5SCjtR6wt+9/
dOYgFi7IGwW6qLuzpz23WBRX0TwlR8Kp+lUathu7wcw/9yRa4aTf2Q4rhTR/9+uhWmgZRHM9HTwv
u3NEyzzgFke7rU5u24x89pu3wSbNe9Y0arg/655xWzeNb9+x4yWBf91O1L2zZM9xzc2OCzt2DqTx
Pr9LzPZGKW67J8bbX3Y4gxeVKEmOK6xvbM7H1GUkbHomB5p330rdvozWxG04TpxlVdjRXciNd0hC
qGL3tU7IH8fnFq804D7DQUmwnbam+pbwORu6lQCcglZcDC7SjE5cMjGOVdZLWBNmLJSvkrXGdKsR
ivxANFCr3JrLzNnOzkRLV5zjxs3Yt+TK0WLyjc2eeSm6Zi/Bgw9WNXvHcKgx1rUHDvz4zExIZkZG
5HxWyO+qcmeu3vMZUSPcGIMLKNoMGksMxKc5TUHduwTPoO38HMb6LLiDbNkOyoOgZGShtz3lgB4T
GGEo3spgL7ozymer2NRd1u/Dmmi/OCOlyFCFZfBLK98nDKCI2gGfUHLSZJ8czEy+mzZvb4P0ZC8f
I/hz50wnEo2Qvn1opyhae4DQzKJKJ5tNmrgzR+z1ZvzgzP50Knw5lgkOzGyG+yyVun/n6uZzn5pf
fjBpy75yqx1c6Wps2dLlru4e+kJsWTsTahIaB5MykSWR1MEiVz7GmZLmfTGY35BTpO9pM3n3LUZN
AwZ/1Pp2zfFMIdtnLu33UYNTrgsPDL8CVNCrrcGLfJL1gHWCKKtEWCfP7m41HlVr8JpVPL/Sz80G
e2B6jj34FC7fOYtu+ZP9e7lqlLhEEcFjEUp2hX2an6tJ0PLdGfucP4p7soqp6YZkrMpqP9Xmc9eJ
cd+23as3ZlSbW9l8YA3EIoyQno1oSXIoiYjfUJpNayZN1AtVZrGAo4cq9VquxehFYUn7Wjb2NjYo
9mhhpm/4y7tkCq40DReUH5crolBwelrW00iXE2ZW8xEP07BNp+7S9nmKQEMcUEatCPFMxnaMWNEb
c0BVlEcMrk2hOIxGLcgb0cj/5xEdVEWwjGb/OROYOvIJ3+zAAHo3mjkdDqX3wkSPWaAi3Aohge3P
LgrJyxICRdEhVI9hIKAR3Cfu32FFOEzTvi/HZzNCY9QHl2wkOLZlejYTTPHCShGqydQkmc+9MGyu
+wL396zMur7zwza6R54V9M8UOkN8RxU2FX2jGoyHxHOOHX7KmSFpjoCBsr5VyA2xm1PnvvsJSo2V
9su8dr7y5otUnmCX1uhARB1VvGA8QHPP+fZNrNqG8x6naUIQ3xdeEw5trbuOIpsfc4Rv10Co5Ecp
6bFhTx8Oy6aioItYHItjBX1BHIrY+WxRNhd2xTerV/FTOmFnt7qaigeiDZFIsd7WWbBxDWoWgjx7
8F3voSqTL4jOGChT3HrE/A2OduoRIu0Ypam+rF19PVWDuWLPskzM4tMwQ/psmmcztg+6TlmNH47T
yqaFem3K7tFWySV8VOONF/PSB4XQd8YcbkO8pifpsjXkcvjTbiX+1W5GpW8vZnyf1817GtMSSozV
SFEfiTDC8H9QCtYjkKf1Nq+rn4lELObkeW1HzEUxTlxiPTmLGv7EE5339WitHX16DEYOJy808mUA
CIS/OfuwiuiYGCxkyWfaeVwTl2kJylX6gYGUR0lS5Ld7O5eCdEQfIgF/pIMMt6om/WBX/rRmr9ls
ZRgoWks+5cFHb01Hv55P9NP6JAOwWnBL1RZG+7TZADX5IkrZZWhfvtFd/zto/ZuDlstu6/83aP2l
QNr8/Wv+YbQTBACwkGO+shymoj/OWB5eOQhJzmFPBRQy/vx9a2j8ZqP3qVwREhx+AY9/3xrCQvoY
81ziRvhychX/swJpobZ0f5yx+IV0Nc9x1+A/RJj8eXXW1PQukypAu3NopYsZmwj5I3d+2/9wqY21
qI/NfSdDrjDg34PdWDkXr6N+x6Nytte7U6c6aGvKaCu7vUSU0xah/tiDh9I4gcOpm6Ac6Zt5QJ+O
jhMSKvG09o6KwpeGSo1I1d9Sg4tockJ8/hmrflxJQQ0RpcOPWIc6o75rFxeg6WJYFW7/5gz1d4Oi
uACh+jRKVMKRmWRGD237iq4G7OktiVncc8QGnorTn7JjuIhDChCkQrZAnOnJsTOkQumvY9NV18WO
0qlGUGCDzERuLikW9HQQ35WpIK9MRXrRWjOtzZLDUdj0tWYEpkKaRRst5V5dUAFb9llOmCDNg3MR
b3DcMNa0FjOWTl9pyzqyUAFj8JF7zWrqdepq1qYqt7nh82ifLeIciNSy2T/aoc/uyvQkj5QUc0r5
k5Au/S4BmndN1XhsMUFa8h6YUjx1BpkL8xyvo7mrVzxCS4xGWsrwkI7rmPME79lEoqoFMxal0W6Q
Pn0cGIc2KF5bmUhrV4bMS7kBD1mkxFNFCKhurTMxRPIYBwS9oi15hDDhniBtLvKS+qmnQxlL9DYj
sC9325/lQFpUTZH6UY8uKYIzSQnbwbfJUrHcZ92k1R6AqCE5d9xPaNMkxLBPcES35pq1KmSLeW/w
u1Ohkw/HSFPGRKnoIYdln4Ybq51v4wRDCg03LRnqUK90rrAOvh4YuqfBF8bCqiL7nNjtuWsJTGZZ
RP7c0L9ozpBtQ7MYdiaK5RHkj9oS0rJugTvfW6rDhij1aO9VsO1hO37UA6NuWRInbcbFno0K2Ffm
nSefGuOWkvWxgzmduYKXdp1QPj09Gl76wy6mQ+LLc8QbZFFUIExs41mWBPLJsZuayOVyO7nVjRtt
s7e4S7LPfofU84DL6g1D66WRLm4hPOD7UqgGs9DewP6sci69pH1gFM5LVNXQl3Jtql7krta7nW9Y
t5knoco5IM9MD0twGzO/h1rEnx2oZS/JPbooyLU03Yc+0PjCokClt1jIMZkl63rGmhFpvX/w48dS
E/zWDC1LYc2v9LkkV+AFuR0az2a+IkxlypMv8kAJtsG0V9fzjnKIdNdoxUMr+IUMMvaI3C5usy2d
MzlhAxHHvXZIRBKuWtfydrZF1ImTpcnRqerxCZ3QW5IUsCka+8Mfx32QZnciLJ4I+LjSD4aTqQ4m
2uSSm/onvaDHl/81brMmXkZN29pNdAXfPWaDvSMV5ayT482/kBnNzrW757mYafd0D6p8J/eKY+rX
lOocmIr3scP/JVFiB/pmfP1u4r+Glt0lWXPouSyGmjhM3kzQGvpI6RySQj75efaOOrAl+eccJoTC
JJJPYnhIy4r6r+zmucVjO8d7rr5Y/OVWK7gFejOh0+naCcUhKq1bo1nHuEpfqSg+2rtaTpu0N65l
iRCVWcc2iq9ulZ9ajYgc9uq217IWFk9sifeG6F5sP7mnu5XT8maL6k7v87NeWvehpz1m5nxqebHm
zNhCZNPPvsDdRzBov7Hq58Rlv1okt9Rk8RroW8978RiNB4cdpkRnYpvwTUzUFQeLnddPMeFSre/d
OnqF8ni69F2ziwbjQNx1m35amvnpD82SAlq4Ls/f1674DGPv1ZXzs99UkILTuo85q9JtGleP6vvo
7InPRoIOneC50u12U3h9T4pQsyME4VTGOBitiyiKO08bVsE8PFs8BzJDnrWwe+uZDJ05vzMQvIi+
5M7XOztduHhVq0cycO/YkALKkp6edI9d0e2YHTcyGp95VOytyKImEmMxKQ8oUo8CqrdvSxL3wstg
I6Tpqz50T0ETPOETxNM5t08efZGFw0BnYiJLIutsJBnzW5AubMe5BqK496rq1dUIs2Bs6aV44Bb3
TnJkQwqLXx6bOv0og/lqqa5yYf0AwHgyVIc5UXWP7uDNp7zkATnW4hULD88oT6PXzpqLbUIdeq16
0XEjMExQlR6oznTNXhnGLB+TxD/XqlW9oV69VT3rdBQRaaxlB1N1sNdzFCwJ0VhI1c/uOsR/NzXO
5qxBq9d6OAYtrJcaOh1dW0m0mZwWNYPW91T1v9uqCX6UqVxmerzrVEv8f2+T/+ZtEhWb69e/lu2v
H0X7Uf/f/5P/RbX//ev+eaOEGqM8iMRZS8XD/c1a4/9GzLbjE+lgcKHUuU/+4zqJZM/10/Z9i0If
FpAKDmuAmKL//b8sJHvLMHzPcsC58N/8R81B1A395TrJZsKyeGz6jKougRB8E3+01tCVbHudV0qY
JvXuIbF6aALyFnvrBX1owdloLWK3GvjoaimSrkmeU+tMWxSKt94d3mDnc0nfmkyz8cEBjXcVn2p3
wZ7hnkuIA4XRRGTmO5mx9sp424wYKtzSse+ENDIuQCzJ8VGSKxVD7Sb9vB87Wi5NIz0VUVHAbzjo
dgm4v2+/d3SxHXrOMcedvuvJvJMJ5Z6BI2IA4Bgq27tMaXGdiLRcTZH9IgcepzOL74Uc41vfU7DA
vowOUoLmljmbVFTEHndAM4MJZ885LtFlUtrlasZHFCg22gvybamggaVpOphry/leDoBNaQbWOjnd
0pvM/MG2ugsGb+1qOFAdXnKOwnJflFFxEyb2eWMiEshk6E/D9LMyugtiLo16GWeux11+1SMUrqC2
ncN7wIUuzpvm0MUzKXG6tc8LHOp+cWl9jJ9k0mHi0XjWtEEQnoKI/M0eRiZprfyQhdaef7nftaEf
wM1CQ+TBsNOSPt70kHM5ivwGqiY8zL175noWMz0HHutwS4/u6wJnqBeX1rbw9HuS/XJwJcZffORY
cLGasNlpmL8D/a70+oMe1umpEunPqaD8wtJ3oHcDveUg5rVxspu9O8bwSW737rhWQI4gdAO1BHgf
jXHnwhts7U7b2ck93NokJki/ejYPNMLJpZBgVljniXHoXqlNVL5N1vVNDvNeV8YHAYVL3JruWy7M
C+8oLiZ3LFMubs5BW4REP7k48Vu1Mc7JKV/klf5zKOMS+1QFb9mjRTVs0lZ4t6Hoovi+bNAk2Esc
fS1giDFuZjlfEeQ/mghyw4yOQyM42MciWyWVSWxxZR/4VMtLjacOi+l88GRHelDCP+rrq85Pt69Y
t670EaBYzObSlbzNy34mKNCPvgJZPpiiP9Ve6WHSnIj1g8RItfkDdVaAWxFLrE/cWYUSLzslY6Y1
b3wlbPL+PQsldQJwOCsazWEB6nfPzpNDgaOeS8Sw4c2uwlOLdmUq+TRBR42UoNooadUusFk9m0pw
JY7FW6nMVXzb9KxTg4z7rTeRaM2s3vaotpxcPwebH6JXZlcHvxXikqkB6CP3hikF9a1jcNnGWkaq
9TfZ0rh3e3C9PEyT82AeQjI4aJwU3tE3pvQwi3aP6edSJaQdSSU8o3Et9Lqb9hyI9LP27lbTqUYO
lGDNabPUBO5Z3hHuIkxIeIjQt0sldPdK8haqzwX4MPTQhkmAQBY3ucuPvPhQ9bx3a9zTPRHOC6d8
C6uEmCPcvJUexXeTktwnJb7blntJveZNzORrMQaQrNk4xzx0v6eZY6JVIn6m5Pwa5X9fYE8PNJuL
jRL9CyX/J+wBfLUQIMqz2wVqSWCwLWjU2qCdPwu1RhjZJzC1v7nUsayB109NK4+uWj2QVHxnql2E
lpwRsJTU+D7MJL8DreyKFisNKYD+qsm6DWZjem0nLzlKJnaVHHqr1ALEUauQVi1FTLYjFRcnU61L
YvYmhlqgjGqVUrNTKdRyJfy1Zvm1cGHzMrOBcdjERJVPnDUdOpbsDgXvaQp0R1rRu+WkORej8OjG
kSFZPWMXLetmuNigVaxeeEjEpRgXpp2shoIDHgFsp6v9Hink4caWI6TkGO5oODZWo+QaNNgRZ+hU
P+bjgbqCZaecf/1Upijn8XubxtzpElJNRj4IfFz5dG8KJD/+zRqX2qrrTqSAkO49NV8xZQIhh4Xg
+Us7ZbHRLGrgWnGeanFwx/ZZk/bGpEDiLpgPZWcld5LFzNrFR7GJOZ27SNubmn6iyOdTxD70lG1/
J3p3MXAqhmXrLfLm5pErbIUcpjqxp5VJ4mD1GTl9ta6GOl43dnV2CdKCYeKNDEi9MFmjbXUt2eno
7Csm83vP5BSyOR54qSoSVzySmgsWeA221q2pswkRSNuboGmubhp96UT6LJAnY0I85j14sXUI4nFX
+SwX8tHN7uBanyKfAlRxyzN+FMRwaU+Ek7eEnRM66z3oDkpPNoS7BhuOUd34PXVuiSYH8dRheZ3X
jj17S/xEBFvYFCT5E7iQ72UkOeti0dkWF9QkS9n/ZdvRqe9TQQEH83RKojLuqgqvBe4IfZ3m5pMf
z9RWdm9kzWUbtcwcLFR+juxo5UfVXi+ax6KEiaw0/5fjZWkObyww9wFp5Qeb0Vsxpi5xRkhEbobe
D4GaKxaVPdYDSM1Zt3SGJyjBEmy1ABXVGjhWB6B1AGxF8VnRURyvwTavmWJf+7B98I1DJf3iXNuU
/8qWjD1Rgcix5N4k9UbIyjph/3vS5+KlsfnU9U1tbQMbBAnt7+ooElf7MSgu1wHQ9cTBULwuOytF
746/Vi2K6G0Df61Iw0OMp3VJyCj3p+EHOXXlxs6zTwkY3GTx8yCmh2CazoLQvFzP2P6BfY0NvAKL
EpIOs+DnzEqXa5KAOnYxn7CneJewe4RQ8kztIJUJ404PEVmmvWf81C3CayqeKEtSkHZkFdL4pJBn
F9W9Mwpcwt6jbUAq+emuqI6VQqUrBU0Tn/AVKIxaKKBakBOwaBRkjfmRxYEEsoe/JivBX0mFZLew
2fMvSBtau1HYdukYPyarkMuO6SNUaDfx9MOJnhmYLX8jGTVvwBnX1oypTYCWCiDEJaR4pJBxXcHj
QAuQzQoo9xRaXirG3AE2t4aYKFSDIJ7YHG/rzsTl6hrZl26UYOoKWC8Vuh7ml3wEZR+ZT2VQtXsf
yn1WuDt5tqpDZN8qEL5XSPyo4Pg4xJWKc9CqweZTBdDXUVST5oLYQF1YsuoUaB/2CrnPeBBG5qw9
+vMpG/4fe2eyXLeRpeFXcdQeagCJMaKrFnceSF5SEimKGwRpUZhnIDE8Wm/7xfpLUbJlSnbY1qIY
HXW9cpAiefMmMs/5zz/MVMJFc5Z2HfOtyZ8YkY6wNyLmMvH4ro3N6eAMwU3bupz0hGuMuH6WSgIA
x3Ezl7l3GzofM42A3wzrodAKrP1EypPSEdhKUSCVtmD+pDIQvEdNMWoh6d40IQqjghnxWVJnRLiH
g3nRG9YAztN1e8fBTgHio1CUDSHbHvd5853K/kIZwDtvQiRXMZ/sUIp1r5HwGzkDZbZzHbRIfEMm
LKxSKHc5diwLE5r0vu0ukxa/1MrV3kfFQyo9QBEdLqFREGsTZt1tP7Vcj/YEt6Bi/DT7/QADQM1R
PmbSfpx1+JyV8oGQ3W1OqNwJv4ecTfK+riOBJ8Sor3v9oc+r7Wz53dJwlcd/i5tEWYSnbtQufZWF
g03WbdtO5OmaVCDo6ndDacCtByWdOCfHFirJ2LGnA+KnUxMSjlv37xKcKDezHtyCXWD1OvnXZgvp
JS5IuCD8otwihT6b3GLjld2xRTgNv485UgslwE09gajL3JJ7hnR6wHoZgMVFrLERtjyas4OJcVGd
lcLv91M3ru1aXjAIPuQmfLv2xIdsHKfRPelFcx2lRrhTHPMORTKO0cVuNq9qfbwPtfoCsLA+08ip
tlrMWaA6u0oKADRKGE+AVuadQJ6M18EJzx9K6mEC0ChvUVsfsrTwNnqXEsVW4O9l5YTCxyUnCmcS
AdRA5XGernAIOqvhT+f2Fue0k2yjZmN11E3NTKqDSmXHB+s/vht/0tLRZJ4Dk+4PwIHH7n//5+E+
e4YNPP2zXzVqJl031o62rUOq9RFC/QIPALKTtsWox9aVh/2v0yYwAM8C4dQtE+jAtF2a+i/wgKsY
fcoq33A9JVL7S/AA3vvfwAPKPx8+H3+HazruM+cNb/DLxEjgpJSp1W8JxcFNKNYfwlGcgzHjHuvi
wZanxmkYo+GibhBKofVkh8r8oBf6G8LezYVnjzdIUczlNEfbshj9FUbkSAKgX9M1RIdKc648rsFN
rEzizKKoDoxiqwOSa8JlpEWgzqDftHX5viAZ8NjEl5jbQNFN5uQgyrvMD2rILz7X6Ej7IQL6hsFf
Zh4kXyXR1rN5NzDSIi6F56bgVENq4TwY3uRvuaMBKcrpdVnN91iKn83YGC74LT0saW2ZRj5IY4DD
wN4YO31bWt42xANryDFMi/RWO4zavJFFneztkOgKN8WOoCGOnI96OE+H2N4bWX2ZoujC34rLnFij
kLpRN49pxLs3o12eJsEajX1Ed9bf0pbigTDpx5ohNTV5dhO2LvbXXgIWUZLOGOJO7MVH25MSVU82
KSXFVPbZuvdxhxyokhd+0LxjwnRHWYMtk8CJnhsTXhSqdoHQDuK9v8TpAN5Kl12RHIQEu8ogKicX
RgVPRczuiUz7K2FCCEcuvvEjayUTLJxzY6s38/uKsKsFfc95a/iX7WxjAqkHTMsSrJvzBmqmbVEi
zkawjwApFvg8OFCLQSOiAD5278HaMggYQZtA89GeenFlJdhWlDoamC5vH0KZZwtIYhcatoW70dLO
tXjKdgxDr8tZnGm2hhqaCT2KG58yiUoULsawt1P/whrL62wemkMGn3pZNs1Rp2eip9Xxo/aSak/2
Jb3pRO6OV9j1EfDmpk7BlBNGFojec79P741cc4isgeBSKir5oGH2ELnzz9M4JttpxGV46jFyaAFP
/Ci+SprhcbYPZCFyDmfg2kkmj70WFaeeYCT0ww9Vf+uTC7mr/CQ7TFq3sSdza+Tp1sdcYQdeXK8C
713vAuqUWrpMrJF2rGyMtWEhzQ8STLlKBwlk2E4bL4+x4cY2AvqBfep8I1rVRiSXzLHgfOlzcxn6
M7d23d42GKFeM6h8U0wj+pdKUQSpjWtB2YXWOxy6cs/gKVzmVlVDlfDJmfSSm5j+HSxZbM3xqm2Q
zPddYOwA31nlZN+NfNTkeMVg2+O+GedxlVaET1CpntU+gFrSiLUMKP2s4THuLW9Xt0azaY3k2CBX
tzElxv8+3pte6FxOFQbNem6vqtK7y/U52LZZ5h9TJnqdJbAaz8XJmx196wn0Sf37Mgf8cmS4DSJH
f9tm/gfRdxMiMah07tCdh7n0VhHvZlV5VBBdjfebLue1Jjobo+suPM0NVt55N+3DdLxMq/7kGKJ+
09hIbFo/u4uqtzpqiEsZYv4P2eossBmnYkMKmTYfjwlQAi3/RzyFliTnXDhFHR9TYWVr7LD3sakv
u9q/FmJ0915Dsk4sxQ5so15gzPHR4W86ogRbTGMQ4MbRv/YUdDiDIeqG8rpXsGKmAEayFh8CXJ9d
9FYZglwNIFLHDVEBk0E/mEjli2sf/UlsIWvscTshxQi0yCgNZ5E4TXvwixBPtBhliGaO0M+Md7OC
ROswexOBkUqwUk2BprWCT1twVLgDjwO4Kg+WICrQustAXBnzMS/0Of1dB7DPd6TykN3nUWy89x3G
OrVbYVej9IRkzVlneuV0iuK5jeip19UT7MtkWQHBNohwLOnAHDDiWoHFDJHpC4ADQJH9UBBFjInF
KKSxgaGBo3ucIGj9BD8TYBsmxjupgGmyi9RAh8woVczAF1iTl45ZBnXOoAoeh8on8sdLWVOIQbZd
6cn4sx/bB1vwScKrD+E5DO+w2hCbWeNn9Wa/Jb2ELs6W771C3NoQdCqzX3pJKteZVV4lxszo1IxC
RuIbDHm9JTrNdtWlAHGBcXLnVlXTlVwJRD4W+kkCluSmMwaxw5kKJzWIyMKuaNd06yNY+vvAgUI5
mzbyScw9x9DT1mHaWMQWuIQNzi0fMlktqaezjyfzxIzSBxuAxmUlxQN/G54Ubn0WpvDJAqd9LUlR
mYlAWbhZ+ZAXuHYWSIlBqc+K2fdXSJKSRZ9bKlMQzq/L2FrC627bfIBJ2uSbyLca1ecvPKPUl7oH
29HDvgGJCfZ5TrQjQDS97kfvYZ5hCA/hEsNTsZ91iNY9YGja3HlesdWjsQUA60mnRI9ohzF+Ujlc
uG5uACCRWzc5sb2THwRLK4UVwJCjWggvqohBUdpFbBGju0nvxbokzWqRdpTH2OiDbMbKgQenO+aH
9ajTAlW9zmgfTiJ6gxZ61tStPfgAhwD2b2+HNSLsMNqFgQi3Zhddpxp+MKzPtVF68gIvFRnJdNv5
mE5VAwlgBXfNMvBiB6915xyr0WpZaYmykFeMEDlqUEvLZh8Q3gGrjxM9j46jazt42BMojJyZDx2u
LUB/s1NGe0jbMduYy55WIkFIQ/JD0wlvga0oLqatOz0UZzpmR+skek0IAxLVgLcXm51YZln4uiF4
Y9PjAoylZL9yNdrToaW17euUC4HsDB2LJMyr4go+Be1uI5O7eXDT9dToM1SJ5qGek/d1alyKXqNr
BRrjsML3F7svKMlee9lYrUHSh4uFFGSUuS4hz7rhg913mAxXfbopML8OCW3EGm6bRKMF3Gs81jgS
ZJ3TbuuunWlPwA5tkxsxFjYGgRQOJpET88j4oXUQEWApu5ywj1q4EwoFZCk7ByeeVTTgfCglYt5O
YxNkGdRyq/s5N9J7MaJySlPMrorA+djGo7fM5xERE3DpQlpJi5/ZhFkyhA494+OZcrF0CWxZFoEm
D0NBCopowlu782+thCQep0Bx08dcrkF8Rl+7FH7hbixpGuQ67FtpxBuPh2GWOIMlrYEdj32fTC2o
8EQ4tqvsTSu63NXYJDh6l/ukkjsgrnwNzQI9+2i9yaMAXFXNE9KMVAekd3jeUnAOJqSCbtNr2Gun
CfgVHNh1HPNTw0k/D6XhLQJXxjya5XqSkDB7tWL4a8kFyMdOMk9ftGPicZCEBKrMLvRixjbs8qSk
1ccP0sXHaMAoeC3R1SFihf5g9PaDSQGwQkWxGJ0eFIQyc6o6k22DddmQV+EawxUsfBWL2QC7p63H
Iw2Jbtzb0It1WkUu0GQim8XK/XuwhDvBBxum2EjHon9oa/EhxX4bvKpAyaaAe5dUEPV+SoYj+Kup
EA6bE8WDQZN9/BT+V7a4qxVclbsmdQ6cZfdmpEGHxDUVQcGVFA0agTEmtjzQVn7cBtz9UCaw3SG1
jzxSF20upyKBLqjCkclQOnswecKBrchMDY0HLbHhY3eJNqPeJXJYQW9LVrHv4I9tTPgakTG16qoR
vwumiUv2LErY8jCkQ7hGZHI+muYZpzimXGoyFAKehKMFMlfZA6UlR4kdzsc8mMi6sJvhQLnzkNod
9Tg5tlhTAJdWybSOe7Kd/Io4CqOTnPrDuPM4uMjlA5dHnKHvpR1vjK5Kzmw3ujT1wd47PlT4Khos
ctUp2tz5QzzFzWF27RDB9fAQ5L08azhmbNJOkjaRr0Vgn3qvCU44uW81JYGeSPY9NHJ0tzq+pcg4
kJPHXv+2CsojDlGoWUaiLKtEEtWaF/46SxHwx82DN5GcFdQapxokWDqQC8+2sVztsbsRDk7jznzV
Couo8rzJNq4WbxmHYOnp3g1Ty1SL6n+R+MTPmx3jDUO/CiFUHqLJ3nA9u0vI9whG4vpgzSaUZ0Zm
PGnlVe0MgC99AB86hh81zq22RyB+noFJ7XvyzOj/3H1M9Dry1xq2iS7uNELOREI9JSfODGOampPf
RnhvIyux9Z53mO0yY5SHAp/5hZu2a4B187x3K9yvw0dPcqszQ0NQoHxvdb+E390Oy//QJP4kTUI3
LXCL30dCbuLs/qfXj99AIU//7heahOFYjoHU2YRWpugIv0AhOPnAq+VLlg7NTpmU/sKUsAzS/Gyy
AdEbGgKHm1+ZEnzJMBSDF8cevsdFEvmv//6NR0377P9/Kvr8soyLrv3nP2znW8MeiL/wJIQF+0Jn
KPhbpkTJb3eDktwH9BSn2IvPQlT2HMmWvqQMfpPNlCaTc0T2Pm3xmmFcGF97kAULlXE7q7RbLaJk
7dC7L1wiLledzVVHNgTRuTgcT/lSs322aPXQE6M7qDxdh2BdmERU/ypr17OZeqr03Ujl8FYzZTH5
CjAO0WoVbYd2bTQCKOVvkyF+V3u2tZYE+yJkuEtU0m/oZLdT3LmbiBDgSAwOk5z0PfOCnWmXN3Px
vrdlfD5J4haqcLQ3TlOPm6pK39ZMF/YJccM1k+GUE8ec4o0WW+Z5PBINep6jrAwQuG7NdD6vlLtz
Ctlh3xsWUhFQ6pl2ZQPD4E3BwHhjpbG7maxZgMGv2jG9Fr3iNYzEnOaAtsvCS7eu1FYONySGd2ay
if2VU+G607RNQ0IoEQqyHd46wZraCUcyq2z3sH73FBs30xRu3Ti0tzVwUeaTSE2aoFXhV0D6tOYa
6QJX0tsydBHK+P6j0UbzcdRd5iAh6LVnVOtAmBn852IX9AHcCMeidmqw7eEmt9AsDPV00r1gMxNl
pwUamyHqlrUrEVRUoDO8g5i7N/tZZP2qD/vXQl36E6jDSg6X8eS+rePS2YeaQZoyvurYz8frKaIb
d6a6XQs4Aib0Ga3Dhs2mVjHt115jtweC7c7G1k63gYFRg8EAQ1rcHJEV9Mtbu43MI1rWFbRDmJBe
fVGX4q2sk5UnjWDVt2Rez/2tOYkH5FxcablxkRvYHnUEc5H9hZXNBAO3Jxk2ipJ4k9o26hKJSrLO
3+YJQ/WCSfOWVgFWBlELiMlaYHm7lJdS1KgItWod+p22jKkkF65XAEVLa915cm3GycMcJVfOHKCi
l3a7cNn1i5pE7aUTh5deUa6j0rlMmcKsUNh8yKW+M1GptoGDxIsj2wnhIhpb9li/maqcIAUQLTQz
wSUSP3S8WMF1FiHlQ7D3AZO6zN2003zeaPJDNHvJnjhu+OntY1Y14QGXuHO7mcuL3Mp7kgyCTWFY
K3ozbqrUYrcbaq8Y0QV5a1tTkKlBroO7HAy/OhSGeVM0IS2M2x3NPC3XZRjfVI0I132UvA1d0S4r
wzMhcqPPJNm7W9MLiLKujthHbhxpPo5drB2GYN4O5BJMFno4ja50IT2ixSknBMRqu0l3pTdxSSPh
04wEl1xYZVQw/KPyPh6gDfF3oXgbCebNyJ30E4xKbOdewAQC7FOYYgaiU4fmVUg/3xEEtzMxa1y2
BRHBCS6s42BeW07zrhyRZRuYam7zKnkd5jb3vmY+FjoNMGHVMw2N6SIjKzBUpxNlEHiNmQFeJdI5
Mdvd+hLvPhTQuzDcBOIq4Fcdm7T2CWrIVdyBh7jTeb+N2/IWgvmD4xXUmlp2GVElMwHDwD4PzCs9
6j5mJjnIUxLeBh2hgFl+aXT1cMBPBeBkkMEOKoaS2n5IjY+1i8tEHBb3mjBvAMCDBZZesJLkkG0S
shdpBteWPtHZ1TEZjl1+hVfOdvTjYGctEphPcB+8vU1WiS4FgsWR2kTOzV024lnPcNI6p/QrIV/n
WOgbUF7GtvWXkXVd5LVNfetGO+I0PAU0MnQz0MQKrK4W6aHuyJYpL6252gmND8mGCxaP2N3GmWrF
7zpMkPGzCNaTP1Owe84bEjHPwIVLFcL8LvX5XVqU3rhDovQG1SWtcL/WEOZhiVKftIkDE28xpvKf
mrrGwHmnHI+5gS2rnlrtMqkTkn1qjG+9/j4ZdP0oarnPCCQK4mHVdl22b2ZG4a5inRHYGE3htQar
yZ+RJVk1zrJBw/Sz2XJ0gbrWuJqUmGi9PtiVo1CbhBpbR7RVEmqu4RCkl9mb2MlvXFPS0VAuDwBt
XRKfybiByQGqUiXWx6nWP3RW+dEuUJVJF43gAIadJ2daZH6YHfxpaYqZ66fDIwypLfYhmHOAQoBp
Al5BYe7m26LR1TJ3p/qNJkVwGkNrPxvo86wOdxKvGq4DOUM+gCJMdNOCBEh7VUvtNLbWZVXUIDUa
XFpgZ4vHC9/T5GAXslgXvYHlbsYAjdwYoP2cU6BNdKyWR8IECoewiMDl9DCJQIDPvulEWGyLxCGx
jw2MTII2klEhs2OtW2J2nwsnf2956YOeheapIl5hMYMyITWJICWSNETmSOrs4sRF9sGULyehyiPs
AuAxqTdRm5+moV4KNuKyghuCNAdCkUGOdYm69wLuyrmVEiijo6TX9bXXzvlyDnzwVEmVG7nRRo7O
67FBKu8IkrRGM90wR6SfIYHOQd6cIzFd92m0JjnjMe6KyzjIdcIPTrogE2tEskNBAJtiLlXMnLzX
KuIEK+NoBRhzjrLc94kzHwlqTRIzhHGFqgSLmPMGmUk4RsiIUZ0uvK44Ovi40Ddpi1nDsxQnAnQq
SrFSKu0KMpftrNQsUulaWhqknUTq0ijNS6TULzwEzFiVIqa2YFSESiWjK71MDumrLB33baJdaJiM
b2ylrcFlFwadNp/F9mMw8sknSodTlpYD152NTt7QCnXiOg8EAazRNlEqnv9flf9/PRW9q/vufv2p
or/q4ca+foTt1/1SAquvfqp935Z/75u+1NLf/0E//dmpKhYmz6eqn/6sT3/zH/2U7L6Lu/4DOXwo
7uA543qFfOnTi0pekQg+f1kj08Blegp5+vPXqeRpXr5apt9biD9+j08r+sff80fv4GmJ9h/++Q/X
swyGu896qr+zDqZwHdNGI/j1AnivLMf1bGEzKf70evpNL2oBzO80lX95AQx8Xpmru7oB1Z4XI/Sv
18F95WA0ijDz6atsvX/TRvi57IlM4JEM47L4mi9g+PzJv2msf2cNnv2EXx8G5f7jmXSs9jdPgc8X
PNVpP72eWvgXtAn40Pj7rOd63t9ZgWfpm7+uADiAjVmvhabwlzf69S5wXqGvUDklzueFeHJqekEL
wXGgw37+czvhd9dBcO5BMOFc8Z72+7NTwX3lWxyZoBifH4enrfei1gGMxfzRdVDhNMA3Ju38d9fB
eyXQ1jickJ/3wws8HQWe0T+8Dup0VF7Q3pdr4LenI+ugExGreyT8fHq9wOdCuJb7o9ckJ6RvkSsA
2+rpffIDvz4fyNDVDccWOH9/fv2bbolnT/bX5YKwdUXN+jM3xbOf8us5CavM0ZEyowV7Wodvzgeq
Ep/L9Mt2eYH7gSACpWD7oXXgvvCYgpto8p4+72cXp8d+cMg4Nr5cnC/xfPhO3vRfvTe5L8D1+Q/7
9k+vZ9UTqDymvK4Dle3p9QLLaJJsxI+eD9wXDmNB14Zy+en1bD+wTDA3UWN+/rKSWL60dkJ8J07h
L+8H/xWKU/b+l3WgMPv6nESYym7hAcQn5Mt+eWnr8D0jzr+xDiBduk5f9Tv7wTF12zEQ6T69XuJz
QXv1w/eFEjBzCJri++vgvzIoojgmv9STTwXLi6onP3v//Oh9AT/aNbkyvrsfqKNsky70S/vxEs8H
LrtvlO5/47kwEayjw+IA/O3BYHEyQEr/XG/rL67TdL3vsfn/8gKozsGBbfnlwf9mHSitDBuPwM8H
w19Yhz/x1ADlqe/6OXu8b/71fwAAAP//</cx:binary>
              </cx:geoCache>
            </cx:geography>
          </cx:layoutPr>
        </cx:series>
      </cx:plotAreaRegion>
    </cx:plotArea>
    <cx:legend pos="r" align="ctr"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10.xml><?xml version="1.0" encoding="utf-8"?>
<cx:chartSpace xmlns:a="http://schemas.openxmlformats.org/drawingml/2006/main" xmlns:r="http://schemas.openxmlformats.org/officeDocument/2006/relationships" xmlns:cx="http://schemas.microsoft.com/office/drawing/2014/chartex">
  <cx:chartData>
    <cx:data id="0">
      <cx:strDim type="cat">
        <cx:f>_xlchart.v5.27</cx:f>
        <cx:nf>_xlchart.v5.26</cx:nf>
      </cx:strDim>
      <cx:numDim type="colorVal">
        <cx:f>_xlchart.v5.29</cx:f>
        <cx:nf>_xlchart.v5.25</cx:nf>
      </cx:numDim>
    </cx:data>
  </cx:chartData>
  <cx:chart>
    <cx:plotArea>
      <cx:plotAreaRegion>
        <cx:plotSurface>
          <cx:spPr>
            <a:solidFill>
              <a:srgbClr val="FFC000"/>
            </a:solidFill>
          </cx:spPr>
        </cx:plotSurface>
        <cx:series layoutId="regionMap" uniqueId="{7D85024E-A40A-4138-AA05-C850460FF396}">
          <cx:tx>
            <cx:txData>
              <cx:f>_xlchart.v5.28</cx:f>
              <cx:v>TCO</cx:v>
            </cx:txData>
          </cx:tx>
          <cx:dataId val="0"/>
          <cx:layoutPr>
            <cx:regionLabelLayout val="none"/>
            <cx:geography viewedRegionType="dataOnly" cultureLanguage="pt-PT" cultureRegion="PT" attribution="Com tecnologia Bing">
              <cx:geoCache provider="{E9337A44-BEBE-4D9F-B70C-5C5E7DAFC167}">
                <cx:binary>7HzZct24suWvOPzcVGEiCJw4dSMaJPegrdmSLfuFIcsSCU4gCXD8g/slHf0L/Xp+rHPbkktSqaY+
FR3XEVflsEPEBjeIhcxcKzNZ/7yd/nFb3t10b6aqrO0/bqef32bONf/46Sd7m91VN/ag0redsebe
Hdya6idzf69v73760t2Muk5/Igizn26zm87dTW//459wt/TOHJnbG6dNfd7fdfPFne1LZ39n7NWh
NzdfKl1H2rpO3zr889vVTWfevrmrnXbz5dzc/fz22Sfevvnp5X1+9Z1vSliW67/AXBocEBbAfzxA
X3/o2zelqdOHYU8cYOrTgEsiv/3wx+8+ualg/h+t5utabr586e6shUf5+u/jrGfrfrx4a/ra7Xcr
hY37+e2Z6Vyf3pRv32hrwm9jodmv/Ozy66P+9Hyr/+OfLy7Aw7+48gSNlzv1R0O/AuO9tnf94478
+2gwdBBIIQIqHnY7eI5GcCACJFEQBK+j8YfLeR2Oh2kv8Hi4+mMB8j+HO/132sceEQLnn/j4ORTi
AExG+NRnD1CQx2PwzTD+eCGvY/E47wUYj5d/LDT+9Z+D6W4eN+bftw8qDjiiknEuv3mrF6CAfTAs
SYAeQRGP3/0NlD9ez+ugPM57Acrj5R8LlL1L/RsjCMMHBEIIARv5ZgkvfJY4oD7xERH4wVBeYPKH
y3kdkodpLxB5uPpjAaLu8r/TRsAIiAQTIOI3bEQyiC88eAj4CCL+NzbxzUb+aDWvw/Ft1gs0vl38
wcDobtKb+l//629EBCzER5Iy+WgCLyyEHwhfMoCMv24h6s8s6Tdg+WXqS2x+GfkBAXo8sv9+SNmD
4xOJpHiMGS/jPEWSIyToN2tCL9zXV3B+bzm/A8zb53zy57cPN/uxAHl3U7ub7l//u/q9XfiLqkQe
EAnUSviw28/lCAsCAArhBzTAlJ46rz+1ltcReTL1hak8GfmxkAlvrLsrzRs4VvXt3xjyqTwADsYC
Xz6EGOC+T1EKwN9h7lP8KGPkc5T+/Lpeh+rl/Bd4vRz+rw3ab67uqcR/9qG/KvHlARcEy8B/EXeC
AwkDIpD0Ie68MKY9mfqmvX97Ka8D9MvMZwv/Ly/nQ6Orz3+nYAH5SBCjBNjvq2QMyDH1Aw5K8gGC
FyryTyzodQS+T3xpG49P+GMBs+5vui9/JyVDB5whP/AZ+rbxvzINQiTxA/wwLF9E/T9ez+uwPM57
gcrj5R8LlCNtP5u/ERQIKwhhKgn1XwVFHmCwFIbpo3Jhz8PKH6/ndVAe570A5fHyDwYK5L/03wtK
gAMfgbk8uKjnsV4cACED6SLYAyN7ISeP/nA9vwHKw7yXoDxc/rFA2cfDm/Iu7e4eT+y/L1zAWvA+
CwapyVetJTjgBPkc48e8y4vM/Z9b0+vgPJ37AqCnQz8WSO91efPm4m5fa3jKd54931+kXl/FJeS+
gke98qK6AhhR7AeUPNgOwo/f/S0X86eW9DpET6Y+e4Kf3z4Z+bEAenfn/vV/Pv+d+EA+mVKOAZ4H
3/YruQmZZuzz75mZFwz5z6zodXh+mfkCnV8Gfixw3uub+ubNF/PmQX09HuR/39GBEYkAsssMkmhf
f15wNQFqE1ACXvAA4gsO/VdW9jpYv77DC9B+/YH/z+D9donze/E3unE38deq8ZMq5++Pft0NqGO/
mPp77vGb59x++fltIAiwAv+Jx9zf5lm25tfb9sr0O0hi/PwWCtFQ9qQCYYGoL4TgcArGu4chIZBA
MhAUkkY+45BuqCHiZj+/ZeQAM5/TwMeEoABRcLDW9F+HMNSS9soLQUWVggum3+v2Z6acU1N/35yH
39/UfXVmdO3sz28x3Kj59rH9w/qcc0HFXskFkF0HrwHctLm9uYDegP2n/4dNm6VsCt4r3M5h5fGj
3I+lbOLR0o1M61WdL/HoD5FB42bePdm1V74caly//nbfp0AFIOmPBWPo+bcHXoJGz9Tw7Q4noU5m
p0qiVZ50bpWMJhZ5e4fzIQ37IiGqbW9H225Gr87jtuPXXuqVMZm5U56VTeSjLCT+uiuXd1ONL2jS
H6fOS6OCmi++Rn6oWa7DeXFEZTV/X3t+VLCmjlPkLqfR3ovO1KGE5grlJ20eZTzpojxfjnBSJ2oa
55j63spMLYkaLVQBmcCwn9NR9a66X7qijrGeUqVbWYYTzlcYsyLkWdsoM5ehJaxfd1Lb2E/4NbO9
PKzrLIjyxAvHRO+Y6KazbBryY2HZYSOmCGXMWwVJokPD2RfYxOtmaAOVD8eVS8MsSH1VBtMu4ONH
hudgl45jpXS3zLCFNt3091JfjSVC8ZwOVWy9vjvieXtvPE/vcLmoWbrmvBKr0S10q2lznrgmOLQj
386y95VLSb5J5Rg1fZWrdGymDaP9dpza4lgkyUlL+afKH3QkSxvixmGVWnIxIisP07k6rLCp1l7d
COWSC43ZGHaJvwmw9yFIfBkae+/liQmLrtTKDnm6SZm9NaVNtqlth3DZeCl+R5cu1LzD267MV7Yt
ZeTKsovIVGwwqagyZJjDtF3ukIAzxJncUL9u4mJk3TaH+KgqrxlUPU03Ohu2rUFLOJYK7C49LQnZ
9LPzjjQrPpQkC/uhTN8hNsETLvlWMz9RGWo/jl4ybd072rH2OIsmLXXImTesxUiadS/nkwzjM4lJ
rwqU3rURl/kQF6jnYTppsS3xcFd1QpGiOuoJtcpD5aBIKexaymrtKs0OUXeDFw1fTG20BORwrsRp
V2aHmqfvCoyjQcxZBEfSqtGVaVh22Is63Meilmaz1MOkqmJQeNA70gm6bSf/o4c6qpZpCTZzk6yX
tP/skslTQVr4ocFeaK046kwv167v7p233DUWJVFO+xuMTaMqnaMwyc7GRTaHbqg3pTS5qv3UqSxw
Tk1M0DXS4rgc/WVVuuE6cItKTX68yJGss2VbVL1USXMMxdf3lZHBRhp/R3I7qbELbqag1JGWqY5w
aUg4MV8fyqUM3VzkapCpXaeEKCIys0rzHow9A3sqErC+BAWn3dhFmItalV7cIL28S2R/1iy1apOp
uijxeZ6O5Vmgt12woDjQlVZBl9YnaaNmZ+8K6/dx2o2nQU/jgPexTqcd7Ol6EPbc5QuYtnRk82GQ
Q7Mq5t6qSZqrpm5WYxniaV4ZMEU2JqOyWfbZ9+0JyrNTKYbrtlwF7XIc9GksvCHq0n6V2vlkFvS0
R/kJmbOjJSnXTesORb/NbHk1FPp84UHMm+yUlJ+mkr5v+uWYTfdNN23Bxs/aoV5z32x6I1eEFYuS
WMdWwHl1Pph7EsEOr6e+jZO5/uAF+H03LdcdS09M2cUpLnau90561J9kOb0EYXZGDKsVF5Va/PmY
6ukISrLnqa7XTLhOVYEXakE289yfVPm4TfCyq9LlE+uWM38aTnq5KvN5VzV62wSwuSxYde10WqfJ
RYD0UdKg4zRaxuKsYvmZQPpE8Gq3+PKiMfq0bvhRh8yWMhR3fhuhyUXZmF7TYl6Rlpy1dihUj6nq
vPRdw/lhmnebJF9WCbOHJkVHbso/IYl3AuPTustPLDc7IUjY2x1qj3HJNqQudjMtjpCp16LNz1xQ
R2kNPhyePOD2wnTTCpzF2sg65OZqv7ui/1AQetj5y1kmssirliMrplbpmn7KZnTW0kjU3sf9DniN
3O4fjsj8dCzns1DDBu+ftGqLoz4hO72QT+VCNwk8dcdPAlRGM0nAKx9mpT0MWnsm/CD8GkUfqNGz
mH5rmrnTafbQjvf91/+4NBX8+dox9svFfTffL78dP7YB/u6n1ndmL+Hsyw/tV/P9Xr/0pu2p0fdG
tRd061vj4G9wsd8d/LNEjcLxAtL8vXHwV0TtZUXlKU17mPxA06CWzamA9gLJCAYitL/vd5pGBKSJ
JBQifCh4Ayf7haahA4agEAFlCuhto8CgvtM0SHP4hO9FcgBKDJp/8F+hadAn9JIpBRzt0/HwB1gj
2tPIpzytIhCe5oQZxUawr/FSgm8La+ASkZvgKFtXH9co+ZgMfqFI3jTnni891edeHmNiWUjJOJ0T
K1uVllxp38S8n/uQDqSKswptUGPJrq0iv51xPC+pCTnpwrKawsVVIWOT3HrMAJmq7HXjtWGFcaaI
XWwYqCw5hZYzdFSgsg11zjadpiKquVW89ZuolfMMtCWIsqBMoybLhBJdXsZIyybMPafyJUEh8pOL
ZaovCzSvcVqrhHc8bsfMV0XanZrJE+Gs889iFmd9VouNnMskrvjoK79mO2nbZSerm7IiJEzzJldm
IjtXiOXbX3ju0W5A3qapgvKIB2DMGS3WMu+ro7Z5N1ZZvUuLodrVJat22CFf8UncB4hYJWlEUSpX
Zugz5bIArbgIelV73IXNPNuoiea6Y6onvF8nN2RIUuUP86LqQTrV0+E6L+froKTdymO63Cx4uOrd
+Clhea7YUG0Hw8uIWi+NtefXYZcX7UqXnYJOWlVmnrISu7CbxLVt7KwqeqjLge/8zEGw/KKTsVXU
d8umt12q2jwlaugbdNiZxVeyPecG6PIgRR267rJCwJZJoF3cOS+uYMlqaMZA2Xz5jEfEI8aSbtXN
QRK1RaLjqh7qsCiSJLJCY0WS4gO9ZksRbJjFZQQZpHXL2Rhzj9iIe42SSTOeNbkfyqE7bGxfqd5H
Reib7GM625O2KKIuW8bV0FTHCFjA3KWfMl6pfExO8yBTAWlXdIQPzKOfh7Mf7CTKtkkNzCOfvuiU
bzzL1nw2l4vTl5iSKdIYX7V2CqfJpuE8yThP5b3XsjRigRePeCqjEQdEBc0QyxSkTZsd1YtrwsLV
WGG6rWm3bPDkbpNJHGU6Y2FC+usJiW47L4euh4CZEhuWdtAqm5etXw5XyxI1shQqd23YMOpWZdvP
ALvyxTBFgc/9uF2SSFdJzI1HQzy34xoncNhZuYStJrWyi2OrohG7PiBd1Lqljvm9qKrthFHyvhjL
dNWJ9H1mkiJcfDCYKajG9bREhDYiDOrRU6yduUKO87DTLpLaNMdzW2Jl7EIjW01rTf1FjaKGk1J0
bAM+DCjM2CtpxYmcC7pxAreqKayNuinVikozqDmhn3JSlGrO0kxxS9b+sAyHQ1Ve9ohf+gRMHU99
NLn7kbZtVOUdh+MyhT3P0lORlEoM1aaftD3VHs1XSS5gEd5UxoustktvCNjssKyGxMRtkTK1dM2w
7pLhpiCkjHUiPvSVf0bLolA087ydoH2vRA03znIZBy2Rp8OCQGO0OFo6IO9Vwj8xFlSqQ8suQzpV
HYjyyMNl3Eh36H0wU1nusGeSEATHGUPpqc4Ei75uj3CBv041vdPefD8Y3Gz8ivgbkXMdi9QMcaXn
QmENWoPy4ZAE07u5dPk6X7p1U9BmY1XF3Kms5K2/zPyQmGNuex31YLfRIP0spH5iN3TKgBrNAyiv
XufxvrVn7efNSTLYddFkIsqbgIdY8BEkkyZbU3hZuGTNFhcyRKDeglokIbwFgNWSyY+gMUqVLBNY
O6JXxo3wtDDOu1qEYu99shHulIFDNk2+0aS8ZZSe5rwxn9saPIObZapGVnjR5JnqxEsKt2rKOYgT
wAlUqTkrfMRU64HjIEtVxNC9p1I3uwhSEGVMkw8uGeO+sCT2IJkf+YMrTuZmAOEzol0gZxourb2V
Fk46zmAPujrKTTcqjw+rMmvyMBk4UoXuzxj2cKgbDfGic1oNOctWY4ey8x6eVg2+r+ZKqiKxw6rX
aSRIeTjmto7oxCDKJDTq/TRXRONp603tJh3CPM/Op64iIRl9UGZVWa380cyhFWeQcrjts+owBaFS
B32hGls5GBhiWsqwdKRV4zRvC5NvwVkfFwmOvamgairVUsxbZkzkCXPR6voK1zFty3sziat+w4Bu
qoIhrPz+fqrdtMqcL0JUuesejrgNZLEaivZKOPoFl60y43RTLGTecj/pIZIPgAgFsdr70yqw1ipT
L5+Wjt/NwcDVgoYkTJLpCGvqwsxapDCrN+bak6Q6GrAFCj/ayKS5Vj0rtnmrldw7XpEikAmoWJdO
vguqcjUvsM8OyU6lUNFUw0jACqpopuImn+hVQjOVTiApKfuYanToNydmyFaT7+2CAUJ+LVYBavsw
sac1Pk9dEDX1EA1DlqiOlxdWJruhLm67eutq2iuvrS6Kpb5ftKyiIRkjTGaqyjZfQprZLePJORCv
Qx81d1l2nuSlCfsO3JkbktWS5O8rH14ywTS5liY5phSnK+mhbVMEfTiSpVXzIJLN0jQGUjr049SZ
sJxQH1WMi7AKxBg6AQHUeW0ZVSYPlz79QLnQcdJyCNKk+ewquYPdsIcpmt51vmIyt6uOTRdkBt8C
p1jhJrnpfT7EvMzeDf4qaSU/dAs8W5Z8BiF10VRoi8ePAx3CxpMDMLRsVEttz0XWbnPqZ1HqBZBU
EkWkdV+uxqL/KPRymlfk0owUwWJkrqZ2gSSTyEPkzBCOfneasXLtpXkROkaZqhHQpqAcQjF3uWpK
jUPhZlgwWwKQMnMMIepUtnOi2oAixXH7vhu2rhzTzeL3x21jgrPZkSY0bJZxlYRl2c+rRryXfIgc
7S4TL6+OdMHcNunnjSkaepjzZeuhSq9Rm0ulg/yLZ+076VlvlWDQNsLgYW0scDw+abPOTbvymzxV
gmTAXhpyigbXRpC42VTI5GuMa6Q6Gai2nDU8hz3R9aRjh3Eb+/4tpzZuzQI+gaZLBOyx8q6YbQKF
IE5o1F+UjN0JrYtoXMwtYeS4n9JD3jbv/RoexVSoiuue5kdyOcQFZqBG2WpuuqvW54faiZOEDlsk
ypVYiIxHpIFTmLCe7Zcx6ZbIwSZVmkRGZBRILW+nDqCyihbLthvz0Bb6shr1p342xdbt41ohCRy3
QzPO3fnAstOxwZC/NAZH0k3phjZTKBOI4sswzeAa3GaojV5jBrlFIyY1B9UMAXcEj9f0F3hos3C0
vIuznvpq8vwLWvShaKeT/9aLv/1W2TPJRxCBavJv68XH1olXJn1P50N9AN5iCiArzxkGTfZdJ4Lg
21e1QUBCXISsg4BU+0M6H8QghYyUFJRBx3RAOKziIZ2/fzUE2hQo0BH219P50MHwQieCIoHqOWNQ
TcAB9NLD+p7qRFPInlS13OewyXVdE5B4o7ySvDrxhRlVmtjzSmepyvu14ODT02yDq1qoufQKNTY0
hjgcpdSzkfb0Z3irRXk5vxzyvlaBHiVk2vehVF4QD2+6Jbtv6Nwqgs7ZdFpO8r3VoggbkVZKLt3G
RzUkLVt3a6zUipf3OneFgjbZY8Tt2Ty119lYh6I0EyRpua9qSj+1mFyBMal+Oa2TCf7NYFpS+6rn
wXsM/lAJtElqlipXm3uQDbs+G1w4VWjdBy0Ns2XOVLfsQGd+WaYiVQgXl0EyFsp3sSNVs/ZL66tx
AWWygDrOadWqornndAAnzIkqPAskZc5Q2Bv+qSvZBT+HYg0NzZJNKnCaq96O90tOz2peelGDlm09
zieumkU8MDOrLtNtOAgeJxWdlKt6T+XNqdV+dYSbNFVyCq4EbVeQEL4uxqRXne8jNZTuMMj8z4g3
ftjki1TG6zYCgbcfCgfhRiefhvyENtaFgYibjl8l+UxUQwKQkbrUwHq0aozhYV6BNhDgcaJuAfKe
eulHneanS21UVWv+od2rUCpBS/JcwNdMQD5zczkXtj0aIaHJK3RT64u0r8xG06lTvgE8RboRg4Oc
mTytxwHvZs+d9hC0OwJOeDhZ3BQ3VPZbUjdHfZaSCK7saomW1VixUmkyhW3Wr0ZJ14NXsEM3Lhs2
OtghZLiSxu2WoF55iXc0t4VZ9865kMwgjbTwrhAsY+Pp7KMnC7uCbMaHgue1MkkNJMAVm9nWoDYQ
BCU/MOFk8JcxS5PNRLq1s7OJLG+uk7QGejF5ZxW8SXrKoM5CgsaP4K0sFw5wMAb0OWUT5CbbDJaY
AJ3wq7Auk+kUQXYXNyKPaV3vwHnfiRTfe2ANEo1xNTHQyAmugcFZux7n4Trrq/Sky4peobGAakL9
uWoC72Nhg9i5M2qQt62hxqSkSIdN5pIG7IrOEDauMLIlMJeWxKwk8YL0oGhQrXCXuFB3mVWJIB/Y
YHvFvKI4TqC2ADnsK0md25ISjVB2KMlJ7fUYEru4PbLpaEK01O9T3bF4KaGUAGnlRYGk0Ss+DZWq
jK/DrGImLuZpVFO9EWUC+ZOULaHXdHMceMO1x5LiqPVBCwz2gjiv3rQdGhQKGhdW1RyzUa8947PV
CG3wYZZAvWcidIuMnsMcBe/hWO4NPZAh1z5eC2FXwVgrqG92SqTZsk49A2ikUjVpd+zx7n3iQ0wH
S5nDCYSWElnvTsScf9SyQ0fAiu6XpJ3irt/1ufWPlyGCWhNeTbQ14KiGUzmcuQmUfD0KtpK6uy7b
MqzdsoCDKPKTua1vPMdnpccetrq+YjCmBkbXJNjKRrLjwqOH2Msa5UR7miMdNQadaC6vltI7tNJQ
FRdFcE6m0Q/zKRgVJGg+OkN2oJUh2lf4M7MLlFKgvjdY1kZQK/LDBGhdA3TZLypl2PsSZFlokyaP
JnqOfVAZM+wOnEW4w9Smq76rQVJ5H1JWjBGUl8/1OO0mITdt3R/Xk1kUQuMllG/3aR+hgBrVofZu
TMVbkE2DD8XIBUoaYxrWNA3bnJ/xVt7xFNzroId3pg1WPbWnk1cXUEqAVJlj77DHPpviYhH6Y1/k
H0a/3ZUTjVHFTuf+XV7aE5zna0/OYeBVVYRtf2FysZamdKoqCVILz267sQn3d1g4pJsGyJEB2cGh
KabPiddwqNRu9eITtXj4NKmbUtWFtlHJq6Pa9p+JcSyEc3QyiQrULXB6h09B5t9XaPGjupULsK4I
Zy0kCQdvz4rdoCyhUdvWJ7hvJSR2wBehueuVFZu0CkDtJlWIPPgcFvtg0za7mvD1QrPb/RexoT7J
kEmUP62hBl6AOBv2OZwJStJZHc5Vr9XUuXNd2QsdyAz2te7U0nefaEl2U+M2FbB71VfwLngqZwYV
JApuKQ3uaj/LlF8IFNJ2k3UgqE0/He3pfgo5hWTpb1taqbJjkI3C+igd+ca01c54UO3zRZ+qIgsF
Gu6pW4qo4lDnC8iopAcVaY+ezEk+hRj19423YZmVIZtAP4uuvAmGcmsFfW8R89UTSvRK1X5PmZ61
DADFIHtq4UODuJTQ1PCcYujanxE3tFFwAKDWDNoxGzLFsimCNodNr6tRNRTf4LS4YF29Qa0+tmMX
NlN7JlN4WjqO92m6q7J+N1dgE0l2NFt+OAVD2MqgUEsbJlAFnC87iTb/T2sH+sYJ9OZQ8qLdAeE0
WOaKNKrgkLgTtgEtAbWwr1vNmuyiIHzbd8FJMLEj048RuBRZnBtaXxFkbwNiP+mAHPVSH5qluprb
7vM8rxIEfhnOJlT6IQNpe+oUS/ghZFPWv798+srWw/tcsPkM+u+g4xhKEc/YnZ25rvZb3/mDDYeg
PRlxcTXOPApIplc4GZBK53SLIMccWpcfJTMIQm9vJaMgi6JmOUclUR0FZTrSu9HBYQZHfTKM7UbU
pgizGQqrrCM6rJALay2nME878FZDmKSohZorSKJlkJA3rtxZCxlQSIxUMn0XzCVSlJTbr4/839Wt
bw1mt0//txGPvWf7zhwsoefyt5XKvl316Tsu36d8r2dhQUBxQH9PwAT62lv0UM+i8OJzgCkT0ofz
HyCoJD3vOtqPgI7ZS5hfZAo6QPBCIYERnxF4/0b8lXIW3lernnYdUQzLQwJeVoCXeDi8Y/L8HI+Q
QVwYygPwlrne9s2XiXZqNAs7tcTxuGTyUmTWi4PensjKQG+K6f1tXxXrwTaXdSrlIeZmy4WdVg0P
5ujJXr7i4tjejp6tj32tsknuI9B7UBF8sb4GCuIZSLrQm3ixSvu8W1k0QWoFyukEcjFDKVaZFJuh
A/Hga5Ofdylmse/p86Zx5DBYsi2vNBSYgfR2GHQ8b3seE9lfFoLUIRJVe+rX2yWdst1iq9NW1PMJ
l91NayiPkjzNtlXHXDyks1shU7EI1W1/mLb6Bs14Oqlpmb5vy/w8pTyFikphIgM+N+Ut20q6pGfD
SOlJVwcxJN0uqB6rP9qi/RY83yKBwQvBEYM2e4bx3lU9aRxroQQT+OT/cncmS47zWJZ+IphxAoct
B82SS/IhPGID8z8inCDAAZwAkE9fR57dXZl/lmVld1rWoje0cHkMLpEA7j3nOzegqQrc7M2iZXz8
utThFB970817ClcN7sHgZjJg9TcnLMOCeqaHezPYrANEdZQoJcrStUe+AGpxZV0e7axhZFTkpix5
H2m9HOXssVtE5qd1NvVLF7ogOUiwHW0ZoWNV7MzbNlzTWHQQl/gCiXSCRsy3EcAb1C+mgS/hR0dR
m+jbig1ynXl1gN4Zos/1nZyUvrovlIR/8eX/Mrflv3iIoj9v1lhij4CuD+4IgBvyUn/6hFD2NCX3
TQbTjls772UN2bbkxtxF7bOLnvx8nak4atZPXapWyIY9zJyczK04BrMRR5T150nTi7KB3LjzIAom
bXmuh/BpAQ1yDqexPvMG0IGw3vbrpamCxZZoy4uOWufmzYnM64Cozdonzs0+Lg2lUQq3b9iB71lT
Gmh5SxYo6KIMP5d6vMKdUbdhdU5mLdVRWb/7y4W66n99GTJVtMoNjgyK4WVYqQ8Kpqt2Zhp2kqvu
LKO4OxM2OZks/WQzof4UcSd/0JpGm6CRZYZPzN1ZR9nTUvG9jqtxrx9ffb0EicKeFHySA0zjwodk
eiTtMh0n1bdH2BwUrW+2wDu6qIgNJ9aN/90e4P2ZTQRRB8IdoKWLpAKKhT894EQmY43li6Y1Jk7u
dV594Ty64mNZ0mT2h23pdBO4yFi8Gn+iKDX7+qUZnU3PnbFg1MK+Qwf5XJvp0E5TfO9XqNtBtVzq
FiKl8pW8jBJGTXypte7f1OK0qezC7tx6sMihgTbbvo3NWQVG/DeFRPyoc/5m9aL2SXAw+AEwU7zF
P21wehUydNEZZNaYP4KEm8K23J5ZsFT7ssSScmyqXUufuWHfg6V9G123upGQ/eRV3B8cwvjt66VV
RyRNwhk82OO1r0sTRiYPNWgBtjjbmvjVGxtnvtNCBnnMpHgjYxduSFIVMpiDLNDU3r8ukV72imh9
MY1d7nOnw0PvrQ+XHL+DD/Vy9yM+ZxNOgK1fpuBZxyvwJOcaDozkU2LC/OvLr0s0iGjTRXF51P1C
LsyMVcZCP/wIE3qVS8xfvQC+YwvsbqhD2FgJOpZ4kd9dWOo3x527qwt3z7J+UwYhpCI7JGOORybB
P6KKBnLKa93VohhL39u3rhPu3Rrm6+qsYJ58mA8DTquNE833sPWCJ1AR5VsZegfYVd1tFn35pnhX
KLeldxOoX//4DKP/xS0O/SD08Pji/kbh4/t/tUHHSRVWDjoMKFFUw/uPbmUTyJduQQO0ju9lG9Hv
JVr8kYsU+3V0+MsFQkLqxOVFerQ+2GBQ8HOAYBG78gzH2g3+dnz6uoBpjE9+HXS7ZkjuENjLPte1
90ODLAVZEQWnRg/tYYmmYzXYEXgsqs5w9N13vj6pOUEdHT7AB5QjRyeY2K6M5reytpBPlvgPyBLB
L9ntpwEmterac0mF5lmvCi5G58DJngh3OMg6gT2/OCs7cL//35eoD/N//HG67t/VBICCQkQvodM+
MO4/tz2WwLoaOq/LjC14GMwHqGxRnRrD9aEBiFNDNNTTnvthKlpK7/XjErsv6Eydm9BReZnjfgcV
E4b//7n0ZsqVZXrTTyHMWxQ1r700206E7jfaw7aPG7Ps26GDh8fpYak7vcXmCS+e48CH6UM7cHZJ
t94bFzQx8RkpQABGZzdQpw59xG2Qcw97MbZZ7QffEhdLhCRmyZjonVPv/1rCKNyhhLJp3wbDbXxc
qKcNoDow1ZB8in6K0Ve7aCvidbg5ieyP8xw4EFaZs8EntaYKYFze2ebN4/ZI3DG8CsOnpzCaD1Xv
0uPXZV0ZPdaE/6A2SbaKjeQ8S5+cgSrA5vd2ZKrZdVmC6jYs63YBg3OmFCjBuLi7hAAPjB4XgB5u
tky+vED+mDZWt/SpATddiETNN8fRTp4o0lyCgeg9KwWsxBn98OTWT5RXMM7oVJ86HZiH2FjnY912
P0xl32dlh7stVXvmidNnKwvaH6qeXhqvM6eRL+L2denWBeBr7x2aYW1tyiJ6NItPz0aQnzGgw5//
+Knz/24RI8QYJTh/PB++AzLZf7uIo7X22mWO6owPuaVa3Ru9qt2gmJMK3PAznb32WCeQASbPkSlv
Zo2iUu71Mqqjb+tx10ztJ3RM68DsSqadrKJvDKLsyQz8l6wSsuUkuLXLrZNlkst2lJtRueQeLMbs
JqAfVbUkp69L03OzAZkA3JuH+lX5fjaYav32j98ynv4/dweYFRei8sLu9RhxgjLqb990n0xmjgPo
I87jrAfq83Wp4UwLHnp34wXuuYTaNtZ0BJLAQb/Ah927FepNCqT2jRqnPRGWGLSttnqLoXkfjI5E
9vXdkIV6XwcRzUbj8zfLONu6c0bXqoNd6NavsYBBEo3FzPryrp16uhPfqfEvdfbw9eXYAy2YOE9w
SDr008KfPdsO590yxddBxUC22jEAoL1sWzbZrB37zNXW7NXavwk9vECuK0GU9L8EQz6g5P2PTl72
I69+xdJADJZLscrkB3vohPCFRzp9X/zkfURFm82/JxJ/thrymZKQugmcUi6XH9bHgeZ3cMA7nJjN
agCglctHbyqeOX63jcJSZtYHrb+GAfS60suqelYwYwFl9CZ+ivchW38kU2vSpa0ubk+KqWmvYtDf
xUB3MpIfce9vkz5mqUt1nXW9nLJOrNjD/cbdaBNfhriZtpSRj7XtoVauIfRkXp1JA8lLRGXKCYIC
qpPPLlWbWSeooih7E5V4H8hLGPbPeomCvQAQng7t9GMaGpnr0HwjLXoHMteZ6CfwJJY8iRiJkdkZ
6jRo7KsICIiAcFONZuvp9RnuWCrIK08AMPE2ObNF3WQ0qcKWeuu4KkhRDeQ4jLuiqyBE97ZrNs3Q
k3Rw2Xbw2m+9P/q5B7w8g8YHeQdg5K4O1noHWEBmM853wJNp7w/Vtnf9jSthB6wcsDrp6S4R8Kn0
nIBlU+VPZ0gJieJffQjdc5nFxgNjtnGnBmGHO0uCcRPUxF6oLoe0prNTuN0Teh7sTk0eRyJ+bT1b
NIlTzAGYuHhu6b4eNO58NW/doTb5AHA182bgjZ4G0qErAFvkFLCSH1oK3m8G02+4I9BPZ24d6e1s
Z7B8UZdSZcsTUfKIdwZvIqi7lHmsSvvZA1w2kG29OE+Ocj85UQAovbLacC6HjKztfZidF0G2s9aQ
52O1Cz2VexAme6vXvafogSe1SoUNrzEwyRSfJ0lVjwCGAHxCF8+9eHJ9WwfdFmNA50zOeB0HYrQJ
sevtqDd2qQX2FqDZ3WlLbaF1Rqr2LZniD4QKTF7tWOefQx/+1TQ509ba4YE4Rp/1wI6GwpK3kA2W
AQWGCXA7+zA8l7z24ZlxcnXX5562f4xluBUcuumKLWSsVMrKJNgtq9jMc58CFz4rm1xnT3TFOHvb
ibswDmEmWCHfiON8kMDgLCq/1R0HMOfsdKhT+VJxd0zrqU/SuYueJls9WTdeDtO3OVFYhir5DrZn
mzQLAVakc/U4qEDd2fknj767ZJzzyiwK4Rb3oO1vOdfd9wY/uLEl9LxORzcQTP7gPDULskjGYaB+
eyzmhXZ3TyYfoVzhz5o+yaFjiDQsuyAtSVzmdRzoTVQR96wd+9l2tksd2y6vtBK7sezKbEhwEPrz
aPPOOB7CKSXPXF/+UpIHBwPOtVibHjEOhtiCWfpb0pkWsIbeIV31x2jqdiuEPfoL38SsnQsAb+jy
SuSN6qT94VdLvxOqfltVeG0O7ABVsisGY3dNj5XWxr5XuFAsUt0ncDnKTVjJ3zEgzhp2qV6ntmAt
jF4a3pcYnOpE6zBblnDZrXmnqyAdeuMdVMueu1sjESiBhxVnY8N+zEG3n2u2Zp0JPUSz6BtKD3JO
jEvONqK7UEdxinMf+Z4kRRYmOLC4f2fREJ8gwVxwwz9F/Yh8qIqkvUfWfOmzbiLzzVjwRSHtU6cB
Dri0+hyFC/Z0T+EmJPOOzuBMdLSdezocwnqrIxjms8Rf00TsvQSPuxdLv2kUqzPFHZW3TufAYJhe
RybCnfQUkG0vzB1f/Z6rc+LeqyX8FJyWmwoRBSRZ5hXhPRfnCWvOg1rXTcCWb5NC1mb1jJsreN/Z
GJq+iAasXJdA29XV5G9Gw365fvM7jqv6vZGsQLoQoZpqba6tf6Vj+0pIfx+8sN+W8jKM862aNr3x
X9rOq3KmqudoCuAX641CTG6vvXXcUln/nsah2jTWgkgMbfnEIgtrZAx+sxoxw3hsZZbEz3Nsll3s
sThtwDLdWwBSNaXTdvbssZ+qKE2EZGmNwA68qxVP5carQarOvnsnMcq9zqIgskvm9G781AcvbtCD
L9SkAbRV38TiuPtK5F8eqRrBq9UStF7U7tqmiwoIQM7WIxw81i8vXvs9r7EhmrVq9kHfQ/hnYdbY
zimSQXQbLAXV659Jh1/Uuo62yjp/cBUPTxMrgUq28wsO27f+QfkkOvLPQ0XO1PA6VQ67aS8yl6Ct
mmIW8jeoBA07skEObQA6H9AlFxUaMGexrzFark3jdz/9GWbeJNpX33g35j8LtpZAvMY36veiMDGY
Ozqu59kjBW41Kzhp52xGosX0iCz2gOwRg5syGszAIRKw1RH8dYKy+DgS9W6MTVCRJH8A49sNAgwS
ky3Oh278qav5pKF0pMMQAw6wOirAxZpMVU0DB5ZtVIubsgrh50bLJDfc0h3sZQKnWjfLeUb3nHl1
YHbhVMp8Bgm3p9Y9/5Nsv1jD6yAIwmL/k2x/GFAwjQNQk3+N7Y+bSO4qZv9Ftn+I6vAIkRD1w1+x
/bqFF5gE4v9Dtp9HUyrH+W/YfrPKFzlZgPSJ/5osJmMWJnY9x4UJyac3rWXOA1ZEwMX/k+2XFTBC
Uv0V21+VB0S1/h1s/7omuatIQZiAfjWIf5rtxw4FZPMorKiO/HEpGySaZxrtl9HLGtN1m95BzoQp
V2YonxRCmQUU8BqegUr5i2cHs5OtJsVqEbEcfCIyYF6bxE1gmq5ICztdWGVJDTi2euRB3C/EQIvN
EtMntK+oUlsUR8t0XS3yJRrEC3D9aEOkcAux9t8qpk+mTnaiYtcGQGQhZqApFAQXXH8fZGuzPkni
fVv7ohtnQF6aP3UtMhmxGbcxEQCLHUgFs9CHEKdUMTrhFkuDZn3jztiR+x8mDuE6KhTyPm3AJQTB
DGJnL0jQpK5EkoWwYICmw39y5d/rTrVIvoZjFqjuA70pNpyqt7nXoKD1Sjc8OLLdrEDWNqtAm1Av
wy+fd/KBJgwpApChNicm/MuKgRqZkMhMeghxn9cQ1UA7gPTE0YAuCLlz7fRo3/IWPyTK+G5KfWR0
0sBt+sxw7uZytTdB2/Xgr6Am4tLsOwcsseBJNiwh6kJaHftl/WhcE6RuCaCURsWYjCE8eT4V4Rhh
z+/R2/B1PYSOireuE3xfFgDLOjklTXjT8wrOW8Qh/JEhyAEekCwBWn+ag3q/6PFV8bogS7VuZAnY
TcFciYJqzkfp/HCJqQ9kQC46rvofY+tVkKgNjFwvAUubBE9s+R518kn0pE/JyqOMoC8I3fUDKfGy
GDxvs5brCZxWdawFjiJPYb1N/DKUmA0QrqvJLZJyGYCKtWhKhEeHX9XSpLYJk43j87JQNoqBmfAM
pkv1hlQZ6vonSf3yWk72NUBgSNm2KYYWfyqOoKKxm7Uklw6/N1VGxeLfdaUeEQEebEE7LOkyoAOO
ZGLutCV7nUBql+PJdb0Pr9R7lzYhTj9duFMrdk7Q5hGyQ7sBWQ30ssDH5h4RYwsYjyHX6sT0NhD+
HRV4ruLgB4Ppk2FS+qv0gp3UI80RGnrS9lsMQiBb39kMsA7LgsBiRNZiDR56wpLojHsnKYm77Vj4
OjfqWlJv/VWXBmEEMgM29678wba1vDwrNejDwsLdAubRmzk+VLLsozSmeHO2bhCtqIZ8bMNorye2
DZsEHc6qCkTY3kYVfGCFIUiSoJutnWHJqNOMOV/5R112KM1Ntvopq9YadamMNvXMDrRmKDUT9P6u
S1JeTkM283ep6p0y+AvIjP57IhNHIYx14NdTVtL1lyjVe+kj4x2Z+TQLocBcoxEKkesY1+C5mSdk
ch2zR7bnRcIz44IfAwl8KvZGmXOMd8hZuX5bOv/FvkCz6nIPYbsDUJp9Bb8rW4npN2QFyx9pg+Sc
893t6QXuLstihu1qnZvfJUrSod7QkiEXb/TPLrDtvhuHPfIkG5BN08W7xrOjUijIIADBvcOGmbFJ
wjLdEwIXYtI+IDTuIfbYQfPQaCxLeu0RAo9jACcBEkqgDMFnijAu5irIe40WqytjbBMA+1Kv8bNK
D+Fu0tEJRc0zA+QBV00Xo4l0MUPqcT3sizBsaC83xrBntl74QiAPLFV/VKauUzn0ORxR8SQH80sb
BCQRHzkkFpFtqZEXSwb3iNp6wmn2Ocbmtbe9Pg5xtZn08Mlb22xbgp2cOd/HrjqSZgLX+diKyskR
ECdiH7kNB24hTabChoU2/IjnFYoAAYvqVWfBUPPXlf/hL0DcFP6TD6GbLImwzjCwQq/womF2sE1s
A+xKwTW0AckCipsUzl2Gt7CZunDNG0DyqdeVd2d2Ra6H+jXyJ9D7XNlC9gy9LUfUR0rAPhXSgIuq
wBSueByJM+LUuqIOhocFkS3vGXytyWs3gcfp4zfin9PyPhBZTLO7MV7zfQgOUdRExcLomjPCiiou
kbssLZLx4SslnBznBQq10/kRvhfgR527jUra54YNDb7STV7h71k7yN+hcVGRon4dDBIZ6Gsfzwnm
PDA33GMNSWz1a3Ai/TYhKkCDLb20LsejguGW9XoFHYagX2HgMkeEbnhlr2VbHYJ5trl2nJxKSAQK
VhQid82nRS2tw3cS1kfpZ4LJ6jDJ/smP63cjW4l6pLxOjIoNHdzftZdcwTLiaQNJ54y8R00Nzos1
9Y+R2E3SGDw6kOpwr+UPzp8mA1bQkTG6J4QHwZXlWApvMihtsZZagRj2T3YKZI4k7ZRihoQGRJag
xZtlTlf2B9ybIXVbzk89Zzliys9zvVbXu9JOe1CzuiNydSaPyLwtp3P9R8szwK4JFhvd63rpMh6O
UxoOIt6ACM7a8qUb3BcClHf2Ns3K0CG4oA7n9qNK+n07TzsVeALChcTp140H1Y8SmFDztMrAblo3
QF+CbvbrK2nhII8RObdzuPV8DCwZNU4k42LiROt6b+1Q+vnDOvIaCY2urN7U4Jfo3MRLGfljpgCY
oDnRS+rwYSo4zuoOVJ8/LZtQe7/BwZGDYevWSJYtAeu3hAIx0bFycghivs1bOshdFy9FLesg5R5K
63CyyHkN+EPdR2UgC+Hn6sEauiatEUBLRJ8LGn74HA6w8jEjxcM4jqYvvVtpRjhs0DbgiQG8wgyS
RqCyscZ7DcIB6UOoBW6ylNtGiXvZgBTjrfN7bIBg2wA0rrd6ERTidmNWp88hf7+2CwberDp8kj7d
JrrbUDTmu7LcTONtcJzlOMg+KSbedAD0IV3o8PsW/xXNO6aQIJTUghom9XWO7CNswzHZh3k3h0+f
ADSRqhXlO5uQk62bqzv15pAYCYjfaLZryvA0j+Mv6X72ESj+qsQm4ntvceSyNK7BuRGNLUKAvJAt
sF8H/rXqK3C4U3ObKr61ScV2AeIF5cGxS7ynI9AV7UeptB7D9jP8qC0Y5JPjBNDwkWfH+h/yxm3x
yY8gGHnw2jY98i9zxHfKDeNLYDvkVV0grf7isFQeeriLcXcNYIT4BDeJkmdM3kEJibieMshVDxjB
0s2kWBKghFUcPrOpOzUU7juLkzccpNiluHyLjKj3xFcQAh3U2AwSf2T7J7JgF0MuKcDZj6rVr3VQ
OJ09NgjupI4MRuzHKHFcs2ahGj+EcZyjwfqbxUS3oXXzEopLGsFeiGZ+tutUb9YgDoqBjXTTDmpG
zMsHJQB1wvfRyhsAKqD4Lv85DyeB77CLqv7fPA9HQCjPVmjA/zPzcHDqRg9i6/9pHs7iVgfBqucK
FYn9V+bh0JVs43H4A8cBSUNwRP/0PByCxAp4mcMom93/9TycVaDxEuW/ZR6ON42559J/aR4OkH90
AH83BAdGy2tDKi8dWaBSf+4/4UCUKeN1XlLrXU2MGI0Oos9GNtkQu09Aned0HlSZjiHKZVib4H56
xH8NJK3SDgpnGfuGgp8VDPXKzGh9jlT1M5ZLsMWQL8xmeDQrZARVm6DqNAMYvMl3X0zcuy+u6LYe
KmaEIS3spRj0aYmpFGBXnOUazcuhDdvyjuNj2sOtB+wd8KRgoyUZaER2oShcLrGzrgVGwphMqA5t
zJIcAZBMF58hU9+X3alyo+FCYsO30qDDIm+tUZ+lwAnkdnQ6YeOe025gyxb5JUjpQfKbcnH0+ng4
icamwwyux7qKX1Vft9ApFcp2iOpF6es/iOmObbi0e9C6kOukO1zaxqWP+VnTT2FTJCj91PFbZ1vC
G91MCZzOgUITqOp2yIfYMWfTz809wVibHlUhxupsm6kf7zAKC712BvMt2hC2tOhE7uH11n16ZKr3
Uxnqp4pK8xRP4YDUP2rWWXzMzUSvQgziXvkrxaAe/h6PpLp/XYRGVpIHaNoxwXDPw6pGVn1Rd/QH
wB4ChokAHYMjXdER8x1azIqruN0yVy03Eyv/OtdoJdzvGlTDAUMMqptclbgRFLKpndi8e3zT1E1w
IAiUXl2tVa57AdtUBeQKrcsUdJZhbns+5cSMSIwg+nNPHpdhDLAGubk4kg73pFvYEW/+vZkajCGT
DiZkNF78zKKfpULPDJMcMQ4cZyeXkiAf/KA/hYh1h2aG98DasxfZs7N6+rmpX5dY9Xf01OaZO/6Q
L2qttl9fAvDuUi+oms2SRL+6GYOwMievMVzhpabB8BLI7lMmrXOK+3F4iVsvAsfYYF7S45vl1GOK
Wbm+LL64Oz1PvhnPnSBI980uWbX/QjFcChaGs2ExSlBH+HY7+qFF6iton70StxC9CKY+lWP7HHkz
yfyFBJcmwOMiVRa+I4TefXoV8m4AG5szpxrGzkrCPBSlvSS8Kgs+8utaihEGevTh6wDhNjhcWT/E
u0EG8a0NYHJYHf5i6KgfQ9gCLJoPW/MfpXD06+BXLtiA6CZi4uZuN/Xgp4DIz8PYbh/66YnTXhyC
B6vX9N5JiUYBkPXmz2HwXiISOveYHL0K+oUuzXe1NBsfLvEp8KGUB8QcVhG/8NJvYZZSsEMzlrUd
LpGArfxIaGf4iZetmQooQMPrMJX9s0Sn5LrnuVr0t85lHUjKixPROh/cxhyWMikzt/fK44S6KWyd
8lSBHMtr+hILPyNRhwbZH8UuJNE9IbK7UMJGGGaGF5JI70xqvS9rfPT4UFjammZCHt3N+mileLbK
qtAhbKmgI4XLFPtGUW4dHNrFWUU/lQhKpPg6cpdieFkM8Q7+EEuIbq0tJl/xE+SVmxEIHDPHellc
We8M3NbNBwEkDjb5AvWi7oBgtduBijDt6NBvTU/obQnr9gnDZTa2R6i/ndt7K1V01EFyoLpFvhki
Upo8IA9vLk8zAo5Fs0z3YfkyUjzYHnHXn/y1oYces8oGTmsApE1WItd6bBL4Hq2n9cavMIDC84MW
pPL6A/sv20UyIvu5Ehq1cojMVtLc3WXqkASFh9mF7/6I8YFUAZFWExIUcV9dAIm+C4zPu3QDkgVJ
28TbFT3/dhz7q5wAqJQD/zSjG1++LsiB7qK+IQj0dQhQxr9HTG+bVgHHvY/+kJARaK2Qbm1jWLHW
C04VzqIEww0vMomLxUvKAzIStBiScJdgAFwhR/OIuuJBVSSKcpeFe78sTYZuGvhLeJWktftk8hKw
uOSkOCiYpSTNjk3QQVcrVI6hPUgzabUcIxLJzA0r9AL9A+Vldty0WMf7qom2per9n03r52rRaeOO
zrfaXZYT/EFAEMLKZ9qFGGUg4uPXpavASZPy26Cb9hY1ZXBvvZLk8fxeAmTZOLBRDpXn8p3XjT+c
LsIsi0b8CjzUEXG5hLcYRGXaJQ9hZ4VQO0bTqUUWx64jUEct81B6ziVJIMX0irB8lW17DR1wXRGd
eO7UMPjRbA0fXjL9Sp7c1ai7xKkcmBoTCDu/guwZzjBXoxoMyxDnfGmijShnIHzt8Nw0v9uy3S1y
XZ48GapXZsgv0oNVJ2K5VBZNRSzlXlUeP9VUZqVHxdkhQ6q0T9+WqaWnPsYMGkFWLNFFnVdevfoT
HD4jS/cmpxBW3OpKpJziEtV46W7bRiXnVosGO94MLRoxm8IC3QUZoW5AYVaMwJDBXceY5tcRb+89
GhSEqvi5jYLyHIFMjOu5CD1NC0wYYCfVehgEx5CnotwxucQOtU38ZbmtNtjzVUWX0o5m0431dBKC
ou6szUY8Xrd+O4CDSINRBte6g5GYjP4KbR4BM1VF2KIEUoXj0vPURVP5WqqHti4Cc1raIDrawXOR
+dduWo0B2cULW9/qwNkS7lUf2URdc3bZsuZV2XuId0UCY6AIFuW8yL3p6vb4dUFIE2JD68FSNQBg
kxnkf4wBWex1dpuoRYgUdjn286Co/4O981qOHDu39BNBsTc8biZi0ltm0psbBFkswntgwzz9+VBS
t6p7Ri3pGMWcmHNTEdXVSTKZmcC//7XWtyrDv8sj32PiYNEkZxJJFngPjd14D0X1qkPQupiTezdJ
LvH5BKNCDaWJ5xkv4+gK6xAbwQ2nec6GVRXdNrsJPT9IDXnLXkw7S9HjlZDGAb6OgaRfP02o3NvQ
5TU3HDcDoNOxdary7OSKbBdi7wHDmj1kgcyPOSuylZ92mBBNs7j4SVderI68dCCznd48hNlQH5vE
xz8rgue+tcYbPqS3ijDIl8tBtGqCVZ6Df1KTZa3+OucUvbVHRf9xT/DcUn8TXXfIkdRXtp9ZK0KQ
FpjVAIOx6LZ8NWtR27DIutotH51eqPWkeSCOjMxcVnoao3ri9zNFKa7ch1qub/nw4A0MKbUTlxtb
sw9Oy7aRz1Wyaqtq2ECs8LdZ6oxriBvNhgcExyhsnGXcts6DrfwtpoYMu40VPwXThkS8fTAK+3vq
jdtsCIs7GUKqBVZIRg3y07JptGKVdmJc1Y6dAdBK1dkf1rZy7z1AYnlhW/eGxz6qDqL3NEzZAgZ5
fap8TC+duJilDHZjLe4zaQenngFpWb/UTmRtSqeTD34uuSD6GjtYWC0HgGbLltTEIlJksk3BLpuI
s7cOAlZHuCqgEaUZuzo/BqpC+mTDLh+lQeKI8yq4kYXrV84ynUr94g1hvpja0NiZGWlnnxzgoiIA
fsX2htZftzc//qb7lVzgvXS3TZ7HhyLy301LddjPBpvdRNjt+nAqtpgDjSX71fKu8soS1/gn3tD8
QrAwP6chRMpmsk6YL/gDmWk5EbjHURKoq47R6OombgtNyroGZncnnFreAOjoH/r4QQ+F/vjjL7lx
X3qafkkD/cFiPj6XVk5agUD+6+iUew4xipVdlG4bq/JvG2vMbv/YAYnGg8HxZ3e+Q3WxqRvsCFxL
J6o1RxN+sm5XSaga5WMgijC+4J5pxK0d297Cgde5NuOyPXpzGCKSOXiDLshW+TjwIQqBCXmZuzJ8
0W24pRSLpMottqpTzxoNz0poPGVxkLKUkM5yrAkENkVpsXkpfNaLtXFkIT0bNjb47h0Xt72TtGfO
J8W1HOILmSV1/vGHNiCG5QN2mh9/FfFHGQHhy3RHHf3AXTWqaXYFBIQjppxwX0dhdPQAUO/HPK4O
WfNmKW5XXWVjNRRdHm7MuH3JyHK1sZtd1fxH2PDengxJBBfRCStLmKQbw2CzScYQv7KdP6aqtY5u
CDohKhTGVt9+GrpaEmifFqyvk93EyEEcGf8qEFmFE5F5nq9jvhqOtwPJM0tw4oiFTy4Klwxzqor2
OR/IxBdJmt+U/aRYyhXDUkv84q5jQ7xy08HZ/HjnGdHVdVrtXAXDi+4P8ROSDPmNIQ0OrfE8YKy5
+/GHazKMkazRN8WxCNP0pvDb6pSE4ap1tOK+bGE6//H75/8wDTs2rmvTcWzwH5at2zPz++e3Tx45
hVBslrluoCbWUQFwzijWHyqZtNfObi0i6Tn+DMH/E8dtf8g8Lm66zpaqJGbDCxZvnGQoyUXE1jl0
y3rBRSW6jk6dw21SILXM2r9oBlHxLh04mjhiE/oY4Er54jVFt8pb7l8NcWmVJiWwIOKjHL5ZUkvj
GpIb+HNK9G9mrczfY8x5yuBVpMSrIT3L/P1TFpXbt2XV1sSrC8UW1S5WiTeuDFXoa1/CJcgHTI6N
zvFa+vDrnBzuQ+NHl5Z7M9wIjG+FqNtDhB+u9OzmGZ6RdigqkawC5ovXDnDKIlU3WZdgiB+J2bsF
jwtC+yas35Xw36a8bG+kXqNDVg020mK4GAyOz6HZiYNfZc9uIg4yQ8ogg+IfZYaDE9UqPrITeOZE
lN3/8bvg9/ElAPHEtF1wM/xWiOn9LuETlLoexor3smZA1QWs/N3OtK9IMudX0Dd4JXAHKCtgH2/I
6O+8BX/kh35zBeO7Gy4vBPZuQxpzQcjPb0Ez95o+ikCP+aP5nmrR22Cbe5XF3qqa4nCRSO2gI6nC
KEaEBUtjDu9m6oLhaLvm72S+/2+/CBYUUP0lZZnOTHb9+UfhMqjFBUhy7rT559BAFOZEl6jQQmjr
jnYo8HqbU0fuXv/zb+Ffll3+fxO6SySWKNzfjib/0i79G4jSnx/0l3Cy8ycaMSya/QgSS3BJDgb/
X2G7NoUA1GkBQ3IR5Oc+gr9ClHhP8Si4RgJnzxzI41IydyIAUeIzzMPmxPMc7rf/mXSy+yO7+pt3
rwCRxoWTqLPNz+L9Lrk5JNY0APonfCJGugdYooGu/pB1AwgERSrMk80Y91/KYulqxP7Bicpdl/mL
0pHIjj7RnPA1Fvn53+3c5at7FABwRv0vdO5mGUhGE+cuKebfOncNrwWRbub/Uedunm0GwZH9P8W5
K4vQ2AS18c87d33Z3Q+69um7YbI0GmwAUFtGgFLcsDGqbIo09IB0yPNUi6PffOAqLh9aPfis4rbZ
mrBx11EC5MhroxUDIUTljE1LVrorK/TafYqj1cwduUgyFiZInNPS6b2dykxFSEc7xFb6romhXwMN
yjiWBQbnCHakxlrTq2ClAKUuXNhECy8aJyIq1q1hzJYNgS445F/R5FXbMSzUqgmdD4KR3JIMqEnC
ZwGQ1w2m6ksR3gkfZwUn4ImlevlV2RbBB2W3Z30K6GFwxc6NelCDZGHwTtjl0ii7W4u41doPhhG6
bzxjvKyDPjSPus6wr+ffXAVZ0JQ68CTBbyARy4Lbl0gJ5vema2+mwX0q5QjKfww+8YNfAxivV0fW
F6NO/U1k2OW2B99idnVIkKC3VrKKHsyaPokuRv2OTeebRmYP6665QAUUvczWIkdAJahl97gcKsf7
0hndRjedbjOtu08rgGFD8WknWrQapPXm6+ZbB7u1MDDmCpOzhQh5dkHHiOe73/xJ/5xqtMGyBZLj
GW/zx3qZ4bVZihDcKkFOschYfdmDdWybAlJMMz5K3Mie2UOVCYjgmXp/Cxjho5kw2sRGfKCkfN21
5l3LIhc6NNppNlM2m5NmBRHCoN0zJOEz6YvhcRjHPRl0sTYgYJ48FonL3OEF112XVg0Sky2qsW9+
tX1604hcw3PhPI862OAh0uJTPvI9hwDamVc6j7qKfJ7akCxjIFw1PrFdIMNs18MgR0P25wACNjZd
r+TWB2W69PIV3ogEb/XYgSx1+21piNu0lezDfevBi0oiBWCDV7Wmecuqr89NgBkhSMWmjvI1DmBz
GRY0VmAMU7CdsWqWkXqWk4s5pC3wHc3WYbPBeyfyGRKWuTmPrAOgsqQd3CHF+t12L5Cphj1x1EcJ
aGRfDfO+2+eo0AWXuGMxProRjqEkuymCEnc62aHWwscDk4g5DjibLxrGFsBbywidZaUMjpTh9OKU
UKe1cnwljvkUucZ5EKjy0qVcwVfRmcmLT05FGIu13aiRoiNw+tbX+bfaXOKpasneEpUqW3dh41X+
AaPgzDF918ge7Tub3A5tmz7+aCtl4AvkwQyL5z53t51f24exrS18fwgKwJ13Q8RSvm6nz6gRj1z0
vJOW+lgE0K4N1jOc9O0m/yZAWywlBo48SB16O7qzVxZX5YWf5qA8xjTenYIdc5LHwabSvJgpleO0
CaMcDulZVSSUcCEeYJBaK2s+BucVe0KW3DdqIM+oGlewFcMTZHqffZS8y2JCyJBPruZ/jP10zAGh
LZ0wuph52l2x7+grD5QdUihEI1VExS6txBfaSr1oHA4ppS2rpZFAlhsjFotpdldbVX0Kt74p7prm
9UvHvlVV8p17eYsuNpOFMYGuteClzUn9MGNjIQlCPpLNpB8ml9m563dWfAncYG87Y0/Uc8AvHutc
XSiEsJmOcZ51b1WWg3KXezMxznXRbKK86N87Q1B5wvgdR19NGibnYKZicOA9xaBJFyCbl2PV4VFM
uB5zOcoIgIuLGxUGawVhc+GlaAMGxb6qulX1iW3ixrbwKnRGgashQRQ0i2hTZ36/q9lvdIHnr8j8
KowRxl7ZXXaouaB5OEDWQyLRc2E7rmGOTYvOs+KFn9+x9yhWZqLvfb+Llzag4kMW5YsbWYzWYVJ9
ROAZpl2QDCMUVkwmtezu0iD55uq89mFm/rhQk34T2VM6ZvswikiG2VvpVtr9MPj+zgqgdTVpeQQt
/8XFreJCb+yoOJHLuiqdfRk6j6EulnXt7RN/TNdWXkW0eMibvoYjn31BDgvxwHr9seKjnblFtEjj
jnKSbFrySk9X6d4nbfymFUTFq7Gu7pumuQSpuiZeQhoZucIfo+DiDGwXAhQy8jkci6DCrdIpqVbo
JuD/nb49i5jtYteyskq9z7EK5APJ0YBV7gSF49Wt2kXjhXKbZcalMQ1gjCyA6zT1jimB7m1RuG+F
mJd1iPZ6Qqx4PNR6sBisac3Cr5XxsW5kvUEwcXdW/93hJH/QWg6xHvFkA5xtjHq30RxzWA1QXAN3
ilbN4HPEk068H6ZrV2T6rq4x6MrhlmF0i7ZTLtsse0oCaOjsLdHHNJScQkh6S/qcWKZvbQAEznzb
XTYOOHkm476SKn7k3PeiuYCBHTHVV1kA7S1lyN3Mk+EKxqB16XvDXjpZtNZqeLUlbDzwNwBk7CrZ
y3qQ68gcAEkUGsxf2lU6VC1rqFYuF76dAH7TlhLcfrNpayc5WD2JRBm82Nq7XuKDyiojuyRFp47C
mU7JmGE8tQ5R3X93w+g2bRggbHviXZ+q4zAMgFec6ZvSsCznTqDwAnJxF9DPCGp1ybvQ1V7FAIIT
IrCe+UQeCw62deN75WmIx1Otfxqx8WHzFjedYC0qgS4x2SfHniT3zpSESOSfLQygtpd8BSRrZof2
uu2PZcSaDv7+sLBEe9+O+hbdge6flutzmvXftHZLr9MHT+CaUzpwlFSmLAIKCWqqb1hR5iOfEve7
xrktoMEisQAslpUD/sEO92HvNGcX2ABat9q28QgCPcoOQNOMvZVHn2oMqSb4TMZwCXUZTmi4G1V1
cbn2PVrF+BF0/ufEKmuqoose5dHsL4AAPW0gO8TLKjCvwjGPJaavNWzMsbvSTuZf0qZfOROXlwDr
INsiAR95yvipJ9D9kCmhNE/lg2ZkdDDIWlu2XhktLOieVhq0G8iGXOgiLowBy96DwAY+2GV9UzVY
86U9LlWNp5R9g9gL4X5x72s2mRMto4vGqwv1z36TflJjtHfpJqpfOO8Qjwu1dcU1GT9bTEA0jqkr
YH/P++vFVNWXSIitydaYaBhjBvFZA+R5/k0NDxVuzTGVLNVRYEH9iV2UMGu0eXdoex9TwzDsBiqk
EJFbPpRVsdR8AmteH59jNp3rSreirZ6Nj/qEfz1qy4fIcdZljqrtsHsATOPRnzZhAvXJSyWzzVx+
6eO4G2z5rnz/dr6/YP64t32fO4+BV93UMrXh+nc1Mr/Y5xq+tMGHyGj4Kbd/78BleWGlZnRjDCRt
3ZSxMdUJE3ov3mg/DmbVL+JKHYo2o1YiJ4lsgWJZmYPzvXYH4+yFuL1LcN81xvQt9uO9X2T1RXOs
2VbcL3MzZ9DGx3yOreJZVSD3DK2+AT1QHaE0vkgRAm+3kuD049j8L1sf/FzZ87/+exX7eM588P/b
O4ZF/R68/4xLmzsUfzzm1xWDC7nLBGL2F6oyC6hfVwwsFoQlpIWxzbOx3v26YpgrO6lUFUxYUFws
Q7Ir+suKgX9i9zAvGIQ7t3aKf2rFYP5YIfy8YrBZfvADm6ZHQyjf7HdbKdbxo+WKEj9l4D2aoJFo
GduKintD095hRvePxTjlW1b3X6HMlxJteOuMzypwqDXR1l0VC3hbxR41ICBCKY9OpcimDO+4gJol
wP+nMWJOcgtaK6Lyamu9OI91eQWs9KWSEDFRVOuoK49C5RxXIANrvptsIna4rQFbMJbunQRIsMmU
TyGIxx13MrLlQP3NWk/0S9FBd0nPVALqNzV63TKtK2vZcreqJwo5ohL9qCguwEeqjecEmP6zeDcC
Ia7KoFkl0R5j7geHy2M9xMywg0FhDBdFiepygaX5kRt29pqNBwQ0KMBxnwL+xPunm3QhaDrsZiPI
tzp2mYxbqebUVAradnbB6xUTneRmVPiULOjtNjMXPrb8ouOaZdNmsza1EI1S1Musca01bOYqr5rV
2JjXqg2vpkQh7G24r7UwbzQ1vTbj+GiqiGCV5HTnKWsfd5F2qe/Nsb0UtSCUOr10rC3tACoH91nA
0an3XnU0vSX9987nrkVCvVrQDfdJIvIUzVt020Ufs/MNweSvqRKfKRn7qW23NWjbfRdHJ0L061CZ
gFzVcLaJg5Ccva851edNVays0gHfWwPT9n19Sf5KFXcpZSsLx5Vkjllb4PBa99zzOUJRXwM8QFrR
4xhsjNwb1wxg0yLpZQoiZUAWgnBv9fv/DBdrSY/mXPCYl94z/Ry7amYSd/5dUFAF6U9htiUYe+iN
2DuYhbij+AEexBxSsYnqRJn5lsTeTaEHybkoWyoRw2HXKuTNgEI9hId4VyW1hQOCa/NcVxnTWwnZ
mA4fdzN5bXmro0ybRJyPwGC/mi6tT1FeZus+AqtQ6g/6tyFLg11lMTCZTZthMMQ5Q+fKa+YMR29K
rAVxLpIa52ou23Qa8RLE+qfmcLBIuGduCIGvHMjRKZrwmXP5cDXrEJlLI0sGgMdUKU/Mt1+queqz
6Ydua9rJMnIyBsWBPg5IAJtqPk/qc1momGtDFf2hai4STQIo423jLIo4hZ49+pQgjWt9rh9N6CGN
5kJSe64mJdpUwveG9tvTW6pN7UNqUmRa0Gga0Ww6eqXOcoWyU47c1lIE2WevwASaNKKONKM2NKTO
rnLsUXVhlqsug1iKIpKu6xonWUE7TRGWO/w2aq5dZQETMKhW330+PSRBoO5Q2onniv6EsfcJ7+R8
xOVipmN5Hbw0+czRbN1RZWUjKk/dWx6DD1gJaD41sN/EO3jBXoQfTlAtNdhUsgZC17csGfYJhnuV
dnis6lVpPmfI8hVLmbB/nRK6FbSQpqnXZv5erI/ir6LZRhpNSjiFdKrBjrTtcIi9j0rORNziRVHx
nmM90zx3YuPYV70+THCKK+3Vbp8t+MD8cIFnLPTdaF8qGAmZGHk+6Jo8Kp8vytZHmNCFpdsbjwuN
p8f0Nn7DTrDlN0v1abisKUUZymYtfPh1aby1PwqBUlm+NYmzamObGhhvi+VgNbxzTVuRaW0EvUwJ
zJXuBi7KzpjcLSinBeCpRQrrYFIATtjMugGecVqqTM2h9cdbVNGmc85l1uzMbnSW0DmGBzNN4qNh
AGtrEOt3kRsTjHUVySu97ck9lISs+vxJGGl8aVyawWotv0a+loDvnnZJkEqWHgbQjeBzLAne4YQ1
6Xcxym2AMe7eMaYX6nUbjuFRuHajWz6F3qGa+ELDYMbr1GYUa/PcWzpOFC0K3b0KGl/QY32m+zTp
2C3YR7sK8wtEGX6bBRuTkaXjwpXGkx65mEALETKzlSQmHPTogCl0lTlGfAYKiBEL4c5l1qbSqdjX
pY3xq/DuQqPZQG1xlmHnvjlo1c1oNvsxaZ8wHGxNs6kXppE/1HmADkfOYw201ljQNndj5ONBOMnH
GI/YHet4FdSIoVLBhRE0cbISWuShd1PWNtfsKN+XRQ8/op9tSdr0bmAm3Gc2bE9S6sUyM/E7SzE8
NVVDI2kQBbCv8n7n4+Xc+r16NlRlwntP+2Vkkl6rQvOGHjZcP6H3YPLpH5hSFtJhFe0iti97ztTc
sSYIQQnXaRFIpk54QqTrY+AFxEPUOStbsHcZ+GuQxWvLSevlgN1MK4d9nPeQeWdD1P+Mof9YX4jJ
eYW57G+Pof9bfY/q4rdz6F8e9GtfCOOiO3dHknezdJjNP82hlCJSJeJRfW1DB52/1S8gXvknQROl
++dHoETBovtlDhXQex2GXcZXB/Qqldq/VGz+hUn6R/Xf5vz9f2M1sR0UOGC/jMLggMUP4vRPXgHK
ky06XrN6IYJb+PzpMRLDnW5r4a4rOQCORb3ijFdsZAAe3YzgNdm1sYXwaeJFctiCWFBpilrz1m5R
c54L/XFVzbU5E3bOHd7vTScrf21gCVlg5SmXrOmmxdtDinS9iNxw12bDe0vd09oMnTviXRTuELAi
NtZTBDSRtaOJOSAC27rLeuI+SYTANiuXOx+izUDaYOZSyLC7VhmEXUfPbmsPAkZGO5awuu95pXHd
GQrjthdbdxSkd1OWd3atAJAHzQ67MC2/ihaHkTWPIanMaGWPJMBOVAfYyKe/famJ0KWdpE2sdE9A
ciDQGfwI3cDiKDYMlnPcfeK932AMy+k2WySKLzQEwV2srC/cmiv6j7Y+99q10CnSxvPyLZlFGHPg
f+7YbZctwPkEx2YmgBz6WGPWYyT3gad5Rz0Z7nqA+kFku/smYaQlw+VVqD+OLo9k/Nwte4FgZdEp
LlPfXCrVF5t6YPIdagpC+7L4QFVqNwWxXRJdsc+N4uQmzTWyfIOEJP79AZM00ECnJUA8J8q0tVcS
d5qm4BtZAA+URw0UKrjNBMGBqsySBe5KbtOKjlDPX1sA42GeP2UNxA+3GONtgiX36CIwYfABadp0
eLdCXNAszIdPrGvWLZWQ7TKOUv3kNU72UAubl8YBVtsG+bquBu4AylqN9twBQvPe5CTHuNyJQQvg
gwhv6zQ1k3bTB3s5kveTGF0E0CqZgdth0cTmnvxdd6gNGUKtmcSiakBq9VlzE7T+JouFs6sU6eop
1k9YHot1F3A5TtpMLQrCmYvEZkoDSv9CFAxtr4npN+CWQighfbYKfeGNA9l7VXH378atgbcoUvqJ
iz9uNOYW+BXjOaTcKdCSdg9L+a1sam7+mfHYT+VXry7mWH2xd07WIkm+sxfdp6TSt31fcbv1ZwMU
6LGyfi/ibuON7UeqIK3HORBTPQHTO45nj8BmlJpHN+vOWt89R2kLuIrTl92M4XE2/GbuoM/mChpx
2IwRdRa3kUhPo6zvWLxeOFqggIru7Gr61gU4jFoCi1S4O9L++4w+1zWBhxfLHt/dVn3YXROdVPst
1yZynUNVHcDw7tqxKJdWKql1C3xnYVn6uJosyq7aMtwEySg2QVhTCkixZMZLdkpKmaIIYITERxXv
qMFe5CDJlzJX3Mj89KAcBrGm4B2FYf6usrgpq9y5oUKEWZ+QvpHkdwOnHhf68rqJvQnr7vTVS2II
yWDKLWCHZNF61ks3Q13A8lCordm3esUVTMX5g2d8mAWCGbvVe2GF7y1HJCzDdcOLow6DR0VRQVLZ
lIykMbAHipNOgQEyz6ZW1uyDYzdgSGOtuU5Fsva6GIoSlc+S/xiK/D4RWMl5a6f5wVXFlx/xb0pz
CeKqM6mKzRB7915pI1HRVBFPzqNXKDpEg4CS96rhENYwpRnW0rIhBNGme1R2vG/VXT+mHo3zPjyO
OadtILQ4zoZSY9TYsmPpbiSg0oYEWjLOmswgTYCttI6qZ5Ydq8GiEUAvrF1saLT40qvYehonlVpf
VoOkvHbyEAkfgzRwgK445trurJNv1/o6Hxnk+7g7Ep5Q+Jrie1fk8VKVR3hc8b2Qs6rHzqH12Ek6
eUY2yPl0at/d6k33Zvro4/xkaao4txT6B0hYhL3K8vDWYgJKoJ7kcoDonESkVppz3xgkMqzgm+f2
s/CgSwpkkv5UIljd19K576e4fCuNnOGyR3xs64FRrGNNynperaOMeFiIz3BhyLSDhzZ0SMozJTCq
2D/k/UmHJwNyYpBbPS3RBzkJtrFRHW2z7XHM4eDoxmzFL7nZpCWCPPPvhQsXRDBWv9xt4KyI0ASf
BbaL91B/tcchPXOF4Tuu+s7L7rm8cbi0DdzZ/Uk4ZJP9wHolKFC8WU+QEKYb18yP5JXBoFqhPFhG
vBzSvt4Nk1EeyeISckf/Yxhm60DojvIYy4HrUsUnEMoUxEWc7/9nyPsHh7yZgf1HQ97ie/y7VSMr
xfkhv1YteAaZKsrdCEHT7+bhS/rrqlE69twZzsIRTP5sdPrFzeT+CVK0EAJ/72ySM/EY/eJmcvgn
ZjI8Uo6OFfifqw6nkOV3Ix44VeEaTIqWjoPjR6vDzwa4cXI7A6tbir+jv4mi+JPxglnGlwe359MK
5O1ah4ZYjLR/wUvV2CH1B4NdAzC8z6Kx33WdWgL7ewLlcBPD/CRbXl07jxOMm4RnynnPc3S96Wx8
HYF2kCWTRxqzd1N2tLJJpO9UeKfHHscgfdjghAE6CoaQULeY1jTkYAIWqb1ic0XfdMoV33iWPtG1
kPToKqRTO9tOYd0ceZ4EMoX8SBPw/h5mfiLhBPQdlHOXGWKtp+MCMAIlzHXU467Ekl75PCHg+7uw
gMpnYcPtRfkeV2n0bInvZQBUVvU6qAPuBTFrA+IHBfzNBOK7hWTgW1RGpnRfUdS5D+JMYH+hMAxD
LA79zVBEahul2U0W0m/HsO6gmoQsJz3mHiuhejaNvDfOv9ySBwIg4KJLgasAYOwFhPyFaIO2AM9H
gcPMGbJNtTbVqpKpPOZlw9ruH2aj9jbisUnEAiHz77FRJaVx6DP/YjZqZE2Q0n1jJyLWeY0393z/
92Wjoh9r217pl/8KNqoxs1HN/5/YqIU3jYfoETITVjrLfu0kwMyc3XwXkdv7AzZqgsuyDF8bPJft
DJnNqKg0jHxHGdthElRP22X7pYuAxBOMlxCpN8PJ2eLobAhOLLtZtdNn/Q5zwss4K3r6rO31iHwJ
Yl8xq37FrP8FQTCgz7J2nrXBEJGwmdVCMeuGPgJiMyuJFpKiPWuL06wylrPemCA8jrMC6SNFFkiS
djbLjQwkMcpmixf5pvL4izzUJsKI1BQnEpf/Ukd6wYxYXIMmIGYOO35RCbta6sM9dW31pkMq7ZFM
9Qx4qjt+kZg3ZkXVS/EhTb6DA4MmQVLwjKoG1TMiKB84/68yXz1GxhhtlepwSljhua5pbtJp4aQ7
EIiuZ/lLOXBKpY0YEKjfHqrMueizElywEaiKHs41jpZ+eCD0/a2btWPSPit9VpOTtNXYA+ZfZmyw
A0dxzvMIHJGvVqMvvYU9Oj7BOPOuRKhuEaz1Wbm2e4OMMVp2fMkZIs1Z4ZZI3d6sefez+q0z3xH6
pjR3VsYlEnk4a+XhrJpHHfp5O1n4IgSA/Vlb72aVPTDR2/s2f4Dlywp51uK1H6p8ij7f6/gM3Vmz
58y6YsXtUy9zzYtdNWv70yzyz2L/rPoL5H8g6fNCMFoIjAECgwDy9yetyx/9IzbFaCouDVYCDUsB
DYtL/7OffQY2hgN3dh5EWBC62YtAFqXbNn29ZnvZnMM22FN+rK3wQlO7YdHrSX47ba3v6exywDfC
KIvxgSo2NIHZC4Eh6FpijnCyLQvzb93smWgIPC9DnCFMkPcw8fEMaPaE4n4Us+OiEAmr0eiLxvp9
ULrnsgKsY6S9ZOlonuTs2yBLEqyho/OafWjZZ9r2p6woThO9YDb8f5QBOgBHUa96jexT6sbl3lGc
tScjRter62PSqmSZTH19MAY6MUhIlnXd75XFRJBOmYeyXsFwpVekdyXBLPE49ZRCe753Dhgf6Bgd
b/oWqgANeh9FaqtlAYxs49e32lhd7AJvpZxXMR2CHTHGt2SYvVkE5kCekcwepb83TTjpXWpj7oyR
11w6ozlDjsa2ld7V6MpzNbJaQml4zcNMbjnq+qG5MltvQ43D3H2gXWPduuglhsDaDG+8gtGoKqN9
1sa3Q5jxKw7B/LUtFCEDESCLj5vKoKi+NSe2ttP0Vk7lczBY6CU2IwD1J+mazvNY14Y1HBpKjSpe
wC9Z8KakM0ZbaLWDybpKn0ofQC6Bz6PbTzn8iO4ld1uKb9vSX5P/jUM8jSMdQ8eoa1g/kKtnSzGl
a5FW9CxE1p6DcE8dpEFVdZyszICpqcurGDzeuEn1WDuoLMIYUbRbDtpbSOdiOyAy+ivAhWIVNRrM
VrIXeUENJD2kp7yc3pu0p70vdADx1N7WKM2PjI00KeyWsUek5UWmE2UWfMwyN+HT0FM+CPinCwFT
4DRZZUBszmbxZsZTfGB1ARAkuhb+GOBOSl/LbHxS7sheKVRYXh1VHtC8y0NcU2JAQwwff8+8TVVw
cEqefdYHAn/KwMF6Cre9jVdQKPXk60Q2RDTeYxLLiL6zNiipqiOYqm7g/V6kk7F4aGS/Drk4t5H4
SAyI9IVPIjxseohMRb8El2uQLoNB4KnceImC75mXwjrSYv3MjmxdwCggzj2ow9TuUjXSVMvKbRUO
wQrXSn3pR23kk8NOED7DQsbyrWlhJxBzqZHVwfqVSGhloZf7ofRPI/HsvaHURNrUZvnf6hcEqg0S
3wFrzs00aA+y/JAOREeveZFadlKT9t1uNRxTastQvuBMOrMIi2usADyl3sPU+MRqi1VEhC6AYcR8
/sNdZav8DazkvuB33pv6Ts1sEfJ0+JovNfurUqRvRd/TSANrEfcO52Al7Zs8MgkiD09Z9m/sncly
5Ea6pd+l95ABDsABLHoTiDkYZHBIThsYkwPmecYL9YP0i/XnWZKqpL63Suq+ZtVtpoW0yEwyIyMI
93845zvTOUSfmuv5RYr0qhPO8d7KzVsv5RxyiOosgk3u2tcd80OcPNpxMor7LIK0YKdX2WRvAwsH
45y4fhcfoyHd5DZ2t9k92hLIfGGspCzJ19SQGtyY4SHrPYAL3Xqeig1eVFCo2nZI5Vbgbib01to1
VfMslvJemapzubOa8j7X0g8kfqiI8pPp8TmV7Oma+GNJxUOWD+c5QTkxqys0gCpRWHsaoatew2fa
IbQP2k1Rlpeg7c+D0VxLmFYTIFVyzPZjQ00vBdAwEoSqdt31AKxGPL2xuR6G/WwxGOuZR5e7kfjQ
kTg62NbrumGyNY6gXMNrCHAPWJCvcda9ml23HrTh3P389rJOJYvl1CXNMzqTbc5JUZveQ2EFRzUk
+vFfOKynnoEOvz/2BULG/NXS0IYSykDnsEtk96jrxmYpsoL42WHbjIzLEh4zegDE9qW3NUtY7Z7p
NhuTraR51bvFAyid9TKE917qXGlt8q6nlAcEEZBTTFop6D0GGcMHOo8O4kOVJ9+6hASjmuRU3+LJ
pMu4M5P3ImkZ1Y7vScYxJR3HWVlDopD+pGBZHfvVbqhuvAvBDw2kHjJ/hzl/b6eOhOGb5FJ6zga6
zvTMitdIbLlqnADh7lgRndPucGaIzSi6GsD6rjdC8eRyzOteY99PbnHLeQ88U0zfcgLPNik8TZSw
66gRDHsj9733am3HUXrN0NlayUX/PMd9/NFCRfAbPOVZgNx/rvFQo6IzieYuKcxwYDMZPZvjlx1G
X/1QfeZ94zdDxMOWoQZNtXtsaTOtHRM0Wxf7CqVAhyO7NJNs27tyZ0NVQWGi1vsDSm5B/2uMLCD7
4GUekQO7xgKnUi0YXGFc+Nv5SvJjY3PYT0V5gKdK72qMYtWBW/Dzzrm44B/YE8p7t4XXARCiAYGs
7XKUFNWkZAAivsu16t0zpqesbk5zLfr7MdLeWeFsHIwMTP21F61pH9lL9euyY3SZtlWxbudG31fO
1ahO2gKp57HVxlcCpZlRp88WbtANxBMLOQ9ujSrTbqY0W/01a/ojsyaDYY8LD+qfDpuUsK34n//j
NxOnv3/hryMn6IbK6yb/t3RP5yfWeYL9IKGfzJeE/Rt1m+fyG8yibAuZm2Dh+MtWkYUjSTto5hhj
mdgkrT+zVWQN+buREy/LcngBNko5YTH64vf/YasYmdyzFg/bCvM+lWWgndjbhz7AO7FOSnOveUax
/oEgzrHacG79v4QgtqaWSh22z+7/HEGMvGsg14F09P8rBLHTM+OShQt5/9+CIDaF8RYBhGD/ysLk
vxBBHIS0SQMmxz+DIEa7Ox48K/nXCGIwVeXaYLp2/C9HEJs4yVGEE2DPkPjfhCCec3ldYwT8DYI4
Gu3q5E6Ysv4FghiWonHqbbwg/xJBzArp1FbTf4wgtiQEHmR1/zYEcWsv0s+M+P9TBHGQ7Li1/0ME
sUX1utG0P4MgDsv05ACX+XciiAmkGdhZ239HEJdDSaYTPsk/hCDWX5hi/zkE8aJPQLXD+g8hiPFq
bzMrh0UUV+V1XxTnySYjIrOrT4HQK5v05FBrw4duT2cbnw9xbTfuGBxaiy3AlF/SrKbXT4OLUWHu
gTMGGLgw+22Q6rjYLgFw/lWa2WeDTJpswKlWRx9A7ct1WMqLU5Qb/rbL3OaGP4QYA+eUYDEZO6TI
RdFtP4TfJ9lv6MA3zIPSdYwPfWWFleZr0q42iVb5o+H1FxscyV40RH71IaIExiq48eaMNMIRPLtd
++w2ldHEjbYCJC1hKrC9FzS5VbjsMmTAPq8AaTPzNmM2v8N7eu5jd+c6Ax4bBBF1ZDwkcXXNnKA9
elSrXopO+4qddY9PQhtWEVoQz+DLs3ZOd0kWXjmN3R5NYd9NNEwLV/pISQ4YCC0oLXRcKgVuCzAv
1r/KHpA3ac/2Qdb2Qz9eSABo1mAB0TV4zV1Cpq6RJe+9xRhvgWaJ8bIloJQFcxBopEKEIUJsbzt2
442JPL1OCLTLw+Ypz4Tl0++ul6zYe0Bi8IEa1cYJs9OoO8hQ2mg5dZ4Ht8wR0JL058QBBl44s7m1
mrlic8yAKXC38UPByb6boDVPqfZoh9aBsUV7wODXr/FLO1kPjZR9Daq/hhnfkK1mcx0VI5DvwMH+
w9u46MmuEHjU2gk5j0XI80qv4m8D6QjRCMG9duQWj3ixLbUmOQZecIZFkG7iNkV8E8t6M1fhaRpv
9TSodnPQkMyIaTIgfQs6CYgllgM7gww23pyROFzNa9bJoYgJv9QIDDNkejHH7q1c+neG4g135vBt
7syJhZXGJNHLwRqm9f0SfOZOC1CZFADlpCUufj4CRN0PqNP2iaPHqyqn+UY5Mkcw0DWXX5Ejgk07
n58TWPobz8v7KyQ2fgSMTHa977E5CyeIMmOOaXKIYTfl+sbukpeqgxU10T5akgDhjp8hPuKt3gXp
btLNSxKWJ3hkLxPKMq9rN/Os68iiECsQrPWOsnWlUT4ysevF2mCD75nX8VyJ+zlhHCrr6YqYM8aj
27B0wcamIfbwdmTAMDnVGtbeJjZCHmRoTm3mHAhW/PyrqfkjTY3jCuYM/3SB/hi3n/1vRZI/f82v
Zh3QHVgyUR8ibZQ/eBy/btBNmhUd/ZqNVUYYKnX37yJJoSNcpG2xWLL/TiTJYcNK/lcB5Z9qZ3Qa
o9+JJKGVILdEu+TQ2rCQ/007g8LQ0XsTyflcpN42RS4TDhj9JkeHohsb/SpsECq2FkP1VkE1Pfaw
AGdGvOg3aOsJbXLFttf061KrrtHGP3lciC4CqBQtTF0tZAdyi9nxcIRb9d550adu9e/d0iNFG6PX
6crujxF0TxEkV3kFEUCb2Gh4DKZgE60GoNjvFpHbZosXKNZq9NpOBp3U1c5LjLWxDu0Rvu3NCI6f
E9shry6s2GI/O0pmLxt47Hk5IzCf5G1YEHCMILCLBp51N6sfwuim7gvYD1Y9b2oQ70W0MWU5bkwN
BRFUrBdwBgWww7Up6VbYfAEYrTyVpx2sCBISUN1MvJCV9oooXT9MqQenAORUaayCBlmkHBCaJ3sj
TVMkZMV1EA0SgNTUrw1dSg7OKvKX1roTA0MM5KlKf9OsEhtYRE6f6Rd6YWDJbm6X8Qm2XX+yPHPn
Gs6DKTDkaOSyrx03+mrLJ1eAripVikMpWbh5CxruiLWXxpogl5NfNtHdUJk+GT4ql41pPMJsJPee
wDWrrOWCuLpmaHcTCnl9iUjlY2ppLZZzlDEX46w+dFyQm6Amm9nGFmm3HREooDIJicq+em1x2H8j
LvOYXg0GZoM+nBnSZ85l6OFzfoU2i6Ao2Yk5rA7gRdf5mMZbvglWYSc4N4jTOKpxbDrJpbUQfaJ3
KjZur72Gk/No0ZJv5wzpKssOQoey9pInfGloAKDQx+rVHY0XjlQBxhLWlSiPhCqNHa7MNDo1Hpk1
bo7PN9KwIoD8Q3qJWOtRaoa+nfLopq+tZc/RCyjM4ec+fU+0fLwZa+tQEBvvDsBM9OJRO4T59Gxn
k/vuRTDWtDm4lm3a8q4Oh6hsL4QqBocYhwKuau+QuAj0J0GWTYjGcB8uzEKDLQoK5Fqt5xLnh6Q/
Nl2ADfU1wdQHLNMLkTrFZ5Y1Bks5mJjmqGH6kePK8pjKMYxjk1m327pOTsuYy0tp6tdpZ5KWCkMR
oj8+90ja5jZyl52IMe9bWlasvRDBWAXj7ErgyMLNPFIptcCMG6NaS4uV02j3xmo04G+YKc+IwT4y
X7A0SFxhmFNmdxMZZnuE/Y3qK2OHoWo8p1jZU3fGh/isWS0SNvfao+IxMeupqNFdCYkDFg2blDJw
HkgsjO5qkQ5XMIjeEk9/qbLWACJs8iq50wV3e4jNHbChvjZ3vbr6677t/coaCj9QhUFNhaCpUiGj
ZlhU8WD8KCPG24WqIkwoLxJVaDiq5OAhPVeqCIGMcM9zVWzDvOCnPFQeDWCvRol5Lmims0hQHvep
2FCbEFrehL04CwKNWgs0BJxiiMmnBrLtoa7SBykSYH7kOGxJMQWLEGTx2bSfgyF/rIWgLk5fYnOU
fizE+1wAlg275DltaEnBKr+O9UDqzmJttDR8CuuHwcBlhDgnp5ao803LuUfC07SKleNqzDR5RWnG
6mVeNlYKQsWZ55vJDBFCF9FT4lbfQ9iJXtjnflYFz3b6FLksarUSSFzfUdGDtgOjHWjhNbuS6eS2
SFOMBxkNHurvZd6BqQT0iUsyQ+5YUpZYXjFuWORfyXG5SdgygXnPDmVJ+qFb4EfqNXDD7Fw4raye
XQd1amkQUbo40O4FMGEHysBcOeE2WkJUWBhlsJUMWLnxe+UDXUE+svIN+qHZAbDvy8wvOpgNuZTH
LoKIXOfmuKqyxNssOtKGNgazMnbNlm11NpooDiIqW2PcwS9yuXiabx6kKpS2JedqRpnUDBtyR15H
TfvuslwClF9+Jk33wo63lglnZJcjJO49EMftViBCZoOycIyEt2HV+KnSKQOUP7ht9NkpBXNpF1/D
cEM2+RcirW+kNhHdh+RZC9A+h4igE8TQrlJFe0ofHSGUFgim0a2SkB3htZramXUcSTyyeOrDDqCA
iY6be4OpUzU/u5qHvGkcUGU7yLsArXKwL1pBs6RfVUrF3Wets9faYDsg8KazyNa1O/CHGONvO009
kzYNSb5BRMn3VUrxEcm4PpNWioJcs8m3sVOcWmzgwj1oB6H05iilZn+SnFyVvTan4VwtMt90KYjX
wbb9QOnWU6Vg71yXK3NO7NsWeXusdO6dUrwbSvue4sEl7ixrTo5SxgMLiA5m8GgpzXyKnleK2m9t
audK6eqD0oX7aVyEBMvR2uhkCTL/XtU46ej0WCUXKx2Zfota3zwaQlcaYWmiHGgvkQsNG+5RmZF6
7blztw1F9j2TluTlxtbK0apyi5qNxEKsAovyDJgN7oEC8idY8ogBX+I3POZahNNgwHJgYD2wJuGd
ZvTgnnIlZMqf8IMtXWJZ6LAumMrDkCg3A0bA9zTAsZl39FM5emxrttcpFgi6tju94NgAtVWtRGh2
vCF7XXyPlXuiUz6KSTkqtII9qqFcFil2C3RzV643PBvKh5EpR0atvBkCb8WPZUqCbWNR/o2+sRry
hyGiKm9Hmo4ICLodMeni1lHW6jYidYQf6SGM4G2J9HbWCArUMY04mEdGTCTMsECAKV9Jrxwm9fIl
ksr1S5ddus6lsVpmgN9NGiykhKplT2DdRSkL+kjv3yJsLKnys9xfN5LbRIuw7SUxPBpAYkSwhgfR
1OhIonCGTsNA/Ecuuvm5BIKN7DiUMMXJgJ2MiQMBpBg41CYBEp/BCdXcwP+rU/ljnQrthfinnYpf
xvn35je7F8ACf/uqX3sVxxRqRWKDCXD5UOkFfu1VPLoY6Un9b62Kg2vrl15F/wmkgGlRddpA9H9o
cH9R+3o/eQK7o8v3RfBq2H8KLCCF6kV+CxbAagZ00wJhSHOmXsQ/rl48SDxGrGs8ZQ5WyqLMHyeh
QYyREoNMVeIvvvXa9jPwHBbxwW0ydoe0TiiIen4YF3daaykxfXpbfwEtvWsZbyGOOfRF+t54wcl0
i7uxT0hmJnZ+bN21E9557Y0kSxghyBatA9t5UEIl3J1MvyZn+cg05UXDG9FznsWT+W0y3Te5FOtm
gBGjS+jDAWFv0xIzC8uzLeOTewl0vk1NhfmwqLUwY+Y5PHgP27FVGu2aUInbBJvQlfVq4wnyNE56
hRQGRTKRLDXgScYWuiKi+LO0jFcJvoiZiTvBbHcGTN0MjMsEMI8bzAcr1t9Q0qyczvzo0/pbQ8rI
VtDipfrwHHY2TjN6ka1FWl+HD8h2a5J5WQG73xICP6ZuU9fVt9Ar74hpWQ8ckwaVVVnihgkMwrmh
3oOlIan6YBs2nuUo8Ntg3HhW3YEC7Nmp2zQfEVnogf7euBdrLGc/ybN8mwecS1nIHK1IklvSphqv
2SPGmQ45a9pVKQNz7cDUK/OJWEWRHbuYbIugHbYorvi2OKFzbB5To0fkTKBUcgiC4WTL2pVtaAYz
0P4iHAH+LqoSOsZhm5bM9Cysx5NFhOdEyaDXmJ292fTLVChUqvTRwqfXS+KAYihnsdFD+Fjm0n+O
vbWqxVMOkH49E2PrR3p4yqzomGtPokXCYgiO1VA3YerV+tpwsZDYxRhu+6ygRCLH9aBbr7OJ0Aoe
VeyXd241B8cBBcAhi+qbysrIslvQg8Am28f0WGUGMDzgHWwNmu/GmIiBcNpNlLfcdAxr6zESsLvs
c5nO29mEt17F5JagpCQlb0skWHtklpg5JKaAG/A96x34b7kt1MxqHO1NZ/dXJTKhlROHxl7vuGZc
is46hsFAUT+dmd8NwLW1lybWiHJJ7H0uuvsgKXYUbLh8D11Bzq1ISjSMpvvaRTpd8IBAjABe+gKi
7hcNayMThwSfEYoH4yuw9Zclghm5MFvmblvHjkZuYjpvGtWCR9ENnrjqYUqoAZGL+iE1fzxkEl8e
Ms+OYAczBS7m1s+9avFbM0TUwrd3S1jFA0MANQ5wADOpAdmmXnLyaKc8pG/CfuhlxntQV9RiTBMJ
ylmhA8uIwE2ujMw9ZvnRO5Yh/Gg1ljCYT/TMKQrmFVLNLdQAo/bGp7lPBGmaPj9ip45JR8XEY2Dy
MTIBySP0WvaZp2jJlYMf4z5RPRjraKpS7lhUVpTx4wS4OgQY7YKzmBvP3WbqEuzVdWiri5EPwNvO
6rJEaZfAhucCLYrFJFzkEwkdgBDuWENdtuC9Ej8O8WxzDeeECGx6DKmzcqbGeURqp2HNvEkFcX7K
wQqo01xVKdnDDMmtdTmkJmKzaieU95XHmGhmJUWtQ8BIyiEbYZVNszk7tcYlVp6cUblzjB8+HQw7
lnLuhFkQ+Yly80zK15OJEC0loLK9xPRTK/ePpXxAaDNOTqAv19lLqXxCGoYhQzmHeixE5TyZJIhS
lrdTft+M5LfMq9gssnMp+wuQq3plKEeSp7xJmnIpkZJtHQHhoXbGwZQqLxMaHOADuJsc5XPqleNp
oS7N47jetQD8dobyRU3KIWVilUIOzFxbNv2G2N4e2gOOqkR5qyzlsiK0kXdXOa8C5cGqlRtrUr6s
FoNWrZxaqfJsdcq95VnefEc2IjY9EwhUq1qRJXSdgy57/Zan/B4YFT4PGwhY6tBu9bKHmO4K6xLq
dXbWatpasfM4oe4Amro+0dLIX6OI47WSyQbbO6ptiF7EHsfWLZZZv8lMYjy1ojolpFM9LI9FjuWB
JNALBe26rfRdHkXEZGlO5BeYhSX7F5QxM6kcy7NohoxYvG2e8kfwPxe+N+0N8izXJUmum6Aj32Qx
weCB/uI0iHW/Ff1+ccdqa8dTuyvijt2NG2HP16yNPWn1Oa3UyesE4crQOWLHvk18HI+BuRDqXKUf
YtGb+yU30C4aKieZrCtus3wNDkRETAlqABcWvfU6QG5BcJFjcoTld2xs5CqdIsYUiXvNjGRbVBAP
6T6hw6JsP6XWuF7C2N47hWKiCtR1FrQANxC0Pxl5AH3xgmk580eUXL7UiO7EvJIGH3nmbnK9h3pZ
TNphNM7uiIzVNUS6KTJ4f5PZIcclpBXn8YuH1+0q90LwfXM5HGzclMLNU57J7pZLhmegesaV82PW
dQEvVm84qVw+VLLh3L7iUm7xMgpznVrWiIcngajjmjF8OhbPZca9ETcQJWNLX0N2cc+kCbC30x8j
yWKI54+JUYEa37O4WZuGY5BeEWD/ezjMXyi8ON/H/oUAtfCEPz9iGkcAtzSzR5cYhEcl0S3iCkZi
RA1Qu3iayLhgIFSZW1rN597usfIs+lukRXdjMLy01U2K5J22FXndmOQHKfLyWhSOhjQZumPXF6dF
seKyvDvNBvHVGjraVWGzNYy5g2DzYLkNk1PSK5wQOkEmVi+wnmb0xOPRsi2xZjd3ppjUVlVAt90b
ciUjLls6oCcvfnAKdAd4gK/0JqmPOAgwdQ/yWwwjgwEJ/XkdG5VfLNvEMluc17yzNDao8OgzgeWN
iA8Joa9s+4koOGfX9bEiznBg9IsLc8NCA1hkbz0THl+v5V2nofK2dQhRZd5mJ8NjlknHw7ebW59s
qQmcm1usR7KaZIbBv56iTxtR4EaMBZibQLfuSW1+15XXyyk+yTFlnJKVJ8/r3kyrfUzOkzd9FAOy
VrR6X7p2Ljsb2z9nWbHIaBMK75oJygey5r8Aa3+Drj/M1ed//29vH4BFkW+zSnvvfrt/IVJEEAjw
n5Mttm+/51r8/CW/tkGWLmBGuBgAHFtYKpDh722QJ11FeCed0KBB4bd+MT06P/FnBQI0iz9gOzqv
4Zc2SP5E4+SCXcd28GOd82dWNo761/ymDcL0KGmDOJLwT6JBo+/7xzYI1e8yRx4LXhNGIE0XRcDE
ipOarV9JgwSvok2CddhSSTtjAFogdW4BoBFkL1UNqYFXJFxlGUFRwD5+zTTPOmj3bnkxJOVW0/bX
3hIE50KG30V5oWHUdnYJd9KUvbZLvf7QzG3jkx+WXGCDkiED/iw2WqzAhbjLhhED4CxDJsO1CmVf
abX+UEcxAX/55K7ZrVs7wmauIgvCEDCy5UrTk+c+EMm5cPtb19r2ItJP3jgSVOEEoMewJdRUrAfZ
D/e6SyrYNOk3UVfO5GBp21yvm0MntBe0xiwI5idmaWR6zJj2Q8Cru+id/IyIc3RgWzOiA9eWjdTb
d46uHTE9r2V6fQAG9+GmeDc1ytEl9V5Zoub0EwypupfZ9J7bvGF88snY5YsyCzF1WfqEn7WrKJ1f
JzP6Jkx+JStxWOQLdukinN/qkX+zbpY7R1KDT3xYPsrBnVeGArRBT2mRcWHWo3vjHmSwvHpYqtnC
xdcGQuguL4gHGl6Sxmb+kr65tbnDZUEmoM0VXuJU9csEN5Zp5sZ2GN3rxs27nR1ob2j6b+MfUxhO
ljMUJoobGoFIoxStyvTeUEOlwWt2TlrhIetcIn7rta0MmmbEJE7Ds0k4oXKWGjeZg9WgnvCFhBZk
A+xMFVpHe5SvnclukHpiJj0qyFZ2NTooHWhnSV6+npV51HPzbTvkCr+yjpS9NIzEoTX19GoU03Do
y/5YuQFRKktSbnBO1CsvvU9KsrmB3DGwyz610Iqexrh4M6S+9bhncYB1exkw1U08dlZEgwx+GEG1
ENMEUUVtzZRhtqEiiEp6gykbEIyHy3e3GElF9KL2FGiEkSMw4EVVnZRYC4ynIE3uUp1oM2XVbeqA
PB1AWZtGGXkNZemlY5m2PYhux7jlJz3cE0QfU2KY/JAzfOxwBjfKIgxwcOvgGXbwDufxENITV5dU
2Yr1PA6382B+muKtwncs8/BDKLEzfmRrUGPqqboqOlAexNBf2gHDUNDqx9wBYyUbEPR2fz0jVxZK
txwRPB2ZRN5bmdduvPTZVhrnDrFzqVTPtMUkwTtXndJDZ0oZXfZw6TF595wK7eNoR6+u0lHz3TcT
wupFKaxzpNYBkusC6bWDBLtWWuy+du9EEbBJQqXtKb12ooTbfYUDuvUuwLoywDKouwul854RfOtK
+V32IY0G6hok4T/gM+2Ei0q2JPYNgfMy1dkDHQRkBiUpr0Z+S6nMCVWC4Y7uvCqQ6XON9kEr9gnT
Y1bQ89oO3Hueep8w9YZBaU3blH9ayNrF+DWKqx6YA+ofVO+EWDBO1ZC150oT3yKObzO4jxFy+U3t
TJ+Mrq2VQEo/KE39jLg+Vir7Qunts2gLnJWEu374BnrBgc9f3BpKo4/jb6t69qeFrMqphFzQ8edi
hP2pUvijXFphVZMrM1+79jI+h1JuiuvsplPugBGbQKn8AqVyDgQXpPg3zALgh/9wFqDygV5j4cRQ
vgMDEMlSN1hv3idsCTYfZ1wwAup/OBawLkxifF1idPwfGraGNM159pTTIdUbULRR/h657pXZBDB6
BE9l/TBHZwtbmHJMWMo7UUXu1m7CaNcqX0WLwSLFaKErxwVzPLLXu03YH3SjkmvZ0SN1AcYGWlMN
8m/Nqh5Ein2KjJofLx5+d1guOWH0mehJ/hbObcTdwbYmuwYQeDU631WTCyAz5yPApRpMn73BFC9m
0rJ0wTl1wR4GhnPjlO5LZ7BvZOq1r7LuNmGk4LtN8TCN9QYP4Lhqv0c6FFzpEkppOcQQTQ9RtjwE
3vDNo/0HAjwqxo/+ihX77IxvQexc8Foxi0q0d8PqKDLru2yMHkwMYn6Zy5nHGMOrM37vS16PPQWD
78w5wcZLDMJSrIfa7MgA/uwlGLi55XUTHKXjzaq/kylXMHJYPpdOHLPiyQ2ikfU7aiuDJEaunxZF
ePZlU2X4dak91dL5wLj7Q3HkF1HbblwzgMU06Cd4HUwCIzySVuK8dyI621W3M5v5QZoEP+a27g9N
d9OOzjsozFeRBPQXwbEBEC17fm4k45yVPjnvIAde4UZ/r4MtOMVtbaU9YxLjGhfLc1kT0ycNjVNc
UYuBLIXjY+yc0mpfjMXH4JJBMBb3dcnsc3B2Q4O3N56057j0bmsnAYx9TxLZyoifi7z4Hoec6xVJ
S8RkHMYofAkbl8lV+CIbsTUAlopwfMJNdW01y2dWFtdFkB4mk/aslXdhkF1ze5N/ee6upmKY6ECb
m1am5ykzHqbCeZ9M73EMnlBZoBYxj7adr3tNMdb9IGoPNvQWndnE0Gq3VWEf6vSpHfqnfjQuhcOW
TzfjE68F/GV1F10w4pm2elaNDVTH9QwJNk2BIhfWc9AsW1nzaZnvfTwBXrYeK6tf1o2ELT0hbhsd
+HVMDgEqVhPV6XuSim3TFe1Gy7snBRHLmRVnlfhoU0kmAFOMqr0pVaPaKSq/mzDqyWPTp3m7sSX9
UtmxqkmBtqBmBooEuGFF+jqCjGlOfG2eMfRW+Kjm6MYOW5oES/8UkMX5LpxGog1XpKIyypKBvioN
BC5B8DSxJLKTuNx2Nqt3N7W+d03HwKRm0qEN+TcKIci0S3S7uPqdWTfjhkDBrwFlwDwZr1buvTNs
Ttej81IVMSvn/FpIBkZE6F4Jg9kr7ZCdVleyjR5VsBdDt2g/9CFpZOX9PBf7jN3cWifGru5ndHwo
dVlXPwshC5/NcOgXk/vRMqTDE3ctJcOCNhjg9bc3HhN3vwmY3XD2XI8AuoOOCcKwyI2U8YdWOLdF
U93TXWEBTcYHLxCf3gTio8JmPqX8PVKzT3E1caYRQOCH1fIICmfDoiODf0O07ETjF+TDw1xqjLVT
bMe6/sB08kB0thIG8X6mmt3xXh2cikfXIyYOfGHJDPdDOrwWWeqfzswhCCJqjVWebLz83unnV3MG
xa/rO+SAICFjcXBivr3HZMuFdZNkuFZpBJmlRd5zhnPz2GXm/Y/X7KQ4qyln1zkaz3NQIWzQ3OSa
Ikop3AuEUE50n8wSFus0PQxu/xoXffUU0OfbhZtsUq/Nd1KGRMWi59wm2XxMjRGxQzaf+qn/5o2N
fZzdSdskKaflX0u2P7hkY/eEfu4/by13/Vvz8fa7fvRvX/SrvYnsQu55abNNM6VussP6ubl0fsKb
RJqbB9vLIgpEx031y47N+Mlg8oWU0HB0wgBVy/dzc2kBTTR1W/2a5+i0ncafaS7Z5/2uuSTVg2cD
HLgLMhGyD8Sff2wu4zSK+0EgvZtCJvPtsxV2pJq3c8cexmNLkSPlLRCW6ZNlreDrVBcx5xuvtZzN
MjXdtiuXHApdra2rnlU93RtH62yV30vDvoE4+V7bI2A11LSaNzLWBIw6Zy0jM4MaoejIXNfNb3lt
MGkXE2PayHvJMuWoxSnk62l3FYWBD330wPw7RlbQiMPE1mlFSriEF0BEaG91uyxAUBUDFZNZmWyG
DCT00ufhOhnzbs88PGJX6HHbt8grxAzjx5HHyMNiaHU37J9Ss9rHS7OD8IxeLdTvk3Y6Rvoys1mi
73YY4bMUkTEhAgHYMTJ497FtfFnS/kxlLHd17S3cnJG9tsb4BiAP7NiSf96UZafgqfS6Y2MAMytn
dx3qkFFrfTmx9STHr0VYUuEfCgpCbp1oORZd490YmrNB20ulVSuwL1wF5nDoYILcvMyTfEqEwGcb
DG8s+IcduRaU1kEJMm1YtnOPIXpGFz1aJrb9xF3oBc1kK0rgX64s9i2D0bxrw5uK9LAsaVBUmEz3
x+4rMRAqWkK/4iLDi108GLk7HGth7maP+witCJXYIF8tMG8rE7I3Abno+qKMbeDUt+ZexWDDRGIs
YVp+z223H1iOrX68Pe2APgbw+hqKJZ1pOFdnTesoCNnmMhlF4lcgfTNMpAoj8jQnJ03HTrINC4vU
Z5j5CDidC8jQg8eBmZ9lnZIpiU+R+l+Y1/sRsNhhBsHGxo7thg5TMqgMvKoV95PZb9JekEfkwq5+
INZs3GceYffLhDCoMbWECS9+aYNB3bCAWtKp6nwvQ81DANSKn07YFMGQbGfXvmEa46m912mcu8sy
dXjNwRKyYZJbImgJx17qJyAhV1Qy+yQmzzyPod72Jh1N63GCe+idiKe5STXVWmzKtucuHyLA59aO
9lDhznHUhnp4YDswHGVkh+RhEK6DcscnDIqPSKtfSQRWsOaO1D47D/3askgGKw+zw+S9Zvuy1wKW
P7MevUeVeRckOdI9bOK+VZVvlYF0kIJ2WiNoTzYsLOVRT4vtAmRjSzg00pi5+TCjMl0bvLpVeiLv
GmydZl0vHFh+QkDtWky1OMtw8SdylVcyNQoGHCR2DXp9aap1wYvcUI9A2AoUEMrIa39k0UFVMgH3
h0VoLu3N5IYELOvxBlI5ac8zs5aeFBdEq2+5QZdihP25tnkYaMaIdaFNka3Doq9m7h0ty7GBKsx6
3XmZ/xd7Z7LcOJJ16XfpPdIww7HoDedBpCRSooYNTCEpMAOOeXijfo5+sf48sobM/K2sq/ZVZpVl
WZmKkBikw++53zlngjvr/TufOJW+m6mKTQTvK1lT3EHE/dJ3elp6bXYUffOMt2WtTTERL2FFCldt
EH4ZE1OQ6u+GNmQHrc4tjqrqvSj7eDuaOnXQJlmGuW/fB9ObV+L9roi8SQikXqV4QB1lBvULlgCc
6dqx6Jy1BpZfKT6/dSgTgdeXgPuJIvgnxfKPiuqnC4cgTkB/XiChuP8ZAwBOS/MaWGeTFRYklTKZ
+hayBWESXvvpU6i8cjPGA+5NRNraJLj7bymGgwnjAWBoukVn25DWGC8czAltk3+2AwvqVmRvdCus
c5njYyi6fhdhbcDts3L1dulP4aHw4cagcu/IGsM57fSvAMrMDAFMdDwG0YFYSPZHMEGC/2c2MFeE
mdghWE6cEZAMWC8K5cHQg+9IeTIkh5DRYKmvbOSUcWifK+XgkFg50oETGmXMuFjt9Aag/eEmHjvq
ygkvPEGeUPOpZZld5kTT25qKLxWAphXAaQB4Ckb/agOijopI1UFT085LN1X0ECtmlT4KsZ5SNjGZ
IlqdlMplG7isV7Rrr7hXRxGwILe0AgPFeoqONRQnm0VTfSeBqRaWomgBlvkup2mbRTMrlDkCLUm9
kkYzUjckIK6uiFx4qGOoJQ3V4qw4QtXAB8W76BXJa4L0portHYF8haJ9bbDfMZFnm4cB31G5Bd7l
GVbW1a4afODR9ZBiN8kKqiy0YK75W7GPp6llLlasMdBxDXzM68zHQPHIgQKTFaEcgSqHB919FhN7
wJIhbazsfaq45h7AOaDcaFFhTxpgo5Eczy70+CbPXeMmegxYbe7AyXJZIWNBzjtv1A4Yb/IlfQad
PMRA1o2irb3BeJvBrzUdDjtTRLYHms0WH+xN0doDMa2bMnduAM/vLnPTulZst/SjB7xpKzrPAUsV
/q048EwR4T6PEEMx4lqYbDU73sdfHPUPY+Y8mBVB9VSZTUvZExChaHOT2vkd8eI/q1Awd1dZum9p
l8wlHWRD2FPuSGJNrMPGAI96hxmonaAVd9X25bbLCdmfQkH/m0mcnmLhfaD4nrQUBBf0I+QTzgzt
sVME/WCY2w6RfdmDFA2lfhiUKclX3H1bvliJ9j0XFh0hscdU0DlPpW5upWm1xyJ5kZF8LBXLT3Oa
u+wZydZpj+fCYEgzB8S5QpqXBoJwaSpfQKkcAsGA+kI6z3lMFfLaxjsXDqNSQMYImdErRCNRsIZU
2EZQN3wmeNIRFaPvwgkdTCbt3UBlWG1AYU8R06GDtDeJZBnxENO0ha9AkcTY6AocKSFIYG+DbQFT
UsCWTLEwVi60SaiwE6EAlMoYVwD5ZJygKg9DTtoItIqhsBUdfqVUIIvj1/d1KJF6GxkcygeRQwnM
Cn4BmjUbW99DdUD/+DLcMF+zLZ45dGJSXxdTN8N2zeLbHF9S+BqeecdRATeZQm+k+UKs16JQSM4M
m/PfqebfnGpMQ8Ul/Oup5o4k+PivU83vX/S3qYaOYqg8MiAI+9Q96Od/th77vznggcCDjCeszlyX
gePvU41OWTI7LLZpnuEyEzHw/H1l5v/Gco1JR+hw0Dqr4v9kqvmfkQ2Gigh1GZMIpYcr/vNMo8ug
KULTVGsk90JgGu++Lv2qh+5iyehp7obg9xH5X3a2/4+OcNczPMtgHwg2qV4S/c+/I5cGocURexN/
VM6fCSBG1nLtuzNZ0PqPQSOJPCq2YRetTeF9EG1xavL5zZj634nYf/mduL9+qz9Ck55uCJJRGeWg
YwQutD9/K6nFxojHG1WhspwJG3VZ5rBNT+Nu4zahufUyVOm2bwoeL/5Nx/7IRdfZ+60/LAeSXJFU
6JgvkY+7kqYkWquXPKL6BXFY5a62L3HENFgXZUZ89vQ615y79iSoGVEDylDskmkcFmFul+usxJ/r
jH2+iEht27QtT1OK9qJV6BPXpzse3lpPki9Ghwz2cW24Z29epqh7LJzQaS1a5LA0aLEuXmU/0nsf
x2RHobfLRNuns9i4XviiuwEOrG5+qROJhlnNe1SZeaknkw2NMNZ3Y6ovouCU1Zr26OTQ9FqXFOt2
Eu0qttqEnsdxPltmWe8S4dE4Wxvdg9CXyMDOcvDIe+68dth1WdAum+zgemzR9KZrn4PIe/PTud0b
VP5mI5cJLbvw2I6Wktluk3r8kFVTfnGhTZYn2nenG7LWU20W9cp32nxHtuxNRCwafdFRxNjG1pbp
hkcRau9dVYSPyFQrvouV0+OSaXPzyvrHuk16oAy3eILj8RSlggcUWeXYevFUtwiBJb8EhT/fetc1
x27orlVVuFAkqb8KKHJqHHdv69jPaqZQ+Bk8CL4aYrQiGbdTmnzVs88fcKfFVAqS3ZpluxJ4r/Af
O5/bCr3KfcL4F40YoevWoW1mBsviUF/OBt2/TFCyNdJDW3XXolHB016e8/1QV1wASxLbT1FOb6su
mJAmYHPg4Q+hi4CLSaIpoGV1aKJWP9uezn02fa6q+Mv26PNL8nIzsNtLG4RKl7VhKU3SuGKWp4Ns
Nmy5MCdm7vhEPU+blXeuONidfcM4o+2CH3buWmvXMa6mZrf72iJOT4QWkqwmXzwtehaNbp2wFWPz
SDc0nlA4nMIE1txTXfZcZwfxXaNl1mSqAgS5kmSOLdHxGJ7jmwvtGrb2hMUxQwdxl45gQElj6xaq
LuTMfihiPDFOYWP9MH3oEPTMRS16a2+P5Fm27cET+WU2w0+H7WaQ596hDreEtF97x+3Xjgh/aJzG
i25kQeHNF7L6m02Bp8WhErfKuZvl/tE25Q8TeAlklNojy4lfOgbbkW9hNXqZht0vGvEEaGI5Ovi/
jQRThEmYd98Q+9in2i7UTHI8J61b4mrZ47fkiR2H5yiP3hhCIUj5kxi1M9armCxGfGpqnBbyDGPz
sx4JDJugX9ITrTW3ACIGK9XRVYhMCSuj8pF72Bn6be2rpXAaji7CwWX6HfcwPoOlfbdZVK5IABtX
gwJyHIXmmFzApIJ1XIXt8AMh/RT2Jae/eUn6xwe79lNucKiUJbnmnQKAOoUC8Ul5kbPIF4bBhicJ
5LLkubQkIYrYM8Cl00wNr4MvJPBSrO8dIjBezWd60aPFrGAkAyrJVXiSiJ+42L5MvlpBzKMK3auX
pkKawqE+Yfk1V7U1HGaFPcnwjaUbzJYCokJDLSUUJKVDS9WOeJjR0Xk7cUOtIr85YvZZSnpKKq1W
sTQ6NZetKM62ke5LhWTpUVltU/3eZkbidL20ufVBRxwOHGguR2FdvgK8hEK9XAV99cQTrCOqqxQO
5sGFJQoQsxQq5uYBEfXQY6xMsYlR0ZbK/DMuCdxsFWqG7GRzrO8zBaH5vPMWBATe8O6fbLcRp8mZ
V9VMX3wYTBzbdstI7A/xNvBZkCUKdmPTwwhcOgs6Vjb0CYU097FBrxUk14fTQ6SwuUi+soiqmGn7
R0uBdS6EXapQu0JBd8x2oGD5m7CcepuRqbxMEhrrdX+gWaJ3xjUvuGuV2r5QQF8B2Ydv6WtiJUln
6qjAP5O/IUW1eBthAlkeQCgrTDCCFxQKHNQVQpi6FNB7nnYI4D4XpQINE4jDFvIwpb8aeyowYgaV
CNppLYNQp9PUnJJVnua0c4GcZvNydsp8ZSc5B0/TP+sKeLR+oY8wkLlRZ3uepGhiCRd81pjkwhFn
p9BJV0GUXjsf8W+eKTwol07Li8b7siKclvi8RDdpqa+dbZkpljBUxbda8u50uXFq7afcFv0WPblb
FdnwmlQzX+V/W3bwWovyKzRovhqJUj2aDXoWjkCaKbiMkNFhciyAK/O/lC7P69ZNCi4q7VuW8ANh
d/KQTPT7aSU1nu+ZbIBOawG1J67s7j7T6fjr7yt7/B6mgVApgaIUzfxQLqSASD7SAoB5sLFZdkjA
JVmXa5imThmN1sIdUkLEvV0xk/gJv/g0ATY23r32c3RrGmCcgPzM2d/UfYVP3CGJp9WH96z28HEY
3cvshs7CSYara6OH9jHyB5oCj3V6t6WM5RJ5ne5hK/qSU/jEYpzWjOaJagf8cT4Ni2FZgVJLJChf
LJ2wxoDQxmxudWymPf6GMZXPg5KEeTAi9eCnSgjArDTQ97bur5VgV2rdgcLwm1vmW+DXQDYDr5Wj
/SSVd09fFgUzLubupGlvclq3WNjdjtOlbHmA6GheSHGtjc/9izKXB6ovrnHHnNRrvB61MzM3F8Rx
Uoy75LgiF7GdgoWv49PSdH4WM8yZETPubclIep4HHK/51xxeFxOPBZVZMRqWoY/dPcyWQa7RRl5S
PNSzC6MARj3l8MZIQ99nCaauCYl/rjDQ1PBfer9T5eg895ju8sBfzh+RqnTDZfAByc4tIJXfpXqu
x3emalfOWo5lJ/PfmUBHqj47VCNt07HxjET5kTYp9TtS9XN/M5NPIDE6MYdp/aC50WmcJ8WwGjfX
9K+DFvOyhEBG8YjQajwGnb1KrOCqteJrlJe+iK8IcKxHO0H3DK7dNZQ26A+7tFYprlPwjKZw7xs5
B6F3K2a2bLatf4ZNdm3MZ2LGbgksP4m+D2NbOKc8PSSxs7XgbhZW8RwNHcIsBxrMh4Q56pLzrFmk
aUaUGFGV5MnE2TRjZC9F/4Az4H6wqpKfJzE3mk4fHgkcVXecgmpca3H6M8KKedekJHibSXsekrlm
w+txuwa73SSjvGWlPBleiF03KA//nWb/vWnW9HST6fNfT7MPZd1+ZN9h/f3nPd3fvvAfezo6w9RI
6xDSIQBE/9h8YdnMkrqBtY2ESf76j4nW8n9zFc3hMdbyVSzl/jnRit9I1/Bsna/ktvcfTrTwnoxt
fx7rGKVZCpoqg5Bv8S8zbUA7qBFrTQ5vx/arkTFlr6Y2Ey3KGaN1j8OoLegbVTnscisnslc9lyd1
aMoPF4Zz53TAR0AeXeXU6IXb3sNq0aX8MrkXvIa625LxV21yyfNTRjoCPvZwym3a5yZI3F1qyopf
jJQIS37L5uRG13hyfybcC0mSLSzsYd28MCoDPCTIT7Wc540dTC+tRKaazcFY2bFaxgRVtfZqblwG
xabLPm4pnxmCLwO0q2Zb8+oVGsuHkEdTPFOabj04TfHM2vFSm261DdMzgu1j3NKCZT0VpRmvAhlf
vda+G5x+I7ks7HtzbrZOmuGGrqn8HcdhhWUvvA+8EWd5Y38H5NvSsVHgkxLXTgzTTpgBMQEyiy8F
M2nmOKQDmOOxarlM+gmcF8/JZokQhW8N0xYVip1lXJDBe8zyNVaUCbqcnKzKfjLsqkBG1HLCHrLH
ZNKNfQwjpaUpaT0YC8lyLkgh3xV56a07PIVbUyNjJP4yxVztowxnzDDHGAQrCky6wF3mY6mved6U
nEQrWfWfPs6ZVdZn3rb0xx95WDT3dJ6vk6DonkBRb1WvkvN7zzq5pX/KFUQo9eCxN73hbBdxvu6S
9FtGUb/xoR+GrEZHth2VEcLzW5/GZ5GaNJlb5afVIZU2tXxOJ/sxsK5JMIfQEc3NsapkPQiP518z
nzpTW/NHjX9YK7plx319qEAJCaNeWU4BS2V3PBp83rle6S40eIsjVNXrMIxU6zb+D73qdnWST4sg
xX8zlM0nHse7jrqkBY5ubD1j761DMhaW4Br5r448WfCHMicJrkuMkSsSeJ0dGy3aJec+n06dIL2A
1Nlh57ZhyoIYl7ozGqd0DvSlVreELDOA8qKyRI0igb0RtMkiqYUwARCRnHd/XVDe18MvT2Q8NJUa
WotBv8vm+4KnMXBhYVCWyhIIM3fzGjolnXX26O91FHPippeeyVBRM5tnRWPwu6x0HhtH35l2Cfov
InXXUSFTrAdIJD5fFRvBbHyUYWkTVMI1O3EdGiNMv+ShaKY8g8VbNSQq5C2nmMpxVw7q/VKT5HfV
q7nUphW+H5J1rGmXJQgjtgOcKraxjSysjd4r/q5pWZpes2sMdJbIYjfR0A6QyOxm5SCjtR6wt+9/
dOYgFi7IGwW6qLuzpz23WBRX0TwlR8Kp+lUathu7wcw/9yRa4aTf2Q4rhTR/9+uhWmgZRHM9HTwv
u3NEyzzgFke7rU5u24x89pu3wSbNe9Y0arg/655xWzeNb9+x4yWBf91O1L2zZM9xzc2OCzt2DqTx
Pr9LzPZGKW67J8bbX3Y4gxeVKEmOK6xvbM7H1GUkbHomB5p330rdvozWxG04TpxlVdjRXciNd0hC
qGL3tU7IH8fnFq804D7DQUmwnbam+pbwORu6lQCcglZcDC7SjE5cMjGOVdZLWBNmLJSvkrXGdKsR
ivxANFCr3JrLzNnOzkRLV5zjxs3Yt+TK0WLyjc2eeSm6Zi/Bgw9WNXvHcKgx1rUHDvz4zExIZkZG
5HxWyO+qcmeu3vMZUSPcGIMLKNoMGksMxKc5TUHduwTPoO38HMb6LLiDbNkOyoOgZGShtz3lgB4T
GGEo3spgL7ozymer2NRd1u/Dmmi/OCOlyFCFZfBLK98nDKCI2gGfUHLSZJ8czEy+mzZvb4P0ZC8f
I/hz50wnEo2Qvn1opyhae4DQzKJKJ5tNmrgzR+z1ZvzgzP50Knw5lgkOzGyG+yyVun/n6uZzn5pf
fjBpy75yqx1c6Wps2dLlru4e+kJsWTsTahIaB5MykSWR1MEiVz7GmZLmfTGY35BTpO9pM3n3LUZN
AwZ/1Pp2zfFMIdtnLu33UYNTrgsPDL8CVNCrrcGLfJL1gHWCKKtEWCfP7m41HlVr8JpVPL/Sz80G
e2B6jj34FC7fOYtu+ZP9e7lqlLhEEcFjEUp2hX2an6tJ0PLdGfucP4p7soqp6YZkrMpqP9Xmc9eJ
cd+23as3ZlSbW9l8YA3EIoyQno1oSXIoiYjfUJpNayZN1AtVZrGAo4cq9VquxehFYUn7Wjb2NjYo
9mhhpm/4y7tkCq40DReUH5crolBwelrW00iXE2ZW8xEP07BNp+7S9nmKQEMcUEatCPFMxnaMWNEb
c0BVlEcMrk2hOIxGLcgb0cj/5xEdVEWwjGb/OROYOvIJ3+zAAHo3mjkdDqX3wkSPWaAi3Aohge3P
LgrJyxICRdEhVI9hIKAR3Cfu32FFOEzTvi/HZzNCY9QHl2wkOLZlejYTTPHCShGqydQkmc+9MGyu
+wL396zMur7zwza6R54V9M8UOkN8RxU2FX2jGoyHxHOOHX7KmSFpjoCBsr5VyA2xm1PnvvsJSo2V
9su8dr7y5otUnmCX1uhARB1VvGA8QHPP+fZNrNqG8x6naUIQ3xdeEw5trbuOIpsfc4Rv10Co5Ecp
6bFhTx8Oy6aioItYHItjBX1BHIrY+WxRNhd2xTerV/FTOmFnt7qaigeiDZFIsd7WWbBxDWoWgjx7
8F3voSqTL4jOGChT3HrE/A2OduoRIu0Ypam+rF19PVWDuWLPskzM4tMwQ/psmmcztg+6TlmNH47T
yqaFem3K7tFWySV8VOONF/PSB4XQd8YcbkO8pifpsjXkcvjTbiX+1W5GpW8vZnyf1817GtMSSozV
SFEfiTDC8H9QCtYjkKf1Nq+rn4lELObkeW1HzEUxTlxiPTmLGv7EE5339WitHX16DEYOJy808mUA
CIS/OfuwiuiYGCxkyWfaeVwTl2kJylX6gYGUR0lS5Ld7O5eCdEQfIgF/pIMMt6om/WBX/rRmr9ls
ZRgoWks+5cFHb01Hv55P9NP6JAOwWnBL1RZG+7TZADX5IkrZZWhfvtFd/zto/ZuDlstu6/83aP2l
QNr8/Wv+YbQTBACwkGO+shymoj/OWB5eOQhJzmFPBRQy/vx9a2j8ZqP3qVwREhx+AY9/3xrCQvoY
81ziRvhychX/swJpobZ0f5yx+IV0Nc9x1+A/RJj8eXXW1PQukypAu3NopYsZmwj5I3d+2/9wqY21
qI/NfSdDrjDg34PdWDkXr6N+x6Nytte7U6c6aGvKaCu7vUSU0xah/tiDh9I4gcOpm6Ac6Zt5QJ+O
jhMSKvG09o6KwpeGSo1I1d9Sg4tockJ8/hmrflxJQQ0RpcOPWIc6o75rFxeg6WJYFW7/5gz1d4Oi
uACh+jRKVMKRmWRGD237iq4G7OktiVncc8QGnorTn7JjuIhDChCkQrZAnOnJsTOkQumvY9NV18WO
0qlGUGCDzERuLikW9HQQ35WpIK9MRXrRWjOtzZLDUdj0tWYEpkKaRRst5V5dUAFb9llOmCDNg3MR
b3DcMNa0FjOWTl9pyzqyUAFj8JF7zWrqdepq1qYqt7nh82ifLeIciNSy2T/aoc/uyvQkj5QUc0r5
k5Au/S4BmndN1XhsMUFa8h6YUjx1BpkL8xyvo7mrVzxCS4xGWsrwkI7rmPME79lEoqoFMxal0W6Q
Pn0cGIc2KF5bmUhrV4bMS7kBD1mkxFNFCKhurTMxRPIYBwS9oi15hDDhniBtLvKS+qmnQxlL9DYj
sC9325/lQFpUTZH6UY8uKYIzSQnbwbfJUrHcZ92k1R6AqCE5d9xPaNMkxLBPcES35pq1KmSLeW/w
u1Ohkw/HSFPGRKnoIYdln4Ybq51v4wRDCg03LRnqUK90rrAOvh4YuqfBF8bCqiL7nNjtuWsJTGZZ
RP7c0L9ozpBtQ7MYdiaK5RHkj9oS0rJugTvfW6rDhij1aO9VsO1hO37UA6NuWRInbcbFno0K2Ffm
nSefGuOWkvWxgzmduYKXdp1QPj09Gl76wy6mQ+LLc8QbZFFUIExs41mWBPLJsZuayOVyO7nVjRtt
s7e4S7LPfofU84DL6g1D66WRLm4hPOD7UqgGs9DewP6sci69pH1gFM5LVNXQl3Jtql7krta7nW9Y
t5knoco5IM9MD0twGzO/h1rEnx2oZS/JPbooyLU03Yc+0PjCokClt1jIMZkl63rGmhFpvX/w48dS
E/zWDC1LYc2v9LkkV+AFuR0az2a+IkxlypMv8kAJtsG0V9fzjnKIdNdoxUMr+IUMMvaI3C5usy2d
MzlhAxHHvXZIRBKuWtfydrZF1ImTpcnRqerxCZ3QW5IUsCka+8Mfx32QZnciLJ4I+LjSD4aTqQ4m
2uSSm/onvaDHl/81brMmXkZN29pNdAXfPWaDvSMV5ayT482/kBnNzrW757mYafd0D6p8J/eKY+rX
lOocmIr3scP/JVFiB/pmfP1u4r+Glt0lWXPouSyGmjhM3kzQGvpI6RySQj75efaOOrAl+eccJoTC
JJJPYnhIy4r6r+zmucVjO8d7rr5Y/OVWK7gFejOh0+naCcUhKq1bo1nHuEpfqSg+2rtaTpu0N65l
iRCVWcc2iq9ulZ9ajYgc9uq217IWFk9sifeG6F5sP7mnu5XT8maL6k7v87NeWvehpz1m5nxqebHm
zNhCZNPPvsDdRzBov7Hq58Rlv1okt9Rk8RroW8978RiNB4cdpkRnYpvwTUzUFQeLnddPMeFSre/d
OnqF8ni69F2ziwbjQNx1m35amvnpD82SAlq4Ls/f1674DGPv1ZXzs99UkILTuo85q9JtGleP6vvo
7InPRoIOneC50u12U3h9T4pQsyME4VTGOBitiyiKO08bVsE8PFs8BzJDnrWwe+uZDJ05vzMQvIi+
5M7XOztduHhVq0cycO/YkALKkp6edI9d0e2YHTcyGp95VOytyKImEmMxKQ8oUo8CqrdvSxL3wstg
I6Tpqz50T0ETPOETxNM5t08efZGFw0BnYiJLIutsJBnzW5AubMe5BqK496rq1dUIs2Bs6aV44Bb3
TnJkQwqLXx6bOv0og/lqqa5yYf0AwHgyVIc5UXWP7uDNp7zkATnW4hULD88oT6PXzpqLbUIdeq16
0XEjMExQlR6oznTNXhnGLB+TxD/XqlW9oV69VT3rdBQRaaxlB1N1sNdzFCwJ0VhI1c/uOsR/NzXO
5qxBq9d6OAYtrJcaOh1dW0m0mZwWNYPW91T1v9uqCX6UqVxmerzrVEv8f2+T/+ZtEhWb69e/lu2v
H0X7Uf/f/5P/RbX//ev+eaOEGqM8iMRZS8XD/c1a4/9GzLbjE+lgcKHUuU/+4zqJZM/10/Z9i0If
FpAKDmuAmKL//b8sJHvLMHzPcsC58N/8R81B1A395TrJZsKyeGz6jKougRB8E3+01tCVbHudV0qY
JvXuIbF6aALyFnvrBX1owdloLWK3GvjoaimSrkmeU+tMWxSKt94d3mDnc0nfmkyz8cEBjXcVn2p3
wZ7hnkuIA4XRRGTmO5mx9sp424wYKtzSse+ENDIuQCzJ8VGSKxVD7Sb9vB87Wi5NIz0VUVHAbzjo
dgm4v2+/d3SxHXrOMcedvuvJvJMJ5Z6BI2IA4Bgq27tMaXGdiLRcTZH9IgcepzOL74Uc41vfU7DA
vowOUoLmljmbVFTEHndAM4MJZ885LtFlUtrlasZHFCg22gvybamggaVpOphry/leDoBNaQbWOjnd
0pvM/MG2ugsGb+1qOFAdXnKOwnJflFFxEyb2eWMiEshk6E/D9LMyugtiLo16GWeux11+1SMUrqC2
ncN7wIUuzpvm0MUzKXG6tc8LHOp+cWl9jJ9k0mHi0XjWtEEQnoKI/M0eRiZprfyQhdaef7nftaEf
wM1CQ+TBsNOSPt70kHM5ivwGqiY8zL175noWMz0HHutwS4/u6wJnqBeX1rbw9HuS/XJwJcZffORY
cLGasNlpmL8D/a70+oMe1umpEunPqaD8wtJ3oHcDveUg5rVxspu9O8bwSW737rhWQI4gdAO1BHgf
jXHnwhts7U7b2ck93NokJki/ejYPNMLJpZBgVljniXHoXqlNVL5N1vVNDvNeV8YHAYVL3JruWy7M
C+8oLiZ3LFMubs5BW4REP7k48Vu1Mc7JKV/klf5zKOMS+1QFb9mjRTVs0lZ4t6Hoovi+bNAk2Esc
fS1giDFuZjlfEeQ/mghyw4yOQyM42MciWyWVSWxxZR/4VMtLjacOi+l88GRHelDCP+rrq85Pt69Y
t670EaBYzObSlbzNy34mKNCPvgJZPpiiP9Ve6WHSnIj1g8RItfkDdVaAWxFLrE/cWYUSLzslY6Y1
b3wlbPL+PQsldQJwOCsazWEB6nfPzpNDgaOeS8Sw4c2uwlOLdmUq+TRBR42UoNooadUusFk9m0pw
JY7FW6nMVXzb9KxTg4z7rTeRaM2s3vaotpxcPwebH6JXZlcHvxXikqkB6CP3hikF9a1jcNnGWkaq
9TfZ0rh3e3C9PEyT82AeQjI4aJwU3tE3pvQwi3aP6edSJaQdSSU8o3Et9Lqb9hyI9LP27lbTqUYO
lGDNabPUBO5Z3hHuIkxIeIjQt0sldPdK8haqzwX4MPTQhkmAQBY3ucuPvPhQ9bx3a9zTPRHOC6d8
C6uEmCPcvJUexXeTktwnJb7blntJveZNzORrMQaQrNk4xzx0v6eZY6JVIn6m5Pwa5X9fYE8PNJuL
jRL9CyX/J+wBfLUQIMqz2wVqSWCwLWjU2qCdPwu1RhjZJzC1v7nUsayB109NK4+uWj2QVHxnql2E
lpwRsJTU+D7MJL8DreyKFisNKYD+qsm6DWZjem0nLzlKJnaVHHqr1ALEUauQVi1FTLYjFRcnU61L
YvYmhlqgjGqVUrNTKdRyJfy1Zvm1cGHzMrOBcdjERJVPnDUdOpbsDgXvaQp0R1rRu+WkORej8OjG
kSFZPWMXLetmuNigVaxeeEjEpRgXpp2shoIDHgFsp6v9Hink4caWI6TkGO5oODZWo+QaNNgRZ+hU
P+bjgbqCZaecf/1Upijn8XubxtzpElJNRj4IfFz5dG8KJD/+zRqX2qrrTqSAkO49NV8xZQIhh4Xg
+Us7ZbHRLGrgWnGeanFwx/ZZk/bGpEDiLpgPZWcld5LFzNrFR7GJOZ27SNubmn6iyOdTxD70lG1/
J3p3MXAqhmXrLfLm5pErbIUcpjqxp5VJ4mD1GTl9ta6GOl43dnV2CdKCYeKNDEi9MFmjbXUt2eno
7Csm83vP5BSyOR54qSoSVzySmgsWeA221q2pswkRSNuboGmubhp96UT6LJAnY0I85j14sXUI4nFX
+SwX8tHN7uBanyKfAlRxyzN+FMRwaU+Ek7eEnRM66z3oDkpPNoS7BhuOUd34PXVuiSYH8dRheZ3X
jj17S/xEBFvYFCT5E7iQ72UkOeti0dkWF9QkS9n/ZdvRqe9TQQEH83RKojLuqgqvBe4IfZ3m5pMf
z9RWdm9kzWUbtcwcLFR+juxo5UfVXi+ax6KEiaw0/5fjZWkObyww9wFp5Qeb0Vsxpi5xRkhEbobe
D4GaKxaVPdYDSM1Zt3SGJyjBEmy1ABXVGjhWB6B1AGxF8VnRURyvwTavmWJf+7B98I1DJf3iXNuU
/8qWjD1Rgcix5N4k9UbIyjph/3vS5+KlsfnU9U1tbQMbBAnt7+ooElf7MSgu1wHQ9cTBULwuOytF
746/Vi2K6G0Df61Iw0OMp3VJyCj3p+EHOXXlxs6zTwkY3GTx8yCmh2CazoLQvFzP2P6BfY0NvAKL
EpIOs+DnzEqXa5KAOnYxn7CneJewe4RQ8kztIJUJ404PEVmmvWf81C3CayqeKEtSkHZkFdL4pJBn
F9W9Mwpcwt6jbUAq+emuqI6VQqUrBU0Tn/AVKIxaKKBakBOwaBRkjfmRxYEEsoe/JivBX0mFZLew
2fMvSBtau1HYdukYPyarkMuO6SNUaDfx9MOJnhmYLX8jGTVvwBnX1oypTYCWCiDEJaR4pJBxXcHj
QAuQzQoo9xRaXirG3AE2t4aYKFSDIJ7YHG/rzsTl6hrZl26UYOoKWC8Vuh7ml3wEZR+ZT2VQtXsf
yn1WuDt5tqpDZN8qEL5XSPyo4Pg4xJWKc9CqweZTBdDXUVST5oLYQF1YsuoUaB/2CrnPeBBG5qw9
+vMpG/4fe2eyXLeRpeFXcdQeagCJMaKrFnceSF5SEimKGwRpUZhnIDE8Wm/7xfpLUbJlSnbY1qIY
HXW9cpAiefMmMs/5zz/MVMJFc5Z2HfOtyZ8YkY6wNyLmMvH4ro3N6eAMwU3bupz0hGuMuH6WSgIA
x3Ezl7l3GzofM42A3wzrodAKrP1EypPSEdhKUSCVtmD+pDIQvEdNMWoh6d40IQqjghnxWVJnRLiH
g3nRG9YAztN1e8fBTgHio1CUDSHbHvd5853K/kIZwDtvQiRXMZ/sUIp1r5HwGzkDZbZzHbRIfEMm
LKxSKHc5diwLE5r0vu0ukxa/1MrV3kfFQyo9QBEdLqFREGsTZt1tP7Vcj/YEt6Bi/DT7/QADQM1R
PmbSfpx1+JyV8oGQ3W1OqNwJv4ecTfK+riOBJ8Sor3v9oc+r7Wz53dJwlcd/i5tEWYSnbtQufZWF
g03WbdtO5OmaVCDo6ndDacCtByWdOCfHFirJ2LGnA+KnUxMSjlv37xKcKDezHtyCXWD1OvnXZgvp
JS5IuCD8otwihT6b3GLjld2xRTgNv485UgslwE09gajL3JJ7hnR6wHoZgMVFrLERtjyas4OJcVGd
lcLv91M3ru1aXjAIPuQmfLv2xIdsHKfRPelFcx2lRrhTHPMORTKO0cVuNq9qfbwPtfoCsLA+08ip
tlrMWaA6u0oKADRKGE+AVuadQJ6M18EJzx9K6mEC0ChvUVsfsrTwNnqXEsVW4O9l5YTCxyUnCmcS
AdRA5XGernAIOqvhT+f2Fue0k2yjZmN11E3NTKqDSmXHB+s/vht/0tLRZJ4Dk+4PwIHH7n//5+E+
e4YNPP2zXzVqJl031o62rUOq9RFC/QIPALKTtsWox9aVh/2v0yYwAM8C4dQtE+jAtF2a+i/wgKsY
fcoq33A9JVL7S/AA3vvfwAPKPx8+H3+HazruM+cNb/DLxEjgpJSp1W8JxcFNKNYfwlGcgzHjHuvi
wZanxmkYo+GibhBKofVkh8r8oBf6G8LezYVnjzdIUczlNEfbshj9FUbkSAKgX9M1RIdKc648rsFN
rEzizKKoDoxiqwOSa8JlpEWgzqDftHX5viAZ8NjEl5jbQNFN5uQgyrvMD2rILz7X6Ej7IQL6hsFf
Zh4kXyXR1rN5NzDSIi6F56bgVENq4TwY3uRvuaMBKcrpdVnN91iKn83YGC74LT0saW2ZRj5IY4DD
wN4YO31bWt42xANryDFMi/RWO4zavJFFneztkOgKN8WOoCGOnI96OE+H2N4bWX2ZoujC34rLnFij
kLpRN49pxLs3o12eJsEajX1Ed9bf0pbigTDpx5ohNTV5dhO2LvbXXgIWUZLOGOJO7MVH25MSVU82
KSXFVPbZuvdxhxyokhd+0LxjwnRHWYMtk8CJnhsTXhSqdoHQDuK9v8TpAN5Kl12RHIQEu8ogKicX
RgVPRczuiUz7K2FCCEcuvvEjayUTLJxzY6s38/uKsKsFfc95a/iX7WxjAqkHTMsSrJvzBmqmbVEi
zkawjwApFvg8OFCLQSOiAD5278HaMggYQZtA89GeenFlJdhWlDoamC5vH0KZZwtIYhcatoW70dLO
tXjKdgxDr8tZnGm2hhqaCT2KG58yiUoULsawt1P/whrL62wemkMGn3pZNs1Rp2eip9Xxo/aSak/2
Jb3pRO6OV9j1EfDmpk7BlBNGFojec79P741cc4isgeBSKir5oGH2ELnzz9M4JttpxGV46jFyaAFP
/Ci+SprhcbYPZCFyDmfg2kkmj70WFaeeYCT0ww9Vf+uTC7mr/CQ7TFq3sSdza+Tp1sdcYQdeXK8C
713vAuqUWrpMrJF2rGyMtWEhzQ8STLlKBwlk2E4bL4+x4cY2AvqBfep8I1rVRiSXzLHgfOlzcxn6
M7d23d42GKFeM6h8U0wj+pdKUQSpjWtB2YXWOxy6cs/gKVzmVlVDlfDJmfSSm5j+HSxZbM3xqm2Q
zPddYOwA31nlZN+NfNTkeMVg2+O+GedxlVaET1CpntU+gFrSiLUMKP2s4THuLW9Xt0azaY3k2CBX
tzElxv8+3pte6FxOFQbNem6vqtK7y/U52LZZ5h9TJnqdJbAaz8XJmx196wn0Sf37Mgf8cmS4DSJH
f9tm/gfRdxMiMah07tCdh7n0VhHvZlV5VBBdjfebLue1Jjobo+suPM0NVt55N+3DdLxMq/7kGKJ+
09hIbFo/u4uqtzpqiEsZYv4P2eossBmnYkMKmTYfjwlQAi3/RzyFliTnXDhFHR9TYWVr7LD3sakv
u9q/FmJ0915Dsk4sxQ5so15gzPHR4W86ogRbTGMQ4MbRv/YUdDiDIeqG8rpXsGKmAEayFh8CXJ9d
9FYZglwNIFLHDVEBk0E/mEjli2sf/UlsIWvscTshxQi0yCgNZ5E4TXvwixBPtBhliGaO0M+Md7OC
ROswexOBkUqwUk2BprWCT1twVLgDjwO4Kg+WICrQustAXBnzMS/0Of1dB7DPd6TykN3nUWy89x3G
OrVbYVej9IRkzVlneuV0iuK5jeip19UT7MtkWQHBNohwLOnAHDDiWoHFDJHpC4ADQJH9UBBFjInF
KKSxgaGBo3ucIGj9BD8TYBsmxjupgGmyi9RAh8woVczAF1iTl45ZBnXOoAoeh8on8sdLWVOIQbZd
6cn4sx/bB1vwScKrD+E5DO+w2hCbWeNn9Wa/Jb2ELs6W771C3NoQdCqzX3pJKteZVV4lxszo1IxC
RuIbDHm9JTrNdtWlAHGBcXLnVlXTlVwJRD4W+kkCluSmMwaxw5kKJzWIyMKuaNd06yNY+vvAgUI5
mzbyScw9x9DT1mHaWMQWuIQNzi0fMlktqaezjyfzxIzSBxuAxmUlxQN/G54Ubn0WpvDJAqd9LUlR
mYlAWbhZ+ZAXuHYWSIlBqc+K2fdXSJKSRZ9bKlMQzq/L2FrC627bfIBJ2uSbyLca1ecvPKPUl7oH
29HDvgGJCfZ5TrQjQDS97kfvYZ5hCA/hEsNTsZ91iNY9YGja3HlesdWjsQUA60mnRI9ohzF+Ujlc
uG5uACCRWzc5sb2THwRLK4UVwJCjWggvqohBUdpFbBGju0nvxbokzWqRdpTH2OiDbMbKgQenO+aH
9ajTAlW9zmgfTiJ6gxZ61tStPfgAhwD2b2+HNSLsMNqFgQi3Zhddpxp+MKzPtVF68gIvFRnJdNv5
mE5VAwlgBXfNMvBiB6915xyr0WpZaYmykFeMEDlqUEvLZh8Q3gGrjxM9j46jazt42BMojJyZDx2u
LUB/s1NGe0jbMduYy55WIkFIQ/JD0wlvga0oLqatOz0UZzpmR+skek0IAxLVgLcXm51YZln4uiF4
Y9PjAoylZL9yNdrToaW17euUC4HsDB2LJMyr4go+Be1uI5O7eXDT9dToM1SJ5qGek/d1alyKXqNr
BRrjsML3F7svKMlee9lYrUHSh4uFFGSUuS4hz7rhg913mAxXfbopML8OCW3EGm6bRKMF3Gs81jgS
ZJ3TbuuunWlPwA5tkxsxFjYGgRQOJpET88j4oXUQEWApu5ywj1q4EwoFZCk7ByeeVTTgfCglYt5O
YxNkGdRyq/s5N9J7MaJySlPMrorA+djGo7fM5xERE3DpQlpJi5/ZhFkyhA494+OZcrF0CWxZFoEm
D0NBCopowlu782+thCQep0Bx08dcrkF8Rl+7FH7hbixpGuQ67FtpxBuPh2GWOIMlrYEdj32fTC2o
8EQ4tqvsTSu63NXYJDh6l/ukkjsgrnwNzQI9+2i9yaMAXFXNE9KMVAekd3jeUnAOJqSCbtNr2Gun
CfgVHNh1HPNTw0k/D6XhLQJXxjya5XqSkDB7tWL4a8kFyMdOMk9ftGPicZCEBKrMLvRixjbs8qSk
1ccP0sXHaMAoeC3R1SFihf5g9PaDSQGwQkWxGJ0eFIQyc6o6k22DddmQV+EawxUsfBWL2QC7p63H
Iw2Jbtzb0It1WkUu0GQim8XK/XuwhDvBBxum2EjHon9oa/EhxX4bvKpAyaaAe5dUEPV+SoYj+Kup
EA6bE8WDQZN9/BT+V7a4qxVclbsmdQ6cZfdmpEGHxDUVQcGVFA0agTEmtjzQVn7cBtz9UCaw3SG1
jzxSF20upyKBLqjCkclQOnswecKBrchMDY0HLbHhY3eJNqPeJXJYQW9LVrHv4I9tTPgakTG16qoR
vwumiUv2LErY8jCkQ7hGZHI+muYZpzimXGoyFAKehKMFMlfZA6UlR4kdzsc8mMi6sJvhQLnzkNod
9Tg5tlhTAJdWybSOe7Kd/Io4CqOTnPrDuPM4uMjlA5dHnKHvpR1vjK5Kzmw3ujT1wd47PlT4Khos
ctUp2tz5QzzFzWF27RDB9fAQ5L08azhmbNJOkjaRr0Vgn3qvCU44uW81JYGeSPY9NHJ0tzq+pcg4
kJPHXv+2CsojDlGoWUaiLKtEEtWaF/46SxHwx82DN5GcFdQapxokWDqQC8+2sVztsbsRDk7jznzV
Couo8rzJNq4WbxmHYOnp3g1Ty1SL6n+R+MTPmx3jDUO/CiFUHqLJ3nA9u0vI9whG4vpgzSaUZ0Zm
PGnlVe0MgC99AB86hh81zq22RyB+noFJ7XvyzOj/3H1M9Dry1xq2iS7uNELOREI9JSfODGOampPf
RnhvIyux9Z53mO0yY5SHAp/5hZu2a4B187x3K9yvw0dPcqszQ0NQoHxvdb+E390Oy//QJP4kTUI3
LXCL30dCbuLs/qfXj99AIU//7heahOFYjoHU2YRWpugIv0AhOPnAq+VLlg7NTpmU/sKUsAzS/Gyy
AdEbGgKHm1+ZEnzJMBSDF8cevsdFEvmv//6NR0377P9/Kvr8soyLrv3nP2znW8MeiL/wJIQF+0Jn
KPhbpkTJb3eDktwH9BSn2IvPQlT2HMmWvqQMfpPNlCaTc0T2Pm3xmmFcGF97kAULlXE7q7RbLaJk
7dC7L1wiLledzVVHNgTRuTgcT/lSs322aPXQE6M7qDxdh2BdmERU/ypr17OZeqr03Ujl8FYzZTH5
CjAO0WoVbYd2bTQCKOVvkyF+V3u2tZYE+yJkuEtU0m/oZLdT3LmbiBDgSAwOk5z0PfOCnWmXN3Px
vrdlfD5J4haqcLQ3TlOPm6pK39ZMF/YJccM1k+GUE8ec4o0WW+Z5PBINep6jrAwQuG7NdD6vlLtz
Ctlh3xsWUhFQ6pl2ZQPD4E3BwHhjpbG7maxZgMGv2jG9Fr3iNYzEnOaAtsvCS7eu1FYONySGd2ay
if2VU+G607RNQ0IoEQqyHd46wZraCUcyq2z3sH73FBs30xRu3Ti0tzVwUeaTSE2aoFXhV0D6tOYa
6QJX0tsydBHK+P6j0UbzcdRd5iAh6LVnVOtAmBn852IX9AHcCMeidmqw7eEmt9AsDPV00r1gMxNl
pwUamyHqlrUrEVRUoDO8g5i7N/tZZP2qD/vXQl36E6jDSg6X8eS+rePS2YeaQZoyvurYz8frKaIb
d6a6XQs4Aib0Ga3Dhs2mVjHt115jtweC7c7G1k63gYFRg8EAQ1rcHJEV9Mtbu43MI1rWFbRDmJBe
fVGX4q2sk5UnjWDVt2Rez/2tOYkH5FxcablxkRvYHnUEc5H9hZXNBAO3Jxk2ipJ4k9o26hKJSrLO
3+YJQ/WCSfOWVgFWBlELiMlaYHm7lJdS1KgItWod+p22jKkkF65XAEVLa915cm3GycMcJVfOHKCi
l3a7cNn1i5pE7aUTh5deUa6j0rlMmcKsUNh8yKW+M1GptoGDxIsj2wnhIhpb9li/maqcIAUQLTQz
wSUSP3S8WMF1FiHlQ7D3AZO6zN2003zeaPJDNHvJnjhu+OntY1Y14QGXuHO7mcuL3Mp7kgyCTWFY
K3ozbqrUYrcbaq8Y0QV5a1tTkKlBroO7HAy/OhSGeVM0IS2M2x3NPC3XZRjfVI0I132UvA1d0S4r
wzMhcqPPJNm7W9MLiLKujthHbhxpPo5drB2GYN4O5BJMFno4ja50IT2ixSknBMRqu0l3pTdxSSPh
04wEl1xYZVQw/KPyPh6gDfF3oXgbCebNyJ30E4xKbOdewAQC7FOYYgaiU4fmVUg/3xEEtzMxa1y2
BRHBCS6s42BeW07zrhyRZRuYam7zKnkd5jb3vmY+FjoNMGHVMw2N6SIjKzBUpxNlEHiNmQFeJdI5
Mdvd+hLvPhTQuzDcBOIq4Fcdm7T2CWrIVdyBh7jTeb+N2/IWgvmD4xXUmlp2GVElMwHDwD4PzCs9
6j5mJjnIUxLeBh2hgFl+aXT1cMBPBeBkkMEOKoaS2n5IjY+1i8tEHBb3mjBvAMCDBZZesJLkkG0S
shdpBteWPtHZ1TEZjl1+hVfOdvTjYGctEphPcB+8vU1WiS4FgsWR2kTOzV024lnPcNI6p/QrIV/n
WOgbUF7GtvWXkXVd5LVNfetGO+I0PAU0MnQz0MQKrK4W6aHuyJYpL6252gmND8mGCxaP2N3GmWrF
7zpMkPGzCNaTP1Owe84bEjHPwIVLFcL8LvX5XVqU3rhDovQG1SWtcL/WEOZhiVKftIkDE28xpvKf
mrrGwHmnHI+5gS2rnlrtMqkTkn1qjG+9/j4ZdP0oarnPCCQK4mHVdl22b2ZG4a5inRHYGE3htQar
yZ+RJVk1zrJBw/Sz2XJ0gbrWuJqUmGi9PtiVo1CbhBpbR7RVEmqu4RCkl9mb2MlvXFPS0VAuDwBt
XRKfybiByQGqUiXWx6nWP3RW+dEuUJVJF43gAIadJ2daZH6YHfxpaYqZ66fDIwypLfYhmHOAQoBp
Al5BYe7m26LR1TJ3p/qNJkVwGkNrPxvo86wOdxKvGq4DOUM+gCJMdNOCBEh7VUvtNLbWZVXUIDUa
XFpgZ4vHC9/T5GAXslgXvYHlbsYAjdwYoP2cU6BNdKyWR8IECoewiMDl9DCJQIDPvulEWGyLxCGx
jw2MTII2klEhs2OtW2J2nwsnf2956YOeheapIl5hMYMyITWJICWSNETmSOrs4sRF9sGULyehyiPs
AuAxqTdRm5+moV4KNuKyghuCNAdCkUGOdYm69wLuyrmVEiijo6TX9bXXzvlyDnzwVEmVG7nRRo7O
67FBKu8IkrRGM90wR6SfIYHOQd6cIzFd92m0JjnjMe6KyzjIdcIPTrogE2tEskNBAJtiLlXMnLzX
KuIEK+NoBRhzjrLc94kzHwlqTRIzhHGFqgSLmPMGmUk4RsiIUZ0uvK44Ovi40Ddpi1nDsxQnAnQq
SrFSKu0KMpftrNQsUulaWhqknUTq0ijNS6TULzwEzFiVIqa2YFSESiWjK71MDumrLB33baJdaJiM
b2ylrcFlFwadNp/F9mMw8sknSodTlpYD152NTt7QCnXiOg8EAazRNlEqnv9flf9/PRW9q/vufv2p
or/q4ca+foTt1/1SAquvfqp935Z/75u+1NLf/0E//dmpKhYmz6eqn/6sT3/zH/2U7L6Lu/4DOXwo
7uA543qFfOnTi0pekQg+f1kj08Blegp5+vPXqeRpXr5apt9biD9+j08r+sff80fv4GmJ9h/++Q/X
swyGu896qr+zDqZwHdNGI/j1AnivLMf1bGEzKf70evpNL2oBzO80lX95AQx8Xpmru7oB1Z4XI/Sv
18F95WA0ijDz6atsvX/TRvi57IlM4JEM47L4mi9g+PzJv2msf2cNnv2EXx8G5f7jmXSs9jdPgc8X
PNVpP72eWvgXtAn40Pj7rOd63t9ZgWfpm7+uADiAjVmvhabwlzf69S5wXqGvUDklzueFeHJqekEL
wXGgw37+czvhd9dBcO5BMOFc8Z72+7NTwX3lWxyZoBifH4enrfei1gGMxfzRdVDhNMA3Ju38d9fB
eyXQ1jickJ/3wws8HQWe0T+8Dup0VF7Q3pdr4LenI+ugExGreyT8fHq9wOdCuJb7o9ckJ6RvkSsA
2+rpffIDvz4fyNDVDccWOH9/fv2bbolnT/bX5YKwdUXN+jM3xbOf8us5CavM0ZEyowV7Wodvzgeq
Ep/L9Mt2eYH7gSACpWD7oXXgvvCYgpto8p4+72cXp8d+cMg4Nr5cnC/xfPhO3vRfvTe5L8D1+Q/7
9k+vZ9UTqDymvK4Dle3p9QLLaJJsxI+eD9wXDmNB14Zy+en1bD+wTDA3UWN+/rKSWL60dkJ8J07h
L+8H/xWKU/b+l3WgMPv6nESYym7hAcQn5Mt+eWnr8D0jzr+xDiBduk5f9Tv7wTF12zEQ6T69XuJz
QXv1w/eFEjBzCJri++vgvzIoojgmv9STTwXLi6onP3v//Oh9AT/aNbkyvrsfqKNsky70S/vxEs8H
LrtvlO5/47kwEayjw+IA/O3BYHEyQEr/XG/rL67TdL3vsfn/8gKozsGBbfnlwf9mHSitDBuPwM8H
w19Yhz/x1ADlqe/6OXu8b/71fwAAAP//</cx:binary>
              </cx:geoCache>
            </cx:geography>
          </cx:layoutPr>
        </cx:series>
      </cx:plotAreaRegion>
    </cx:plotArea>
    <cx:legend pos="r" align="min"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11.xml><?xml version="1.0" encoding="utf-8"?>
<cx:chartSpace xmlns:a="http://schemas.openxmlformats.org/drawingml/2006/main" xmlns:r="http://schemas.openxmlformats.org/officeDocument/2006/relationships" xmlns:cx="http://schemas.microsoft.com/office/drawing/2014/chartex">
  <cx:chartData>
    <cx:data id="0">
      <cx:strDim type="cat">
        <cx:f>_xlchart.v5.31</cx:f>
        <cx:nf>_xlchart.v5.30</cx:nf>
      </cx:strDim>
      <cx:numDim type="colorVal">
        <cx:f>_xlchart.v5.33</cx:f>
        <cx:nf>_xlchart.v5.32</cx:nf>
      </cx:numDim>
    </cx:data>
  </cx:chartData>
  <cx:chart>
    <cx:plotArea>
      <cx:plotAreaRegion>
        <cx:series layoutId="regionMap" uniqueId="{DEA480E0-C680-4B89-8F46-E4C2CFCE3455}">
          <cx:tx>
            <cx:txData>
              <cx:f>_xlchart.v5.32</cx:f>
              <cx:v>Base</cx:v>
            </cx:txData>
          </cx:tx>
          <cx:dataId val="0"/>
          <cx:layoutPr>
            <cx:geography viewedRegionType="dataOnly" cultureLanguage="pt-PT" cultureRegion="PT" attribution="Com tecnologia Bing">
              <cx:geoCache provider="{E9337A44-BEBE-4D9F-B70C-5C5E7DAFC167}">
                <cx:binary>7HzZcty40uarOHw9dGMjCJw4fSIGJGtRSaXFki37hiHLEgluIAlwfYN5kol5hbk9LzZZtuS21Opt
Tl/8jvjVDjtEFFggPmTm92Um+5+30z9uy7ub7tVUlbX9x+308+vMueYfP/1kb7O76sa+qfRtZ6y5
d29uTfWTub/Xt3c/fe5uRl2nPxGE2U+32U3n7qbX//on3C29M8fm9sZpU5/3d918cWf70tnfGXtx
6NXN50rXkbau07cO//x6ddOZ16/uaqfdfDk3dz+/fvKJ169+en6fX33nqxKW5frPMJcGbwgL4D8e
oC8/9PWr0tTpw7An3mDq04BLIr/+8Mfv3t9UMP+PVvNlLTefP3d31sKjfPn3cdaTdT9evDV97Q67
lcLG/fz6zHSuT2/K16+0NeHXsdAcVn52+eVRf3q61f/657ML8PDPrnyHxvOd+qOhX4HxTtu7/nFH
/nM0GHoTSCECKh52O3iKRvBGBEiiIAheRuMPl/MyHA/TnuHxcPXHAuR/Dnf677SPAyIEzj/x8VMo
xBswGeFTnz1AQR6PwVfD+OOFvIzF47xnYDxe/rHQ+Pf/Gkx387gx/7l9UPGGIyoZ5/Krt3oGCtgH
w5IE6BEU8fjdX0H54/W8DMrjvGegPF7+sUA5uNS/MYIw/IZACCFgI18t4ZnPEm+oT3xEBH4wlGeY
/OFyXobkYdozRB6u/liAqLv877QRMAIiwQSI+A0bkQziCw8eAj6CiP+VTXy1kT9azctwfJ31DI2v
F38wMLqb9Kb+9//+GxEBC/GRpEw+msAzC+FvhC8ZQMZfthD1Z5b0G7D8MvU5Nr+M/IAAPR7Z/zyk
HMDxiURSPMaM53GeIskREvSrNaFn7usLOL+3nN8B5vVTPvnz64eb/ViAvL2p3U337/9T/d4u/EVV
It8QCdRK+LDbT+UICwIACuEHNMCUvndef2otLyPy3dRnpvLdyI+FTHhj3V1pXsGxqm//xpBP5Rvg
YCzw5UOIAe77PUoB+DvMfYofZYx8itKfX9fLUD2f/wyv58P/tUH7zdV9L/GffOivSnz5hguCZeA/
izvBGwkDIpD0Ie48M6YDmfqqvX97KS8D9MvMJwv/Ly/nQ6OrT3+nYAH5SBCjBNjvi2QMyDH1Aw5K
8gGCZyryTyzoZQS+TXxuG49P+GMBs+5vus9/JyVDbzhDfuAz9HXjf2UahEjiB/hhWD6L+n+8npdh
eZz3DJXHyz8WKMfafjJ/IygQVhDCVBLqvwiKfIPBUhimj8qFPQ0rf7yel0F5nPcMlMfLPxgokP/S
fy8oAQ58BOby4KKexnrxBggZSBfBHhjZMzl5/Ifr+Q1QHuY9B+Xh8o8FyiEe3pR3aXf3eGL/c+EC
1oIPWTBITb5oLcEbTpDPMX7MuzzL3P+5Nb0MzvdznwH0/dCPBdI7Xd68urg71Bq+5ztPnu8vUq8v
4hJyX8GjXnlWXQGMKPYDSh5sB+HH7/6ai/lTS3oZou+mPnmCn19/N/JjAfT2zv37/376O/GBfDKl
HAM8D77tV3ITMs3Y598yM88Y8p9Z0cvw/DLzGTq/DPxY4LzTN/XNq8/m1YP6ejzI/7mjAyMSAWSX
GSTRvvw842oC1CagBLzgAcRnHPqvrOxlsH59h2eg/foDPxZ4oYFycg1e7w/j0+/VUn977FsFOrpx
N/GX0vV3pdbfH/0CCRTTn039PR/91X1vP//8OhAEqIn/nds+3OZJyujX2L0w/Q4yKT+/hmo41F6p
QFgg6gshOBzF8e5hSAgkkAwEhcyVzzjkPGoI+9nPrxl5g5nPaeBjQlCAKHh5a/ovQxgKWgf5h6Cs
SyEO0G/NA2emnFNTf9uch99f1X11ZnTt7M+vMdyo+fqxw8P6nHNBxUFOBpDiB9cFBLm5vbmABoXD
p/+HTZulbAreK9zOYeXx49yPpWzi0dKNTOtVnS/x6A+RQeNm3n23ay98ORTafv3tvk+Bj0DlAQvG
0NNvD7wEjZ6p4dsdTkKdzE6VRKs86dwqGU0s8vYO50Ma9kVCVNvejrbdjF6dx23Hr73UK2Myc6c8
K5vIR1lI/HVXLm+nGl/QpD9JnZdGBTWffY38ULNch/PiiMpq/q72/KhgTR2nyF1Oo70XnalDCR0e
yk/aPMp40kV5vhzjpE7UNM4x9b2VmVoSNVqoAtKRYT+no+pddb90RR1jPaVKt7IMJ5yvMGZFyLO2
UWYuQ0tYv+6ktrGf8Gtme3lU11kQ5YkXjoneMdFNZ9k05CfCsqNGTBHKmLcKkkSHhrPPsInXzdAG
Kh9OKpeGWZD6qgymXcDHDwzPwS4dx0rpbplhC2266e+lvhpLhOI5HarYen13zPP23nie3uFyUbN0
zXklVqNb6FbT5jxxTXBkR76dZe8rl5J8k8oxavoqV+nYTBtG++04tcWJSJJ9S/nHyh90JEsb4sZh
lVpyMSIrj9K5OqqwqdZe3QjlkguN2Rh2ib8JsPc+SHwZGnvv5YkJi67Uyg55ukmZvTWlTbapbYdw
2XgpfkuXLtS8w9uuzFe2LWXkyrKLyFRsMKmoMmSYw7Rd7pCAM8SZ3FC/buJiZN02hyCtKq8ZVD1N
Nzobtq1BSziWCuwuPS0J2fSz8441K96XJAv7oUzfIjbBEy75VjM/URlqP4xeMm3dW9qx9iSLJi11
yJk3rMVImnUv532G8ZnEpFcFSu/aiMt8iAvU8zCdtNiWeLirOqFIUR33hFrloXJQpBR2LWW1dpVm
R6i7wYuGL6Y2WgJyNFfitCuzI83TtwXG0SDmLIIjadXoyjQsO+xFHe5jUUuzWephUlUxKDzoHekE
3baT/8FDHVXLtASbuUnWS9p/csnkqSAt/NBgL7RWHHeml2vXd/fOW+4ai5Iop/0NxqZRlc5RmGRn
4yKbIzfUm1KaXNV+6lQWOKcmJugaaXFSjv6yKt1wHbhFpSY/WeRI1tmyLapeqqQ5gQrwu8rIYCON
vyO5ndTYBTdTUOpIy1RHuDQknJivj+RShm4ucjXI1K5TQhQRmVmleQ/GnoE9FQlYX4KC027sIsxF
rUovbpBe3iayP2uWWrXJVF2U+DxPx/Is0NsuWFAc6EqroEvrfdqo2dm7wvp9nHbjadDTOOB9rNNp
B3u6HoQ9d/kCpi0d2bwf5NCsirm3apLmqqmb1ViGeJpXBkyRjcmobJZ98n27R3l2KsVw3ZaroF1O
gj6NhTdEXdqvUjvvZ0FPe5TvyZwdL0m5blp3JPptZsurodDnCw9i3mSnpPw4lfRd0y8nbLpvumkL
Nn7WDvWa+2bTG7kirFiUxDq2As6r88Hckwh2eD31bZzM9XsvwO+6abnuWLo3ZRenuNi53tv3qN9n
Ob0EdXhGDKsVF5Va/PmE6ukY6sLnqa7XTLhOVYEXakE289zvq3zcJnjZVenykXXLmT8N+16uynze
VY3eNgFsLgtWXTud1mlyESB9nDToJI2WsTirWH4mkN4LXu0WX140Rp/WDT/ukNlShuLObyM0uSgb
02tazCvSkrPWDoXqMVWdl75tOD9K826T5MsqYfbIpOjYTflHJPFOYHxad/necrMTgoS93aH2BJds
Q+piN9PiGJl6Ldr8zAV1lNbgw+HJA24vTDetwFmsjaxDbq4Ouyv69wWhR52/nGUii7xqObZiapWu
6cdsRmctjUTtfTjsgNfI7eHhiMxPx3I+CzVs8OFJq7Y47hOy0wv5WC50k8BTd3wfoDKaSQJe+Sgr
7VHQ2jPhB+GXKPpAjZ7E9FvTzJ1Os4eewG+//uvSVPDnS9vaLxcPLYW//Hby2Iv4u59a35mDjrTP
P3RYzbd7/dIgd6BG37rlntGtr92Lv8HFfnfwzxI1CscLmPu37sVfEbXnZZ3vadrD5AeaBgV1TgX0
OEhGMBChw32/0TQiIFcloRriQ9UdONkvNA29YQiqIVArgQY7CgzqG02DXItP+EGpByAHoQMJ/xWa
Bs1Kz5lSwNGhJgB/gDWiA438nqdVBMLTnDCj2Aj2NV5K8G1hDVwichMcZevqkxolH5LBLxTJm+bc
86Wn+tzLY0wsCykZp3NiZavSkivtm5j3cx/SgVRxVqENaizZtVXktzOO5yU1ISddWFZTuLgqZGyS
W48ZIFOVvW68NqwwzhSxiw0DlSWn0PeGjgtUtqHO2abTVEQ1t4q3fhO1cp6BtgRRFpRp1GSZUKLL
yxhp2YS551S+JChEfnKxTPVlgeY1TmuV8I7H7Zj5qki7UzN5Ipx1/knM4qzParGRc5nEFR995dds
J2277GR1U1aEhGne5MpMZOcKsXz9C8892g3I2zRVUB7zAIw5o8Va5n113DZvxyqrd2kxVLu6ZNUO
O+QrPon7ABGrJI0oSuXKDH2mXBagFRdBr2qPu7CZZxs10Vx3TPWE9+vkhgxJqvxhXlQ9SKd6Olzn
5XwdlLRbeUyXmwUPV70bPyYszxUbqu1geBlR66Wx9vw67PKiXemyU9DOq8rMU1ZiF3aTuLaNnVVF
j3Q58J2fOQiWn3Uytor6btn0tktVm6dEDX2Djjqz+Eq259wAXR6kqEPXXVYI2DIJtIs758UVLFkN
zRgomy+f8Ih4xFjSrbo5SKK2SHRc1UMdFkWSRFZorEhSvKfXbCmCDbO4jCCNtW45G2PuERtxr1Ey
acazJvdDOXRHje0r1fuoCH2TfUhnu2+LIuqyZVwNTXWCgAXMXfox45XKx+Q0DzIVkHZFR/jAPPp5
OPvBTqJsm9TAPPLps075xrNszWdzuTh9iSmZIo3xVWuncJpsGs6TjPNU3nstSyMWePGIpzIacUBU
0AyxTEHatNlxvbgmLFyNFabbmnbLBk/uNpnEcaYzFiakv56Q6LbzcuR6CJgpsWFpB62yedn65XC1
LFEjS6Fy14YNo25Vtv0MsCtfDFMU+NyP2yWJdJXE3Hg0xHM7rnECh52VS9hqUiu7OLYqGrHrA9JF
rVvqmN+LqtpOGCXvirFMV51I32UmKcLFB4OZgmpcT0tEaCPCoB49xdqZK+Q4DzvtIqlNczK3JVbG
LjSy1bTW1F/UKGo4KUXHNuDDgMKMvZJW7OVc0I0TuFVNYW3UTalWVJpBzQn9mJOiVHOWZopbsvaH
ZTgaqvKyR/zSJ2DqeOqjyd2PtG2jKu84HJcp7HmWnoqkVGKoNv2k7an2aL5KcgGL8KYyXmS1XXpD
wGaHZTUkJm6LlKmla4Z1lww3BSFlrBPxvq/8M1oWhaKZ5+0E7Xslarhxlss4aIk8HRYEGqPF0dIB
ea8S/pGxoFIdWnYZ0qnqQJRHHi7jRroj772ZynKHPZOEIDjOGEpPdSZY9GV7hAv8darpnfbm+8Hg
ZuNXxN+InOtYpGaIKz0XCmvQGpQPRySY3s6ly9f50q2bgjYbqyrmTmUlb/1l5kfEnHDb66gHu40G
6Wch9RO7oVMG1GgeQHn1Oo8P/UVrP2/2yWDXRZOJKG8CHmLBR5BMmmxN4WXhkjVbXMgQgXoLapGE
8CoCVksmP4DGKFWyTGDtiF4ZN8LTwjjvahGKg/fJRrhTBg7ZNPlGk/KWUXqa88Z8amvwDG6WqRpZ
4UWTZ6q9lxRu1ZRzECeAE6hSc1b4iKnWA8dBlqqIoYVQpW52EaQgypgm710yxn1hSexBRSHyB1fs
52YA4TOiXSBnGi6tvZUWTjrOYA+6OspNNyqPD6sya/IwGThShe7PGPZwqBsN8aJzWg05y1Zjh7Lz
Hp5WDb6v5kqqIrHDqtdpJEh5NOa2jujEIMokNOr9NFdE42nrTe0mHcI8z86nriIhGX1QZlVZrfzR
zKEVZ5ByuO2z6igFoVIHfaEaWzkYGGJayrB0pFXjNG8Lk2/BWZ8UCY69qaBqKtVSzFtmTOQJc9Hq
+grXMW3LezOJq37DgG6qgiGs/P5+qt20ypwvQlS56x6OuA1ksRqK9ko4+hmXrTLjdFMsZN5yP+kh
kg+ACAWx2vvTKrDWKlMvH5eO383BwNWChiRMkukYa+rCzFqkMKs35tqTpDoesAUKP9rIpLlWPSu2
eauVPDhekSKQCahYl06+DapyNS+wzw7JTqVQVlXDSMAKqmim4iaf6FVCM5VOICkp+5BqdOQ3ezNk
q8n3dsEAIb8WqwC1fZjY0xqfpy6ImnqIhiFLVMfLCyuT3VAXt129dTXtlddWF8VS3y9aVtGQjBEm
M1Vlmy8hzeyW8eQciNeRj5q7LDtP8tKEfQfuzA3Jaknyd5UPb7pgmlxLk5xQitOV9NC2KYI+HMnS
qnkQyWZpGgMpHfph6kxYTqiPKsZFWAViDJ2AAOq8towqk4dLn76nXOg4aTkEadJ8cpXcwW7YoxRN
bztfMZnbVcemCzKDb4FTrHCT3PQ+H2JeZm8Hf5W0kh+5BZ4tSz6BkLpoKrTF44eBDmHjyQEYWjaq
pbbnImu3OfWzKPUCSCqJItK6L1dj0X8QejnNK3JpRopgMTJXU7tAkknkIXJmCEe/O81YufbSvAgd
o0zVCGhTUA6hmLtcNaXGoXAzLJgtAUiZOYYQdSrbOVFtQJHiuH3XDVtXjulm8fuTtjHB2exIExo2
y7hKwrLs51Uj3kk+RI52l4mXV8e6YG6b9PPGFA09yvmy9VCl16jNpdJB/tmz9q30rLdKMGgbYfCw
NhY4Hp+0WeemXflNnipBMmAvDTlFg2sjSNxsKmTyNcY1Up0MVFvOGp7D7nU96dhh3Ma+f8upjVuz
gE+g6RIBe6y8K2abQCGIExr1FyVjd0LrIhoXc0sYOemn9Ii3zTu/hkcxFariuqf5sVyOcIEZqFG2
mpvuqvX5kXZin9Bhi0S5EguR8Yg0cAoT1rP9PCbdEjnYpEqTyIiMAqnl7dQBVFbRYtl2Yx7aQl9W
o/7Yz6bYukNcKySB43Zkxrk7H1h2OjYY8pfG4Ei6Kd3QZgplAlF8GaYZXIPbDLXRa8wgt2jEpOag
miHgjuDxmv4CD20WjpZ3cdZTX02ef0GLPhTttP9vvfjbr7Y9kXwEEShp/7ZefOzfeGHSt3Q+1Afg
VaoAsvKcYdBk33QiCL5DaR0EJMRFyDoISLU/pPNBDFLISElBGbRtB4TDKh7S+Yf3U6BXggIdYX89
nQ9tFM90IigSKOEzBtUEHEBDP6zve51oCtmTqpaHHDa5rmsCEm+UV5JXe1+YUaWJPa90lqq8XwsO
Pj3NNriqhZpLr1BjQ2OIw1FKPRtpT3+CV2uUl/PLIe9rFehRQqb9EErlBfHwpluy+4bOrSLonE2n
5STfWS2KsBFppeTSbXxUQ9KydbfGSq14ea9zVyjo1T1B3J7NU3udjXUoSjNBkpb7qqb0Y4vJFRiT
6pfTOpng3wymJbWveh68w+APlUCbpGapcrW5B9mw67PBhVOF1n3Q0jBb5kx1yw505udlKlKFcHEZ
JGOhfBc7UjVrv7S+GhdQJguo45xWrSqae04HcMKcqMKzQFLmDIW94R+7kl3wcyjW0NAs2aQCp7nq
7Xi/5PSs5qUXNWjZ1uO8d9Us4oGZWXWZbsNB8Dip6KRc1Xsqb06t9qtj3KSpklNwJWi7goTwdTEm
vep8H6mhdEdB5n9CvPHDJl+kMl63EQi8/VA4CDc6+Tjke9pYFwYibjp+leQzUQ0JQEbqUgPr0aox
hod5BdpAgMeJugXIe+qlH3Sany61UVWt+fv2oEKpBC3JcwFfMwH5zM3lXNj2eISEJq/QTa0v0r4y
G02nTvkG8BTpRgwOcmbytB4HvJs9d9pD0O4IOOFhv7gpbqjst6RujvssJRFc2dUSLauxYqXSZArb
rF+Nkq4Hr2BHblw2bHSwQ8hwJY3bLUG98hLveG4Ls+6dcyGZQRpp4V0hWMbG09kHTxZ2BdmM9wXP
a2WSGkiAKzazrUFtIAhKfmDCyeDPY5Ymm4l0a2dnE1neXCdpDfRi8s4qeJ31lEGdhQSNH8GrYS4c
4GAM6FPKJshNthksMQE64VdhXSbTKYLsLm5EHtO63oHzvhMpvvfAGiQa42pioJETXAODs3Y9zsN1
1lfpvsuKXqGxgGpC/alqAu9DYYPYuTNqkLetocakpEiHTeaSBuyKzhA2rjCyJTCXlsSsJPGC9KBo
UK1wl7hQd5lViSDv2WB7xbyiOEmgtgA57CtJnduSEo1QdijJvvZ6DIld3B7bdDQhWup3qe5YvJRQ
SoC08qJA0ugVn4ZKVcbXYVYxExfzNKqp3ogygfxJypbQa7o5Drzh2mNJcdz6oAUGe0GcV2/aDg0K
BY0Lq2qO2ajXnvHZaoRe/DBLoN4zEbpFRs9hjoJ3cCwPhh7IkGsfr4Wwq2CsFdQ3OyXSbFmnngE0
UqmatDvxePcu8SGmg6XM4QRCS4msd3sx5x+07NAxsKL7JWmnuOt3fW79k2WIoNaEVxNtDTiq4VQO
Z24CJV+Pgq2k7q7LtgxrtyzgIIp8P7f1jef4rPTYw1bXVwzG1MDomgRb2Uh2Unj0CHtZo5xoT3Ok
o8agvebyaim9IysNVXFRBOdkGv0wn4JRQYLmgzNkB1oZon2FPzG7QCkF6nuDZW0EtSI/TIDWNUCX
/aJShr0rQZaFNmnyaKLn2AeVMcPuwFmEO0xtuuq7GiSV9z5lxRhBeflcj9NuEnLT1v1JPZlFITRe
Qvn2kPYRCqhRHWrvxlS8Bdk0+FCMXKCkMaZhTdOwzfkZb+UdT8G9Dnp4a9pg1VN7Onl1AaUESJU5
9hZ77JMpLhahP/RF/n7021050RhV7HTu3+al3eM8X3tyDgOvqiJs+wuTi7U0pVNVSZBaeHbbjU14
uMPCId00QI4MyA4OTTF9SryGQ6V2qxefqMXDp0ndlKoutI1KXh3Xtv9EjGMhnKP9JCpQt8DpHT4F
mX9focWP6lYuwLoinLWQJBy8Ayt2g7KERm1b73HfSkjsgC9Cc9crKzZpFYDaTaoQefA5LA7Bpm12
NeHrhWa3hy9iQ73PkEmUP62hBl6AOBsOOZwJStJZHc5Vr9XUuXNd2QsdyAz2te7U0ncfaUl2U+M2
FbB71VfwQnoqZwYVJApuKQ3uaj/LlF8IFNJ2k3UgqE0/HR/ofgo5hWTpb1taqbJjkI3C+jgd+ca0
1c54UO3zRZ+qIgsFGu6pW4qo4lDnC8iopAcVaY/u5ySfQoz6+8bbsMzKkE2gn0VX3gRDubWCvrOI
+eo7SvRC1f5AmZ60DADFIAdq4UOXupTQ1PCUYujanxE3tFFwAKDWDNoxGzLFsimCNodNr6tRNRTf
4LS4YF29Qa0+sWMXNlN7JlN4WjqO92m6q7J+N1dgE0l2PFt+NAVD2MqgUEsbJlAFnC87iTb/X2sH
+sYJNAhR8qzdAeE0WOaKNKrgkLgTtgEtAbWwL1vNmuyiIHzbd8E+mNix6ccIXIoszg2trwiytwGx
H3VAjnupj8xSXc1t92meVwkCvwxnEyr9kIG0PXWKJfwIsinr318+fWHr4aUy2HwGTYDQ9gyliCfs
zs5cV4et7/zBhkPQ7kdcXI0zjwKS6RVOBqTSOd0iyDGH1uXHyQyC0DtYySjIoqhZzlFJVEdBmY70
bnRwmMFR74ex3YjaFGE2Q2GVdUSHFXJhreUU5mkH3moIkxS1UHMFSbQMEvLGlTtrIQMKiZFKpm+D
uUSKknL75ZH/u7r1tcvt9vv/d8VjA9yhMwdLaPz8baVy6Jn9/kWbb1O+1bOwIKA4oL8nYAJ96S16
qGdRePs6wJQJ6cP5DxBUkp52HR1GQMccJMwvMgW9QfBWI4ERnxF4CUj8lXIWPlSrvu86ohiWhwS8
MQFvEnF40eXpOR4hg7gwlAfgLXO97ZvPE+3UaBZ2aonjccnkpcisFwe93cvKQG+K6f1tXxXrwTaX
dSrlEeZmy4WdVg0P5ui7vXzBxbGDHT1ZH/tSZZPcR6D3oCL4bH0NFMQzkHShN/FilfZ5t7JogtQK
lNMJ5GKGUqwyKTZDB+LB1yY/71LMYt/T503jyFGwZFteaSgwA+ntMOh43vY8JrK/LASpQySq9tSv
t0s6ZbvFVqetqOc9l91NayiPkjzNtlXHXDyks1shU7EI1W1/lLb6Bs142te0TN+1ZX6eUp5CRaUw
kQGfm/KWbSVd0rNhpHTf1UEMSbcLqsfqj7bosAVPt0hg8EJwxKDXn2H8/7g7kyXHeSxLPxHMOIHD
loNmySX5EB6xgfkfEU4Q4ABOAMinryPP7q7MP8uysjsta9EbWrg8BpdIAPee850bj63qr8CxHhZM
RD1oqgI3e7NoGR+/LnU4xcfedPOewlWDezC4mQxY/c0Jy7Cgnunh3gw26wBRHSVKibJ07ZEvgFpc
WZdHO2sYGRW5KUveR1ovRzl77BaR+WmdTf3ShS5IDhJsR1tG6FgVO/O2Ddc0Fh3EJb5AIp2gEfNt
BPAG9Ytp4Ev40VHUJvq2YoNcZ14doHeG6HN9Jyelr+4LJeFffPm/DI/5Lx6i6M+bNZbYIyXsgzsC
4IbQ1p8+IZQ9Tcl9k8G049bOe1lDti25MXdR++yiJz9fZyqOmvVTl6oVsmEPMycncyuOwWzEEWX9
edL0omwgN+48iIJJW57rIXxaQIOcw2msz7wBdCCst/16aapgsSXa8qKj1rl5cyLzOiBqs/aJc7OP
S0NplMLtG3bge9aUBlrekgUKuijDz6Uer3Bn1G1YnZNZS3VU1u/+cqGu+l9fhkwVrXKDI4NieBlW
6oOC6aqdmYad5Ko7yyjuzoRNTiZLP9lMqD9F3MkftKbRJmhkmeETc3fWUfa0VHyv42rc68dXXy9B
orAnBZ/kANO48CGZHkm7TMdJ9e0RNgdF65st8I4uKmLDiXXjf7cHeH9mE0HUAbMHaOkiLoFi4U8P
OJHJWGP5ommNiZN7nVdfOI+u+FiWNJn9YVs63QQuMhavxp8oSs2+fmlGZ9NzZywYtbDv0EE+12Y6
tNMU3/sV6nZQLZe6hUipfCUvo4RRE19qrfs3tThtKruwO7ceLHJooM22b2NzVoER/00hET/qnL9Z
vah9EhwMfgDMFG/xTxucXoUMXXQGmTXmjyDhprAtt2cWLNW+LLGkHJtq19Jnbtj3YGnfRtetbiRk
P3kV9weHMH77emnVEUmTcAYP9njt69KEkclDDVqALc62Jn71xsaZ77SQQR4zKd7I2IUbklSFDOYg
CzS1969LpJe9IlpfTGOX+9zp8NB768Mlx+/gQ73c/YjP2YQTYOuXKXjW8Qo8ybmGAyP5lJgw//ry
6xINItp0UVwedb+QCzNjlbHQDz/ChF7lEvNXL4Dv2AK7G+oQNlaCjiVe5HcXlvrNcefu6sLds6zf
lEEIqcgOyZjjkUnwj6iigZzyWne1KMbS9/at64R7t4b5ujormCcf5sOA02rjRPM9bL3gCVRE+VaG
3gF2VXebRV++Kd4Vym3p3QTq1z8+w+h/cYtDPwg9PL64v1H4+P5fbdBxUoWVgw4DShTV8P6jW9kE
8qVb0ACt43vZRvR7iRZ/5CLFfh0d/nKBkJA6cXmRHq0PNhgU/BwgWMSuPMOxdoO/HZ++LmAa45Nf
B92uGZI7BPayz3Xt/dAgS0FWRMGp0UN7WKLpWA12BB6LqjMcffedr09qTlBHhw/wAeXI0Qkmtiuj
+a2sLeSTJf4DskTwS3b7aYBJrbr2XFKhedargovROXCyJ8IdDrJOYM8vzsoO3O//9yXqw/wff5yu
+3c1AaCgEPlP6LQPjPvPbY8lsK6GzusyYwseBvMBKltUp8ZwfWgA4tQQDfW0536YipbSe/24xO4L
OlPnJnRUXua430HFhOH/fy69mXJlmd70UwjzFkXNay/NthOh+432sO3jxiz7dujg4XF6WOpOb7F5
wovnOPBh+tAOnF3SrffGBU1MfEYKEIDR2Q3UqUMfcRvk3MNejG1W+8G3xMUSIYlZMiZ659T7v5Yw
CncooWzat8FwGx8X6mkDqA5MNSSfop9i9NUu2op4HW5OIvvjPAcOhFXmbPBJrakCGJd3tnnzuD0S
dwyvwvDpKYzmQ9W79Ph1WVdGjzXhP6hNkq1iIznP0idnoAqw+b0dmWp2XZagug3Lul3A4JwpBUow
Lu4uIcADo8cFoIebLZMvL5A/po3VLX1qwE0XIlHzzXG0kyeKNJdgIHrPSgErcUY/PLn1E+UVjDM6
1adOB+YhNtb5WLfdD1PZ91nZ4W5L1Z554vTZyoL2h6qnl8brzGnki7h9Xbp1Afjae4dmWFubsoge
zeLTsxHkZwzo8Oc/fur8v1vESFJGCc4fz4fvgGD43y7iaK29dpmjOuNDbqlW90avajco5qQCN/xM
Z6891glkgMlzZMqbWaOolHu9jOro23rcNVP7CR3TOjC7kmknq+gbgyh7MgP/JauEbDkJbu1y62SZ
5LId5WZULrkHizG7CehHVS3J6evS9NxsQCYA9+ahflW+nw2mWr/947eMp//P3QEG1oWovLB7Peas
oIz62zfdJ5OZ4wD6iPM464H6fF1qONOCh97deIF7LqG2jTUdgSRw0C/wYfduhXqTAql9o8ZpT4Ql
Bm2rrd5iaN4HoyORfX03ZKHe10FEs9H4/M0yzrbunNG16mAXuvVrLGCQRGMxs768a6ee7sR3avxL
nT18fTn2QAsmzhMckg79tPBnz7bDebdM8XVQMZCtdgwAaC/blk02a8c+c7U1e7X2b0IPL5DrShAl
/S/BkA8oef+jk5f9yKtfsTQQg+VSrDL5wR46IXzhkU7fFz95H1HRZvPvicSfrYZ8piSkbgKnlMvl
h/VxoPkdHPAOJ2azGgBo5fLRm4pnjt9to7CUmfVB669hAL2u9LKqnhXMWEAZvYmf4n3I1h/J1Jp0
aauL25NiatqrGPR3MdCdjORH3PvbpI9Z6lJdZ10vp6wTK/Zwv3E32sSXIW6mLWXkY217qJVrCD2Z
V2fSQPISUZlygqCA6uSzS9Vm1gmqKMreRCXeB/IShv2zXqJgLwCEp0M7/ZiGRuY6NN9Ii96BzHUm
+gk8iSVPIkZiZHaGOg0a+yoCAiIg3FSj2Xp6fYY7lgryyhMATLxNzmxRNxlNqrCl3jquClJUAzkO
467oKgjRve2aTTP0JB1cth289lvvj37uAS/PoPFB3gEYuauDtd4BFpDZjPMd8GTa+0O17V1/40rY
ASsHrE56uksEfCo9J2DZVPnTGVJCovhXH0L3XGax8cCYbdypQdjhzpJg3AQ1sReqyyGt6ewUbveE
nge7U5PHkYhfW88WTeIUcwAmLp5buq8HjTtfzVt3qE0+AFzNvBl4o6eBdOgKwBY5Bazkh5aC95vB
9BvuCPTTmVtHejvbGSxf1KVU2fJElDzincGbCOouZR6r0n72AJcNZFsvzpOj3E9OFABKr6w2nMsh
I2t7H2bnRZDtrDXk+VjtQk/lHoTJ3up17yl64EmtUmHDawxMMsXnSVLVI4AhAJ/QxXMvnlzf1kG3
xRjQOZMzXseBGG1C7Ho76o1daoG9BWh2d9pSW2idkap9S6b4A6ECk1c71vnn0Id/NU3OtLV2eCCO
0Wc9sKOhsOQtZINlQIFhAtzOPgzPJa99eGacXN31uaftH2MZbgWHbrpiCxkrlbIyCXbLKjbz3KfA
hc/KJtfZE10xzt524i6MQ5gJVsg34jgfJDA4i8pvdccBzDk7HepUvlTcHdN66pN07qKnyVZP1o2X
w/RtThSWoUq+g+3ZJs1CgBXpXD0OKlB3dv7Jo+8uGee8MotCuMU9aPtbznX3vcEPbmwJPa/T0Q0E
kz84T82CLJJxGKjfHot5od3dk8lHKFf4s6ZPcugYIg3LLkhLEpd5HQd6E1XEPWvHfrad7VLHtssr
rcRuLLsyGxIchP482rwzjodwSskz15e/lOTBwYBzLdamR4yDIbZglv6WdKYFrKF3SFf9MZq63Qph
j/7CNzFr5wLAG7q8EnmjOml/+NXS74Sq31YVXpsDO0CV7IrB2F3TY6W1se8VLhSLVPcJXI5yE1by
dwyIs4ZdqtepLVgLo5eG9yUGpzrROsyWJVx2a97pKkiH3ngH1bLn7tZIBErgYcXZ2LAfc9Dt55qt
WWdCD9Es+obSg5wT45Kzjegu1FGc4txHvidJkYUJDizu31k0xCdIMBfc8E9RPyIfqiJp75E1X/qs
m8h8MxZ8UUj71GmAAy6tPkfhgj3dU7gJybyjMzgTHW3nng6HsN7qCIb5LPHXNBF7L8Hj7sXSbxrF
6kxxR+Wt0zkwGKbXkYlwJz0FZNsLc8dXv+fqnLj3agk/BaflpkJEAUmWeUV4z8V5wprzoNZ1E7Dl
26SQtVk94+YK3nc2hqYvogEr1yXQdnU1+ZvRsF+u3/yO46p+byQrkC5EqKZam2vrX+nYvhLS3wcv
7LelvAzjfKumTW/8l7bzqpyp6jmaAvjFeqMQk9trbx23VNa/p3GoNo21IBJDWz6xyMIaGYPfrEbM
MB5bmSXx8xybZRd7LE4bsEz3FoBUTem0nT177KcqShMhWVojsAPvasVTufFqkKqz795JjHKvsyiI
7JI5vRs/9cGLG/TgCzVpAG3VN7E47r4S+ZdHqkbwarUErRe1u7bpogICkLP1CAeP9cuL137Pa2yI
Zq2afdD3EP5ZmDW2c4pkEN0GS0H1+mfS4Re1rqOtss4fXMXD08RKoJLt/ILD9q1/UD6JjvzzUJEz
NbxOlcNu2ovMJWirppiF/A0qQcOObJBDG4DOB3TJRYUGzFnsa4yWa9P43U9/hpk3ifbVN96N+c+C
rSUQr/GN+r0oTAzmjo7refZIgVvNCk7aOZuRaDE9Ios9IHvE4KaMBjNwiARsdQR/naAsPo5EvRtj
E1QkyR/A+HaDAIPEZIvzoRt/6mo+aSgd6TDEgAOsjgpwsSZTVdPAgWUb1eKmrEL4udEyyQ23dAd7
mcCp1s1yntE9Z14dmF04lTKfQcLtqXXP/yTbL9bwOgiCsNj/JNsfBhRM4wDU5F9j++MmkruK2X+R
7R+iOjxCJET98Fdsv27hBSaB+P+Q7efRlMpx/hu236zyRU4WIH3ivyaLyZiFiV3PcWFC8ulNa5nz
gBURcPH/ZPtlBYyQVH/F9lflAVGtfwfbv65J7ipSECagXw3in2b7sUMB2TwKK6ojf1zKBonmmUb7
ZfSyxnTdpneQM2HKlRnKJ4VQZgEFvIZnoFL+4tnB7GSrSbFaRCwHn4gMmNcmcROYpivSwk4XVllS
A46tHnkQ9wsx0GKzxPQJ7Suq1BbF0TJdV4t8iQbxAlw/2hAp3EKs/beK6ZOpk52o2LUBEFmIGWgK
BcEF198H2dqsT5J439a+6MYZkJfmT12LTEZsxm1MBMBiB1LBLPQhxClVjE64xdKgWd+4M3bk/oeJ
Q7iOCoW8TxtwCUEwg9jZCxI0qSuRZCEsGKDp8J9c+fe6Uy2Sr+GYBar7QG+KDafqbe41KGi90g0P
jmw3K5C1zSrQJtTL8MvnnXygCUOKAGSozYkJ/7JiqkcmJDKTHkLc5zVENdAOID1xNKALQu5cOz3a
t7zFD4kyvptSHxmdNHCbPjOcu7lc7U3Qdj34K6iJuDT7zgFLLHiSDUuIupBWx35ZPxrXBKlbAiil
UTEmYwhPnk9FOEbY83v0NnxdD6Gj4q3rBN+XBcCyTk5JE970vILzFnEIf2QIcoAHJEuA1p/moN4v
enxVvC7IUq0bWQJ2UzBXoqCa81E6P1xi6gMZkIuOq/7H2HoVJGoDI9dLwNImwRNbvkedfBI96VOy
8igj6AtCd/1ASrwsBs/brOV6AqdVHWuBo8hTWG8TvwwlZgOE62pyi6RcBqBiLZoS4dHhV7U0qW3C
ZOP4vCyUjWJgJjyD6VK9IVWGuv5JUr+8lpN9DRAYUrZtiqHFn4ojqGjsZi3JpcPvTZVRsfh3XalH
RIAHW9AOS7oM6IAjmZg7bcleJ5Da5XhyXe/DK/XepU2I008X7tSKnRO0eYTs0G5AVgO9LPCxuUfE
2ALGY8i1OjG9DYR/RwWeqzj4wWD6ZBjX/iq9YCf1SHOEhp60/RaDEMjWdzYDrMOyILAYkbVYg4ee
sCQ6495JSuJuOxa+zo26ltRbf9WlQRiBzIDNvSt/sG0tL89KDfqwsHC3gHn0Zo4PlSz7KI0p3pyt
G0QrqiEf2zDa64ltwyZBh7OqAhG2t1EFH1hhCJIk6GZrZ1gy6jRjzlf+UZcdSnOTrX7KqrVGXSqj
TT2zA60ZSs0Evb/rkpSX05DN/F2qeqcM/gIyo/+eyMRRCGMd+PWUlXT9JUr1XvrIeEdmPs1CKDDX
aIRC5DrGNXhu5gmZXMfske15kfDMuODHQAKfir1R5hzjHXJWrt+Wzn+xL9CsutxD2O4AlGZfwe/K
VmL6DVnB8kfaIDnnfHd7eoG7y7KYYbta5+Z3iZJ0qDe0ZMjFG/2zC2y778ZhjzzJBmTTdPGu8eyo
FAoyCEBw77BhZmySsEz3hMCFmLQPCI17iD120Dw0GsuSXnuEwOMYwEmAhBIoQ/CZIoyLuQryXqPF
6soY2wTAvtRr/KzSQ7ibdHRCUfPMAHnAVdPFaCJdzJB6XA/7Igwb2suNMeyZrRe+EMgDS9Uflanr
VA59DkdUPMnB/NIGAUnERw6JRWRbauTFksE9oraecJp9jrF57W2vj0NcbSY9fPLWNtuWYCdnzvex
q46kmcB1PraicnIExInYR27DgVtIk6mwYaENP+J5hSJAwKJ61Vkw1Px15X/4CxA3hf9pROgmSyKs
Mwys0Cu8aJgdbBPbALtScA1tQLKA4iaFc5fhLWymLlzzBpB86nXl3Zldkeuhfo38CfQ+V7aQPUNv
yxH1kRKwT4U04KIqMIUrHkfijDi1rqiD4WFBZMt7Bl9r8tpN4HH6+I3457S8D0QW0+xujNd8H4JD
FDVRsTC65oywoopL5C5Li2R8+EoJJ8d5gULtdH6E7wX4Ueduo5L2uWFDg690k1f4e9YO8ndoXFSk
qF8Hg0QG+trHc4I5D8wN91hDElv9GpxIv02ICtBgSy+ty/GoYLhlvV5BhyHoVxi4zBGhG17Za9lW
h2Ceba4dJ6cSEoGCFYXIXfNpUUvr8J2E9VH6mWCyOkyyf/Lj+t3IVqIeKa8To2JDB/d37SVXsIx4
2kDSOSPvUVOD82JN/WMkdpM0Bo8OpDrca/mD86fJgBV0ZIzuCeFBcGU5lsKbDEpbrKVWIIb9k50C
mSNJO6WYIaEBkSVo8WaZ05X9AfdmSN2W81PPWY6Y8vNcr9X1rrTTHtSs7ohcnckjMm/L6Vz/0fIM
sGuCxUb3ul66jIfjlIaDiDcggrO2fOkG94UA5Z29TbMydAguqMO5/aiSft/O004FnoBwIXH6deNB
9aMEJtQ8rTKwm9YN0Jegm/36Slo4yGNEzu0cbj0fA0tGjRPJuJg40breWzuUfv6wjrxGQqMrqzc1
+CU6N/FSRv6YKQAmaE70kjp8mAqOs7oD1edPyybU3m9wcORg2Lo1kmVLwPotoUBMdKycHIKYb/OW
DnLXxUtRyzpIuYfSOpwscl4D/lD3URnIQvi5erCGrklrBNAS0eeChh8+hwOsfMxI8TCOo+lL71aa
EQ4btA14YgCvMIOkEahsrPFeg3BA+hBqgZss5bZR4l42IMV46/weGyDYNgCN661eBIW43ZjV6XPI
36/tgoE3qw6fpE+3ie42FI35riw303gbHGc5DrJPiok3HQB9SBc6/L7F/4fzjikkCCW1oIZJfZ0j
+wjbcEz2Yd7N4dMnAE2kakX5zibkZOvm6k69OSRGAuI3mu2aMjzN4/hLup99BIq/KrGJ+N5bHLks
jWtwbkRjixAgL2QL7NeBf636Chzu1Nymim9tUrFdgHhBeXDsEu/pCHRF+1Eqrcew/Qw/agsG+eQ4
ATR85Nmx/oe8cVt88iMIRh68tk2P/Msc8Z1yw/gS2A55VRdIq784LJWHHu5i3F0DGCE+wU2i5BmT
d1BCIq6nDHLVA0awdDMplgQoYRWHz2zqTg2F+87i5A0HKXYpLt8iI+o98RWEQAc1NoPEH9n+iSzY
xZBLCnD2o2r1ax0UTmePDYI7qSODEfsxShzXrFmoxg9hHOdosP5mMdFtaN28hOKSRrAXopmf7TrV
mzWIg2JgI920g5oR8/JBCUCd8H208gaACii+y3/Ow0ngO+yiqv83z8MREMqzFRrw/8w8HJy60YPY
+n+ah7O41UGw6rlCRWL/lXk4dCXbeBz+wHFA0hAc0T89D4cgsQJe5jDKZvd/PQ9nFWi8RPlvmYfj
TWPuufRfmocD5B8dwN8NwYHR8tqQyktHFqjUn/tPOBBlynidl9R6VxMjRqOD6LORTTbE7hNQ5zmd
B1WmY4hyGdYmuJ8e8V8DSau0g8JZxr6h4GcFQ70yM1qfI1X9jOUSbDHkC7MZHs0KGUHVJqg6zQAG
b/LdFxP37osruq2HihlhSAt7KQZ9WmIqBdgVZ7lG83Jow7a84/iY9nDrAXsHPCnYaEkGGpFdKAqX
S+ysa4GRMCYTqkMbsyRHACTTxWfI1Pdld6rcaLiQ2PCtNOiwyFtr1GcpcAK5HZ1O2LjntBvYskV+
CVJ6kPymXBy9Ph5OorHpMIPrsa7iV9XXLXRKhbIdonpR+voPYrpjGy7tHrQu5DrpDpe2celjftb0
U9gUCUo/dfzW2ZbwRjdTAqdzoNAEqrod8iF2zNn0c3NPMNamR1WIsTrbZurHO4zCQq+dwXyLNoQt
LTqRe3i9dZ8emer9VIb6qaLSPMVTOCD1j5p1Fh9zM9GrEIO4V/5KMaiHv8cjqe5fF6GRleQBmnaM
UdzzsKqRVV/UHf0BsIeAYSJAx+BIV3TEfIcWs+IqbrfMVcvNxMq/zjVaCfe7BtVwwBCD6iZXJW4E
hWxqJzbvHt80dRMcCAKlV1drletewDZVAblC6zIFnWWY255POTEjEiOI/tyTx2UYA6xBbi6OpMM9
6RZ2xJt/b6YGY8ikgwkZjRc/s+hnqdAzwyRHjAPH2cmlJMgHP+hPIWLdoZnhPbD27EX27Kyefm7q
1yVW/R09tXnmjj/ki1qr7deXALy71AuqZrMk0a9uxiCszMlrDFd4qWkwvASy+5RJ65zifhxe4taL
wDE2mJf0+GY59ZhiVq4viy/uTs+Tb8ZzJwjSfbNLVu2/UAyXgoXhbFiMEtQRvt2OfmiR+graZ6/E
LUQvgqlP5dg+R95MMn8hwaUJ8LhIlYXvCKF3n16FvBvAxubMqYaxs5IwD0VpLwmvyoKP/LqWYoSB
Hn34OkC4DQ5X1g/xbpBBfGsDmBxWh78YOurHELYAi+bD1vxHKRz9OviVCzYguomYuLnbTT34KSDy
8zC224d+euK0F4fgweo1vXdSolEAZL35cxi8l4iEzj0mR6+CfqFL810tzcaHS3wKfCjlATGHVcQv
vPRbmKUU7NCMZW2HSyRgKz8S2hl+4mVrpgIK0PA6TGX/LNEpue55rhb9rXNZB5Ly4kS0zge3MYel
TMrM7b3yOKFuClunPFUgx/KavsTCz0jUoUH2R7ELSXRPiOwulLARhpnhhSTSO5Na78saHz0+FJa2
ppmQR3ezPlopnq2yKnQIWyroSOEyxb5RlFsHh3ZxVtFPJYISKb6O3KUYXhZDvIM/xBKiW2uLyVf8
BHnlZgQCx8yxXhZX1jsDt3XzQQCJg02+QL2oOyBY7XagIkw7OvRb0xN6W8K6fcJwmY3tEepv5/be
ShUddZAcqG6Rb4aIlCYPyMOby9OMgGPRLNN9WL6MFA+2R9z1J39t6KHHrLKB0xoAaZOVyLUemwS+
R+tpvfErDKDw/KAFqbz+wP7LdpGMyH6uhEatHCKzlTR3d5k6JEHhYXbhuz9ifCBVQKTVhARF3FcX
QKLvAuPzLt2AZEHSNvF2Rc+/Hcf+KicAKuXAP83oxpevC3Kgu6hvCAJ9HQKU8e8R09umVcBx76M/
JGQEWiukW9sYVqz1glOFsyjBcMOLTOJi8ZLygIwELYYk3CUYAFfI0TyirnhQFYmi3GXh3i9Lk6Gb
Bv4SXiVp7T6ZvAQsLjkpDgpmKUmzYxN00NUKlWNoD9JMWi3HiEQyc8MKvUD/QHmZHTct1vG+aqJt
qXr/Z9P6uVp02rij8612l+UEfxAQhLDymXYhRhmI+Ph16Spw0qT8NuimvUVNGdxbryR5PL+XAFk2
DmyUQ+W5fOd14w+nizDLohG/Ag91RFwu4S0GUZl2yUPYWSHUjtF0apHFsesI1FHLPJSec0kSSDG9
IixfZdteQwdcV0Qnnjs1DH40W8OHl0y/kid3NeoucSoHpsYEws6vIHuGM8zVqAbDMsQ5X5poI8oZ
CF87PDfN77Zsd4tclydPhuqVGfKL9GDViVgulUVTEUu5V5XHTzWVWelRcXbIkCrt07dlaumpjzGD
RpAVS3RR55VXr/4Eh8/I0r3JKYQVt7oSKae4RDVeutu2Ucm51aLBjjdDi0bMprBAd0FGqBtQmBUj
MGRw1zGm+XXE23uPBgWhKn5uo6A8RyAT43ouQk/TAhMG2Em1HgbBMeSpKHdMLrFDbRN/WW6rDfZ8
VdGltKPZdGM9nYSgqDtrsxGP163fDuAg0mCUwbXuYCQmo79Cm0fATFURtiiBVOG49Dx10VS+luqh
rYvAnJY2iI528Fxk/rWbVmNAdvHC1rc6cLaEe9VHNlHXnF22rHlV9h7iXZHAGCiCRTkvcm+6uj1+
XRDShNjQerBUDQDYZAb5H2NAFnud3Sb6D/bObDluJNuyX4Qyd8x4abOOeWQE5+EFRooi5hlwDF9/
F1SVWcrsrqyqO5T1tb4vMlMqKYpkhOP42XuvnRMiRS7nPDfXaWX4d3nke0wcLJrkTCLJAu+hsRvv
oahedQhaF3Ny7ybJEZ9PMCrUUJp4nvEyjq6wDrER3HCb525YVdFts5vQ84PUkLfsxbSzFD1eCWkc
4OsYSPr104TKvQ1dfuaG42YAdDq2TlWenVyR7ULsPWBYs4cskPkxZ0W28tMOE6JpFhc/6cqL1ZGX
DmS205uHMBvqY5P4+GdF8Ny31njDm/RWEQb5crmIVk2wynPwT2qyrNVf55yit/ao6D+eCZ5b6m+i
6w45kvrK9jNrRQjSArMaYDAW3Za/zVrUNiyyrnbLR6cXaj1pHogjIzOXlZ7GqJ74/UxRiivPoZbz
LR8evIEhpXbicmNr9sFp2TbyvkpWbVUNG4gV/jZLnXENcaPZ8AHBMQobZxm3rfNgK3+LqSHDbmPF
T8G0IRFvH4zC/p564zYbwuJOhpBqgRWSUYP8tGwarVilnRhXtWNnALRSdfaHta3cew+QWF7Y1r3h
sY+qg+g9DVO2gEFenyof00snLmYpg91Yi/tM2sGpZ0Ba1i+1E1mb0unkg59LDkRfYwcLq+UA0GzZ
kppYRIpMtinYZRNx9tZBwOoIVwU0ojRjV+fHQFVIn2zY5aM0SBxxXgU3snD9ylmmU6lfvCHMF1Mb
GjszI+3skwNcVATAr9je0Prr9ubH73S/kgu8l+62yfP4UET+u2mpDvvZYLObCLtdH07FFnOgsWS/
Wt5VXlniGv/EG5pfCBbm5zSESNlM1gnzBb8gMy0nAvc4SgJ11TEaXd3EbaFJWdfA7O6EU8sbAB39
Qx8/6KHQH3/8JjfuS0/TL2mgP1jMx+fSykkrEMh/HZ1yzyVGsbKL0m1jVf5tY43Z7R87INF4MDj+
7M536E82dYMdgWvpRLXmaMJP1u0qCVWjfAxEEcYX3DONuLVj21s48DrXZly2R28OQ0QyB2/QBdkq
HwfeRCEwIS9zV4Yvug2PlGKRVLnFVnXqWaPhWQmNpywOUpYS0lmONYHApigtNi+Fz3qxNo4spGfD
xgbfvePitneS9sz9pLiWQ3whs6TOP37RBsSwfMBO8+O3Iv4oIyB8me6oox+4q0Y1za6AgHDElBPu
6yiMjh4A6v2Yx9Uha94sxeOqq2yshqLLw40Zty8ZWa42drOrmn8JG17bkyGJ4CI6YWUJk3RjGGw2
yRjiV7bzx1S11tENQSdEhcLY6ttPQ1dLAu3TgvV1spsYOYgj418FIqtwIjLP8/eYr4bj7UDyzBKc
OGLhk4vCJcOcqqJ9zgcy8UWS5jdlPymWcsWw1BK/uOvYEK/cdHA2P155RnR1nVY7V8HwovtD/IQk
Q35jSINDazwPGGvufvzimgxjJGv0TXEswjS9Kfy2OiVhuGodrbgvW5jOf/z6+T9Mw46N69p0HBv8
h2Xr9sz8/vnlk0dOIRSbZc4N1MQ6KgDOGcX6QyWT9trZrUUkPcefIfh/4rjtD5nH4abrbKlKYjb8
wOKNkwwluYjYOoduWS84VKLr6NQ53CYFUsus/YtmEBXv0oGriSM2oY8BrpQvXlN0q7zl+dUQl1Zp
UgILIj7K5ZsltTSuIbmBP6dE/2bWyvw9xpwvGbyKlHg1pGeZv/+SReX2bVm1NfHqQrFFtYtV4o0r
QxX62pdwCfIBk2Ojc72WPvw6J4f70PjRpeXZDDcC41sh6vYQ4YcrPbt5hmekHYpKJKuA+eK1A5yy
SNVN1iUY4kdi9m7BxwWhfRPW70r4b1NetjdSr9EhqwYbaTFcDAbH59DsxMGvsmc3EQeZIWWQQfGP
MsPBiWoVH9kJPHMjyu7/+FXw+/gSgHhi2i64Gb4rxPR+l/AJSl0PY8VrWTOg6gJW/m5n2lckmfMr
6Bv8JHAHKCtgH2/I6O+8BH/kh35zgvHZDZcfBPZuQxpzS8nPL0Ez95o+ikCP+aP5nmrR22Cbe5XF
3qqa4nCRSO2gI6nCKEaEBUtjDu9m6oLhaLvm72S+/2/fCBYUUP0ljZ3OTHb9+Z/CMajFBUhynrT5
59BAFOZGl6jQQmjrjnYo8HqbU0fuXv/zd+Ffll3+fxO6SySWKNzfjib/UnH9G4jSnz/oL+Fk50/U
cljUCxIkluCSHAz+v8J2bQoB6PQChuQiyM99BH+FKPGa4qPgGgmcPXMgj6Nk7kQAosR7mA+bE89z
uN/+Z9LJ7o/s6m9evQJEGgcnUWebf4v3u+TmkFjTAOif8IkY6R5giQa6+kPWDSAQFKkwTzZj3H8p
i6WrEfsHJyp3XeYvSkciO/pEc8LXWOTnf7dzl7/dowCAO+p/oXM3y0Aymjh3STH/1rlreC2IdDP/
jzp382wzCK7s/ynOXVmExiaojX/euevL7n7QtU/fDZOl0WADgNoyApTigY1RZVOkoQekQ56nWhz9
5gNXcfnQ6sFnFbfN1oSNu44SIEdeG60YCCEqZ2xastJdWaHX7lMcrWbuyEWSsTBB4pyWTu/tVGYq
QjraIbbSd00M/RpoUMa1LDC4R7AjNdaaXgUrBSh14cImWnjROBFRsW4NY7ZsCHTBIf+KJq/ajmGh
Vk3ofBCM5JFkQE0SPguAvG4wVV+K8E74OCu4AU8s1cuvyrYIPii7PetTQA+DK3Zu1IMaJAuDd8Iu
l0bZ3VrErdZ+MIzQfeMZ42Ud9KF51HWGfT3/5irIgqbUgScJvgOJWBY8vkRKML83XXszDe5TKUdQ
/mPwiR/8GsB4vTqyvhh16m8iwy63PfgWs6tDggS9tZJV9GDW9El0Mep3bDrfNDJ7WHfNBSqg6GW2
FjkCKkEtu8flUDnel87oNrrpdJtp3X1aAQwbik870aLVIK03XzffOtithYExV5jcLUTIVxd0jHi+
+82f9M+pRhssWyA5nvE2v62XGV6bpQjBrRLkFIuM1Zc9WMe2KSDFNOOjxI3smT1UmYAInqn3t4AR
PpoJo01sxAea0tdda961LHKhQ6OdZjNlszlpVhAhDNo9QxI+k74YHodx3JNBF2sDAubJY5G4zB1+
4Lrr0qpBYrJFNfbNr7ZPbxqRa3gunOdRBxs8RFp8ykc+5xBAO/NK51FXkc+XNiTLGAhXjU9sF8gw
2/UwyNGQ/TmAgI1N1yu59UGZLr18hTciwVs9diBL3X5bGuI2bSX7cN968KKSSAHY4FWtad6y6utz
E2BGCFKxqaN8jQPYXIYFjRUYwxRsZ6yaZaSe5eRiDmkLfEezddhs8N6JfIaEZW7OR9YBUFnSDu6Q
Yv1uuxfIVMOeOOqjBDSyr4Z53+1zVeiCS9yxGB/dCMdQkt0UQYk7nexQa+HjgUnEHAeczRcNYwvg
rWWEzrJSBlfKcHpxSqjTWjm+Esd8ilzjPAhUeelSruCr6MzkxTunIozF2m7USNEROH3r6/xbbS7x
VLVkb4lKla27sPEq/4BRcOeYvmtkj/adTW6Hyk8ff7SVMvAF8mCGxXOfu9vOr+3D2NYWvj8EBeDO
uyFiKV+302fUiEcOPe+kpT4WAbRrg/UMN327yb8J0BZLiYEjD1KH3o7u7JXFVXnhpzkojzGNV6dg
x5zkcbCpNC9mSuU6bcIoh0N6VhUJJVyIBxik1sqar8F5xZ6QJfeNGsgzqsYVbMXwBJneZx8l77KY
EDLkk6v5H2M/HXNAaEsnjC5mnnZX7Dv6ygNlhxQK0UgVUbFLK/GFtlIvGodLSmnLamkkkOXGiMVi
mt3VVlWfwq1virumef3SsW9VlXznWd6ii81kYUygay14aXNSP8zYWEiCkLdkM+mHyWV27vqdFV8C
N9jbztgT9Rzwi8c6pwuFEDbTMc6z7q3KclDucm8mxrkumk2UF/17ZwgqTxi/4+irScPkHMxUDC68
pxg06QJk83KsOjyKCecxx1FGAFxc3KgwWCsIm4OXog0YFPuq6lbVJ7aJG9vCq9AZBa6GBFHQLKJN
nfn9rma/0QWevyLzqzBGGHtld9mh5kDzcICsh0Si58J2XMMcmxadZ8ULP79j71GszETf+34XL21A
xYcsyhc3shitw6T6iMAzTLsgGUYorJhMatndpUHyzdX52YeZ+eOgJv0msqd0zPZhFJEMs7fSrbT7
YfD9nRVA62rS8gha/ovDreKgN3ZUnMhlXZXOvgydx1AXy7r29ok/pmsrryJaPORNX8ORz74gh4V4
YL3+WPHWztwiWqRxRzlJNi35SU9X6d4nbfymFUTFq7Gu7pumuQSpuiZeQhoZucIfo+DiDGwXAhQy
8jlci6DCrdIpqVboJuD/nb49i5jtYteyskq9z7EK5APJ0YBV7gSF49Wt2kXjhXKbZcalMQ1gjCyA
6zT1jimB7m1RuG+FmJd1iPZ6Qqx4PNR6sBisac3Cr5XxsW5kvUEwcXdW/93hJn/QWi6xHvFkA5xt
jHq30RxzWA1QXAN3ilbN4HPFk068H6ZrV2T6rq4x6MrhlmF0i7ZTLtsse0oCaOjsLdHHNJScQkh6
S/qcWKZvbQAEznzbXTYOOHkm476SKn7k3veiuYCBHTHVV1kA7S1lyNPMk+EKxqB16XvDXjpZtNZq
eLUlbDzwNwBk7CrZy3qQ68gcAEkUGsxf2lU6VC1rqFYuB99OAL9pSwluv9m0tZMcrJ5EogxebO1d
L/FBZZWRXZKiU0fhTKdkzDCeWoeo7r+7YXSbNgwQtj3xqk/VcRgGwCvO9E1pWJZzJ1B4ATncBfQz
glpd8i50tVcxgOCECKxnPpHHgoNt3fheeRri8VTrn0ZsfNi8xE0nWItKoEtM9smxJ8mzMyUhEvln
CwOo7SVfAcma2aG9bvtjGbGmg78/LCzR3rejvkV3oPun5XxOs/6b1m7pdfrgC7jmlA4cJZUpi4BC
gprqG1aU+ci7xP2ucW8LaLBILACLZeWAf7DDfdg7zdkFNoDWrbZtPIJAj7ID0DRjb+XRpxpDqgk+
kzFcQl2GExruRlVdXM6+R6sYP4LO/5xYZU1VdNGjPJr9BRCgpw1kh3hZBeZVOOaxxPS1ho05dlfa
yfxL2vQrZ+J4CbAOsi0S8JGnjH/1BLofMiWU5ql80IyMDgZZa8vWK6OFBd3TSoN2A9mQgy7iYAxY
9h4ENvDBLuubqsGaL+1xqWo8pewbxF4I94tnX7PJnGgZXTR+ulD/7DfpJzVGe5duovqF+w7xuFBb
V5zJ+NliAqJxTF0B+3teXy+mqr5EQmxNtsZEwxgziM8aIM/zb2p4qHBrjqlkqY4CC+pP7KKEWaPN
u0Pb+5gahmE3UCGFiNzypqyKpeYTWPP6+Byz6VxXuhVt9Wx81Cf861FbPkSOsy5zVG2H3QNgGo/+
tAkTqE9eKplt5vJLH8fdYMt35fu38/MF88e97fs8eQy86qaWqQ3n39XI/GKfa/jSBh8io+GnPP69
A8fywkrN6MYYSNq6KWNjqhMm9F680X4czKpfxJU6FG1GrUROEtkCxbIyB+d77Q7G2Qtxe5fgvmuM
6Vvsx3u/yOqL5lizrbhf5mbOoI2P+RxbxbOqQO4ZWn0DeqA6Qml8kSIE3m4lwenHtflftj74ubLn
f/33KvbxnPni/7d3DIv6PXj/GZc2dyj++JhfVwwu5C4TiNlfqMosoH5dMbBYEJaQFsY2z8Z69+uK
Ye4NpddVMGFBcbEMya7oLysG/ojdw7xgEO5cHSr+qRWD+WOF8POKwWb5wT/YND1qSvlkv9tKsY4f
LVeU+CkD79EEjUTL2FZUPBua9g4zun8sxinfsrr/CmW+lGjDW2d8VoFDrYm27qpYwNsq9qgBARFK
eXQqRTZleMcF1CwB/j+NEXOSW9BaEZVXW+vFeazLK2ClL5WEiImiWkddeRQq57oCGVjz3WQTscNt
DdiCsXTvJECCTaZ8CkE8nriTkS0H6m/WeqJfig66S3qmElC/qdHrlmldWcuWp1U9UcgRlehHRXEB
PlJtPCfA9J/FuxEIcVUGzSqJ9hhzP7hcHushZoYdDApjOBQlqssFluZHbtjZazYeENCgAMd9CvgT
759u0oWg6bCbjSDf6thlMh6lmlNTKWjb2QWvV0x0kodR4VOyoLfbzFz42PKLjjPLps1mbWohGqWo
l1njWmvYzFVeNauxMa9VG15NiULY23Bfa2HeaGp6bcbx0VQRwSrJ7c5T1j7uIu1S35tjeylqQSh1
eulYW9oBVA6es4CjU++96mh6S/rvnc9Ti4R6taAb7pNE5Cmat+i2iz5m5xuCyV9TJT5TMvZT225r
0Lb7Lo5OhOjXoTIBuarhbBMHITl7X3Orz5uqWFmlA763Bqbt+/qS/JUq7lLKVhaOK8kcs7bA4bXu
eeZzhaK+BniAtKLHMdgYuTeuGcCmRdLLFETKgCwE4d7q9/8ZLtaSHs254DEvvWf6OXbVzCTu/Lug
oArSn8JsSzD20BuxdzALcUfxAzyIOaRiE9WJMvMtib2bQg+Sc1G2VCKGw65VyJsBhXoID/GuSmoL
BwRn81xXGdNbCdmYDh93M3lteaujTJtEnI/AYL+aLq1PUV5m6z4Cq1DqD/q3IUuDXWUxMJlNm2Ew
xDlD58pr5gxHb0qsBXEukhrnai7bdBrxEsT6p+ZwsUh4Zm4Iga8cyNEpmvCZe/lwNesQmUsjSwaA
x1QpX5hvv1Rz1WfTD93WtJNl5GQMigN9HJAANtV8n9TnslAx14Yq+kPVXCSaBFDG28ZZFHEKPXv0
KUEa1/pcP5rQQxrNhaT2XE1KtKmE7w3tt6e3VJvah9SkyLSg0TSi2XT0Sp3lCmWnXLmtpQiyz16B
CTRpRB1pRm1oSJ1d5dij6sIsV10GsRRFJF3XNU6ygnaaIix3+G3UXLvKAiZgUK2++7x7SIJA3aG0
E88V/Qlj7xPeyXmLy8VMx/I6eGnymavZuqPKykZUnrq3PAYfsBLQfGpgv4l38IK9CD+coFpqsKlk
DYSub1ky7BMM9yrt8FjVq9J8zpDlK5YyYf86JXQraCFNU6/N/LlYH8VfRbONNJqUcArpVIMdadvh
EnsfldyJeMSLouI1x3qmee7ExrGven2Y4BRX2qvdPlvwgfnHBZ6x0HejfalgJGRi5OtB1+Sj8vlQ
tj7ChC4s3d54HDSeHtPb+A07wZbvLNWn4bKmFGUom7Xw4del8db+KARKZfnWJM6qjW1qYLwtloPV
8M6ZtiLT2gh6mRKYK90NXJSdMblbUE4LwFOLFNbBpACcsJl1AzzjtFSZmkPrj7eook3nnMus2Znd
6CyhcwwPZprER8MA1tYg1u8iNyYY6yqSV3rbk3soCVn1+ZMw0vjSuDSD1Vp+jXwtAd897ZIglSw9
DKAbwedYErzDCWvS72KU2wBj3L1jTC/U6zZcw6Nw7Ua3vAu9QzXxFw2DGa9Tm1GszXNv6ThRtCh0
9ypofEGP9Znu06Rjt2Af7SrMLxBl+G4WbExGlo4LVxpPeuRiAi1EyMxWkphw0KMDptBV5hjxGSgg
RiyEO5dZm0qnYl+XNsavwrsLjWYDtcVZhp375qBVN6PZ7MekfcJwsDXNpl6YRv5Q5wE6HDmPNdBa
Y0Hb3I2RjwfhJB9jPGJ3rONVUCOGSgUXRtDEyUpokYfeTVnbnNlRvi+LHn5EP9uStOndwEy4z2zY
nqTUi2Vm4neWYnhqqoZG0iAKYF/l/c7Hy7n1e/VsqMqE9572y8gkvVaF5g09bLh+Qu/B5N0/MKUs
pMMq2kVsX/bcqXliTRCCEs5pEUimTnhCpOtj4AXEQ9Q5K1uwdxn4a5DFa8tJ6+WA3Uwrh32c95B5
Z0PU/4yh/1hfiMl9hbnsb4+h/1t9j+rit3PoXz7o174QxkV37o4k72bpMJt/mkMpRaRKxKP62oYO
On+qX0C88k+CJkr3zx+BEgWL7pc5VEDvdRh2GV8d0KtUav9SsfkXJukf1X+b8+f/jdXEdlDggP0y
CoMDFj+I0z95BShPtuh4zeqFCG7h86fHSAx3uq2Fu67kAjgW9Yo7XrGRAXh0M4LXZNfGFsKniRfJ
YQtiQaUpas1bu0XNfS70x1U11+ZM2Dl3eL83naz8tYElZIGVp1yyppsWbw8p0vUicsNdmw3vLXVP
azN07oh3UbhDwIrYWE8R0ETWjibmgAhs6y7rieckEQLbrFyefIg2A2mDmUshw+5aZRB2HT27rT0I
GBntWMLqvueVxrkzFMZtL7buKEjvpizv7FoBIA+aHXZhWn4VLQ4jax5DUpnRyh5JgJ2oDrCRd3/7
UhOhSztJm1jpnoDkQKAz+Cd0A4uj2DBYzvH0ifd+gzEsp9tskSj+oiEI7mJlfeHWXNF/tPV51q6F
TpE2npdvySzCmAP/c8duu2wBzic4NjMB5NDHGrMeI7kPPM076slw1wPUDyLb3TcJIy0ZLq9C/XF0
eSTj527ZCwQri05xmfrmUqm+2NQDk+9QUxDal8UHqlK7KYjtkuiKfR4UJzdprpHlGyQk8e8PmKSB
BjotAeI5UaatvZK40zQF38gCeKA8aqBQwW0mCA5UZZYscFfymFZ0hHr+2gIYD/P8KWsgfrjFGG8T
LLlHF4EJgw9I06bDuxXigmZhPnxiXbNuqYRsl3GU6ievcbKHWtj8aBxgtW2Qr+tq4AmgrNVozx0g
NO9NTnKMy50YtAA+iPC2TlMzaTd9sJcjeT+J0UUArZIZuB0WTWzuyd91h9qQIdSaSSyqBqRWnzU3
Qetvslg4u0qRrp5i/YTlsVh3Acdx0mZqURDOXCQ2UxpQ+heiYGh7TUy/AY8UQgnps1XoC28cyN6r
iqd/N24NvEWR0k8c/rjRmFvgV4znkHKnQEvaPSzlt7KpefhnxmM/lV+9uphj9cXeOVmLJPnOXnSf
kkrf9n3F49afDVCgx8r6vYi7jTe2H6mCtB7nQEz1BEzvOJ49AptRah7drDtrffccpS3gKm5fdjOG
x9nwm7mDPpsraMRhM0bUWdxGIj2Nsr5j8XrhaoECKrqzq+lbF+AwagksUuHuSPvvM/pc1wQeXix7
fHdb9WF3TXRS7bdcm8h1DlV1AMO7a8eiXFqppNYt8J2FZenjarIou2rLcBMko9gEYU0pIMWSGT+y
U1LKFEUAIyQ+qnhHDfYiB0m+lLniQeanB+UwiDUFrygM83eVxUNZ5c4NFSLM+oT0jSS/G7j1uNCX
103sTVh3p69eEkNIBlNuATski9azXroZ6gKWh0Jtzb7VK04wFecPnvFhFghm7FbvhRW+t1yRsAzX
DT8cdRg8KooKksqmZCSNgT1QnHQKDJB5NrWyZh8cuwFDGmvNdSqStdfFUJSofJb8x1Dk94nASs5L
O80Priq+/Ig/U5pLEFedSVVshti790obiYqminhyHr1C0SEaBJS8Vw2XsIYpzbCWlg0hiDbdo7Lj
favu+jH1aJz34XHMOW0DocVxNpQao8aWHUt3IwGVNiTQknHWZAZpAmyldVQ9s+xYDRaNAHph7WJD
o8WXXsXW07ip1PqyGiTltZOHSPgYpIEDdMUx13ZnnXy71tf5yCDfx92R8ITC1xTfuyKPl6o8wuOK
74WcVT12Dq3HTtLJM7JBzqdT++5Wb7o300cf51+Wpop7S6F/gIRF2KssD28tJqAE6kkuB4jOSURq
pTn3jUEiwwq+eW4/Cw+6pEAm6U8lgtV9LZ37forLt9LIGS57xMe2HhjFOtakrOfVOsqIh4X4DBeG
TDt4aEOHpDxTAqOK/UPen3R4MiAnBrnV0xJ9kJtgGxvV0TbbHsccDo5uzFZ8k5tNWiLIM/9eOLgg
grH65WkDZ0WEJvgssF28hvqrPQ7pmROGz7jqOy+753jjcmkbuLP7k3DIJvuB9UpQoHizniAhTDeu
mR/JK4NBtUJ5sIx4OaR9vRsmozySxSXkjv7HMMzWgdAd5TGWA9elik8glCmIi7jf/8+Q9w8OeTMD
+4+GvMX3+HerRlaK84f8WrXgGWSqKHcjBE2/m4cv6a+rRunYc2c4C0cw+bPR6Rc3k/snSNFCCPy9
s0nOxGP0i5vJ4Y+YyfBIOTpW4H+uOpxClt+NeOBUhWswKVo6Do4frQ4/G+DGye0MrG4p/o7+Jori
T8YLZhlfHtyedyuQt2sdGmIx0v4FL1Vjh9QfDHYNwPA+i8Z+13VqCezvCZTDTQzzk2x5de08bjBu
Ep4p5z3P0fWms/F1BNpBlkweaczeTdnRyiaRvlPhnR57XIP0YYMTBugoGEJC3WJa05CDCVik9orN
FX3TKSe+8Sx9omsh6dFVSKd2tp3CujnydRLIFPIjTcD7e5j5iYQT0HdQzl1miLWejgvACJQw11GP
uxJLeuXzBQHf34UFVD4LG24vyve4SqNnS3wvA6CyqtdBHfAsiFkbED8o4G8mEN8tJAPfojIypfuK
os59EGcC+wuFYRhicehvhiJS2yjNbrKQfjuGdQfVJGQ56TH3WAnVs2nkvXH/5ZE8EAABF10KXAUA
Yy8g5C9EG7QFeD4KHGbOkG2qtalWlUzlMS8b1nb/MBu1txGPTSIWCJl/j40qKY1Dn/kXs1Eja4KU
7hs7EbHOa7y55/u/LxsV/Vjb9kq//FewUY2ZjWr+/8RGLbxpPESPkJmw0ln2aycBZubs5ruI3N4f
sFETXJZl+NrguWxnyGxGRaVh5DvK2A6ToHraLtsvXQQknmC8hEi9GU7OFkdnQ3Bi2c2qnT7rd5gT
XsZZ0dNnba9H5EsQ+4pZ9Stm/S8IggF9lrXzrA2GiITNrBaKWTf0ERCbWUm0kBTtWVucZpWxnPXG
BOFxnBVIHymyQJK0s1luZCCJUTZbvMg3lcdv5KE2EUakpriRuPyXOtILZsTiGjQBMXPY8YtK2NVS
H+6pa6s3HVJpj2SqZ8BT3fGLxLwxK6peig9p8h0cGDQJkoJnVDWonhFB+cD9f5X56jEyxmirVIdT
wgrPdU1zk04LJ92BQHQ9y1/KgVsqbcSAQP32UGXORZ+V4IKNQFX0cK5xtPTDA6Hvb92sHZP2Wemz
mpykrcYeMP8yY4MdOIpznkfgiHy1Gn3pLezR8QnGmXclQnWLYK3PyrXdG2SM0bLjS84Qac4Kt0Tq
9mbNu5/Vb535jtA3pbmzMi6RyMNZKw9n1Tzq0M/bycIXIQDsz9p6N6vsgYne3rf5AyxfVsizFq/9
UOVT9Plex2fozpo9d9YVK26feplrXuyqWdufZpF/Fvtn1V8g/wNJnxeC0UJgDBAYBJC/P2ld/ugf
sSlGU3FpsBJoWApoWFz6n/3sM7AxHLiz8yDCgtDNXgSyKN226es128vmHLbBnvJjbYUXmtoNi15P
8ttpa31PZ5cDvhFGWYwPVLGhCcxeCAxB1xJzhJNtWZh/62bPREPgeRniDGGCvIeJj2dAsycU96OY
HReFSFiNRl801u+D0j2XFWAdI+0lS0fzJGffBlmSYA0dnZ/Zh5Z9pm1/yoriNNELZsP/RxmgA3AU
9arXyD6lblzuHcVdezJidL26PiatSpbJ1NcHY6ATg4RkWdf9XllMBOmUeSjrFQxXekV6VxLMEo9T
Tym053vngPGBjtHxpm+hCtCg91GktloWwMg2fn2rjdXFLvBWynkV0yHYEWN8S4bZm0VgDuQZyexR
+nvThJPepTbmzhh5zaUzmjvkaGxb6V2NrjxXI6sllIbXPMzklquuH5ors/U21DjM3QfaNdati15i
CKzN8MYrGI2qMtpnbXw7hBnf4hDMX9tCETIQAbL4uKkMiupbc2JrO01v5VQ+B4OFXmIzAlB/kq7p
PI91bVjDoaHUqOIH+CULXpR0xmgLrXYwWVfpU+kDyCXweXT7KYcf0b3kbkvxbVv6a/K/cYincaRj
6Bh1DesHcvVsKaZ0LdKKnoXI2nMR7qmDNKiqjpOVGTA1dXkVg8cbN6keaweVRRgjinbLRXsL6Vxs
B0RGfwW4UKyiRoPZSvYiL6iBpIf0lJfTe5P2tPeFDiCe2tsapfmRsZEmhd0y9oi0vMh0osyCt1nm
JrwbesoHAf90IWAKnCarDIjN2SzezHiKD6wuAIJE18IfA9xJ6WuZjU/KHdkrhQrLq6PKA5p3eYhr
SgxoiOHt75m3qQoOTslXn/WBwJ8ycLGewm1v4xUUSj35OpENEY33mMQyou+sDUqq6gimqht4vxfp
ZCweGtmvQw7nNhIfiQGRvvBJhIdND5Gp6Jfgcg3SZTAIPJUbL1HwPfNSWEdarJ/Zka0LGAXEuQd1
mNpdqkaaalm5rcIhWOFaqS/9qI28c9gJwmdYyFi+NS3sBGIuNbI6WL8SCa0s9HI/lP5pJJ69N5Sa
SJvaLP9b/YJAtUHiO2DNuZkG7UGWH9KB6Og1L1LLTmrSvtuthmNKbRnKF9xJZxZhcY0VgKfUe5ga
n1htsYqI0AUwjJjPf7irbJW/gZXcF3zPe1PfqZktQp4OX/OlZn9VivSt6HsaaWAt4t7hHqykfZP/
G3tnshy5kW7pd+k9ZIADcACL3gRiDgYZHJLTBsbkgHme8UL9IP1i/XmWpCqp762Suq9ZdZtpIS0y
k8zICML9H875TmxhRJ4e83w6h+hTcz2/SJFedcI53lu5eeulnEMOUZ1FsMld+7pjfoiTRztORnGf
RZAW7PQqm+xtYOFgnBPX7+JjNKSb3MbuNrtHWwKZL4yVlCX5mhpSgxszPGS9B3ChW89TscGLCgpV
2w6p3ArczYTeWrumap7FUt4rU3Uud1ZT3uda+oHEDxVRfjI9PqeSPV0TfyypeMjy4TwnKCdmdYUG
UCUKa08jdNVr+Ew7hPZBuynK8hK0/XkwmmsJ02oCpEqO2X5sqOmlABpGglDVrrsegNWIpzc218Ow
ny0GYz3z6HI3Eh86EkcH23pdN0y2xhGUa3gNAe4BC/I1zrpXs+vWgzacu5/fXtapZLGcuqR5Rmey
zTkpatN7KKzgqIZEP/4Lh/XUM9Dh98e+QMiYv1oa2lBCGegcdonsHnXd2CxFVhA/O2ybkXFZwmNG
D4DYvvS2Zgmr3TPdZmOylTSverd4AKWzXobw3kudK61N3vWU8oAgAnKKSSsFvccgY/hA59FBfKjy
5FuXkGBUk5zqWzyZdBl3ZvJeJC2j2vE9yTimpOM4K2tIFNKfFCyrY7/aDdWNdyH4oYHUQ+bvMOfv
7dSRMHyTXErP2UDXmZ5Z8RqJLVeNEyDcHSuic9odzgyxGUVXA1jf9UYonlyOed1r7PvJLW4574Fn
iulbTuDZJoWniRJ2HTWCYW/kvvdere04Sq8ZOlsrueif57iPP1qoCH6DpzwLkPvPNR5qVHQm0dwl
hRkObCajZ3P8ssPoqx+qz7xv/GaIeNgy1KCpdo8tbaa1Y4Jm62JfoRTocGSXZpJte1fubKgqKEzU
en9AyS3of42RBWQfvMwjcmDXWOBUqgWDK4wLfztfSX5sbA77qSgP8FTpXY1RrDpwC37eORcX/AN7
QnnvtvA6AEI0IJC1XY6SopqUDEDEd7lWvXvG9JTVzWmuRX8/Rto7K5yNg5GBqb/2ojXtI3upfl12
jC7TtirW7dzo+8q5GtVJWyD1PLba+EqgNDPq9NnCDbqBeGIh58GtUWXazZRmq79mTX9k1mQw7HHh
Qf3TYZMSthX/83/8ZuL09y/8deQE3VB53eT/lu7p/MQ6T7AfJPST+ZKwf6Nu81x+g1mUbSFzEywc
f9kqsnAkaQfNHGMsE5uk9We2iqwhfzdy4mVZDi/ARiknLEZf/P4/bBUjk3vW4mFbYd6nsgy0E3v7
0Ad4J9ZJae41zyjWPxDEOVYbzq3/lxDE1tRSqcP22f2fI4iRdw3kOpCO/n+FIHZ6ZlyycCHv/1sQ
xKYw3iKAEOxfWZj8FyKIg5A2acDk+GcQxGh3x4NnJf8aQQymqlwbTNeO/+UIYhMnOYpwAuwZEv+b
EMRzLq9rjIC/QRBHo12d3AlT1r9AEMNSNE69jRfkXyKIWSGd2mr6jxHEloTAg6zu34Ygbu1F+pkR
/3+KIA6SHbf2f4ggtqheN5r2ZxDEYZmeHOAy/04EMYE0Aztr++8I4nIoyXTCJ/mHEMT6C1PsP4cg
XvQJqHZY/yEEMV7tbWblsIjiqrzui+I82WREZHb1KRB6ZZOeHGpt+NDt6Wzj8yGu7cYdg0NrsQWY
8kua1fT6aXAxKsw9cMYAAxdmvw1SHRfbJQDOv0oz+2yQSZMNONXq6AOofbkOS3lxinLD33aZ29zw
hxBj4JwSLCZjhxS5KLrth/D7JPsNHfiGeVC6jvGhr6yw0nxN2tUm0Sp/NLz+YoMj2YuGyK8+RJTA
WAU33pyRRjiCZ7drn92mMpq40VaApCVMBbb3gia3CpddhgzY5xUgbWbeZszmd3hPz33s7lxnwGOD
IKKOjIckrq6ZE7RHj2rVS9FpX7Gz7vFJaMMqQgviGXx51s7pLsnCK6ex26Mp7LuJhmnhSh8pyQED
oQWlhY5LpcBtAebF+lfZA/Im7dk+yNp+6McLCQDNGiwgugavuUvI1DWy5L23GOMt0CwxXrYElLJg
DgKNVIgwRIjtbcduvDGRp9cJgXZ52DzlmbB8+t31khV7D0gMPlCj2jhhdhp1BxlKGy2nzvPgljkC
WpL+nDjAwAtnNrdWM1dsjhkwBe42fig42XcTtOYp1R7t0DowtmgPGPz6NX5pJ+uhkbKvQfXXMOMb
stVsrqNiBPIdONh/eBsXPdkVAo9aOyHnsQh5XulV/G0gHSEaIbjXjtziES+2pdYkx8ALzrAI0k3c
pohvYllv5io8TeOtngbVbg4akhkxTQakb0EnAbHEcmBnkMHGmzMSh6t5zTo5FDHhlxqBYYZML+bY
vZVL/85QvOHOHL7NnTmxsNKYJHo5WMO0vl+Cz9xpASqTAqCctMTFz0eAqPsBddo+cfR4VeU03yhH
5ggGuubyK3JEsGnn83MCS3/jeXl/hcTGj4CRya73PTZn4QRRZswxTQ4x7KZc39hd8lJ1sKIm2kdL
EiDc8TPER7zVuyDdTbp5ScLyBI/sZUJZ5nXtZp51HVkUYgWCtd5Rtq40ykcmdr1YG2zwPfM6nitx
PyeMQ2U9XRFzxnh0G5Yu2Ng0xB7ejgwYJqdaw9rbxEbIgwzNqc2cA8GKn381NX+kqXFcwZzhny7Q
H+P2s/+tSPLnr/nVrAO6A0sm6kOkjfIHj+PXDbpJs6KjX7OxyghDpe7+XSQpdISLtC0WS/bfiSQ5
bFjJ/yqg/FPtjE5j9DuRJLQS5JZolxxaGxbyv2lnUBg6em8iOZ+L1NumyGXCAaPf5OhQdGOjX4UN
QsXWYqjeKqimxx4W4MyIF/0GbT2hTa7Y9pp+XWrVNdr4J48L0UUAlaKFqauF7EBuMTsejnCr3jsv
+tSt/r1beqRoY/Q6Xdn9MYLuKYLkKq8gAmgTGw2PwRRsotUAFPvdInLbbPECxVqNXtvJoJO62nmJ
sTbWoT3Ct70ZwfFzYjvk1YUVW+xnR8nsZQOPPS9nBOaTvA0LAo4RBHbRwLPuZvVDGN3UfQH7warn
TQ3ivYg2pizHjamhIIKK9QLOoAB2uDYl3QqbLwCjlafytIMVQUICqpuJF7LSXhGl64cp9eAUgJwq
jVXQIIuUA0LzZG+kaYqErLgOokECkJr6taFLycFZRf7SWndiYIiBPFXpb5pVYgOLyOkz/UIvDCzZ
ze0yPsG260+WZ+5cw3kwBYYcjVz2teNGX2355ArQVaVKcSglCzdvQcMdsfbSWBPkcvLLJrobKtMn
w0flsjGNR5iN5N4TuGaVtVwQV9cM7W5CIa8vEal8TC2txXKOMuZinNWHjgtyE9RkM9vYIu22IwIF
VCYhUdlXry0O+2/EZR7Tq8HAbNCHM0P6zLkMPXzOr9BmERQlOzGH1QG86Dof03jLN8Eq7ATnBnEa
RzWOTSe5tBaiT/ROxcbttddwch4tWvLtnCFdZdlB6FDWXvKELw0NABT6WL26o/HCkSrAWMK6EuWR
UKWxw5WZRqfGI7PGzfH5RhpWBJB/SC8Raz1KzdC3Ux7d9LW17Dl6AYU5/Nyn74mWjzdjbR0KYuPd
AZiJXjxqhzCfnu1sct+9CMaaNgfXsk1b3tXhEJXthVDF4BDjUMBV7R0SF4H+JMiyCdEY7sOFWWiw
RUGBXKv1XOL8kPTHpguwob4mmPqAZXohUqf4zLLGYCkHE9McNUw/clxZHlM5hnFsMut2W9fJaRlz
eSlN/TrtTNJSYShC9MfnHknb3EbushMx5n1Ly4q1FyIYq2CcXQkcWbiZRyqlFphxY1RrabFyGu3e
WI0G/A0z5Rkx2EfmC5YGiSsMc8rsbiLDbI+wv1F9ZewwVI3nFCt76s74EJ81q0XC5l57VDwmZj0V
NborIXHAomGTUgbOA4mF0V0t0uEKBtFb4ukvVdYaQIRNXiV3uuBuD7G5AzbU1+auV1d/3be9X1lD
4QeqMKipEDRVKmTUDIsqHowfZcR4u1BVhAnlRaIKDUeVHDyk50oVIZAR7nmuim2YF/yUh8qjAezV
KDHPBc10FgnK4z4VG2oTQsubsBdnQaBRa4GGgFMMMfnUQLY91FX6IEUCzI8chy0ppmARgiw+m/Zz
MOSPtRDUxelLbI7Sj4V4nwvAsmGXPKcNLSlY5dexHkjdWayNloZPYf0wGLiMEOfk1BJ1vmk590h4
mlaxclyNmSavKM1YvczLxkpBqDjzfDOZIULoInpK3Op7CDvRC/vcz6rg2U6fIpdFrVYCies7KnrQ
dmC0Ay28ZlcyndwWaYrxIKPBQ/29zDswlYA+cUlmyB1LyhLLK8YNi/wrOS43CVsmMO/ZoSxJP3QL
/Ei9Bm6YnQunldWz66BOLQ0iShcH2r0AJuxAGZgrJ9xGS4gKC6MMtpIBKzd+r3ygK8hHVr5BPzQ7
APZ9mflFB7Mhl/LYRRCR69wcV1WWeJtFR9rQxmBWxq7Zsq3ORhPFQURla4w7+EUuF0/zzYNUhdK2
5FzNKJOaYUPuyOuoad9dlkuA8svPpOle2PHWMuGM7HKExL0H4rjdCkTIbFAWjpHwNqwaP1U6ZYDy
B7eNPjulYC7t4msYbsgm/0Kk9Y3UJqL7kDxrAdrnEBF0ghjaVapoT+mjI4TSAsE0ulUSsiO8VlM7
s44jiUcWT33YARQw0XFzbzB1quZnV/OQN40DqmwHeRegVQ72RStolvSrSqm4+6x19lobbAcE3nQW
2bp2B/4QY/xtp6ln0qYhyTeIKPm+Sik+IhnXZ9JKUZBrNvk2dopTiw1cuAftIJTeHKXU7E+Sk6uy
1+Y0nKtF5psuBfE62LYfKN16qhTsnetyZc6Jfdsib4+Vzr1TindDad9TPLjEnWXNyVHKeGAB0cEM
Hi2lmU/R80pR+61N7VwpXX1QunA/jYuQYDlaG50sQebfqxonHZ0eq+RipSPTb1Hrm0dD6EojLE2U
A+0lcqFhwz0qM1KvPXfutqHIvmfSkrzc2Fo5WlVuUbORWIhVYFGeAbPBPVBA/gRLHjHgS/yGx1yL
cBoMWA4MrAfWJLzTjB7cU66ETPkTfrClSywLHdYFU3kYEuVmwAj4ngY4NvOOfipHj23N9jrFAkHX
dqcXHBugtqqVCM2ON2Svi++xck90ykcxKUeFVrBHNZTLIsVugW7uyvWGZ0P5MDLlyKiVN0Pgrfix
TEmwbSzKv9E3VkP+MERU5e1I0xEBQbcjJl3cOspa3UakjvAjPYQRvC2R3s4aQYE6phEH88iIiYQZ
Fggw5SvplcOkXr5EUrl+6bJL17k0VssM8LtJg4WUULXsCay7KGVBH+n9W4SNJVV+lvvrRnKbaBG2
vSSGRwNIjAjW8CCaGh1JFM7QaRiI/8hFNz+XQLCRHYcSpjgZsJMxcSCAFAOH2iRA4jM4oZob+H91
Kn+sU6G9EP+0U/HLOP/e/Gb3Aljgb1/1a6/imEKtSGwwAS4fKr3Ar72KRxcjPan/rVVxcG390qvo
P4EUMC2qThuI/g8N7i9qX+8nT2B3dPm+CF4N+0+BBaRQvchvwQJYzYBuWiAMac7Ui/jH1YsHiceI
dY2nzMFKWZT54yQ0iDFSYpCpSvzFt17bfgaewyI+uE3G7pDWCQVRzw/j4k5rLSWmT2/rL6Cldy3j
LcQxh75I3xsvOJlucTf2CcnMxM6Prbt2wjuvvZFkCSME2aJ1YDsPSqiEu5Pp1+QsH5mmvGh4I3rO
s3gyv02m+yaXYt0MMGJ0CX04IOxtWmJmYXm2ZXxyL4HOt6mpMB8WtRZmzDyHB+9hO7ZKo10TKnGb
YBO6sl5tPEGexkmvkMKgSCaSpQY8ydhCV0QUf5aW8SrBFzEzcSeY7c6AqZuBcZkA5nGD+WDF+htK
mpXTmR99Wn9rSBnZClq8VB+ew87GaUYvsrVI6+vwAdluTTIvK2D3W0Lgx9Rt6rr6FnrlHTEt64Fj
0qCyKkvcMIFBODfUe7A0JFUfbMPGsxwFfhuMG8+qO1CAPTt1m+YjIgs90N8b92KN5ewneZZv84Bz
KQuZoxVJckvaVOM1e8Q40yFnTbsqZWCuHZh6ZT4RqyiyYxeTbRG0wxbFFd8WJ3SOzWNq9IicCZRK
DkEwnGxZu7INzWAG2l+EI8DfRVVCxzhs05KZnoX1eLKI8JwoGfQas7M3m36ZCoVKlT5a+PR6SRxQ
DOUsNnoIH8tc+s+xt1a1eMoB0q9nYmz9SA9PmRUdc+1JtEhYDMGxGuomTL1aXxsuFhK7GMNtnxWU
SOS4HnTrdTYRWsGjiv3yzq3m4DigADhkUX1TWRlZdgt6ENhk+5geq8wAhge8g61B890YEzEQTruJ
8pabjmFtPUYCdpd9LtN5O5vw1quY3BKUlKTkbYkEa4/MEjOHxBRwA75nvQP/LbeFmlmNo73p7P6q
RCa0cuLQ2Osd14xL0VnHMBgo6qcz87sBuLb20sQaUS6Jvc9Fdx8kxY6CDZfvoSvIuRVJiYbRdF+7
SKcLHhCIEcBLX0DU/aJhbWTikOAzQvFgfAW2/rJEMCMXZsvcbevY0chNTOdNo1rwKLrBE1c9TAk1
IHJRP6Tmj4dM4stD5tkR7GCmwMXc+rlXLX5rhoha+PZuCat4YAigxgEOYCY1INvUS04e7ZSH9E3Y
D73MeA/qilqMaSJBOSt0YBkRuMmVkbnHLD96xzKEH63GEgbziZ45RcG8Qqq5hRpg1N74NPeJIE3T
50fs1DHpqJh4DEw+RiYgeYReyz7zFC25cvBj3CeqB2MdTVXKHYvKijJ+nABXhwCjXXAWc+O520xd
gr26Dm11MfIBeNtZXZYo7RLY8FygRbGYhIt8IqEDEMIda6jLFrxX4schnm2u4ZwQgU2PIXVWztQ4
j0jtNKyZN6kgzk85WAF1mqsqJXuYIbm1LofURGxW7YTyvvIYE82spKh1CBhJOWQjrLJpNmen1rjE
ypMzKneO8cOng2HHUs6dMAsiP1Funkn5ejIRoqUEVLaXmH5q5f6xlA8IbcbJCfTlOnsplU9IwzBk
KOdQj4WonCeTBFHK8nbK75uR/JZ5FZtFdi5lfwFyVa8M5UjylDdJUy4lUrKtIyA81M44mFLlZUKD
A3wAd5OjfE69cjwt1KV5HNe7FoDfzlC+qEk5pEysUsiBmWvLpt8Q29tDe8BRlShvlaVcVoQ28u4q
51WgPFi1cmNNypfVYtCqlVMrVZ6tTrm3PMub78hGxKZnAoFqVSuyhK5z0GWv3/KU3wOjwudhAwFL
HdqtXvYQ011hXUK9zs5aTVsrdh4n1B1AU9cnWhr5axRxvFYy2WB7R7UN0YvY49i6xTLrN5lJjKdW
VKeEdKqH5bHIsTyQBHqhoF23lb7Lo4iYLM2J/AKzsGT/gjJmJpVjeRbNkBGLt81T/gj+58L3pr1B
nuW6JMl1E3TkmywmGDzQX5wGse63ot8v7lht7Xhqd0XcsbtxI+z5mrWxJ60+p5U6eZ0gXBk6R+zY
t4mP4zEwF0Kdq/RDLHpzv+QG2kVD5SSTdcVtlq/BgYiIKUEN4MKit14HyC0ILnJMjrD8jo2NXKVT
xJgica+ZkWyLCuIh3Sd0WJTtp9Qa10sY23unUExUgbrOghbgBoL2JyMPoC9eMC1n/oiSy5ca0Z2Y
V9LgI8/cTa73UC+LSTuMxtkdkbG6hkg3RQbvbzI75LiEtOI8fvHwul3lXgi+by6Hg42bUrh5yjPZ
3XLJ8AxUz7hyfsy6LuDF6g0nlcuHSjac21dcyi1eRmGuU8sa8fAkEHVcM4ZPx+K5zLg34gaiZGzp
a8gu7pk0AfZ2+mMkWQzx/DExKlDjexY3a9NwDNIrAux/D4f5C4UX5/vYvxCgFp7w50dM4wjglmb2
6BKD8KgkukVcwUiMqAFqF08TGRcMhCpzS6v53Ns9Vp5Ff4u06G4Mhpe2ukmRvNO2Iq8bk/wgRV5e
i8LRkCZDd+z64rQoVlyWd6fZIL5aQ0e7Kmy2hjF3EGweLLdhckp6hRNCJ8jE6gXW04yeeDxatiXW
7ObOFJPaqgrotntDrmTEZUsH9OTFD06B7gAP8JXeJPURBwGm7kF+i2FkMCChP69jo/KLZZtYZovz
mneWxgYVHn0msLwR8SEh9JVtPxEF5+y6PlbEGQ6MfnFhblhoAIvsrWfC4+u1vOs0VN62DiGqzNvs
ZHjMMul4+HZz65MtNYFzc4v1SFaTzDD411P0aSMK3IixAHMT6NY9qc3vuvJ6OcUnOaaMU7Ly5Hnd
m2m1j8l58qaPYkDWilbvS9fOZWdj++csKxYZbULhXTNB+UDW/Bdg7W/Q9Ye5+vzv/+3tA7Ao8m1W
ae/db/cvRIoIAgH+c7LF9u33XIufv+TXNsjSBcwIFwOAYwtLBTL8vQ3ypKsI76QTGjQo/NYvpkfn
J/6sQIBm8QdsR+c1/NIGyZ9onFyw69gOfqxz/szKxlH/mt+0QZgeJW0QRxL+STRo9H3/2Aah+l3m
yGPBa8IIpOmiCJhYcVKz9StpkOBVtEmwDlsqaWcMQAukzi0ANILspaohNfCKhKssIygK2MevmeZZ
B+3eLS+GpNxq2v7aW4LgXMjwuygvNIzazi7hTpqy13ap1x+auW188sOSC2xQMmTAn8VGixW4EHfZ
MGIAnGXIZLhWoewrrdYf6igm4C+f3DW7dWtH2MxVZEEYAka2XGl68twHIjkXbn/rWtteRPrJG0eC
KpwA9Bi2hJqK9SD74V53SQWbJv0m6sqZHCxtm+t1c+iE9oLWmAXB/MQsjUyPGdN+CHh1F72TnxFx
jg5sa0Z04NqykXr7ztG1I6bntUyvD8DgPtwU76ZGObqk3itL1Jx+giFV9zKb3nObN4xPPhm7fFFm
IaYuS5/ws3YVpfPrZEbfhMmvZCUOi3zBLl2E81s98m/WzXLnSGrwiQ/LRzm488pQgDboKS0yLsx6
dG/cgwyWVw9LNVu4+NpACN3lBfFAw0vS2Mxf0je3Nne4LMgEtLnCS5yqfpngxjLN3NgOo3vduHm3
swPtDU3/bfxjCsPJcobCRHFDIxBplKJVmd4baqg0eM3OSSs8ZJ1LxG+9tpVB04yYxGl4NgknVM5S
4yZzsBrUE76Q0IJsgJ2pQutoj/K1M9kNUk/MpEcF2cquRgelA+0sycvXszKPem6+bYdc4VfWkbKX
hpE4tKaeXo1iGg592R8rNyBKZUnKDc6JeuWl90lJNjeQOwZ22acWWtHTGBdvhtS3HvcsDrBuLwOm
uonHzopokMEPI6gWYpogqqitmTLMNlQEUUlvMGUDgvFw+e4WI6mIXtSeAo0wcgQGvKiqkxJrgfEU
pMldqhNtpqy6TR2QpwMoa9MoI6+hLL10LNO2B9HtGLf8pId7guhjSgyTH3KGjx3O4EZZhAEObh08
ww7e4TweQnri6pIqW7Gex+F2HsxPU7xV+I5lHn4IJXbGj2wNakw9VVdFB8qDGPpLO2AYClr9mDtg
rGQDgt7ur2fkykLpliOCpyOTyHsr89qNlz7bSuPcIXYuleqZtpgkeOeqU3roTCmjyx4uPSbvnlOh
fRzt6NVVOmq++2ZCWL0ohXWO1DpAcl0gvXaQYNdKi93X7p0oAjZJqLQ9pddOlHC7r3BAt94FWFcG
WAZ1d6F03jOCb10pv8s+pNFAXYMk/Ad8pp1wUcmWxL4hcF6mOnugg4DMoCTl1chvKZU5oUow3NGd
VwUyfa7RPmjFPmF6zAp6XtuBe89T7xOm3jAorWmb8k8LWbsYv0Zx1QNzQP2D6p0QC8apGrL2XGni
W8TxbQb3MUIuv6md6ZPRtbUSSOkHpamfEdfHSmVfKL19Fm2Bs5Jw1w/fQC848PmLW0Np9HH8bVXP
/rSQVTmVkAs6/lyMsD9VCn+USyusanJl5mvXXsbnUMpNcZ3ddModMGITKJVfoFTOgeCCFP+GWQD8
8B/OAlQ+0GssnBjKd2AAIlnqBuvN+4QtwebjjAtGQP0PxwLWhUmMr0uMjv9Dw9aQpjnPnnI6pHoD
ijbK3yPXvTKbAEaP4KmsH+bobGELU44JS3knqsjd2k0Y7Vrlq2gxWKQYLXTluGCOR/Z6twn7g25U
ci07eqQuwNhAa6pB/q1Z1YNIsU+RUfPjxcPvDsslJ4w+Ez3J38K5jbg72NZk1wACr0bnu2pyAWTm
fAS4VIPpszeY4sVMWpYuOKcu2MPAcG6c0n3pDPaNTL32VdbdJowUfLcpHqax3uABHFft90iHgitd
Qikthxii6SHKlofAG755tP9AgEfF+NFfsWKfnfEtiJ0LXitmUYn2blgdRWZ9l43Rg4lBzC9zOfMY
Y3h1xu99yeuxp2DwnTkn2HiJQViK9VCbHRnAn70EAze3vG6Co3S8WfV3MuUKRg7L59KJY1Y8uUE0
sn5HbWWQxMj106IIz75sqgy/LrWnWjofGHd/KI78ImrbjWsGsJgG/QSvg0lghEfSSpz3TkRnu+p2
ZjM/SJPgx9zW/aHpbtrReQeF+SqSgP4iODYAomXPz41knLPSJ+cd5MAr3OjvdbAFp7itrbRnTGJc
42J5Lmti+qShcYorajGQpXB8jJ1TWu2LsfgYXDIIxuK+Lpl9Ds5uaPD2xpP2HJfebe0kgLHvSSJb
GfFzkRff45BzvSJpiZiMwxiFL2HjMrkKX2QjtgbAUhGOT7iprq1m+czK4roI0sNk0p618i4Msmtu
b/Ivz93VVAwTHWhz08r0PGXGw1Q475PpPY7BEyoL1CLm0bbzda8pxrofRO3Bht6iM5sYWu22KuxD
nT61Q//Uj8alcNjy6WZ84rWAv6zuogtGPNNWz6qxgeq4niHBpilQ5MJ6DpplK2s+LfO9jyfAy9Zj
ZfXLupGwpSfEbaMDv47JIUDFaqI6fU9SsW26ot1oefekIGI5s+KsEh9tKskEYIpRtTelalQ7ReV3
E0Y9eWz6NG83tqRfKjtWNSnQFtTMQJEAN6xIX0eQMc2Jr80zht4KH9Uc3dhhS5Ng6Z8CsjjfhdNI
tOGKVFRGWTLQV6WBwCUIniaWRHYSl9vOZvXuptb3rukYmNRMOrQh/0YhBJl2iW4XV78z62bcECj4
NaAMmCfj1cq9d4bN6Xp0XqoiZuWcXwvJwIgI3SthMHulHbLT6kq20aMK9mLoFu2HPiSNrLyf52Kf
sZtb68TY1f2Mjg+lLuvqZyFk4bMZDv1icj9ahnR44q6lZFjQBgO8/vbGY+LuNwGzG86e6xFAd9Ax
QRgWuZEy/tAK57Zoqnu6KyygyfjgBeLTm0B8VNjMp5S/R2r2Ka4mzjQCCPywWh5B4WxYdGTwb4iW
nWj8gnx4mEuNsXaK7VjXH5hOHojOVsIg3s9Uszveq4NT8eh6xMSBLyyZ4X5Ih9ciS/3TmTkEQUSt
scqTjZffO/38as6g+HV9hxwQJGQsDk7Mt/eYbLmwbpIM1yqNILO0yHvOcG4eu8y8//GanRRnNeXs
OkfjeQ4qhA2am1xTRCmFe4EQyonuk1nCYp2mh8HtX+Oir54C+ny7cJNN6rX5TsqQqFj0nNskm4+p
MSJ2yOZTP/XfvLGxj7M7aZsk5bT8a8n2B5ds7J7Qz/3nreWuf2s+3n7Xj/7ti361N5FdyD0vbbZp
ptRNdlg/N5fOT3iTSHPzYHtZRIHouKl+2bEZPxlMvpASGo5OGKBq+X5uLi2giaZuq1/zHJ220/gz
zSX7vN81l6R68GyAA3dBJkL2gfjzj81lnEZxPwikd1PIZL59tsKOVPN27tjDeGwpcqS8BcIyfbKs
FXyd6iLmfOO1lrNZpqbbduWSQ6GrtXXVs6qne+Nona3ye2nYNxAn32t7BKyGmlbzRsaagFHnrGVk
ZlAjFB2Z67r5La8NJu1iYkwbeS9Zphy1OIV8Pe2uojDwoY8emH/HyAoacZjYOq1ICZfwAogI7a1u
lwUIqmKgYjIrk82QgYRe+jxcJ2Pe7ZmHR+wKPW77FnmFmGH8OPIYeVgMre6G/VNqVvt4aXYQntGr
hfp90k7HSF9mNkv03Q4jfJYiMiZEIAA7RgbvPraNL0van6mM5a6uvYWbM7LX1hjfAOSBHVvyz5uy
7BQ8lV53bAxgZuXsrkMdMmqtLye2nuT4tQhLKvxDQUHIrRMtx6JrvBtDczZoe6m0agX2havAHA4d
TJCbl3mST4kQ+GyD4Y0F/7Aj14LSOihBpg3Ldu4xRM/ookfLxLafuAu9oJlsRQn8y5XFvmUwmndt
eFORHpYlDYoKk+n+2H0lBkJFS+hXXGR4sYsHI3eHYy3M3exxH6EVoRIb5KsF5m1lQvYmIBddX5Sx
DZz61tyrGGyYSIwlTMvvue32A8ux1Y+3px3QxwBeX0OxpDMN5+qsaR0FIdtcJqNI/Aqkb4aJVGFE
nubkpOnYSbZhYZH6DDMfAadzARl68Dgw87OsUzIl8SlS/wvzej8CFjvMINjY2LHd0GFKBpWBV7Xi
fjL7TdoL8ohc2NUPxJqN+8wj7H6ZEAY1ppYw4cUvbTCoGxZQSzpVne9lqHkIgFrx0wmbIhiS7eza
N0xjPLX3Oo1zd1mmDq85WEI2THJLBC3h2Ev9BCTkikpmn8Tkmecx1NvepKNpPU5wD70T8TQ3qaZa
i03Z9tzlQwT43NrRHircOY7aUA8PbAeGo4zskDwMwnVQ7viEQfERafUricAK1tyR2mfnoV9bFslg
5WF2mLzXbF/2WsDyZ9aj96gy74IkR7qHTdy3qvKtMpAOUtBOawTtyYaFpTzqabFdgGxsCYdGGjM3
H2ZUpmuDV7dKT+Rdg63TrOuFA8tPCKhdi6kWZxku/kSu8kqmRsGAg8SuQa8vTbUueJEb6hEIW4EC
Qhl57Y8sOqhKJuD+sAjNpb2Z3JCAZT3eQCon7Xlm1tKT4oJo9S036FKMsD/XNg8DzRixLrQpsnVY
9NXMvaNl+V/sncly40jWpd+l90jDDMeiN5wHkZJIiRo2MIWkwAw45uGN+jn6xfrzyBoy87eyrtpX
mVWWZWUqQmKQDr/nfuecQ02qMOt1722a4M56/84nTqXvZqpiE8H7StYUdxBxv/SdnpZemx1F3zzj
bVlrU0zES1iRwlUbhF/GxBSk+ruhDdlBq3OLo6p6L8o+3o6mTh20SZZh7tv3wfTmlXi/KyJvEgKp
VykeUEeZQf2CJQBnunYsOmetgeVXis9vHcpE4PUl4H6iCP5JsfyjovrpwiGIE9CfF0go7n/GAIDT
0rwG1tlkhQVJpUymvoVsQZiE1376FCqv3IzxgHsTkbY2Ce7+W4rhYMJ4ABiabtHZNqQ1xgsHc0Lb
5J/twIK6Fdkb3QrrXOb4GIqu30VYG3D7rFy9XfpTeCh8uDGo3DuyxnBOO/0rgDIzQwATHY9BdCAW
kv0RTJDg/5kNzBVhJnYIlhNnBCQD1otCeTD04DtSngzJIWQ0WOorGzllHNrnSjk4JFaOdOCERhkz
LlY7vQFof7iJx466csILT5An1HxqWWaXOdH0tqbiSwWgaQVwGgCegtG/2oCooyJSddDUtPPSTRU9
xIpZpY9CrKeUTUymiFYnpXLZBi7rFe3aK+7VUQQsyC2twECxnqJjDcXJZtFU30lgqoWlKFqAZb7L
adpm0cwKZY5AS1KvpNGM1A0JiKsrIhce6hhqSUO1OCuOUDXwQfEuekXymiC9qWJ7RyBfoWhfG+x3
TOTZ5mHAd1RugXd5hpV1tasGH3h0PaTYTbKCKgstmGv+VuzjaWqZixVrDHRcAx/zOvMxUDxyoMBk
RShHoMrhQXefxcQesGRIGyt7nyquuQdwDig3WlTYkwbYaCTHsws9vslz17iJHgNWmztwslxWyFiQ
884btQPGm3xJn0EnDzGQdaNoa28w3mbwa02Hw84Uke2BZrPFB3tTtPZATOumzJ0bwPO7y9y0rhXb
Lf3oAW/ais5zwFKFfysOPFNEuM8jxFCMuBYmW82O9/EXR/3DmDkPZkVQPVVm01L2BEQo2tykdn5H
vPjPKhTM3VWW7lvaJXNJB9kQ9pQ7klgT67AxwKPeYQZqJ2jFXbV9ue1yQvanUND/ZhKnp1h4Hyi+
Jy0FwQX9CPmEM0N77BRBPxjmtkNkX/YgRUOpHwZlSvIVd9+WL1aifc+FRUdI7DEVdM5TqZtbaVrt
sUheZCQfS8Xy05zmLntGsnXa47kwGNLMAXGukOalgSBcmsoXUCqHQDCgvpDOcx5Thby28c6Fw6gU
kDFCZvQK0UgUrCEVthHUDZ8JnnRExei7cEIHk0l7N1AZVhtQ2FPEdOgg7U0iWUY8xDRt4StQJDE2
ugJHSggS2NtgW8CUFLAlUyyMlQttEirsRCgApTLGFUA+GSeoysOQkzYCrWIobEWHXykVyOL49X0d
SqTeRgaH8kHkUAKzgl+AZs3G1vdQHdA/vgw3zNdsi2cOnZjU18XUzbBds/g2x5cUvoZn3nFUwE2m
0BtpvhDrtSgUkjPD5vx3qvk3pxrTUHEJ/3qquSMJPv7rVPP7F/1tqqGjGCqPDAjCPnUP+vmfrcf+
bw54IPAg4wmrM9dl4Pj7VKNTlswOi22aZ7jMRAw8f1+Z+b+xXGPSEToctM6q+D+Zav5nZIOhIkJd
xiRC6eGK/zzT6DJoitA01RrJvRCYxruvS7/qobtYMnqauyH4fUT+l53t/6Mj3PUMzzLYB4JNqpdE
//PvyKVBaHHE3sQflfNnAoiRtVz77kwWtP5j0Egij4pt2EVrU3gfRFucmnx+M6b+dyL2X34n7q/f
6o/QpKcbgmRURjnoGIEL7c/fSmqxMeLxRlWoLGfCRl2WOWzT07jbuE1obr0MVbrtm4LHi3/TsT9y
0XX2fusPy4EkVyQVOuZL5OOupCmJ1uolj6h+QRxWuavtSxwxDdZFmRGfPb3ONeeuPQlqRtSAMhS7
ZBqHRZjb5Tor8ec6Y58vIlLbNm3L05SivWgV+sT16Y6Ht9aT5IvRIYN9XBvu2ZuXKeoeCyd0WosW
OSwNWqyLV9mP9N7HMdlR6O0y0fbpLDauF77oboADq5tf6kSiYVbzHlVmXurJZEMjjPXdmOqLKDhl
taY9Ojk0vdYlxbqdRLuKrTah53Gcz5ZZ1rtEeDTO1kb3IPQlMrCzHDzynjuvHXZdFrTLJju4Hls0
vena5yDy3vx0bvcGlb/ZyGVCyy48tqOlZLbbpB4/ZNWUX1xok+WJ9t3phqz1VJtFvfKdNt+RLXsT
EYtGX3QUMbaxtWW64VGE2ntXFeEjMtWK72Ll9Lhk2ty8sv6xbpMeKMMtnuB4PEWp4AFFVjm2XjzV
LUJgyS9B4c+33nXNsRu6a1UVLhRJ6q8Cipwax93bOvazmikUfgYPgq+GGK1Ixu2UJl/17PMH3Gkx
lYJkt2bZrgTeK/zHzue2Qq9ynzD+RSNG6Lp1aJuZwbI41JezQfcvE5RsjfTQVt21aFTwtJfnfD/U
FRfAksT2U5TT26oLJqQJ2Bx4+EPoIuBikmgKaFkdmqjVz7anc59Nn6sq/rI9+vySvNwM7PbSBqHS
ZW1YSpM0rpjl6SCbDVsuzImZOz5Rz9Nm5Z0rDnZn3zDOaLvgh5271tp1jKup2e2+tojTE6GFJKvJ
F0+LnkWjWydsxdg80g2NJxQOpzCBNfdUlz3X2UF812iZNZmqAEGuJJljS3Q8huf45kK7hq09YXHM
0EHcpSMYUNLYuoWqCzmzH4oYT4xT2Fg/TB86BD1zUYve2tsjeZZte/BEfpnN8NNhuxnkuXeowy0h
7dfecfu1I8IfGqfxohtZUHjzhaz+ZlPgaXGoxK1y7ma5f7RN+cMEXgIZpfbIcuKXjsF25FtYjV6m
YfeLRjwBmliODv5vI8EUYRLm3TfEPvaptgs1kxzPSeuWuFr2+C15YsfhOcqjN4ZQCFL+JEbtjPUq
JosRn5oap4U8w9j8rEcCwybol/REa80tgIjBSnV0FSJTwsqofOQedoZ+W/tqKZyGo4twcJl+xz2M
z2Bp320WlSsSwMbVoIAcR6E5JhcwqWAdV2E7/EBIP4V9yelvXpL+8cGu/ZQbHCplSa55pwCgTqFA
fFJe5CzyhWGw4UkCuSx5Li1JiCL2DHDpNFPD6+ALCbwU63uHCIxX85le9GgxKxjJgEpyFZ4k4icu
ti+Tr1YQ86hC9+qlqZCmcKhPWH7NVW0Nh1lhTzJ8Y+kGs6WAqNBQSwkFSenQUrUjHmZ0dN5O3FCr
yG+OmH2Wkp6SSqtVLI1OzWUrirNtpPtSIVl6VFbbVL+3mZE4XS9tbn3QEYcDB5rLUViXrwAvoVAv
V0FfPfEE64jqKoWDeXBhiQLELIWKuXlARD30GCtTbGJUtKUy/4xLAjdbhZohO9kc6/tMQWg+77wF
AYE3vPsn223EaXLmVTXTFx8GE8e23TIS+0O8DXwWZImC3dj0MAKXzoKOlQ19QiHNfWzQawXJ9eH0
EClsLpKvLKIqZtr+0VJgnQthlyrUrlDQHbMdKFj+Jiyn3mZkKi+ThMZ63R9oluidcc0L7lqlti8U
0FdA9uFb+ppYSdKZOirwz+RvSFEt3kaYQJYHEMoKE4zgBYUCB3WFEKYuBfSepx0CuM9FqUDDBOKw
hTxM6a/GngqMmEElgnZayyDU6TQ1p2SVpzntXCCn2bycnTJf2UnOwdP0z7oCHq1f6CMMZG7U2Z4n
KZpYwgWfNSa5cMTZKXTSVRCl185H/JtnCg/KpdPyovG+rAinJT4v0U1a6mtnW2aKJQxV8a2WvDtd
bpxa+ym3Rb9FT+5WRTa8JtXMV/nflh281qL8Cg2ar0aiVI9mg56FI5BmCi4jZHSYHAvgyvwvpcvz
unWTgotK+5Yl/EDYnTwkE/1+WkmN53smG6DTWkDtiSu7u890Ov76+8oev4dpIFRKoChFMz+UCykg
ko+0AGAebGyWHRJwSdblGqapU0ajtXCHlBBxb1fMJH7CLz5NgI2Nd6/9HN2aBhgnID9z9jd1X+ET
d0jiafXhPas9fBxG9zK7obNwkuHq2uihfYz8gabAY53ebSljuURep3vYir7kFD6xGKc1o3mi2gF/
nE/DYlhWoNQSCcoXSyesMSC0MZtbHZtpj79hTOXzoCRhHoxIPfipEgIwKw30va37ayXYlVp3oDD8
5pb5Fvg1kM3Aa+VoP0nl3dOXRcGMi7k7adqbnNYtFna343QpWx4gOpoXUlxr43P/oszlgeqLa9wx
J/Uar0ftzMzNBXGcFOMuOa7IRWynYOHr+LQ0nZ/FDHNmxIx7WzKSnucBx2v+NYfXxcRjQWVWjIZl
6GN3D7NlkGu0kZcUD/XswiiAUU85vDHS0PdZgqlrQuKfKww0NfyX3u9UOTrPPaa7PPCX80ekKt1w
GXxAsnMLSOV3qZ7r8Z2p2pWzlmPZyfx3JtCRqs8O1UjbdGw8I1F+pE1K/Y5U/dzfzOQTSIxOzGFa
P2hudBrnSTGsxs01/eugxbwsIZBRPCK0Go9BZ68SK7hqrfga5aUv4isCHOvRTtA9g2t3DaUN+sMu
rVWK6xQ8oync+0bOQejdipktm23rn2GTXRvzmZixWwLLT6Lvw9gWzilPD0nsbC24m4VVPEdDhzDL
gQbzIWGOuuQ8axZpmhElRlQleTJxNs0Y2UvRP+AMuB+squTnScyNptOHRwJH1R2noBrXWpz+jLBi
3jUpCd5m0p6HZK7Z8HrcrsFuN8kob1kpT4YXYtcNysN/p9l/b5o1Pd1k+vzX0+xDWbcf2XdYf/95
T/e3L/zHno7OMDXSOoR0CADRPzZfWDazpG5gbSNhkr/+Y6K1/N9cRXN4jLV8FUu5f0604jfSNTxb
5yu57f2HEy28J2Pbn8c6RmmWgqbKIORb/MtMG9AOasRak8Pbsf1qZEzZq6nNRItyxmjd4zBqC/pG
VQ673MqJ7FXP5UkdmvLDheHcOR3wEZBHVzk1euG297BadCm/TO4Fr6HutmT8VZtc8vyUkY6Ajz2c
cpv2uQkSd5easuIXIyXCkt+yObnRNZ7cnwn3QpJkCwt7WDcvjMoADwnyUy3neWMH00srkalmczBW
dqyWMUFVrb2aG5dBsemyj1vKZ4bgywDtqtnWvHqFxvIh5NEUz5SmWw9OUzyzdrzUplttw/SMYPsY
t7RgWU9FacarQMZXr7XvBqffSC4L+96cm62TZrihayp/x3FYYdkL7wNvxFne2N8B+bZ0bBT4pMS1
E8O0E2ZATIDM4kvBTJo5DukA5nisWi6TfgLnxXOyWSJE4VvDtEWFYmcZF2TwHrN8jRVlgi4nJ6uy
nwy7KpARtZywh+wxmXRjH8NIaWlKWg/GQrKcC1LId0VeeusOT+HW1MgYib9MMVf7KMMZM8wxBsGK
ApMucJf5WOprnjclJ9FKVv2nj3NmlfWZty398UceFs09nefrJCi6J1DUW9Wr5Pzes05u6Z9yBRFK
PXjsTW8420Wcr7sk/ZZR1G986Ichq9GRbUdlhPD81qfxWaQmTeZW+Wl1SKVNLZ/TyX4MrGsSzCF0
RHNzrCpZD8Lj+dfMp87U1vxR4x/Wim7ZcV8fKlBCwqhXllPAUtkdjwafd65XugsN3uIIVfU6DCPV
uo3/Q6+6XZ3k0yJI8d8MZfOJx/Guoy5pgaMbW8/Ye+uQjIUluEb+qyNPFvyhzEmC6xJj5IoEXmfH
Rot2ybnPp1MnSC8gdXbYuW2YsiDGpe6MximdA32p1S0hywygvKgsUaNIYG8EbbJIaiFMAEQk591f
F5T39fDLExkPTaWG1mLQ77L5vuBpDFxYGJSlsgTCzN28hk5JZ509+nsdxZy46aVnMlTUzOZZ0Rj8
Liudx8bRd6Zdgv6LSN11VMgU6wESic9XxUYwGx9lWNoElXDNTlyHxgjTL3kominPYPFWDYkKecsp
pnLclYN6v9Qk+V31ai61aYXvh2Qda9plCcKI7QCnim1sIwtro/eKv2talqbX7BoDnSWy2E00tAMk
MrtZOchorQfs7fsfnTmIhQvyRoEu6u7sac8tFsVVNE/JkXCqfpWG7cZuMPPPPYlWOOl3tsNKIc3f
/XqoFloG0VxPB8/L7hzRMg+4xdFuq5PbNiOf/eZtsEnznjWNGu7Pumfc1k3j23fseEngX7cTde8s
2XNcc7Pjwo6dA2m8z+8Ss71RitvuifH2lx3O4EUlSpLjCusbm/MxdRkJm57Jgebdt1K3L6M1cRuO
E2dZFXZ0F3LjHZIQqth9rRPyx/G5xSsNuM9wUBJsp62pviV8zoZuJQCnoBUXg4s0oxOXTIxjlfUS
1oQZC+WrZK0x3WqEIj8QDdQqt+Yyc7azM9HSFee4cTP2LblytJh8Y7NnXoqu2Uvw4INVzd4xHGqM
de2BAz8+MxOSmZEROZ8V8ruq3Jmr93xG1Ag3xuACijaDxhID8WlOU1D3LsEzaDs/h7E+C+4gW7aD
8iAoGVnobU85oMcERhiKtzLYi+6M8tkqNnWX9fuwJtovzkgpMlRhGfzSyvcJAyiidsAnlJw02ScH
M5Pvps3b2yA92cvHCP7cOdOJRCOkbx/aKYrWHiA0s6jSyWaTJu7MEXu9GT84sz+dCl+OZYIDM5vh
Pkul7t+5uvncp+aXH0zasq/cagdXuhpbtnS5q7uHvhBb1s6EmoTGwaRMZEkkdbDIlY9xpqR5Xwzm
N+QU6XvaTN59i1HTgMEftb5dczxTyPaZS/t91OCU68IDw68AFfRqa/Ain2Q9YJ0gyioR1smzu1uN
R9UavGYVz6/0c7PBHpieYw8+hct3zqJb/mT/Xq4aJS5RRPBYhJJdYZ/m52oStHx3xj7nj+KerGJq
uiEZq7LaT7X53HVi3Ldt9+qNGdXmVjYfWAOxCCOkZyNakhxKIuI3lGbTmkkT9UKVWSzg6KFKvZZr
MXpRWNK+lo29jQ2KPVqY6Rv+8i6ZgitNwwXlx+WKKBScnpb1NNLlhJnVfMTDNGzTqbu0fZ4i0BAH
lFErQjyTsR0jVvTGHFAV5RGDa1MoDqNRC/JGNPL/eUQHVREso9l/zgSmjnzCNzswgN6NZk6HQ+m9
MNFjFqgIt0JIYPuzi0LysoRAUXQI1WMYCGgE94n7d1gRDtO078vx2YzQGPXBJRsJjm2Zns0EU7yw
UoRqMjVJ5nMvDJvrvsD9PSuzru/8sI3ukWcF/TOFzhDfUYVNRd+oBuMh8Zxjh59yZkiaI2CgrG8V
ckPs5tS5736CUmOl/TKvna+8+SKVJ9ilNToQUUcVLxgP0Nxzvn0Tq7bhvMdpmhDE94XXhENb666j
yObHHOHbNRAq+VFKemzY04fDsqko6CIWx+JYQV8QhyJ2PluUzYVd8c3qVfyUTtjZra6m4oFoQyRS
rLd1Fmxcg5qFIM8efNd7qMrkC6IzBsoUtx4xf4OjnXqESDtGaaova1dfT9VgrtizLBOz+DTMkD6b
5tmM7YOuU1bjh+O0smmhXpuye7RVcgkf1Xjjxbz0QSH0nTGH2xCv6Um6bA25HP60W4l/tZtR6duL
Gd/ndfOexrSEEmM1UtRHIoww/B+UgvUI5Gm9zevqZyIRizl5XtsRc1GME5dYT86ihj/xROd9PVpr
R58eg5HDyQuNfBkAAuFvzj6sIjomBgtZ8pl2HtfEZVqCcpV+YCDlUZIU+e3ezqUgHdGHSMAf6SDD
rapJP9iVP63ZazZbGQaK1pJPefDRW9PRr+cT/bQ+yQCsFtxStYXRPm02QE2+iFJ2GdqXb3TX/w5a
/+ag5bLb+v8NWn8pkDZ//5p/GO0EAQAs5JivLIep6I8zlodXDkKSc9hTAYWMP3/fGhq/2eh9KleE
BIdfwOPft4awkD7GPJe4Eb6cXMX/rEBaqC3dH2csfiFdzXPcNfgPESZ/Xp01Nb3LpArQ7hxa6WLG
JkL+yJ3f9j9camMt6mNz38mQKwz492A3Vs7F66jf8aic7fXu1KkO2poy2spuLxHltEWoP/bgoTRO
4HDqJihH+mYe0Kej44SESjytvaOi8KWhUiNS9bfU4CKanBCff8aqH1dSUENE6fAj1qHOqO/axQVo
uhhWhdu/OUP93aAoLkCoPo0SlXBkJpnRQ9u+oqsBe3pLYhb3HLGBp+L0p+wYLuKQAgSpkC0QZ3py
7AypUPrr2HTVdbGjdKoRFNggM5GbS4oFPR3Ed2UqyCtTkV601kxrs+RwFDZ9rRmBqZBm0UZLuVcX
VMCWfZYTJkjz4FzEGxw3jDWtxYyl01faso4sVMAYfORes5p6nbqatanKbW74PNpnizgHIrVs9o92
6LO7Mj3JIyXFnFL+JKRLv0uA5l1TNR5bTJCWvAemFE+dQebCPMfraO7qFY/QEqORljI8pOM65jzB
ezaRqGrBjEVptBukTx8HxqENitdWJtLalSHzUm7AQxYp8VQRAqpb60wMkTzGAUGvaEseIUy4J0ib
i7ykfurpUMYSvc0I7Mvd9mc5kBZVU6R+1KNLiuBMUsJ28G2yVCz3WTdptQcgakjOHfcT2jQJMewT
HNGtuWatCtli3hv87lTo5MMx0pQxUSp6yGHZp+HGaufbOMGQQsNNS4Y61CudK6yDrweG7mnwhbGw
qsg+J3Z77loCk1kWkT839C+aM2Tb0CyGnYlieQT5o7aEtKxb4M73luqwIUo92nsVbHvYjh/1wKhb
lsRJm3GxZ6MC9pV558mnxrilZH3sYE5nruClXSeUT0+Phpf+sIvpkPjyHPEGWRQVCBPbeJYlgXxy
7KYmcrncTm5140bb7C3ukuyz3yH1POCyesPQemmki1sID/i+FKrBLLQ3sD+rnEsvaR8YhfMSVTX0
pVybqhe5q/Vu5xvWbeZJqHIOyDPTwxLcxszvoRbxZwdq2Utyjy4Kci1N96EPNL6wKFDpLRZyTGbJ
up6xZkRa7x/8+LHUBL81Q8tSWPMrfS7JFXhBbofGs5mvCFOZ8uSLPFCCbTDt1fW8oxwi3TVa8dAK
fiGDjD0it4vbbEvnTE7YQMRxrx0SkYSr1rW8nW0RdeJkaXJ0qnp8Qif0liQFbIrG/vDHcR+k2Z0I
iycCPq70g+FkqoOJNrnkpv5JL+jx5X+N26yJl1HTtnYTXcF3j9lg70hFOevkePMvZEazc+3ueS5m
2j3dgyrfyb3imPo1pToHpuJ97PB/SZTYgb4ZX7+b+K+hZXdJ1hx6LouhJg6TNxO0hj5SOoekkE9+
nr2jDmxJ/jmHCaEwieSTGB7SsqL+K7t5bvHYzvGeqy8Wf7nVCm6B3kzodLp2QnGISuvWaNYxrtJX
KoqP9q6W0ybtjWtZIkRl1rGN4qtb5adWIyKHvbrttayFxRNb4r0huhfbT+7pbuW0vNmiutP7/KyX
1n3oaY+ZOZ9aXqw5M7YQ2fSzL3D3EQzab6z6OXHZrxbJLTVZvAb61vNePEbjwWGHKdGZ2CZ8ExN1
xcFi5/VTTLhU63u3jl6hPJ4ufdfsosE4EHfdpp+WZn76Q7OkgBauy/P3tSs+w9h7deX87DcVpOC0
7mPOqnSbxtWj+j46e+KzkaBDJ3iudLvdFF7fkyLU7AhBOJUxDkbrIoriztOGVTAPzxbPgcyQZy3s
3nomQ2fO7wwEL6IvufP1zk4XLl7V6pEM3Ds2pICypKcn3WNXdDtmx42MxmceFXsrsqiJxFhMygOK
1KOA6u3bksS98DLYCGn6qg/dU9AET/gE8XTO7ZNHX2ThMNCZmMiSyDobScb8FqQL23GugSjuvap6
dTXCLBhbeikeuMW9kxzZkMLil8emTj/KYL5aqqtcWD8AMJ4M1WFOVN2jO3jzKS95QI61eMXCwzPK
0+i1s+Zim1CHXqtedNwIDBNUpQeqM12zV4Yxy8ck8c+1alVvqFdvVc86HUVEGmvZwVQd7PUcBUtC
NBZS9bO7DvHfTY2zOWvQ6rUejkEL66WGTkfXVhJtJqdFzaD1PVX977Zqgh9lKpeZHu861RL/39vk
v3mbRMXm+vWvZfvrR9F+1P/3/+R/Ue1//7p/3iihxigPInHWUvFwf7PW+L8Rs+34RDoYXCh17pP/
uE4i2XP9tH3fotCHBaSCwxogpuh//y8Lyd4yDN+zHHAu/Df/UXMQdUN/uU6ymbAsHps+o6pLIATf
xB+tNXQl217nlRKmSb17SKwemoC8xd56QR9acDZai9itBj66Woqka5Ln1DrTFoXirXeHN9j5XNK3
JtNsfHBA413Fp9pdsGe45xLiQGE0EZn5TmasvTLeNiOGCrd07DshjYwLEEtyfJTkSsVQu0k/78eO
lkvTSE9FVBTwGw66XQLu79vvHV1sh55zzHGn73oy72RCuWfgiBgAOIbK9i5TWlwnIi1XU2S/yIHH
6czieyHH+Nb3FCywL6ODlKC5Zc4mFRWxxx3QzGDC2XOOS3SZlHa5mvERBYqN9oJ8WypoYGmaDuba
cr6XA2BTmoG1Tk639CYzf7Ct7oLBW7saDlSHl5yjsNwXZVTchIl93piIBDIZ+tMw/ayM7oKYS6Ne
xpnrcZdf9QiFK6ht5/AecKGL86Y5dPFMSpxu7fMCh7pfXFof4yeZdJh4NJ41bRCEpyAif7OHkUla
Kz9kobXnX+53begHcLPQEHkw7LSkjzc95FyOIr+BqgkPc++euZ7FTM+Bxzrc0qP7usAZ6sWltS08
/Z5kvxxcifEXHzkWXKwmbHYa5u9Avyu9/qCHdXqqRPpzKii/sPQd6N1AbzmIeW2c7GbvjjF8ktu9
O64VkCMI3UAtAd5HY9y58AZbu9N2dnIPtzaJCdKvns0DjXByKSSYFdZ5Yhy6V2oTlW+TdX2Tw7zX
lfFBQOESt6b7lgvzwjuKi8kdy5SLm3PQFiHRTy5O/FZtjHNyyhd5pf8cyrjEPlXBW/ZoUQ2btBXe
bSi6KL4vGzQJ9hJHXwsYYoybWc5XBPmPJoLcMKPj0AgO9rHIVkllEltc2Qc+1fJS46nDYjofPNmR
HpTwj/r6qvPT7SvWrSt9BCgWs7l0JW/zsp8JCvSjr0CWD6boT7VXepg0J2L9IDFSbf5AnRXgVsQS
6xN3VqHEy07JmGnNG18Jm7x/z0JJnQAczopGc1iA+t2z8+RQ4KjnEjFseLOr8NSiXZlKPk3QUSMl
qDZKWrULbFbPphJciWPxVipzFd82PevUION+600kWjOrtz2qLSfXz8Hmh+iV2dXBb4W4ZGoA+si9
YUpBfesYXLaxlpFq/U22NO7dHlwvD9PkPJiHkAwOGieFd/SNKT3Mot1j+rlUCWlHUgnPaFwLve6m
PQci/ay9u9V0qpEDJVhz2iw1gXuWd4S7CBMSHiL07VIJ3b2SvIXqcwE+DD20YRIgkMVN7vIjLz5U
Pe/dGvd0T4Tzwinfwioh5gg3b6VH8d2kJPdJie+25V5Sr3kTM/lajAEkazbOMQ/d72nmmGiViJ8p
Ob9G+d8X2NMDzeZio0T/Qsn/CXsAXy0EiPLsdoFaEhhsCxq1Nmjnz0KtEUb2CUztby51LGvg9VPT
yqOrVg8kFd+ZahehJWcELCU1vg8zye9AK7uixUpDCqC/arJug9mYXtvJS46SiV0lh94qtQBx1Cqk
VUsRk+1IxcXJVOuSmL2JoRYoo1ql1OxUCrVcCX+tWX4tXNi8zGxgHDYxUeUTZ02HjiW7Q8F7mgLd
kVb0bjlpzsUoPLpxZEhWz9hFy7oZLjZoFasXHhJxKcaFaSeroeCARwDb6Wq/Rwp5uLHlCCk5hjsa
jo3VKLkGDXbEGTrVj/l4oK5g2SnnXz+VKcp5/N6mMXe6hFSTkQ8CH1c+3ZsCyY9/s8altuq6Eykg
pHtPzVdMmUDIYSF4/tJOWWw0ixq4VpynWhzcsX3WpL0xKZC4C+ZD2VnJnWQxs3bxUWxiTucu0vam
pp8o8vkUsQ89Zdvfid5dDJyKYdl6i7y5eeQKWyGHqU7saWWSOFh9Rk5frauhjteNXZ1dgrRgmHgj
A1IvTNZoW11Ldjo6+4rJ/N4zOYVsjgdeqorEFY+k5oIFXoOtdWvqbEIE0vYmaJqrm0ZfOpE+C+TJ
mBCPeQ9ebB2CeNxVPsuFfHSzO7jWp8inAFXc8owfBTFc2hPh5C1h54TOeg+6g9KTDeGuwYZjVDd+
T51boslBPHVYXue1Y8/eEj8RwRY2BUn+BC7kexlJzrpYdLbFBTXJUvZ/2XZ06vtUUMDBPJ2SqIy7
qsJrgTtCX6e5+eTHM7WV3RtZc9lGLTMHC5WfIzta+VG114vmsShhIivN/+V4WZrDGwvMfUBa+cFm
9FaMqUucERKRm6H3Q6DmikVlj/UAUnPWLZ3hCUqwBFstQEW1Bo7VAWgdAFtRfFZ0FMdrsM1rptjX
PmwffONQSb841zblv7IlY09UIHIsuTdJvRGysk7Y/570uXhpbD51fVNb28AGQUL7uzqKxNV+DIrL
dQB0PXEwFK/LzkrRu+OvVYsietvAXyvS8BDjaV0SMsr9afhBTl25sfPsUwIGN1n8PIjpIZimsyA0
L9cztn9gX2MDr8CihKTDLPg5s9LlmiSgjl3MJ+wp3iXsHiGUPFM7SGXCuNNDRJZp7xk/dYvwmoon
ypIUpB1ZhTQ+KeTZRXXvjAKXsPdoG5BKfrorqmOlUOlKQdPEJ3wFCqMWCqgW5AQsGgVZY35kcSCB
7OGvyUrwV1Ih2S1s9vwL0obWbhS2XTrGj8kq5LJj+ggV2k08/XCiZwZmy99IRs0bcMa1NWNqE6Cl
AghxCSkeKWRcV/A40AJkswLKPYWWl4oxd4DNrSEmCtUgiCc2x9u6M3G5ukb2pRslmLoC1kuFrof5
JR9B2UfmUxlU7d6Hcp8V7k6ereoQ2bcKhO8VEj8qOD4OcaXiHLRqsPlUAfR1FNWkuSA2UBeWrDoF
2oe9Qu4zHoSROf8/9s5kuW4jS8Ov4qg91AASY0RXLe48kLykJFIUNwjSojDPQGJ4tN72i/WXomTL
lOywrUUxOup65SBF8uZNZJ7zn3/Qrvz5PBtmKuGiOUu7jvnW5E+MSEfYGxFzmXh818bmdHCG4KZt
XU56wjVGXD9LJQGA47iZy9y7DZ2PmUbAb4b1UGgF1n4i5UnpCGylKJBKWzB/UhkI3qOmGLWQdG+a
EIVRwYz4LKkzItzDwbzoDWsA5+m6veNgpwDxUSjKhpBtj/u8+U5lf6EM4J03IZKrmE92KMW610j4
jZyBMtu5DlokviETFlYplLscO5aFCU1633aXSYtfauVq76PiIZUeoIgOl9AoiLUJs+62n1quR3uC
W1Axfpr9foABoOYoHzNpP846fM5K+UDI7jYnVO6E30POJnlf15HAE2LU173+0OfVdrb8bmm4yuO/
xU2iLMJTN2qXvsrCwSbrtm0n8nRNKhB09buhNODWg5JOnJNjC5Vk7NjTAfHTqQkJx637dwlOlJtZ
D27BLrB6nfxrs4X0EhckXBB+UW6RQp9NbrHxyu7YIpyG38ccqYUS4KaeQNRlbsk9Qzo9YL0MwOIi
1tgIWx7N2cHEuKjOSuH3+6kb13YtLxgEH3ITvl174kM2jtPonvSiuY5SI9wpjnmHIhnH6GI3m1e1
Pt6HWn0BWFifaeRUWy3mLFCdXSUFABoljCdAK/NOIE/G6+CE5w8l9TABaJS3qK0PWVp4G71LiWIr
8PeyckLh45IThTOJAGqg8jhPVzgEndXwp3N7i3PaSbZRs7E66qZmJtVBpbLjg/Uf340/aeloMs+B
SfcH4MBj97//83CfPcMGnv7Zrxo1k64ba0fb1iHV+gihfoEHANlJ22LUY+vKw/7XaRMYgGeBcOqW
CXRg2i5N/Rd4wFWMPmWVb7ieEqn9JXgA7/1v4AHlnw+fj7/DNR33mfOGN/hlYiRwUsrU6reE4uAm
FOsP4SjOwZhxj3XxYMtT4zSM0XBRNwil0HqyQ2V+0Av9DWHv5sKzxxukKOZymqNtWYz+CiNyJAHQ
r+kaokOlOVce1+AmViZxZlFUB0ax1QHJNeEy0iJQZ9Bv2rp8X5AMeGziS8xtoOgmc3IQ5V3mBzXk
F59rdKT9EAF9w+AvMw+Sr5Jo69m8GxhpEZfCc1NwqiG1cB4Mb/K33NGAFOX0uqzmeyzFz2ZsDBf8
lh6WtLZMIx+kMcBhYG+Mnb4tLW8b4oE15BimRXqrHUZt3siiTvZ2SHSFm2JH0BBHzkc9nKdDbO+N
rL5MUXThb8VlTqxRSN2om8c04t2b0S5Pk2CNxj6iO+tvaUvxQJj0Y82Qmpo8uwlbF/trLwGLKEln
DHEn9uKj7UmJqieblJJiKvts3fu4Qw5UyQs/aN4xYbqjrMGWSeBEz40JLwpVu0BoB/HeX+J0AG+l
y65IDkKCXWUQlZMLo4KnImb3RKb9lTAhhCMX3/iRtZIJFs65sdWb+X1F2NWCvue8NfzLdrYxgdQD
pmUJ1s15AzXTtigRZyPYR4AUC3weHKjFoBFRAB+792BtGQSMoE2g+WhPvbiyEmwrSh0NTJe3D6HM
swUksQsN28LdaGnnWjxlO4ah1+UszjRbQw3NhB7FjU+ZRCUKF2PY26l/YY3ldTYPzSGDT70sm+ao
0zPR0+r4UXtJtSf7kt50InfHK+z6CHhzU6dgygkjC0Tvud+n90auOUTWQHApFZV80DB7iNz552kc
k+004jI89Rg5tIAnfhRfJc3wONsHshA5hzNw7SSTx16LilNPMBL64Yeqv/XJhdxVfpIdJq3b2JO5
NfJ062OusAMvrleB9653AXVKLV0m1kg7VjbG2rCQ5gcJplylgwQybKeNl8fYcGMbAf3APnW+Ea1q
I5JL5lhwvvS5uQz9mVu7bm8bjFCvGVS+KaYR/UulKILUxrWg7ELrHQ5duWfwFC5zq6qhSvjkTHrJ
TUz/DpYstuZ41TZI5vsuMHaA76xysu9GPmpyvGKw7XHfjPO4SivCJ6hUz2ofQC1pxFoGlH7W8Bj3
lrerW6PZtEZybJCr25gS438f700vdC6nCoNmPbdXVend5focbNss848pE73OEliN5+LkzY6+9QT6
pP59mQN+OTLcBpGjv20z/4PouwmRGFQ6d+jOw1x6q4h3s6o8KoiuxvtNl/NaE52N0XUXnuYGK++8
m/ZhOl6mVX9yDFG/aWwkNq2f3UXVWx01xKUMMf+HbHUW2IxTsSGFTJuPxwQogZb/I55CS5JzLpyi
jo+psLI1dtj72NSXXe1fCzG6e68hWSeWYge2US8w5vjo8DcdUYItpjEIcOPoX3sKOpzBEHVDed0r
WDFTACNZiw8Brs8ueqsMQa4GEKnjhqiAyaAfTKTyxbWP/iS2kDX2uJ2QYgRaZJSGs0icpj34RYgn
WowyRDNH6GfGu1lBonWYvYnASCVYqaZA01rBpy04KtyBxwFclQdLEBVo3WUgroz5mBf6nP6uA9jn
O1J5yO7zKDbe+w5jndqtsKtRekKy5qwzvXI6RfHcRvTU6+oJ9mWyrIBgG0Q4lnRgDhhxrcBihsj0
BcABoMh+KIgixsRiFNLYwNDA0T1OELR+gp8JsA0T451UwDTZRWqgQ2aUKmbgC6zJS8csgzpnUAWP
Q+UT+eOlrCnEINuu9GT82Y/tgy34JOHVh/AchndYbYjNrPGzerPfkl5CF2fL914hbm0IOpXZL70k
levMKq8SY2Z0akYhI/ENhrzeEp1mu+pSgLjAOLlzq6rpSq4EIh8L/SQBS3LTGYPY4UyFkxpEZGFX
tGu69REs/X3gQKGcTRv5JOaeY+hp6zBtLGILXMIG55YPmayW1NPZx5N5Ykbpgw1A47KS4oG/DU8K
tz4LU/hkgdO+lqSozESgLNysfMgLXDsLpMSg1GfF7PsrJEnJos8tlSkI59dlbC3hdbdtPsAkbfJN
5FuN6vMXnlHqS92D7ehh34DEBPs8J9oRIJpe96P3MM8whIdwieGp2M86ROseMDRt7jyv2OrR2AKA
9aRToke0wxg/qRwuXDc3AJDIrZuc2N7JD4KllcIKYMhRLYQXVcSgKO0itojR3aT3Yl2SZrVIO8pj
bPRBNmPlwIPTHfPDetRpgapeZ7QPJxG9QQs9a+rWHnyAQwD7t7fDGhF2GO3CQIRbs4uuUw0/GNbn
2ig9eYGXioxkuu18TKeqgQSwgrtmGXixg9e6c47VaLWstERZyCtGiBw1qKVlsw8I74DVx4meR8fR
tR087AkURs7Mhw7XFqC/2SmjPaTtmG3MZU8rkSCkIfmh6YS3wFYUF9PWnR6KMx2zo3USvSaEAYlq
wNuLzU4ssyx83RC8selxAcZSsl+5Gu3p0NLa9nXKhUB2ho5FEuZVcQWfgna3kcndPLjpemr0GapE
81DPyfs6NS5Fr9G1Ao1xWOH7i90XlGSvvWys1iDpw8VCCjLKXJeQZ93wwe47TIarPt0UmF+HhDZi
DbdNotEC7jUeaxwJss5pt3XXzrQnYIe2yY0YCxuDQAoHk8iJeWT80DqICLCUXU7YRy3cCYUCspSd
gxPPKhpwPpQSMW+nsQmyDGq51f2cG+m9GFE5pSlmV0XgfGzj0Vvm84iICbh0Ia2kxc9swiwZQoee
8fFMuVi6BLYsi0CTh6EgBUU04a3d+bdWQhKPU6C46WMu1yA+o69dCr9wN5Y0DXId9q004o3HwzBL
nMGS1sCOx75PphZUeCIc21X2phVd7mpsEhy9y31SyR0QV76GZoGefbTe5FEArqrmCWlGqgPSOzxv
KTgHE1JBt+k17LXTBPwKDuw6jvmp4aSfh9LwFoErYx7Ncj1JSJi9WjH8teQC5GMnmacv2jHxOEhC
AlVmF3oxYxt2eVLS6uMH6eJjNGAUvJbo6hCxQn8wevvBpABYoaJYjE4PCkKZOVWdybbBumzIq3CN
4QoWvorFbIDd09bjkYZEN+5t6MU6rSIXaDKRzWLl/j1Ywp3ggw1TbKRj0T+0tfiQYr8NXlWgZFPA
vUsqiHo/JcMR/NVUCIfNieLBoMk+fgr/K1vc1Qquyl2TOgfOsnsz0qBD4pqKoOBKigaNwBgTWx5o
Kz9uA+5+KBPY7pDaRx6pizaXU5FAF1ThyGQonT2YPOHAVmSmhsaDltjwsbtEm1HvEjmsoLclq9h3
8Mc2JnyNyJhaddWI3wXTxCV7FiVseRjSIVwjMjkfTfOMUxxTLjUZCgFPwtECmavsgdKSo8QO52Me
TGRd2M1woNx5SO2OepwcW6wpgEurZFrHPdlOfkUchdFJTv1h3HkcXOTygcsjztD30o43RlclZ7Yb
XZr6YO8dHyp8FQ0WueoUbe78IZ7i5jC7dojgengI8l6eNRwzNmknSZvI1yKwT73XBCec3LeakkBP
JPseGjm6Wx3fUmQcyMljr39bBeURhyjULCNRllUiiWrNC3+dpQj44+bBm0jOCmqNUw0SLB3IhWfb
WK722N0IB6dxZ75qhUVUed5kG1eLt4xDsPR074apZapF9b9IfOLnzY7xhqFfhRAqD9Fkb7ie3SXk
ewQjcX2wZhPKMyMznrTyqnYGwJc+gA8dw48a51bbIxA/z8Ck9j15ZvR/7j4meh35aw3bRBd3GiFn
IqGekhNnhjFNzclvI7y3kZXYes87zHaZMcpDgc/8wk3bNcC6ed67Fe7X4aMnudWZoSEoUL63ul/C
726H5X9oEn+SJqGbFrjF7yMhN3F2/9Prx2+gkKd/9wtNwnAsx0DqbEIrU3SEX6AQnHzg1fIlS4dm
p0xKf2FKWAZpfjbZgOgNDYHDza9MCb5kGIrBi2MP3+MiifzXf//Go6Z99v8/FX1+WcZF1/7zH7bz
rWEPxF94EsKCfaEzFPwtU6Lkt7tBSe4DeopT7MVnISp7jmRLX1IGv8lmSpPJOSJ7n7Z4zTAujK89
yIKFyridVdqtFlGydujdFy4Rl6vO5qojG4LoXByOp3yp2T5btHroidEdVJ6uQ7AuTCKqf5W169lM
PVX6bqRyeKuZsph8BRiHaLWKtkO7NhoBlPK3yRC/qz3bWkuCfREy3CUq6Td0stsp7txNRAhwJAaH
SU76nnnBzrTLm7l439syPp8kcQtVONobp6nHTVWlb2umC/uEuOGayXDKiWNO8UaLLfM8HokGPc9R
VgYIXLdmOp9Xyt05heyw7w0LqQgo9Uy7soFh8KZgYLyx0tjdTNYswOBX7Zhei17xGkZiTnNA22Xh
pVtXaiuHGxLDOzPZxP7KqXDdadqmISGUCAXZDm+dYE3thCOZVbZ7WL97io2baQq3bhza2xq4KPNJ
pCZN0KrwKyB9WnONdIEr6W0ZughlfP/RaKP5OOouc5AQ9NozqnUgzAz+c7EL+gBuhGNROzXY9nCT
W2gWhno66V6wmYmy0wKNzRB1y9qVCCoq0BneQczdm/0ssn7Vh/1roS79CdRhJYfLeHLf1nHp7EPN
IE0ZX3Xs5+P1FNGNO1PdrgUcARP6jNZhw2ZTq5j2a6+x2wPBdmdja6fbwMCowWCAIS1ujsgK+uWt
3UbmES3rCtohTEivvqhL8VbWycqTRrDqWzKv5/7WnMQDci6utNy4yA1sjzqCucj+wspmgoHbkwwb
RUm8SW0bdYlEJVnnb/OEoXrBpHlLqwArg6gFxGQtsLxdykspalSEWrUO/U5bxlSSC9crgKKlte48
uTbj5GGOkitnDlDRS7tduOz6RU2i9tKJw0uvKNdR6VymTGFWKGw+5FLfmahU28BB4sWR7YRwEY0t
e6zfTFVOkAKIFpqZ4BKJHzperOA6i5DyIdj7gEld5m7aaT5vNPkhmr1kTxw3/PT2Maua8IBL3Lnd
zOVFbuU9SQbBpjCsFb0ZN1VqsdsNtVeM6IK8ta0pyNQg18FdDoZfHQrDvCmakBbG7Y5mnpbrMoxv
qkaE6z5K3oauaJeV4ZkQudFnkuzdrekFRFlXR+wjN440H8cu1g5DMG8HcgkmCz2cRle6kB7R4pQT
AmK13aS70pu4pJHwaUaCSy6sMioY/lF5Hw/Qhvi7ULyNBPNm5E76CUYltnMvYAIB9ilMMQPRqUPz
KqSf7wiC25mYNS7bgojgBBfWcTCvLad5V47Isg1MNbd5lbwOc5t7XzMfC50GmLDqmYbGdJGRFRiq
04kyCLzGzACvEumcmO1ufYl3HwroXRhuAnEV8KuOTVr7BDXkKu7AQ9zpvN/GbXkLwfzB8QpqTS27
jKiSmYBhYJ8H5pUedR8zkxzkKQlvg45QwCy/NLp6OOCnAnAyyGAHFUNJbT+kxsfaxWUiDot7TZg3
AODBAksvWElyyDYJ2Ys0g2tLn+js6pgMxy6/witnO/pxsLMWCcwnuA/e3iarRJcCweJIbSLn5i4b
8axnOGmdU/qVkK9zLPQNKC9j2/rLyLou8tqmvnWjHXEangIaGboZaGIFVleL9FB3ZMuUl9Zc7YTG
h2TDBYtH7G7jTLXidx0myPhZBOvJnynYPecNiZhn4MKlCmF+l/r8Li1Kb9whUXqD6pJWuF9rCPOw
RKlP2sSBibcYU/lPTV1j4LxTjsfcwJZVT612mdQJyT41xrdef58Mun4UtdxnBBIF8bBquy7bNzOj
cFexzghsjKbwWoPV5M/IkqwaZ9mgYfrZbDm6QF1rXE1KTLReH+zKUahNQo2tI9oqCTXXcAjSy+xN
7OQ3rinpaCiXB4C2LonPZNzA5ABVqRLr41TrHzqr/GgXqMqki0ZwAMPOkzMtMj/MDv60NMXM9dPh
EYbUFvsQzDlAIcA0Aa+gMHfzbdHoapm7U/1GkyI4jaG1nw30eVaHO4lXDdeBnCEfQBEmumlBAqS9
qqV2GlvrsipqkBoNLi2ws8Xjhe9pcrALWayL3sByN2OARm4M0H7OKdAmOlbLI2EChUNYROByephE
IMBn33QiLLZF4pDYxwZGJkEbyaiQ2bHWLTG7z4WTv7e89EHPQvNUEa+wmEGZkJpEkBJJGiJzJHV2
ceIi+2DKl5NQ5RF2AfCY1JuozU/TUC8FG3FZwQ1BmgOhyCDHukTdewF35dxKCZTRUdLr+tpr53w5
Bz54qqTKjdxoI0fn9dgglXcESVqjmW6YI9LPkEDnIG/OkZiu+zRak5zxGHfFZRzkOuEHJ12QiTUi
2aEggE0xlypmTt5rFXGClXG0Aow5R1nu+8SZjwS1JokZwrhCVYJFzHmDzCQcI2TEqE4XXlccHXxc
6Ju0xazhWYoTAToVpVgplXYFmct2VmoWqXQtLQ3STiJ1aZTmJVLqFx4CZqxKEVNbMCpCpZLRlV4m
h/RVlo77NtEuNEzGN7bS1uCyC4NOm89i+zEY+eQTpcMpS8uB685GJ29ohTpxnQeCANZomygVz/+v
yv+/nore1X13v/5U0V/1cGNfP8L2634pgdVXP9W+b8u/901faunv/6Cf/uxUFQuT51PVT3/Wp7/5
j35Kdt/FXf+BHD4Ud/Cccb1CvvTpRSWvSASfv6yRaeAyPYU8/fnrVPI0L18t0+8txB+/x6cV/ePv
+aN38LRE+w///IfrWQbD3Wc91d9ZB1O4jmmjEfx6AbxXluN6trCZFH96Pf2mF7UA5neayr+8AAY+
r8zVXd2Aas+LEfrX6+C+cjAaRZj59FW23r9pI/xc9kQm8EiGcVl8zRcwfP7k3zTWv7MGz37Crw+D
cv/xTDpW+5unwOcLnuq0n15PLfwL2gR8aPx91nM97++swLP0zV9XABzAxqzXQlP4yxv9ehc4r9BX
qJwS5/NCPDk1vaCF4DjQYT//uZ3wu+sgOPcgmHCueE/7/dmp4L7yLY5MUIzPj8PT1ntR6wDGYv7o
OqhwGuAbk3b+u+vgvRJoaxxOyM/74QWejgLP6B9eB3U6Ki9o78s18NvTkXXQiYjVPRJ+Pr1e4HMh
XMv90WuSE9K3yBWAbfX0PvmBX58PZOjqhmMLnL8/v/5Nt8SzJ/vrckHYuqJm/Zmb4tlP+fWchFXm
6EiZ0YI9rcM35wNVic9l+mW7vMD9QBCBUrD90DpwX3hMwU00eU+f97OL02M/OGQcG18uzpd4Pnwn
b/qv3pvcF+D6/Id9+6fXs+oJVB5TXteByvb0eoFlNEk24kfPB+4Lh7Gga0O5/PR6th9YJpibqDE/
f1lJLF9aOyG+E6fwl/eD/wrFKXv/yzpQmH19TiJMZbfwAOIT8mW/vLR1+J4R599YB5AuXaev+p39
4Ji67RiIdJ9eL/G5oL364ftCCZg5BE3x/XXwXxkUURyTX+rJp4LlRdWTn71/fvS+gB/tmlwZ390P
1FG2SRf6pf14iecDl903Sve/8VyYCNbRYXEA/vZgsDgZIKV/rrf1F9dput732Px/eQFU5+DAtvzy
4H+zDpRWho1H4OeD4S+sw594aoDy1Hf9nD3eN//6PwAAAP//</cx:binary>
              </cx:geoCache>
            </cx:geography>
          </cx:layoutPr>
        </cx:series>
      </cx:plotAreaRegion>
    </cx:plotArea>
    <cx:legend pos="r" align="min" overlay="1">
      <cx:spPr>
        <a:noFill/>
        <a:ln>
          <a:noFill/>
        </a:ln>
      </cx:spPr>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12.xml><?xml version="1.0" encoding="utf-8"?>
<cx:chartSpace xmlns:a="http://schemas.openxmlformats.org/drawingml/2006/main" xmlns:r="http://schemas.openxmlformats.org/officeDocument/2006/relationships" xmlns:cx="http://schemas.microsoft.com/office/drawing/2014/chartex">
  <cx:chartData>
    <cx:data id="0">
      <cx:strDim type="cat">
        <cx:f>_xlchart.v5.47</cx:f>
        <cx:nf>_xlchart.v5.46</cx:nf>
      </cx:strDim>
      <cx:numDim type="colorVal">
        <cx:f>_xlchart.v5.49</cx:f>
        <cx:nf>_xlchart.v5.48</cx:nf>
      </cx:numDim>
    </cx:data>
  </cx:chartData>
  <cx:chart>
    <cx:plotArea>
      <cx:plotAreaRegion>
        <cx:plotSurface>
          <cx:spPr>
            <a:noFill/>
            <a:ln>
              <a:noFill/>
            </a:ln>
          </cx:spPr>
        </cx:plotSurface>
        <cx:series layoutId="regionMap" uniqueId="{DE6F7765-0D02-4B18-8AC7-8CD5AE7599D9}">
          <cx:tx>
            <cx:txData>
              <cx:f>_xlchart.v5.48</cx:f>
              <cx:v>Ganho</cx:v>
            </cx:txData>
          </cx:tx>
          <cx:dataId val="0"/>
          <cx:layoutPr>
            <cx:geography viewedRegionType="dataOnly" cultureLanguage="pt-PT" cultureRegion="PT" attribution="Com tecnologia Bing">
              <cx:geoCache provider="{E9337A44-BEBE-4D9F-B70C-5C5E7DAFC167}">
                <cx:binary>7HzZct24suWvOPzcVGEiCJw4dSMaJPegrdmSLfuFIcsSCU4gCXD8g/slHf0L/Xp+rHPbkktSqaY+
FR3XEVflsEPEBjeIhcxcKzNZ/7yd/nFb3t10b6aqrO0/bqef32bONf/46Sd7m91VN/ag0redsebe
Hdya6idzf69v73760t2Muk5/Igizn26zm87dTW//459wt/TOHJnbG6dNfd7fdfPFne1LZ39n7NWh
NzdfKl1H2rpO3zr889vVTWfevrmrnXbz5dzc/fz22Sfevvnp5X1+9Z1vSliW67/AXBocEBbAfzxA
X3/o2zelqdOHYU8cYOrTgEsiv/3wx+8+ualg/h+t5utabr586e6shUf5+u/jrGfrfrx4a/ra7Xcr
hY37+e2Z6Vyf3pRv32hrwm9jodmv/Ozy66P+9Hyr/+OfLy7Aw7+48gSNlzv1R0O/AuO9tnf94478
+2gwdBBIIQIqHnY7eI5GcCACJFEQBK+j8YfLeR2Oh2kv8Hi4+mMB8j+HO/132sceEQLnn/j4ORTi
AExG+NRnD1CQx2PwzTD+eCGvY/E47wUYj5d/LDT+9Z+D6W4eN+bftw8qDjiiknEuv3mrF6CAfTAs
SYAeQRGP3/0NlD9ez+ugPM57Acrj5R8LlL1L/RsjCMMHBEIIARv5ZgkvfJY4oD7xERH4wVBeYPKH
y3kdkodpLxB5uPpjAaLu8r/TRsAIiAQTIOI3bEQyiC88eAj4CCL+NzbxzUb+aDWvw/Ft1gs0vl38
wcDobtKb+l//629EBCzER5Iy+WgCLyyEHwhfMoCMv24h6s8s6Tdg+WXqS2x+GfkBAXo8sv9+SNmD
4xOJpHiMGS/jPEWSIyToN2tCL9zXV3B+bzm/A8zb53zy57cPN/uxAHl3U7ub7l//u/q9XfiLqkQe
EAnUSviw28/lCAsCAArhBzTAlJ46rz+1ltcReTL1hak8GfmxkAlvrLsrzRs4VvXt3xjyqTwADsYC
Xz6EGOC+T1EKwN9h7lP8KGPkc5T+/Lpeh+rl/Bd4vRz+rw3ab67uqcR/9qG/KvHlARcEy8B/EXeC
AwkDIpD0Ie68MKY9mfqmvX97Ka8D9MvMZwv/Ly/nQ6Orz3+nYAH5SBCjBNjvq2QMyDH1Aw5K8gGC
FyryTyzodQS+T3xpG49P+GMBs+5vui9/JyVDB5whP/AZ+rbxvzINQiTxA/wwLF9E/T9ez+uwPM57
gcrj5R8LlCNtP5u/ERQIKwhhKgn1XwVFHmCwFIbpo3Jhz8PKH6/ndVAe570A5fHyDwYK5L/03wtK
gAMfgbk8uKjnsV4cACED6SLYAyN7ISeP/nA9vwHKw7yXoDxc/rFA2cfDm/Iu7e4eT+y/L1zAWvA+
CwapyVetJTjgBPkc48e8y4vM/Z9b0+vgPJ37AqCnQz8WSO91efPm4m5fa3jKd54931+kXl/FJeS+
gke98qK6AhhR7AeUPNgOwo/f/S0X86eW9DpET6Y+e4Kf3z4Z+bEAenfn/vV/Pv+d+EA+mVKOAZ4H
3/YruQmZZuzz75mZFwz5z6zodXh+mfkCnV8Gfixw3uub+ubNF/PmQX09HuR/39GBEYkAsssMkmhf
f15wNQFqE1ACXvAA4gsO/VdW9jpYv77DC9B+/YH/z+D9donze/E3unE38deq8ZMq5++Pft0NqGO/
mPp77vGb59x++fltIAiwAv+Jx9zf5lm25tfb9sr0O0hi/PwWCtFQ9qQCYYGoL4TgcArGu4chIZBA
MhAUkkY+45BuqCHiZj+/ZeQAM5/TwMeEoABRcLDW9F+HMNSS9soLQUWVggum3+v2Z6acU1N/35yH
39/UfXVmdO3sz28x3Kj59rH9w/qcc0HFXskFkF0HrwHctLm9uYDegP2n/4dNm6VsCt4r3M5h5fGj
3I+lbOLR0o1M61WdL/HoD5FB42bePdm1V74caly//nbfp0AFIOmPBWPo+bcHXoJGz9Tw7Q4noU5m
p0qiVZ50bpWMJhZ5e4fzIQ37IiGqbW9H225Gr87jtuPXXuqVMZm5U56VTeSjLCT+uiuXd1ONL2jS
H6fOS6OCmi++Rn6oWa7DeXFEZTV/X3t+VLCmjlPkLqfR3ovO1KGE5grlJ20eZTzpojxfjnBSJ2oa
55j63spMLYkaLVQBmcCwn9NR9a66X7qijrGeUqVbWYYTzlcYsyLkWdsoM5ehJaxfd1Lb2E/4NbO9
PKzrLIjyxAvHRO+Y6KazbBryY2HZYSOmCGXMWwVJokPD2RfYxOtmaAOVD8eVS8MsSH1VBtMu4ONH
hudgl45jpXS3zLCFNt3091JfjSVC8ZwOVWy9vjvieXtvPE/vcLmoWbrmvBKr0S10q2lznrgmOLQj
386y95VLSb5J5Rg1fZWrdGymDaP9dpza4lgkyUlL+afKH3QkSxvixmGVWnIxIisP07k6rLCp1l7d
COWSC43ZGHaJvwmw9yFIfBkae+/liQmLrtTKDnm6SZm9NaVNtqlth3DZeCl+R5cu1LzD267MV7Yt
ZeTKsovIVGwwqagyZJjDtF3ukIAzxJncUL9u4mJk3TaH+KgqrxlUPU03Ohu2rUFLOJYK7C49LQnZ
9LPzjjQrPpQkC/uhTN8hNsETLvlWMz9RGWo/jl4ybd072rH2OIsmLXXImTesxUiadS/nkwzjM4lJ
rwqU3rURl/kQF6jnYTppsS3xcFd1QpGiOuoJtcpD5aBIKexaymrtKs0OUXeDFw1fTG20BORwrsRp
V2aHmqfvCoyjQcxZBEfSqtGVaVh22Is63Meilmaz1MOkqmJQeNA70gm6bSf/o4c6qpZpCTZzk6yX
tP/skslTQVr4ocFeaK046kwv167v7p233DUWJVFO+xuMTaMqnaMwyc7GRTaHbqg3pTS5qv3UqSxw
Tk1M0DXS4rgc/WVVuuE6cItKTX68yJGss2VbVL1USXMMxdf3lZHBRhp/R3I7qbELbqag1JGWqY5w
aUg4MV8fyqUM3VzkapCpXaeEKCIys0rzHow9A3sqErC+BAWn3dhFmItalV7cIL28S2R/1iy1apOp
uijxeZ6O5Vmgt12woDjQlVZBl9YnaaNmZ+8K6/dx2o2nQU/jgPexTqcd7Ol6EPbc5QuYtnRk82GQ
Q7Mq5t6qSZqrpm5WYxniaV4ZMEU2JqOyWfbZ9+0JyrNTKYbrtlwF7XIc9GksvCHq0n6V2vlkFvS0
R/kJmbOjJSnXTesORb/NbHk1FPp84UHMm+yUlJ+mkr5v+uWYTfdNN23Bxs/aoV5z32x6I1eEFYuS
WMdWwHl1Pph7EsEOr6e+jZO5/uAF+H03LdcdS09M2cUpLnau90561J9kOb0EYXZGDKsVF5Va/PmY
6ukISrLnqa7XTLhOVYEXakE289yfVPm4TfCyq9LlE+uWM38aTnq5KvN5VzV62wSwuSxYde10WqfJ
RYD0UdKg4zRaxuKsYvmZQPpE8Gq3+PKiMfq0bvhRh8yWMhR3fhuhyUXZmF7TYl6Rlpy1dihUj6nq
vPRdw/lhmnebJF9WCbOHJkVHbso/IYl3AuPTustPLDc7IUjY2x1qj3HJNqQudjMtjpCp16LNz1xQ
R2kNPhyePOD2wnTTCpzF2sg65OZqv7ui/1AQetj5y1kmssirliMrplbpmn7KZnTW0kjU3sf9DniN
3O4fjsj8dCzns1DDBu+ftGqLoz4hO72QT+VCNwk8dcdPAlRGM0nAKx9mpT0MWnsm/CD8GkUfqNGz
mH5rmrnTafbQjvf91/+4NBX8+dox9svFfTffL78dP7YB/u6n1ndmL+Hsyw/tV/P9Xr/0pu2p0fdG
tRd061vj4G9wsd8d/LNEjcLxAtL8vXHwV0TtZUXlKU17mPxA06CWzamA9gLJCAYitL/vd5pGBKSJ
JBQifCh4Ayf7haahA4agEAFlCuhto8CgvtM0SHP4hO9FcgBKDJp/8F+hadAn9JIpBRzt0/HwB1gj
2tPIpzytIhCe5oQZxUawr/FSgm8La+ASkZvgKFtXH9co+ZgMfqFI3jTnni891edeHmNiWUjJOJ0T
K1uVllxp38S8n/uQDqSKswptUGPJrq0iv51xPC+pCTnpwrKawsVVIWOT3HrMAJmq7HXjtWGFcaaI
XWwYqCw5hZYzdFSgsg11zjadpiKquVW89ZuolfMMtCWIsqBMoybLhBJdXsZIyybMPafyJUEh8pOL
ZaovCzSvcVqrhHc8bsfMV0XanZrJE+Gs889iFmd9VouNnMskrvjoK79mO2nbZSerm7IiJEzzJldm
IjtXiOXbX3ju0W5A3qapgvKIB2DMGS3WMu+ro7Z5N1ZZvUuLodrVJat22CFf8UncB4hYJWlEUSpX
Zugz5bIArbgIelV73IXNPNuoiea6Y6onvF8nN2RIUuUP86LqQTrV0+E6L+froKTdymO63Cx4uOrd
+Clhea7YUG0Hw8uIWi+NtefXYZcX7UqXnYJOWlVmnrISu7CbxLVt7KwqeqjLge/8zEGw/KKTsVXU
d8umt12q2jwlaugbdNiZxVeyPecG6PIgRR267rJCwJZJoF3cOS+uYMlqaMZA2Xz5jEfEI8aSbtXN
QRK1RaLjqh7qsCiSJLJCY0WS4gO9ZksRbJjFZQQZpHXL2Rhzj9iIe42SSTOeNbkfyqE7bGxfqd5H
Reib7GM625O2KKIuW8bV0FTHCFjA3KWfMl6pfExO8yBTAWlXdIQPzKOfh7Mf7CTKtkkNzCOfvuiU
bzzL1nw2l4vTl5iSKdIYX7V2CqfJpuE8yThP5b3XsjRigRePeCqjEQdEBc0QyxSkTZsd1YtrwsLV
WGG6rWm3bPDkbpNJHGU6Y2FC+usJiW47L4euh4CZEhuWdtAqm5etXw5XyxI1shQqd23YMOpWZdvP
ALvyxTBFgc/9uF2SSFdJzI1HQzy34xoncNhZuYStJrWyi2OrohG7PiBd1Lqljvm9qKrthFHyvhjL
dNWJ9H1mkiJcfDCYKajG9bREhDYiDOrRU6yduUKO87DTLpLaNMdzW2Jl7EIjW01rTf1FjaKGk1J0
bAM+DCjM2CtpxYmcC7pxAreqKayNuinVikozqDmhn3JSlGrO0kxxS9b+sAyHQ1Ve9ohf+gRMHU99
NLn7kbZtVOUdh+MyhT3P0lORlEoM1aaftD3VHs1XSS5gEd5UxoustktvCNjssKyGxMRtkTK1dM2w
7pLhpiCkjHUiPvSVf0bLolA087ydoH2vRA03znIZBy2Rp8OCQGO0OFo6IO9Vwj8xFlSqQ8suQzpV
HYjyyMNl3Eh36H0wU1nusGeSEATHGUPpqc4Ei75uj3CBv041vdPefD8Y3Gz8ivgbkXMdi9QMcaXn
QmENWoPy4ZAE07u5dPk6X7p1U9BmY1XF3Kms5K2/zPyQmGNuex31YLfRIP0spH5iN3TKgBrNAyiv
XufxvrVn7efNSTLYddFkIsqbgIdY8BEkkyZbU3hZuGTNFhcyRKDeglokIbwFgNWSyY+gMUqVLBNY
O6JXxo3wtDDOu1qEYu99shHulIFDNk2+0aS8ZZSe5rwxn9saPIObZapGVnjR5JnqxEsKt2rKOYgT
wAlUqTkrfMRU64HjIEtVxNC9p1I3uwhSEGVMkw8uGeO+sCT2IJkf+YMrTuZmAOEzol0gZxourb2V
Fk46zmAPujrKTTcqjw+rMmvyMBk4UoXuzxj2cKgbDfGic1oNOctWY4ey8x6eVg2+r+ZKqiKxw6rX
aSRIeTjmto7oxCDKJDTq/TRXRONp603tJh3CPM/Op64iIRl9UGZVWa380cyhFWeQcrjts+owBaFS
B32hGls5GBhiWsqwdKRV4zRvC5NvwVkfFwmOvamgairVUsxbZkzkCXPR6voK1zFty3sziat+w4Bu
qoIhrPz+fqrdtMqcL0JUuesejrgNZLEaivZKOPoFl60y43RTLGTecj/pIZIPgAgFsdr70yqw1ipT
L5+Wjt/NwcDVgoYkTJLpCGvqwsxapDCrN+bak6Q6GrAFCj/ayKS5Vj0rtnmrldw7XpEikAmoWJdO
vguqcjUvsM8OyU6lUNFUw0jACqpopuImn+hVQjOVTiApKfuYanToNydmyFaT7+2CAUJ+LVYBavsw
sac1Pk9dEDX1EA1DlqiOlxdWJruhLm67eutq2iuvrS6Kpb5ftKyiIRkjTGaqyjZfQprZLePJORCv
Qx81d1l2nuSlCfsO3JkbktWS5O8rH14ywTS5liY5phSnK+mhbVMEfTiSpVXzIJLN0jQGUjr049SZ
sJxQH1WMi7AKxBg6AQHUeW0ZVSYPlz79QLnQcdJyCNKk+ewquYPdsIcpmt51vmIyt6uOTRdkBt8C
p1jhJrnpfT7EvMzeDf4qaSU/dAs8W5Z8BiF10VRoi8ePAx3CxpMDMLRsVEttz0XWbnPqZ1HqBZBU
EkWkdV+uxqL/KPRymlfk0owUwWJkrqZ2gSSTyEPkzBCOfneasXLtpXkROkaZqhHQpqAcQjF3uWpK
jUPhZlgwWwKQMnMMIepUtnOi2oAixXH7vhu2rhzTzeL3x21jgrPZkSY0bJZxlYRl2c+rRryXfIgc
7S4TL6+OdMHcNunnjSkaepjzZeuhSq9Rm0ulg/yLZ+076VlvlWDQNsLgYW0scDw+abPOTbvymzxV
gmTAXhpyigbXRpC42VTI5GuMa6Q6Gai2nDU8hz3R9aRjh3Eb+/4tpzZuzQI+gaZLBOyx8q6YbQKF
IE5o1F+UjN0JrYtoXMwtYeS4n9JD3jbv/RoexVSoiuue5kdyOcQFZqBG2WpuuqvW54faiZOEDlsk
ypVYiIxHpIFTmLCe7Zcx6ZbIwSZVmkRGZBRILW+nDqCyihbLthvz0Bb6shr1p342xdbt41ohCRy3
QzPO3fnAstOxwZC/NAZH0k3phjZTKBOI4sswzeAa3GaojV5jBrlFIyY1B9UMAXcEj9f0F3hos3C0
vIuznvpq8vwLWvShaKeT/9aLv/1W2TPJRxCBavJv68XH1olXJn1P50N9AN5iCiArzxkGTfZdJ4Lg
21e1QUBCXISsg4BU+0M6H8QghYyUFJRBx3RAOKziIZ2/fzUE2hQo0BH219P50MHwQieCIoHqOWNQ
TcAB9NLD+p7qRFPInlS13OewyXVdE5B4o7ySvDrxhRlVmtjzSmepyvu14ODT02yDq1qoufQKNTY0
hjgcpdSzkfb0Z3irRXk5vxzyvlaBHiVk2vehVF4QD2+6Jbtv6Nwqgs7ZdFpO8r3VoggbkVZKLt3G
RzUkLVt3a6zUipf3OneFgjbZY8Tt2Ty119lYh6I0EyRpua9qSj+1mFyBMal+Oa2TCf7NYFpS+6rn
wXsM/lAJtElqlipXm3uQDbs+G1w4VWjdBy0Ns2XOVLfsQGd+WaYiVQgXl0EyFsp3sSNVs/ZL66tx
AWWygDrOadWqornndAAnzIkqPAskZc5Q2Bv+qSvZBT+HYg0NzZJNKnCaq96O90tOz2peelGDlm09
zieumkU8MDOrLtNtOAgeJxWdlKt6T+XNqdV+dYSbNFVyCq4EbVeQEL4uxqRXne8jNZTuMMj8z4g3
ftjki1TG6zYCgbcfCgfhRiefhvyENtaFgYibjl8l+UxUQwKQkbrUwHq0aozhYV6BNhDgcaJuAfKe
eulHneanS21UVWv+od2rUCpBS/JcwNdMQD5zczkXtj0aIaHJK3RT64u0r8xG06lTvgE8RboRg4Oc
mTytxwHvZs+d9hC0OwJOeDhZ3BQ3VPZbUjdHfZaSCK7saomW1VixUmkyhW3Wr0ZJ14NXsEM3Lhs2
OtghZLiSxu2WoF55iXc0t4VZ9865kMwgjbTwrhAsY+Pp7KMnC7uCbMaHgue1MkkNJMAVm9nWoDYQ
BCU/MOFk8JcxS5PNRLq1s7OJLG+uk7QGejF5ZxW8SXrKoM5CgsaP4K0sFw5wMAb0OWUT5CbbDJaY
AJ3wq7Auk+kUQXYXNyKPaV3vwHnfiRTfe2ANEo1xNTHQyAmugcFZux7n4Trrq/Sky4peobGAakL9
uWoC72Nhg9i5M2qQt62hxqSkSIdN5pIG7IrOEDauMLIlMJeWxKwk8YL0oGhQrXCXuFB3mVWJIB/Y
YHvFvKI4TqC2ADnsK0md25ISjVB2KMlJ7fUYEru4PbLpaEK01O9T3bF4KaGUAGnlRYGk0Ss+DZWq
jK/DrGImLuZpVFO9EWUC+ZOULaHXdHMceMO1x5LiqPVBCwz2gjiv3rQdGhQKGhdW1RyzUa8947PV
CG3wYZZAvWcidIuMnsMcBe/hWO4NPZAh1z5eC2FXwVgrqG92SqTZsk49A2ikUjVpd+zx7n3iQ0wH
S5nDCYSWElnvTsScf9SyQ0fAiu6XpJ3irt/1ufWPlyGCWhNeTbQ14KiGUzmcuQmUfD0KtpK6uy7b
MqzdsoCDKPKTua1vPMdnpccetrq+YjCmBkbXJNjKRrLjwqOH2Msa5UR7miMdNQadaC6vltI7tNJQ
FRdFcE6m0Q/zKRgVJGg+OkN2oJUh2lf4M7MLlFKgvjdY1kZQK/LDBGhdA3TZLypl2PsSZFlokyaP
JnqOfVAZM+wOnEW4w9Smq76rQVJ5H1JWjBGUl8/1OO0mITdt3R/Xk1kUQuMllG/3aR+hgBrVofZu
TMVbkE2DD8XIBUoaYxrWNA3bnJ/xVt7xFNzroId3pg1WPbWnk1cXUEqAVJlj77DHPpviYhH6Y1/k
H0a/3ZUTjVHFTuf+XV7aE5zna0/OYeBVVYRtf2FysZamdKoqCVILz267sQn3d1g4pJsGyJEB2cGh
KabPiddwqNRu9eITtXj4NKmbUtWFtlHJq6Pa9p+JcSyEc3QyiQrULXB6h09B5t9XaPGjupULsK4I
Zy0kCQdvz4rdoCyhUdvWJ7hvJSR2wBehueuVFZu0CkDtJlWIPPgcFvtg0za7mvD1QrPb/RexoT7J
kEmUP62hBl6AOBv2OZwJStJZHc5Vr9XUuXNd2QsdyAz2te7U0nefaEl2U+M2FbB71VfwLngqZwYV
JApuKQ3uaj/LlF8IFNJ2k3UgqE0/He3pfgo5hWTpb1taqbJjkI3C+igd+ca01c54UO3zRZ+qIgsF
Gu6pW4qo4lDnC8iopAcVaY+ezEk+hRj19423YZmVIZtAP4uuvAmGcmsFfW8R89UTSvRK1X5PmZ61
DADFIHtq4UODuJTQ1PCcYujanxE3tFFwAKDWDNoxGzLFsimCNodNr6tRNRTf4LS4YF29Qa0+tmMX
NlN7JlN4WjqO92m6q7J+N1dgE0l2NFt+OAVD2MqgUEsbJlAFnC87iTb/T2sH+sYJ9OZQ8qLdAeE0
WOaKNKrgkLgTtgEtAbWwr1vNmuyiIHzbd8FJMLEj048RuBRZnBtaXxFkbwNiP+mAHPVSH5qluprb
7vM8rxIEfhnOJlT6IQNpe+oUS/ghZFPWv798+srWw/tcsPkM+u+g4xhKEc/YnZ25rvZb3/mDDYeg
PRlxcTXOPApIplc4GZBK53SLIMccWpcfJTMIQm9vJaMgi6JmOUclUR0FZTrSu9HBYQZHfTKM7UbU
pgizGQqrrCM6rJALay2nME878FZDmKSohZorSKJlkJA3rtxZCxlQSIxUMn0XzCVSlJTbr4/839Wt
bw1mt0//txGPvWf7zhwsoefyt5XKvl316Tsu36d8r2dhQUBxQH9PwAT62lv0UM+i8OJzgCkT0ofz
HyCoJD3vOtqPgI7ZS5hfZAo6QPBCIYERnxF4/0b8lXIW3lernnYdUQzLQwJeVoCXeDi8Y/L8HI+Q
QVwYygPwlrne9s2XiXZqNAs7tcTxuGTyUmTWi4PensjKQG+K6f1tXxXrwTaXdSrlIeZmy4WdVg0P
5ujJXr7i4tjejp6tj32tsknuI9B7UBF8sb4GCuIZSLrQm3ixSvu8W1k0QWoFyukEcjFDKVaZFJuh
A/Hga5Ofdylmse/p86Zx5DBYsi2vNBSYgfR2GHQ8b3seE9lfFoLUIRJVe+rX2yWdst1iq9NW1PMJ
l91NayiPkjzNtlXHXDyks1shU7EI1W1/mLb6Bs14Oqlpmb5vy/w8pTyFikphIgM+N+Ut20q6pGfD
SOlJVwcxJN0uqB6rP9qi/RY83yKBwQvBEYM2e4bx3lU9aRxroQQT+OT/cncmS47zWJZ+IphxAoct
B82SS/IhPGID8z8inCDAAZwAkE9fR57dXZl/lmVld1rWoje0cHkMLpEA7j3nOzegqQrc7M2iZXz8
utThFB970817ClcN7sHgZjJg9TcnLMOCeqaHezPYrANEdZQoJcrStUe+AGpxZV0e7axhZFTkpix5
H2m9HOXssVtE5qd1NvVLF7ogOUiwHW0ZoWNV7MzbNlzTWHQQl/gCiXSCRsy3EcAb1C+mgS/hR0dR
m+jbig1ynXl1gN4Zos/1nZyUvrovlIR/8eX/Mrflv3iIoj9v1lhij4CuD+4IgBvyUn/6hFD2NCX3
TQbTjls772UN2bbkxtxF7bOLnvx8nak4atZPXapWyIY9zJyczK04BrMRR5T150nTi7KB3LjzIAom
bXmuh/BpAQ1yDqexPvMG0IGw3vbrpamCxZZoy4uOWufmzYnM64Cozdonzs0+Lg2lUQq3b9iB71lT
Gmh5SxYo6KIMP5d6vMKdUbdhdU5mLdVRWb/7y4W66n99GTJVtMoNjgyK4WVYqQ8Kpqt2Zhp2kqvu
LKO4OxM2OZks/WQzof4UcSd/0JpGm6CRZYZPzN1ZR9nTUvG9jqtxrx9ffb0EicKeFHySA0zjwodk
eiTtMh0n1bdH2BwUrW+2wDu6qIgNJ9aN/90e4P2ZTQRRB8IdoKWLpAKKhT894EQmY43li6Y1Jk7u
dV594Ty64mNZ0mT2h23pdBO4yFi8Gn+iKDX7+qUZnU3PnbFg1MK+Qwf5XJvp0E5TfO9XqNtBtVzq
FiKl8pW8jBJGTXypte7f1OK0qezC7tx6sMihgTbbvo3NWQVG/DeFRPyoc/5m9aL2SXAw+AEwU7zF
P21wehUydNEZZNaYP4KEm8K23J5ZsFT7ssSScmyqXUufuWHfg6V9G123upGQ/eRV3B8cwvjt66VV
RyRNwhk82OO1r0sTRiYPNWgBtjjbmvjVGxtnvtNCBnnMpHgjYxduSFIVMpiDLNDU3r8ukV72imh9
MY1d7nOnw0PvrQ+XHL+DD/Vy9yM+ZxNOgK1fpuBZxyvwJOcaDozkU2LC/OvLr0s0iGjTRXF51P1C
LsyMVcZCP/wIE3qVS8xfvQC+YwvsbqhD2FgJOpZ4kd9dWOo3x527qwt3z7J+UwYhpCI7JGOORybB
P6KKBnLKa93VohhL39u3rhPu3Rrm6+qsYJ58mA8DTquNE833sPWCJ1AR5VsZegfYVd1tFn35pnhX
KLeldxOoX//4DKP/xS0O/SD08Pji/kbh4/t/tUHHSRVWDjoMKFFUw/uPbmUTyJduQQO0ju9lG9Hv
JVr8kYsU+3V0+MsFQkLqxOVFerQ+2GBQ8HOAYBG78gzH2g3+dnz6uoBpjE9+HXS7ZkjuENjLPte1
90ODLAVZEQWnRg/tYYmmYzXYEXgsqs5w9N13vj6pOUEdHT7AB5QjRyeY2K6M5reytpBPlvgPyBLB
L9ntpwEmterac0mF5lmvCi5G58DJngh3OMg6gT2/OCs7cL//35eoD/N//HG67t/VBICCQkQvodM+
MO4/tz2WwLoaOq/LjC14GMwHqGxRnRrD9aEBiFNDNNTTnvthKlpK7/XjErsv6Eydm9BReZnjfgcV
E4b//7n0ZsqVZXrTTyHMWxQ1r700206E7jfaw7aPG7Ps26GDh8fpYak7vcXmCS+e48CH6UM7cHZJ
t94bFzQx8RkpQABGZzdQpw59xG2Qcw97MbZZ7QffEhdLhCRmyZjonVPv/1rCKNyhhLJp3wbDbXxc
qKcNoDow1ZB8in6K0Ve7aCvidbg5ieyP8xw4EFaZs8EntaYKYFze2ebN4/ZI3DG8CsOnpzCaD1Xv
0uPXZV0ZPdaE/6A2SbaKjeQ8S5+cgSrA5vd2ZKrZdVmC6jYs63YBg3OmFCjBuLi7hAAPjB4XgB5u
tky+vED+mDZWt/SpATddiETNN8fRTp4o0lyCgeg9KwWsxBn98OTWT5RXMM7oVJ86HZiH2FjnY912
P0xl32dlh7stVXvmidNnKwvaH6qeXhqvM6eRL+L2denWBeBr7x2aYW1tyiJ6NItPz0aQnzGgw5//
+Knz/24RI8QYJTh/PB++AzLZf7uIo7X22mWO6owPuaVa3Ru9qt2gmJMK3PAznb32WCeQASbPkSlv
Zo2iUu71Mqqjb+tx10ztJ3RM68DsSqadrKJvDKLsyQz8l6wSsuUkuLXLrZNlkst2lJtRueQeLMbs
JqAfVbUkp69L03OzAZkA3JuH+lX5fjaYav32j98ynv4/dweYFRei8sLu9RhxgjLqb990n0xmjgPo
I87jrAfq83Wp4UwLHnp34wXuuYTaNtZ0BJLAQb/Ah927FepNCqT2jRqnPRGWGLSttnqLoXkfjI5E
9vXdkIV6XwcRzUbj8zfLONu6c0bXqoNd6NavsYBBEo3FzPryrp16uhPfqfEvdfbw9eXYAy2YOE9w
SDr008KfPdsO590yxddBxUC22jEAoL1sWzbZrB37zNXW7NXavwk9vECuK0GU9L8EQz6g5P2PTl72
I69+xdJADJZLscrkB3vohPCFRzp9X/zkfURFm82/JxJ/thrymZKQugmcUi6XH9bHgeZ3cMA7nJjN
agCglctHbyqeOX63jcJSZtYHrb+GAfS60suqelYwYwFl9CZ+ivchW38kU2vSpa0ubk+KqWmvYtDf
xUB3MpIfce9vkz5mqUt1nXW9nLJOrNjD/cbdaBNfhriZtpSRj7XtoVauIfRkXp1JA8lLRGXKCYIC
qpPPLlWbWSeooih7E5V4H8hLGPbPeomCvQAQng7t9GMaGpnr0HwjLXoHMteZ6CfwJJY8iRiJkdkZ
6jRo7KsICIiAcFONZuvp9RnuWCrIK08AMPE2ObNF3WQ0qcKWeuu4KkhRDeQ4jLuiqyBE97ZrNs3Q
k3Rw2Xbw2m+9P/q5B7w8g8YHeQdg5K4O1noHWEBmM853wJNp7w/Vtnf9jSthB6wcsDrp6S4R8Kn0
nIBlU+VPZ0gJieJffQjdc5nFxgNjtnGnBmGHO0uCcRPUxF6oLoe0prNTuN0Teh7sTk0eRyJ+bT1b
NIlTzAGYuHhu6b4eNO58NW/doTb5AHA182bgjZ4G0qErAFvkFLCSH1oK3m8G02+4I9BPZ24d6e1s
Z7B8UZdSZcsTUfKIdwZvIqi7lHmsSvvZA1w2kG29OE+Ocj85UQAovbLacC6HjKztfZidF0G2s9aQ
52O1Cz2VexAme6vXvafogSe1SoUNrzEwyRSfJ0lVjwCGAHxCF8+9eHJ9WwfdFmNA50zOeB0HYrQJ
sevtqDd2qQX2FqDZ3WlLbaF1Rqr2LZniD4QKTF7tWOefQx/+1TQ509ba4YE4Rp/1wI6GwpK3kA2W
AQWGCXA7+zA8l7z24ZlxcnXX5562f4xluBUcuumKLWSsVMrKJNgtq9jMc58CFz4rm1xnT3TFOHvb
ibswDmEmWCHfiON8kMDgLCq/1R0HMOfsdKhT+VJxd0zrqU/SuYueJls9WTdeDtO3OVFYhir5DrZn
mzQLAVakc/U4qEDd2fknj767ZJzzyiwK4Rb3oO1vOdfd9wY/uLEl9LxORzcQTP7gPDULskjGYaB+
eyzmhXZ3TyYfoVzhz5o+yaFjiDQsuyAtSVzmdRzoTVQR96wd+9l2tksd2y6vtBK7sezKbEhwEPrz
aPPOOB7CKSXPXF/+UpIHBwPOtVibHjEOhtiCWfpb0pkWsIbeIV31x2jqdiuEPfoL38SsnQsAb+jy
SuSN6qT94VdLvxOqfltVeG0O7ABVsisGY3dNj5XWxr5XuFAsUt0ncDnKTVjJ3zEgzhp2qV6ntmAt
jF4a3pcYnOpE6zBblnDZrXmnqyAdeuMdVMueu1sjESiBhxVnY8N+zEG3n2u2Zp0JPUSz6BtKD3JO
jEvONqK7UEdxinMf+Z4kRRYmOLC4f2fREJ8gwVxwwz9F/Yh8qIqkvUfWfOmzbiLzzVjwRSHtU6cB
Dri0+hyFC/Z0T+EmJPOOzuBMdLSdezocwnqrIxjms8Rf00TsvQSPuxdLv2kUqzPFHZW3TufAYJhe
RybCnfQUkG0vzB1f/Z6rc+LeqyX8FJyWmwoRBSRZ5hXhPRfnCWvOg1rXTcCWb5NC1mb1jJsreN/Z
GJq+iAasXJdA29XV5G9Gw365fvM7jqv6vZGsQLoQoZpqba6tf6Vj+0pIfx+8sN+W8jKM862aNr3x
X9rOq3KmqudoCuAX641CTG6vvXXcUln/nsah2jTWgkgMbfnEIgtrZAx+sxoxw3hsZZbEz3Nsll3s
sThtwDLdWwBSNaXTdvbssZ+qKE2EZGmNwA68qxVP5carQarOvnsnMcq9zqIgskvm9G781AcvbtCD
L9SkAbRV38TiuPtK5F8eqRrBq9UStF7U7tqmiwoIQM7WIxw81i8vXvs9r7EhmrVq9kHfQ/hnYdbY
zimSQXQbLAXV659Jh1/Uuo62yjp/cBUPTxMrgUq28wsO27f+QfkkOvLPQ0XO1PA6VQ67aS8yl6Ct
mmIW8jeoBA07skEObQA6H9AlFxUaMGexrzFark3jdz/9GWbeJNpX33g35j8LtpZAvMY36veiMDGY
Ozqu59kjBW41Kzhp52xGosX0iCz2gOwRg5syGszAIRKw1RH8dYKy+DgS9W6MTVCRJH8A49sNAgwS
ky3Oh278qav5pKF0pMMQAw6wOirAxZpMVU0DB5ZtVIubsgrh50bLJDfc0h3sZQKnWjfLeUb3nHl1
YHbhVMp8Bgm3p9Y9/5Nsv1jD6yAIwmL/k2x/GFAwjQNQk3+N7Y+bSO4qZv9Ftn+I6vAIkRD1w1+x
/bqFF5gE4v9Dtp9HUyrH+W/YfrPKFzlZgPSJ/5osJmMWJnY9x4UJyac3rWXOA1ZEwMX/k+2XFTBC
Uv0V21+VB0S1/h1s/7omuatIQZiAfjWIf5rtxw4FZPMorKiO/HEpGySaZxrtl9HLGtN1m95BzoQp
V2YonxRCmQUU8BqegUr5i2cHs5OtJsVqEbEcfCIyYF6bxE1gmq5ICztdWGVJDTi2euRB3C/EQIvN
EtMntK+oUlsUR8t0XS3yJRrEC3D9aEOkcAux9t8qpk+mTnaiYtcGQGQhZqApFAQXXH8fZGuzPkni
fVv7ohtnQF6aP3UtMhmxGbcxEQCLHUgFs9CHEKdUMTrhFkuDZn3jztiR+x8mDuE6KhTyPm3AJQTB
DGJnL0jQpK5EkoWwYICmw39y5d/rTrVIvoZjFqjuA70pNpyqt7nXoKD1Sjc8OLLdrEDWNqtAm1Av
wy+fd/KBJgwpApChNicm/MuKgRqZkMhMeghxn9cQ1UA7gPTE0YAuCLlz7fRo3/IWPyTK+G5KfWR0
0sBt+sxw7uZytTdB2/Xgr6Am4tLsOwcsseBJNiwh6kJaHftl/WhcE6RuCaCURsWYjCE8eT4V4Rhh
z+/R2/B1PYSOireuE3xfFgDLOjklTXjT8wrOW8Qh/JEhyAEekCwBWn+ag3q/6PFV8bogS7VuZAnY
TcFciYJqzkfp/HCJqQ9kQC46rvofY+tVkKgNjFwvAUubBE9s+R518kn0pE/JyqOMoC8I3fUDKfGy
GDxvs5brCZxWdawFjiJPYb1N/DKUmA0QrqvJLZJyGYCKtWhKhEeHX9XSpLYJk43j87JQNoqBmfAM
pkv1hlQZ6vonSf3yWk72NUBgSNm2KYYWfyqOoKKxm7Uklw6/N1VGxeLfdaUeEQEebEE7LOkyoAOO
ZGLutCV7nUBql+PJdb0Pr9R7lzYhTj9duFMrdk7Q5hGyQ7sBWQ30ssDH5h4RYwsYjyHX6sT0NhD+
HRV4ruLgB4Ppk2FS+qv0gp3UI80RGnrS9lsMQiBb39kMsA7LgsBiRNZiDR56wpLojHsnKYm77Vj4
OjfqWlJv/VWXBmEEMgM29678wba1vDwrNejDwsLdAubRmzk+VLLsozSmeHO2bhCtqIZ8bMNorye2
DZsEHc6qCkTY3kYVfGCFIUiSoJutnWHJqNOMOV/5R112KM1Ntvopq9YadamMNvXMDrRmKDUT9P6u
S1JeTkM283ep6p0y+AvIjP57IhNHIYx14NdTVtL1lyjVe+kj4x2Z+TQLocBcoxEKkesY1+C5mSdk
ch2zR7bnRcIz44IfAwl8KvZGmXOMd8hZuX5bOv/FvkCz6nIPYbsDUJp9Bb8rW4npN2QFyx9pg+Sc
893t6QXuLstihu1qnZvfJUrSod7QkiEXb/TPLrDtvhuHPfIkG5BN08W7xrOjUijIIADBvcOGmbFJ
wjLdEwIXYtI+IDTuIfbYQfPQaCxLeu0RAo9jACcBEkqgDMFnijAu5irIe40WqytjbBMA+1Kv8bNK
D+Fu0tEJRc0zA+QBV00Xo4l0MUPqcT3sizBsaC83xrBntl74QiAPLFV/VKauUzn0ORxR8SQH80sb
BCQRHzkkFpFtqZEXSwb3iNp6wmn2Ocbmtbe9Pg5xtZn08Mlb22xbgp2cOd/HrjqSZgLX+diKyskR
ECdiH7kNB24hTabChoU2/IjnFYoAAYvqVWfBUPPXlf/hL0DcFP6TD6GbLImwzjCwQq/womF2sE1s
A+xKwTW0AckCipsUzl2Gt7CZunDNG0DyqdeVd2d2Ra6H+jXyJ9D7XNlC9gy9LUfUR0rAPhXSgIuq
wBSueByJM+LUuqIOhocFkS3vGXytyWs3gcfp4zfin9PyPhBZTLO7MV7zfQgOUdRExcLomjPCiiou
kbssLZLx4SslnBznBQq10/kRvhfgR527jUra54YNDb7STV7h71k7yN+hcVGRon4dDBIZ6Gsfzwnm
PDA33GMNSWz1a3Ai/TYhKkCDLb20LsejguGW9XoFHYagX2HgMkeEbnhlr2VbHYJ5trl2nJxKSAQK
VhQid82nRS2tw3cS1kfpZ4LJ6jDJ/smP63cjW4l6pLxOjIoNHdzftZdcwTLiaQNJ54y8R00Nzos1
9Y+R2E3SGDw6kOpwr+UPzp8mA1bQkTG6J4QHwZXlWApvMihtsZZagRj2T3YKZI4k7ZRihoQGRJag
xZtlTlf2B9ybIXVbzk89Zzliys9zvVbXu9JOe1CzuiNydSaPyLwtp3P9R8szwK4JFhvd63rpMh6O
UxoOIt6ACM7a8qUb3BcClHf2Ns3K0CG4oA7n9qNK+n07TzsVeALChcTp140H1Y8SmFDztMrAblo3
QF+CbvbrK2nhII8RObdzuPV8DCwZNU4k42LiROt6b+1Q+vnDOvIaCY2urN7U4Jfo3MRLGfljpgCY
oDnRS+rwYSo4zuoOVJ8/LZtQe7/BwZGDYevWSJYtAeu3hAIx0bFycghivs1bOshdFy9FLesg5R5K
63CyyHkN+EPdR2UgC+Hn6sEauiatEUBLRJ8LGn74HA6w8jEjxcM4jqYvvVtpRjhs0DbgiQG8wgyS
RqCyscZ7DcIB6UOoBW6ylNtGiXvZgBTjrfN7bIBg2wA0rrd6ERTidmNWp88hf7+2CwberDp8kj7d
JrrbUDTmu7LcTONtcJzlOMg+KSbedAD0IV3o8PsW/xXNO6aQIJTUghom9XWO7CNswzHZh3k3h0+f
ADSRqhXlO5uQk62bqzv15pAYCYjfaLZryvA0j+Mv6X72ESj+qsQm4ntvceSyNK7BuRGNLUKAvJAt
sF8H/rXqK3C4U3ObKr61ScV2AeIF5cGxS7ynI9AV7UeptB7D9jP8qC0Y5JPjBNDwkWfH+h/yxm3x
yY8gGHnw2jY98i9zxHfKDeNLYDvkVV0grf7isFQeeriLcXcNYIT4BDeJkmdM3kEJibieMshVDxjB
0s2kWBKghFUcPrOpOzUU7juLkzccpNiluHyLjKj3xFcQAh3U2AwSf2T7J7JgF0MuKcDZj6rVr3VQ
OJ09NgjupI4MRuzHKHFcs2ahGj+EcZyjwfqbxUS3oXXzEopLGsFeiGZ+tutUb9YgDoqBjXTTDmpG
zMsHJQB1wvfRyhsAKqD4Lv85DyeB77CLqv7fPA9HQCjPVmjA/zPzcHDqRg9i6/9pHs7iVgfBqucK
FYn9V+bh0JVs43H4A8cBSUNwRP/0PByCxAp4mcMom93/9TycVaDxEuW/ZR6ON42559J/aR4OkH90
AH83BAdGy2tDKi8dWaBSf+4/4UCUKeN1XlLrXU2MGI0Oos9GNtkQu09Aned0HlSZjiHKZVib4H56
xH8NJK3SDgpnGfuGgp8VDPXKzGh9jlT1M5ZLsMWQL8xmeDQrZARVm6DqNAMYvMl3X0zcuy+u6LYe
KmaEIS3spRj0aYmpFGBXnOUazcuhDdvyjuNj2sOtB+wd8KRgoyUZaER2oShcLrGzrgVGwphMqA5t
zJIcAZBMF58hU9+X3alyo+FCYsO30qDDIm+tUZ+lwAnkdnQ6YeOe025gyxb5JUjpQfKbcnH0+ng4
icamwwyux7qKX1Vft9ApFcp2iOpF6es/iOmObbi0e9C6kOukO1zaxqWP+VnTT2FTJCj91PFbZ1vC
G91MCZzOgUITqOp2yIfYMWfTz809wVibHlUhxupsm6kf7zAKC712BvMt2hC2tOhE7uH11n16ZKr3
Uxnqp4pK8xRP4YDUP2rWWXzMzUSvQgziXvkrxaAe/h6PpLp/XYRGVpIHaNoxwXDPw6pGVn1Rd/QH
wB4ChokAHYMjXdER8x1azIqruN0yVy03Eyv/OtdoJdzvGlTDAUMMqptclbgRFLKpndi8e3zT1E1w
IAiUXl2tVa57AdtUBeQKrcsUdJZhbns+5cSMSIwg+nNPHpdhDLAGubk4kg73pFvYEW/+vZkajCGT
DiZkNF78zKKfpULPDJMcMQ4cZyeXkiAf/KA/hYh1h2aG98DasxfZs7N6+rmpX5dY9Xf01OaZO/6Q
L2qttl9fAvDuUi+oms2SRL+6GYOwMievMVzhpabB8BLI7lMmrXOK+3F4iVsvAsfYYF7S45vl1GOK
Wbm+LL64Oz1PvhnPnSBI980uWbX/QjFcChaGs2ExSlBH+HY7+qFF6iton70StxC9CKY+lWP7HHkz
yfyFBJcmwOMiVRa+I4TefXoV8m4AG5szpxrGzkrCPBSlvSS8Kgs+8utaihEGevTh6wDhNjhcWT/E
u0EG8a0NYHJYHf5i6KgfQ9gCLJoPW/MfpXD06+BXLtiA6CZi4uZuN/Xgp4DIz8PYbh/66YnTXhyC
B6vX9N5JiUYBkPXmz2HwXiISOveYHL0K+oUuzXe1NBsfLvEp8KGUB8QcVhG/8NJvYZZSsEMzlrUd
LpGArfxIaGf4iZetmQooQMPrMJX9s0Sn5LrnuVr0t85lHUjKixPROh/cxhyWMikzt/fK44S6KWyd
8lSBHMtr+hILPyNRhwbZH8UuJNE9IbK7UMJGGGaGF5JI70xqvS9rfPT4UFjammZCHt3N+mileLbK
qtAhbKmgI4XLFPtGUW4dHNrFWUU/lQhKpPg6cpdieFkM8Q7+EEuIbq0tJl/xE+SVmxEIHDPHellc
We8M3NbNBwEkDjb5AvWi7oBgtduBijDt6NBvTU/obQnr9gnDZTa2R6i/ndt7K1V01EFyoLpFvhki
Upo8IA9vLk8zAo5Fs0z3YfkyUjzYHnHXn/y1oYces8oGTmsApE1WItd6bBL4Hq2n9cavMIDC84MW
pPL6A/sv20UyIvu5Ehq1cojMVtLc3WXqkASFh9mF7/6I8YFUAZFWExIUcV9dAIm+C4zPu3QDkgVJ
28TbFT3/dhz7q5wAqJQD/zSjG1++LsiB7qK+IQj0dQhQxr9HTG+bVgHHvY/+kJARaK2Qbm1jWLHW
C04VzqIEww0vMomLxUvKAzIStBiScJdgAFwhR/OIuuJBVSSKcpeFe78sTYZuGvhLeJWktftk8hKw
uOSkOCiYpSTNjk3QQVcrVI6hPUgzabUcIxLJzA0r9AL9A+Vldty0WMf7qom2per9n03r52rRaeOO
zrfaXZYT/EFAEMLKZ9qFGGUg4uPXpavASZPy26Cb9hY1ZXBvvZLk8fxeAmTZOLBRDpXn8p3XjT+c
LsIsi0b8CjzUEXG5hLcYRGXaJQ9hZ4VQO0bTqUUWx64jUEct81B6ziVJIMX0irB8lW17DR1wXRGd
eO7UMPjRbA0fXjL9Sp7c1ai7xKkcmBoTCDu/guwZzjBXoxoMyxDnfGmijShnIHzt8Nw0v9uy3S1y
XZ48GapXZsgv0oNVJ2K5VBZNRSzlXlUeP9VUZqVHxdkhQ6q0T9+WqaWnPsYMGkFWLNFFnVdevfoT
HD4jS/cmpxBW3OpKpJziEtV46W7bRiXnVosGO94MLRoxm8IC3QUZoW5AYVaMwJDBXceY5tcRb+89
GhSEqvi5jYLyHIFMjOu5CD1NC0wYYCfVehgEx5CnotwxucQOtU38ZbmtNtjzVUWX0o5m0431dBKC
ou6szUY8Xrd+O4CDSINRBte6g5GYjP4KbR4BM1VF2KIEUoXj0vPURVP5WqqHti4Cc1raIDrawXOR
+dduWo0B2cULW9/qwNkS7lUf2URdc3bZsuZV2XuId0UCY6AIFuW8yL3p6vb4dUFIE2JD68FSNQBg
kxnkf4wBWex1dpuoRYgUdjn286Co/4O981qOHDu39BNBsTc8biZi0ltm0psbBFkswntgwzz9+VBS
t6p7Ri3pGMWcmHNTEdXVSTKZmcC//7XWtyrDv8sj32PiYNEkZxJJFngPjd14D0X1qkPQupiTezdJ
LvH5BKNCDaWJ5xkv4+gK6xAbwQ2nec6GVRXdNrsJPT9IDXnLXkw7S9HjlZDGAb6OgaRfP02o3NvQ
5TU3HDcDoNOxdary7OSKbBdi7wHDmj1kgcyPOSuylZ92mBBNs7j4SVderI68dCCznd48hNlQH5vE
xz8rgue+tcYbPqS3ijDIl8tBtGqCVZ6Df1KTZa3+OucUvbVHRf9xT/DcUn8TXXfIkdRXtp9ZK0KQ
FpjVAIOx6LZ8NWtR27DIutotH51eqPWkeSCOjMxcVnoao3ri9zNFKa7ch1qub/nw4A0MKbUTlxtb
sw9Oy7aRz1Wyaqtq2ECs8LdZ6oxriBvNhgcExyhsnGXcts6DrfwtpoYMu40VPwXThkS8fTAK+3vq
jdtsCIs7GUKqBVZIRg3y07JptGKVdmJc1Y6dAdBK1dkf1rZy7z1AYnlhW/eGxz6qDqL3NEzZAgZ5
fap8TC+duJilDHZjLe4zaQenngFpWb/UTmRtSqeTD34uuSD6GjtYWC0HgGbLltTEIlJksk3BLpuI
s7cOAlZHuCqgEaUZuzo/BqpC+mTDLh+lQeKI8yq4kYXrV84ynUr94g1hvpja0NiZGWlnnxzgoiIA
fsX2htZftzc//qb7lVzgvXS3TZ7HhyLy301LddjPBpvdRNjt+nAqtpgDjSX71fKu8soS1/gn3tD8
QrAwP6chRMpmsk6YL/gDmWk5EbjHURKoq47R6OombgtNyroGZncnnFreAOjoH/r4QQ+F/vjjL7lx
X3qafkkD/cFiPj6XVk5agUD+6+iUew4xipVdlG4bq/JvG2vMbv/YAYnGg8HxZ3e+Q3WxqRvsCFxL
J6o1RxN+sm5XSaga5WMgijC+4J5pxK0d297Cgde5NuOyPXpzGCKSOXiDLshW+TjwIQqBCXmZuzJ8
0W24pRSLpMottqpTzxoNz0poPGVxkLKUkM5yrAkENkVpsXkpfNaLtXFkIT0bNjb47h0Xt72TtGfO
J8W1HOILmSV1/vGHNiCG5QN2mh9/FfFHGQHhy3RHHf3AXTWqaXYFBIQjppxwX0dhdPQAUO/HPK4O
WfNmKW5XXWVjNRRdHm7MuH3JyHK1sZtd1fxH2PDengxJBBfRCStLmKQbw2CzScYQv7KdP6aqtY5u
CDohKhTGVt9+GrpaEmifFqyvk93EyEEcGf8qEFmFE5F5nq9jvhqOtwPJM0tw4oiFTy4Klwxzqor2
OR/IxBdJmt+U/aRYyhXDUkv84q5jQ7xy08HZ/HjnGdHVdVrtXAXDi+4P8ROSDPmNIQ0OrfE8YKy5
+/GHazKMkazRN8WxCNP0pvDb6pSE4ap1tOK+bGE6//H75/8wDTs2rmvTcWzwH5at2zPz++e3Tx45
hVBslrluoCbWUQFwzijWHyqZtNfObi0i6Tn+DMH/E8dtf8g8Lm66zpaqJGbDCxZvnGQoyUXE1jl0
y3rBRSW6jk6dw21SILXM2r9oBlHxLh04mjhiE/oY4Er54jVFt8pb7l8NcWmVJiWwIOKjHL5ZUkvj
GpIb+HNK9G9mrczfY8x5yuBVpMSrIT3L/P1TFpXbt2XV1sSrC8UW1S5WiTeuDFXoa1/CJcgHTI6N
zvFa+vDrnBzuQ+NHl5Z7M9wIjG+FqNtDhB+u9OzmGZ6RdigqkawC5ovXDnDKIlU3WZdgiB+J2bsF
jwtC+yas35Xw36a8bG+kXqNDVg020mK4GAyOz6HZiYNfZc9uIg4yQ8ogg+IfZYaDE9UqPrITeOZE
lN3/8bvg9/ElAPHEtF1wM/xWiOn9LuETlLoexor3smZA1QWs/N3OtK9IMudX0Dd4JXAHKCtgH2/I
6O+8BX/kh35zBeO7Gy4vBPZuQxpzQcjPb0Ez95o+ikCP+aP5nmrR22Cbe5XF3qqa4nCRSO2gI6nC
KEaEBUtjDu9m6oLhaLvm72S+/2+/CBYUUP0lZZnOTHb9+UfhMqjFBUhy7rT559BAFOZEl6jQQmjr
jnYo8HqbU0fuXv/zb+Ffll3+fxO6SySWKNzfjib/0i79G4jSnx/0l3Cy8ycaMSya/QgSS3BJDgb/
X2G7NoUA1GkBQ3IR5Oc+gr9ClHhP8Si4RgJnzxzI41IydyIAUeIzzMPmxPMc7rf/mXSy+yO7+pt3
rwCRxoWTqLPNz+L9Lrk5JNY0APonfCJGugdYooGu/pB1AwgERSrMk80Y91/KYulqxP7Bicpdl/mL
0pHIjj7RnPA1Fvn53+3c5at7FABwRv0vdO5mGUhGE+cuKebfOncNrwWRbub/Uedunm0GwZH9P8W5
K4vQ2AS18c87d33Z3Q+69um7YbI0GmwAUFtGgFLcsDGqbIo09IB0yPNUi6PffOAqLh9aPfis4rbZ
mrBx11EC5MhroxUDIUTljE1LVrorK/TafYqj1cwduUgyFiZInNPS6b2dykxFSEc7xFb6romhXwMN
yjiWBQbnCHakxlrTq2ClAKUuXNhECy8aJyIq1q1hzJYNgS445F/R5FXbMSzUqgmdD4KR3JIMqEnC
ZwGQ1w2m6ksR3gkfZwUn4ImlevlV2RbBB2W3Z30K6GFwxc6NelCDZGHwTtjl0ii7W4u41doPhhG6
bzxjvKyDPjSPus6wr+ffXAVZ0JQ68CTBbyARy4Lbl0gJ5vema2+mwX0q5QjKfww+8YNfAxivV0fW
F6NO/U1k2OW2B99idnVIkKC3VrKKHsyaPokuRv2OTeebRmYP6665QAUUvczWIkdAJahl97gcKsf7
0hndRjedbjOtu08rgGFD8WknWrQapPXm6+ZbB7u1MDDmCpOzhQh5dkHHiOe73/xJ/5xqtMGyBZLj
GW/zx3qZ4bVZihDcKkFOschYfdmDdWybAlJMMz5K3Mie2UOVCYjgmXp/Cxjho5kw2sRGfKCkfN21
5l3LIhc6NNppNlM2m5NmBRHCoN0zJOEz6YvhcRjHPRl0sTYgYJ48FonL3OEF112XVg0Sky2qsW9+
tX1604hcw3PhPI862OAh0uJTPvI9hwDamVc6j7qKfJ7akCxjIFw1PrFdIMNs18MgR0P25wACNjZd
r+TWB2W69PIV3ogEb/XYgSx1+21piNu0lezDfevBi0oiBWCDV7Wmecuqr89NgBkhSMWmjvI1DmBz
GRY0VmAMU7CdsWqWkXqWk4s5pC3wHc3WYbPBeyfyGRKWuTmPrAOgsqQd3CHF+t12L5Cphj1x1EcJ
aGRfDfO+2+eo0AWXuGMxProRjqEkuymCEnc62aHWwscDk4g5DjibLxrGFsBbywidZaUMjpTh9OKU
UKe1cnwljvkUucZ5EKjy0qVcwVfRmcmLT05FGIu13aiRoiNw+tbX+bfaXOKpasneEpUqW3dh41X+
AaPgzDF918ge7Tub3A5tmz7+aCtl4AvkwQyL5z53t51f24exrS18fwgKwJ13Q8RSvm6nz6gRj1z0
vJOW+lgE0K4N1jOc9O0m/yZAWywlBo48SB16O7qzVxZX5YWf5qA8xjTenYIdc5LHwabSvJgpleO0
CaMcDulZVSSUcCEeYJBaK2s+BucVe0KW3DdqIM+oGlewFcMTZHqffZS8y2JCyJBPruZ/jP10zAGh
LZ0wuph52l2x7+grD5QdUihEI1VExS6txBfaSr1oHA4ppS2rpZFAlhsjFotpdldbVX0Kt74p7prm
9UvHvlVV8p17eYsuNpOFMYGuteClzUn9MGNjIQlCPpLNpB8ml9m563dWfAncYG87Y0/Uc8AvHutc
XSiEsJmOcZ51b1WWg3KXezMxznXRbKK86N87Q1B5wvgdR19NGibnYKZicOA9xaBJFyCbl2PV4VFM
uB5zOcoIgIuLGxUGawVhc+GlaAMGxb6qulX1iW3ixrbwKnRGgashQRQ0i2hTZ36/q9lvdIHnr8j8
KowRxl7ZXXaouaB5OEDWQyLRc2E7rmGOTYvOs+KFn9+x9yhWZqLvfb+Llzag4kMW5YsbWYzWYVJ9
ROAZpl2QDCMUVkwmtezu0iD55uq89mFm/rhQk34T2VM6ZvswikiG2VvpVtr9MPj+zgqgdTVpeQQt
/8XFreJCb+yoOJHLuiqdfRk6j6EulnXt7RN/TNdWXkW0eMibvoYjn31BDgvxwHr9seKjnblFtEjj
jnKSbFrySk9X6d4nbfymFUTFq7Gu7pumuQSpuiZeQhoZucIfo+DiDGwXAhQy8jkci6DCrdIpqVbo
JuD/nb49i5jtYteyskq9z7EK5APJ0YBV7gSF49Wt2kXjhXKbZcalMQ1gjCyA6zT1jimB7m1RuG+F
mJd1iPZ6Qqx4PNR6sBisac3Cr5XxsW5kvUEwcXdW/93hJH/QWg6xHvFkA5xtjHq30RxzWA1QXAN3
ilbN4HPEk068H6ZrV2T6rq4x6MrhlmF0i7ZTLtsse0oCaOjsLdHHNJScQkh6S/qcWKZvbQAEznzb
XTYOOHkm476SKn7k3PeiuYCBHTHVV1kA7S1lyN3Mk+EKxqB16XvDXjpZtNZqeLUlbDzwNwBk7CrZ
y3qQ68gcAEkUGsxf2lU6VC1rqFYuF76dAH7TlhLcfrNpayc5WD2JRBm82Nq7XuKDyiojuyRFp47C
mU7JmGE8tQ5R3X93w+g2bRggbHviXZ+q4zAMgFec6ZvSsCznTqDwAnJxF9DPCGp1ybvQ1V7FAIIT
IrCe+UQeCw62deN75WmIx1Otfxqx8WHzFjedYC0qgS4x2SfHniT3zpSESOSfLQygtpd8BSRrZof2
uu2PZcSaDv7+sLBEe9+O+hbdge6flutzmvXftHZLr9MHT+CaUzpwlFSmLAIKCWqqb1hR5iOfEve7
xrktoMEisQAslpUD/sEO92HvNGcX2ABat9q28QgCPcoOQNOMvZVHn2oMqSb4TMZwCXUZTmi4G1V1
cbn2PVrF+BF0/ufEKmuqoose5dHsL4AAPW0gO8TLKjCvwjGPJaavNWzMsbvSTuZf0qZfOROXlwDr
INsiAR95yvipJ9D9kCmhNE/lg2ZkdDDIWlu2XhktLOieVhq0G8iGXOgiLowBy96DwAY+2GV9UzVY
86U9LlWNp5R9g9gL4X5x72s2mRMto4vGqwv1z36TflJjtHfpJqpfOO8Qjwu1dcU1GT9bTEA0jqkr
YH/P++vFVNWXSIitydaYaBhjBvFZA+R5/k0NDxVuzTGVLNVRYEH9iV2UMGu0eXdoex9TwzDsBiqk
EJFbPpRVsdR8AmteH59jNp3rSreirZ6Nj/qEfz1qy4fIcdZljqrtsHsATOPRnzZhAvXJSyWzzVx+
6eO4G2z5rnz/dr6/YP64t32fO4+BV93UMrXh+nc1Mr/Y5xq+tMGHyGj4Kbd/78BleWGlZnRjDCRt
3ZSxMdUJE3ov3mg/DmbVL+JKHYo2o1YiJ4lsgWJZmYPzvXYH4+yFuL1LcN81xvQt9uO9X2T1RXOs
2VbcL3MzZ9DGx3yOreJZVSD3DK2+AT1QHaE0vkgRAm+3kuD049j8L1sf/FzZ87/+exX7eM588P/b
O4ZF/R68/4xLmzsUfzzm1xWDC7nLBGL2F6oyC6hfVwwsFoQlpIWxzbOx3v26YpgrO6lUFUxYUFws
Q7Ir+suKgX9i9zAvGIQ7t3aKf2rFYP5YIfy8YrBZfvADm6ZHQyjf7HdbKdbxo+WKEj9l4D2aoJFo
GduKintD095hRvePxTjlW1b3X6HMlxJteOuMzypwqDXR1l0VC3hbxR41ICBCKY9OpcimDO+4gJol
wP+nMWJOcgtaK6Lyamu9OI91eQWs9KWSEDFRVOuoK49C5RxXIANrvptsIna4rQFbMJbunQRIsMmU
TyGIxx13MrLlQP3NWk/0S9FBd0nPVALqNzV63TKtK2vZcreqJwo5ohL9qCguwEeqjecEmP6zeDcC
Ia7KoFkl0R5j7geHy2M9xMywg0FhDBdFiepygaX5kRt29pqNBwQ0KMBxnwL+xPunm3QhaDrsZiPI
tzp2mYxbqebUVAradnbB6xUTneRmVPiULOjtNjMXPrb8ouOaZdNmsza1EI1S1Musca01bOYqr5rV
2JjXqg2vpkQh7G24r7UwbzQ1vTbj+GiqiGCV5HTnKWsfd5F2qe/Nsb0UtSCUOr10rC3tACoH91nA
0an3XnU0vSX9987nrkVCvVrQDfdJIvIUzVt020Ufs/MNweSvqRKfKRn7qW23NWjbfRdHJ0L061CZ
gFzVcLaJg5Ccva851edNVays0gHfWwPT9n19Sf5KFXcpZSsLx5Vkjllb4PBa99zzOUJRXwM8QFrR
4xhsjNwb1wxg0yLpZQoiZUAWgnBv9fv/DBdrSY/mXPCYl94z/Ry7amYSd/5dUFAF6U9htiUYe+iN
2DuYhbij+AEexBxSsYnqRJn5lsTeTaEHybkoWyoRw2HXKuTNgEI9hId4VyW1hQOCa/NcVxnTWwnZ
mA4fdzN5bXmro0ybRJyPwGC/mi6tT1FeZus+AqtQ6g/6tyFLg11lMTCZTZthMMQ5Q+fKa+YMR29K
rAVxLpIa52ou23Qa8RLE+qfmcLBIuGduCIGvHMjRKZrwmXP5cDXrEJlLI0sGgMdUKU/Mt1+queqz
6Ydua9rJMnIyBsWBPg5IAJtqPk/qc1momGtDFf2hai4STQIo423jLIo4hZ49+pQgjWt9rh9N6CGN
5kJSe64mJdpUwveG9tvTW6pN7UNqUmRa0Gga0Ww6eqXOcoWyU47c1lIE2WevwASaNKKONKM2NKTO
rnLsUXVhlqsug1iKIpKu6xonWUE7TRGWO/w2aq5dZQETMKhW330+PSRBoO5Q2onniv6EsfcJ7+R8
xOVipmN5Hbw0+czRbN1RZWUjKk/dWx6DD1gJaD41sN/EO3jBXoQfTlAtNdhUsgZC17csGfYJhnuV
dnis6lVpPmfI8hVLmbB/nRK6FbSQpqnXZv5erI/ir6LZRhpNSjiFdKrBjrTtcIi9j0rORNziRVHx
nmM90zx3YuPYV70+THCKK+3Vbp8t+MD8cIFnLPTdaF8qGAmZGHk+6Jo8Kp8vytZHmNCFpdsbjwuN
p8f0Nn7DTrDlN0v1abisKUUZymYtfPh1aby1PwqBUlm+NYmzamObGhhvi+VgNbxzTVuRaW0EvUwJ
zJXuBi7KzpjcLSinBeCpRQrrYFIATtjMugGecVqqTM2h9cdbVNGmc85l1uzMbnSW0DmGBzNN4qNh
AGtrEOt3kRsTjHUVySu97ck9lISs+vxJGGl8aVyawWotv0a+loDvnnZJkEqWHgbQjeBzLAne4YQ1
6Xcxym2AMe7eMaYX6nUbjuFRuHajWz6F3qGa+ELDYMbr1GYUa/PcWzpOFC0K3b0KGl/QY32m+zTp
2C3YR7sK8wtEGX6bBRuTkaXjwpXGkx65mEALETKzlSQmHPTogCl0lTlGfAYKiBEL4c5l1qbSqdjX
pY3xq/DuQqPZQG1xlmHnvjlo1c1oNvsxaZ8wHGxNs6kXppE/1HmADkfOYw201ljQNndj5ONBOMnH
GI/YHet4FdSIoVLBhRE0cbISWuShd1PWNtfsKN+XRQ8/op9tSdr0bmAm3Gc2bE9S6sUyM/E7SzE8
NVVDI2kQBbCv8n7n4+Xc+r16NlRlwntP+2Vkkl6rQvOGHjZcP6H3YPLpH5hSFtJhFe0iti97ztTc
sSYIQQnXaRFIpk54QqTrY+AFxEPUOStbsHcZ+GuQxWvLSevlgN1MK4d9nPeQeWdD1P+Mof9YX4jJ
eYW57G+Pof9bfY/q4rdz6F8e9GtfCOOiO3dHknezdJjNP82hlCJSJeJRfW1DB52/1S8gXvknQROl
++dHoETBovtlDhXQex2GXcZXB/Qqldq/VGz+hUn6R/Xf5vz9f2M1sR0UOGC/jMLggMUP4vRPXgHK
ky06XrN6IYJb+PzpMRLDnW5r4a4rOQCORb3ijFdsZAAe3YzgNdm1sYXwaeJFctiCWFBpilrz1m5R
c54L/XFVzbU5E3bOHd7vTScrf21gCVlg5SmXrOmmxdtDinS9iNxw12bDe0vd09oMnTviXRTuELAi
NtZTBDSRtaOJOSAC27rLeuI+SYTANiuXOx+izUDaYOZSyLC7VhmEXUfPbmsPAkZGO5awuu95pXHd
GQrjthdbdxSkd1OWd3atAJAHzQ67MC2/ihaHkTWPIanMaGWPJMBOVAfYyKe/famJ0KWdpE2sdE9A
ciDQGfwI3cDiKDYMlnPcfeK932AMy+k2WySKLzQEwV2srC/cmiv6j7Y+99q10CnSxvPyLZlFGHPg
f+7YbZctwPkEx2YmgBz6WGPWYyT3gad5Rz0Z7nqA+kFku/smYaQlw+VVqD+OLo9k/Nwte4FgZdEp
LlPfXCrVF5t6YPIdagpC+7L4QFVqNwWxXRJdsc+N4uQmzTWyfIOEJP79AZM00ECnJUA8J8q0tVcS
d5qm4BtZAA+URw0UKrjNBMGBqsySBe5KbtOKjlDPX1sA42GeP2UNxA+3GONtgiX36CIwYfABadp0
eLdCXNAszIdPrGvWLZWQ7TKOUv3kNU72UAubl8YBVtsG+bquBu4AylqN9twBQvPe5CTHuNyJQQvg
gwhv6zQ1k3bTB3s5kveTGF0E0CqZgdth0cTmnvxdd6gNGUKtmcSiakBq9VlzE7T+JouFs6sU6eop
1k9YHot1F3A5TtpMLQrCmYvEZkoDSv9CFAxtr4npN+CWQighfbYKfeGNA9l7VXH378atgbcoUvqJ
iz9uNOYW+BXjOaTcKdCSdg9L+a1sam7+mfHYT+VXry7mWH2xd07WIkm+sxfdp6TSt31fcbv1ZwMU
6LGyfi/ibuON7UeqIK3HORBTPQHTO45nj8BmlJpHN+vOWt89R2kLuIrTl92M4XE2/GbuoM/mChpx
2IwRdRa3kUhPo6zvWLxeOFqggIru7Gr61gU4jFoCi1S4O9L++4w+1zWBhxfLHt/dVn3YXROdVPst
1yZynUNVHcDw7tqxKJdWKql1C3xnYVn6uJosyq7aMtwEySg2QVhTCkixZMZLdkpKmaIIYITERxXv
qMFe5CDJlzJX3Mj89KAcBrGm4B2FYf6usrgpq9y5oUKEWZ+QvpHkdwOnHhf68rqJvQnr7vTVS2II
yWDKLWCHZNF61ks3Q13A8lCordm3esUVTMX5g2d8mAWCGbvVe2GF7y1HJCzDdcOLow6DR0VRQVLZ
lIykMbAHipNOgQEyz6ZW1uyDYzdgSGOtuU5Fsva6GIoSlc+S/xiK/D4RWMl5a6f5wVXFlx/xb0pz
CeKqM6mKzRB7915pI1HRVBFPzqNXKDpEg4CS96rhENYwpRnW0rIhBNGme1R2vG/VXT+mHo3zPjyO
OadtILQ4zoZSY9TYsmPpbiSg0oYEWjLOmswgTYCttI6qZ5Ydq8GiEUAvrF1saLT40qvYehonlVpf
VoOkvHbyEAkfgzRwgK445trurJNv1/o6Hxnk+7g7Ep5Q+Jrie1fk8VKVR3hc8b2Qs6rHzqH12Ek6
eUY2yPl0at/d6k33Zvro4/xkaao4txT6B0hYhL3K8vDWYgJKoJ7kcoDonESkVppz3xgkMqzgm+f2
s/CgSwpkkv5UIljd19K576e4fCuNnOGyR3xs64FRrGNNynperaOMeFiIz3BhyLSDhzZ0SMozJTCq
2D/k/UmHJwNyYpBbPS3RBzkJtrFRHW2z7XHM4eDoxmzFL7nZpCWCPPPvhQsXRDBWv9xt4KyI0ASf
BbaL91B/tcchPXOF4Tuu+s7L7rm8cbi0DdzZ/Uk4ZJP9wHolKFC8WU+QEKYb18yP5JXBoFqhPFhG
vBzSvt4Nk1EeyeISckf/Yxhm60DojvIYy4HrUsUnEMoUxEWc7/9nyPsHh7yZgf1HQ97ie/y7VSMr
xfkhv1YteAaZKsrdCEHT7+bhS/rrqlE69twZzsIRTP5sdPrFzeT+CVK0EAJ/72ySM/EY/eJmcvgn
ZjI8Uo6OFfifqw6nkOV3Ix44VeEaTIqWjoPjR6vDzwa4cXI7A6tbir+jv4mi+JPxglnGlwe359MK
5O1ah4ZYjLR/wUvV2CH1B4NdAzC8z6Kx33WdWgL7ewLlcBPD/CRbXl07jxOMm4RnynnPc3S96Wx8
HYF2kCWTRxqzd1N2tLJJpO9UeKfHHscgfdjghAE6CoaQULeY1jTkYAIWqb1ic0XfdMoV33iWPtG1
kPToKqRTO9tOYd0ceZ4EMoX8SBPw/h5mfiLhBPQdlHOXGWKtp+MCMAIlzHXU467Ekl75PCHg+7uw
gMpnYcPtRfkeV2n0bInvZQBUVvU6qAPuBTFrA+IHBfzNBOK7hWTgW1RGpnRfUdS5D+JMYH+hMAxD
LA79zVBEahul2U0W0m/HsO6gmoQsJz3mHiuhejaNvDfOv9ySBwIg4KJLgasAYOwFhPyFaIO2AM9H
gcPMGbJNtTbVqpKpPOZlw9ruH2aj9jbisUnEAiHz77FRJaVx6DP/YjZqZE2Q0n1jJyLWeY0393z/
92Wjoh9r217pl/8KNqoxs1HN/5/YqIU3jYfoETITVjrLfu0kwMyc3XwXkdv7AzZqgsuyDF8bPJft
DJnNqKg0jHxHGdthElRP22X7pYuAxBOMlxCpN8PJ2eLobAhOLLtZtdNn/Q5zwss4K3r6rO31iHwJ
Yl8xq37FrP8FQTCgz7J2nrXBEJGwmdVCMeuGPgJiMyuJFpKiPWuL06wylrPemCA8jrMC6SNFFkiS
djbLjQwkMcpmixf5pvL4izzUJsKI1BQnEpf/Ukd6wYxYXIMmIGYOO35RCbta6sM9dW31pkMq7ZFM
9Qx4qjt+kZg3ZkXVS/EhTb6DA4MmQVLwjKoG1TMiKB84/68yXz1GxhhtlepwSljhua5pbtJp4aQ7
EIiuZ/lLOXBKpY0YEKjfHqrMueizElywEaiKHs41jpZ+eCD0/a2btWPSPit9VpOTtNXYA+ZfZmyw
A0dxzvMIHJGvVqMvvYU9Oj7BOPOuRKhuEaz1Wbm2e4OMMVp2fMkZIs1Z4ZZI3d6sefez+q0z3xH6
pjR3VsYlEnk4a+XhrJpHHfp5O1n4IgSA/Vlb72aVPTDR2/s2f4Dlywp51uK1H6p8ij7f6/gM3Vmz
58y6YsXtUy9zzYtdNWv70yzyz2L/rPoL5H8g6fNCMFoIjAECgwDy9yetyx/9IzbFaCouDVYCDUsB
DYtL/7OffQY2hgN3dh5EWBC62YtAFqXbNn29ZnvZnMM22FN+rK3wQlO7YdHrSX47ba3v6exywDfC
KIvxgSo2NIHZC4Eh6FpijnCyLQvzb93smWgIPC9DnCFMkPcw8fEMaPaE4n4Us+OiEAmr0eiLxvp9
ULrnsgKsY6S9ZOlonuTs2yBLEqyho/OafWjZZ9r2p6woThO9YDb8f5QBOgBHUa96jexT6sbl3lGc
tScjRter62PSqmSZTH19MAY6MUhIlnXd75XFRJBOmYeyXsFwpVekdyXBLPE49ZRCe753Dhgf6Bgd
b/oWqgANeh9FaqtlAYxs49e32lhd7AJvpZxXMR2CHTHGt2SYvVkE5kCekcwepb83TTjpXWpj7oyR
11w6ozlDjsa2ld7V6MpzNbJaQml4zcNMbjnq+qG5MltvQ43D3H2gXWPduuglhsDaDG+8gtGoKqN9
1sa3Q5jxKw7B/LUtFCEDESCLj5vKoKi+NSe2ttP0Vk7lczBY6CU2IwD1J+mazvNY14Y1HBpKjSpe
wC9Z8KakM0ZbaLWDybpKn0ofQC6Bz6PbTzn8iO4ld1uKb9vSX5P/jUM8jSMdQ8eoa1g/kKtnSzGl
a5FW9CxE1p6DcE8dpEFVdZyszICpqcurGDzeuEn1WDuoLMIYUbRbDtpbSOdiOyAy+ivAhWIVNRrM
VrIXeUENJD2kp7yc3pu0p70vdADx1N7WKM2PjI00KeyWsUek5UWmE2UWfMwyN+HT0FM+CPinCwFT
4DRZZUBszmbxZsZTfGB1ARAkuhb+GOBOSl/LbHxS7sheKVRYXh1VHtC8y0NcU2JAQwwff8+8TVVw
cEqefdYHAn/KwMF6Cre9jVdQKPXk60Q2RDTeYxLLiL6zNiipqiOYqm7g/V6kk7F4aGS/Drk4t5H4
SAyI9IVPIjxseohMRb8El2uQLoNB4KnceImC75mXwjrSYv3MjmxdwCggzj2ow9TuUjXSVMvKbRUO
wQrXSn3pR23kk8NOED7DQsbyrWlhJxBzqZHVwfqVSGhloZf7ofRPI/HsvaHURNrUZvnf6hcEqg0S
3wFrzs00aA+y/JAOREeveZFadlKT9t1uNRxTastQvuBMOrMIi2usADyl3sPU+MRqi1VEhC6AYcR8
/sNdZav8DazkvuB33pv6Ts1sEfJ0+JovNfurUqRvRd/TSANrEfcO52Al7Zs8MgkiD09Z9m/sncly
5Ea6pd+l95ABDsABLHoTiDkYZHBIThsYkwPmecYL9YP0i/XnWZKqpL63Suq+ZtVtpoW0yEwyIyMI
93845zvTOUSfmuv5RYr0qhPO8d7KzVsv5RxyiOosgk3u2tcd80OcPNpxMor7LIK0YKdX2WRvAwsH
45y4fhcfoyHd5DZ2t9k92hLIfGGspCzJ19SQGtyY4SHrPYAL3Xqeig1eVFCo2nZI5Vbgbib01to1
VfMslvJemapzubOa8j7X0g8kfqiI8pPp8TmV7Oma+GNJxUOWD+c5QTkxqys0gCpRWHsaoatew2fa
IbQP2k1Rlpeg7c+D0VxLmFYTIFVyzPZjQ00vBdAwEoSqdt31AKxGPL2xuR6G/WwxGOuZR5e7kfjQ
kTg62NbrumGyNY6gXMNrCHAPWJCvcda9ml23HrTh3P389rJOJYvl1CXNMzqTbc5JUZveQ2EFRzUk
+vFfOKynnoEOvz/2BULG/NXS0IYSykDnsEtk96jrxmYpsoL42WHbjIzLEh4zegDE9qW3NUtY7Z7p
NhuTraR51bvFAyid9TKE917qXGlt8q6nlAcEEZBTTFop6D0GGcMHOo8O4kOVJ9+6hASjmuRU3+LJ
pMu4M5P3ImkZ1Y7vScYxJR3HWVlDopD+pGBZHfvVbqhuvAvBDw2kHjJ/hzl/b6eOhOGb5FJ6zga6
zvTMitdIbLlqnADh7lgRndPucGaIzSi6GsD6rjdC8eRyzOteY99PbnHLeQ88U0zfcgLPNik8TZSw
66gRDHsj9733am3HUXrN0NlayUX/PMd9/NFCRfAbPOVZgNx/rvFQo6IzieYuKcxwYDMZPZvjlx1G
X/1QfeZ94zdDxMOWoQZNtXtsaTOtHRM0Wxf7CqVAhyO7NJNs27tyZ0NVQWGi1vsDSm5B/2uMLCD7
4GUekQO7xgKnUi0YXGFc+Nv5SvJjY3PYT0V5gKdK72qMYtWBW/Dzzrm44B/YE8p7t4XXARCiAYGs
7XKUFNWkZAAivsu16t0zpqesbk5zLfr7MdLeWeFsHIwMTP21F61pH9lL9euyY3SZtlWxbudG31fO
1ahO2gKp57HVxlcCpZlRp88WbtANxBMLOQ9ujSrTbqY0W/01a/ojsyaDYY8LD+qfDpuUsK34n//j
NxOnv3/hryMn6IbK6yb/t3RP5yfWeYL9IKGfzJeE/Rt1m+fyG8yibAuZm2Dh+MtWkYUjSTto5hhj
mdgkrT+zVWQN+buREy/LcngBNko5YTH64vf/YasYmdyzFg/bCvM+lWWgndjbhz7AO7FOSnOveUax
/oEgzrHacG79v4QgtqaWSh22z+7/HEGMvGsg14F09P8rBLHTM+OShQt5/9+CIDaF8RYBhGD/ysLk
vxBBHIS0SQMmxz+DIEa7Ox48K/nXCGIwVeXaYLp2/C9HEJs4yVGEE2DPkPjfhCCec3ldYwT8DYI4
Gu3q5E6Ysv4FghiWonHqbbwg/xJBzArp1FbTf4wgtiQEHmR1/zYEcWsv0s+M+P9TBHGQ7Li1/0ME
sUX1utG0P4MgDsv05ACX+XciiAmkGdhZ239HEJdDSaYTPsk/hCDWX5hi/zkE8aJPQLXD+g8hiPFq
bzMrh0UUV+V1XxTnySYjIrOrT4HQK5v05FBrw4duT2cbnw9xbTfuGBxaiy3AlF/SrKbXT4OLUWHu
gTMGGLgw+22Q6rjYLgFw/lWa2WeDTJpswKlWRx9A7ct1WMqLU5Qb/rbL3OaGP4QYA+eUYDEZO6TI
RdFtP4TfJ9lv6MA3zIPSdYwPfWWFleZr0q42iVb5o+H1FxscyV40RH71IaIExiq48eaMNMIRPLtd
++w2ldHEjbYCJC1hKrC9FzS5VbjsMmTAPq8AaTPzNmM2v8N7eu5jd+c6Ax4bBBF1ZDwkcXXNnKA9
elSrXopO+4qddY9PQhtWEVoQz+DLs3ZOd0kWXjmN3R5NYd9NNEwLV/pISQ4YCC0oLXRcKgVuCzAv
1r/KHpA3ac/2Qdb2Qz9eSABo1mAB0TV4zV1Cpq6RJe+9xRhvgWaJ8bIloJQFcxBopEKEIUJsbzt2
442JPL1OCLTLw+Ypz4Tl0++ul6zYe0Bi8IEa1cYJs9OoO8hQ2mg5dZ4Ht8wR0JL058QBBl44s7m1
mrlic8yAKXC38UPByb6boDVPqfZoh9aBsUV7wODXr/FLO1kPjZR9Daq/hhnfkK1mcx0VI5DvwMH+
w9u46MmuEHjU2gk5j0XI80qv4m8D6QjRCMG9duQWj3ixLbUmOQZecIZFkG7iNkV8E8t6M1fhaRpv
9TSodnPQkMyIaTIgfQs6CYgllgM7gww23pyROFzNa9bJoYgJv9QIDDNkejHH7q1c+neG4g135vBt
7syJhZXGJNHLwRqm9f0SfOZOC1CZFADlpCUufj4CRN0PqNP2iaPHqyqn+UY5Mkcw0DWXX5Ejgk07
n58TWPobz8v7KyQ2fgSMTHa977E5CyeIMmOOaXKIYTfl+sbukpeqgxU10T5akgDhjp8hPuKt3gXp
btLNSxKWJ3hkLxPKMq9rN/Os68iiECsQrPWOsnWlUT4ysevF2mCD75nX8VyJ+zlhHCrr6YqYM8aj
27B0wcamIfbwdmTAMDnVGtbeJjZCHmRoTm3mHAhW/PyrqfkjTY3jCuYM/3SB/hi3n/1vRZI/f82v
Zh3QHVgyUR8ibZQ/eBy/btBNmhUd/ZqNVUYYKnX37yJJoSNcpG2xWLL/TiTJYcNK/lcB5Z9qZ3Qa
o9+JJKGVILdEu+TQ2rCQ/007g8LQ0XsTyflcpN42RS4TDhj9JkeHohsb/SpsECq2FkP1VkE1Pfaw
AGdGvOg3aOsJbXLFttf061KrrtHGP3lciC4CqBQtTF0tZAdyi9nxcIRb9d550adu9e/d0iNFG6PX
6crujxF0TxEkV3kFEUCb2Gh4DKZgE60GoNjvFpHbZosXKNZq9NpOBp3U1c5LjLWxDu0Rvu3NCI6f
E9shry6s2GI/O0pmLxt47Hk5IzCf5G1YEHCMILCLBp51N6sfwuim7gvYD1Y9b2oQ70W0MWU5bkwN
BRFUrBdwBgWww7Up6VbYfAEYrTyVpx2sCBISUN1MvJCV9oooXT9MqQenAORUaayCBlmkHBCaJ3sj
TVMkZMV1EA0SgNTUrw1dSg7OKvKX1roTA0MM5KlKf9OsEhtYRE6f6Rd6YWDJbm6X8Qm2XX+yPHPn
Gs6DKTDkaOSyrx03+mrLJ1eAripVikMpWbh5CxruiLWXxpogl5NfNtHdUJk+GT4ql41pPMJsJPee
wDWrrOWCuLpmaHcTCnl9iUjlY2ppLZZzlDEX46w+dFyQm6Amm9nGFmm3HREooDIJicq+em1x2H8j
LvOYXg0GZoM+nBnSZ85l6OFzfoU2i6Ao2Yk5rA7gRdf5mMZbvglWYSc4N4jTOKpxbDrJpbUQfaJ3
KjZur72Gk/No0ZJv5wzpKssOQoey9pInfGloAKDQx+rVHY0XjlQBxhLWlSiPhCqNHa7MNDo1Hpk1
bo7PN9KwIoD8Q3qJWOtRaoa+nfLopq+tZc/RCyjM4ec+fU+0fLwZa+tQEBvvDsBM9OJRO4T59Gxn
k/vuRTDWtDm4lm3a8q4Oh6hsL4QqBocYhwKuau+QuAj0J0GWTYjGcB8uzEKDLQoK5Fqt5xLnh6Q/
Nl2ADfU1wdQHLNMLkTrFZ5Y1Bks5mJjmqGH6kePK8pjKMYxjk1m327pOTsuYy0tp6tdpZ5KWCkMR
oj8+90ja5jZyl52IMe9bWlasvRDBWAXj7ErgyMLNPFIptcCMG6NaS4uV02j3xmo04G+YKc+IwT4y
X7A0SFxhmFNmdxMZZnuE/Y3qK2OHoWo8p1jZU3fGh/isWS0SNvfao+IxMeupqNFdCYkDFg2blDJw
HkgsjO5qkQ5XMIjeEk9/qbLWACJs8iq50wV3e4jNHbChvjZ3vbr6677t/coaCj9QhUFNhaCpUiGj
ZlhU8WD8KCPG24WqIkwoLxJVaDiq5OAhPVeqCIGMcM9zVWzDvOCnPFQeDWCvRol5Lmims0hQHvep
2FCbEFrehL04CwKNWgs0BJxiiMmnBrLtoa7SBykSYH7kOGxJMQWLEGTx2bSfgyF/rIWgLk5fYnOU
fizE+1wAlg275DltaEnBKr+O9UDqzmJttDR8CuuHwcBlhDgnp5ao803LuUfC07SKleNqzDR5RWnG
6mVeNlYKQsWZ55vJDBFCF9FT4lbfQ9iJXtjnflYFz3b6FLksarUSSFzfUdGDtgOjHWjhNbuS6eS2
SFOMBxkNHurvZd6BqQT0iUsyQ+5YUpZYXjFuWORfyXG5SdgygXnPDmVJ+qFb4EfqNXDD7Fw4raye
XQd1amkQUbo40O4FMGEHysBcOeE2WkJUWBhlsJUMWLnxe+UDXUE+svIN+qHZAbDvy8wvOpgNuZTH
LoKIXOfmuKqyxNssOtKGNgazMnbNlm11NpooDiIqW2PcwS9yuXiabx6kKpS2JedqRpnUDBtyR15H
TfvuslwClF9+Jk33wo63lglnZJcjJO49EMftViBCZoOycIyEt2HV+KnSKQOUP7ht9NkpBXNpF1/D
cEM2+RcirW+kNhHdh+RZC9A+h4igE8TQrlJFe0ofHSGUFgim0a2SkB3htZramXUcSTyyeOrDDqCA
iY6be4OpUzU/u5qHvGkcUGU7yLsArXKwL1pBs6RfVUrF3Wets9faYDsg8KazyNa1O/CHGONvO009
kzYNSb5BRMn3VUrxEcm4PpNWioJcs8m3sVOcWmzgwj1oB6H05iilZn+SnFyVvTan4VwtMt90KYjX
wbb9QOnWU6Vg71yXK3NO7NsWeXusdO6dUrwbSvue4sEl7ixrTo5SxgMLiA5m8GgpzXyKnleK2m9t
audK6eqD0oX7aVyEBMvR2uhkCTL/XtU46ej0WCUXKx2Zfota3zwaQlcaYWmiHGgvkQsNG+5RmZF6
7blztw1F9j2TluTlxtbK0apyi5qNxEKsAovyDJgN7oEC8idY8ogBX+I3POZahNNgwHJgYD2wJuGd
ZvTgnnIlZMqf8IMtXWJZ6LAumMrDkCg3A0bA9zTAsZl39FM5emxrttcpFgi6tju94NgAtVWtRGh2
vCF7XXyPlXuiUz6KSTkqtII9qqFcFil2C3RzV643PBvKh5EpR0atvBkCb8WPZUqCbWNR/o2+sRry
hyGiKm9Hmo4ICLodMeni1lHW6jYidYQf6SGM4G2J9HbWCArUMY04mEdGTCTMsECAKV9Jrxwm9fIl
ksr1S5ddus6lsVpmgN9NGiykhKplT2DdRSkL+kjv3yJsLKnys9xfN5LbRIuw7SUxPBpAYkSwhgfR
1OhIonCGTsNA/Ecuuvm5BIKN7DiUMMXJgJ2MiQMBpBg41CYBEp/BCdXcwP+rU/ljnQrthfinnYpf
xvn35je7F8ACf/uqX3sVxxRqRWKDCXD5UOkFfu1VPLoY6Un9b62Kg2vrl15F/wmkgGlRddpA9H9o
cH9R+3o/eQK7o8v3RfBq2H8KLCCF6kV+CxbAagZ00wJhSHOmXsQ/rl48SDxGrGs8ZQ5WyqLMHyeh
QYyREoNMVeIvvvXa9jPwHBbxwW0ydoe0TiiIen4YF3daaykxfXpbfwEtvWsZbyGOOfRF+t54wcl0
i7uxT0hmJnZ+bN21E9557Y0kSxghyBatA9t5UEIl3J1MvyZn+cg05UXDG9FznsWT+W0y3Te5FOtm
gBGjS+jDAWFv0xIzC8uzLeOTewl0vk1NhfmwqLUwY+Y5PHgP27FVGu2aUInbBJvQlfVq4wnyNE56
hRQGRTKRLDXgScYWuiKi+LO0jFcJvoiZiTvBbHcGTN0MjMsEMI8bzAcr1t9Q0qyczvzo0/pbQ8rI
VtDipfrwHHY2TjN6ka1FWl+HD8h2a5J5WQG73xICP6ZuU9fVt9Ar74hpWQ8ckwaVVVnihgkMwrmh
3oOlIan6YBs2nuUo8Ntg3HhW3YEC7Nmp2zQfEVnogf7euBdrLGc/ybN8mwecS1nIHK1IklvSphqv
2SPGmQ45a9pVKQNz7cDUK/OJWEWRHbuYbIugHbYorvi2OKFzbB5To0fkTKBUcgiC4WTL2pVtaAYz
0P4iHAH+LqoSOsZhm5bM9Cysx5NFhOdEyaDXmJ292fTLVChUqvTRwqfXS+KAYihnsdFD+Fjm0n+O
vbWqxVMOkH49E2PrR3p4yqzomGtPokXCYgiO1VA3YerV+tpwsZDYxRhu+6ygRCLH9aBbr7OJ0Aoe
VeyXd241B8cBBcAhi+qbysrIslvQg8Am28f0WGUGMDzgHWwNmu/GmIiBcNpNlLfcdAxr6zESsLvs
c5nO29mEt17F5JagpCQlb0skWHtklpg5JKaAG/A96x34b7kt1MxqHO1NZ/dXJTKhlROHxl7vuGZc
is46hsFAUT+dmd8NwLW1lybWiHJJ7H0uuvsgKXYUbLh8D11Bzq1ISjSMpvvaRTpd8IBAjABe+gKi
7hcNayMThwSfEYoH4yuw9Zclghm5MFvmblvHjkZuYjpvGtWCR9ENnrjqYUqoAZGL+iE1fzxkEl8e
Ms+OYAczBS7m1s+9avFbM0TUwrd3S1jFA0MANQ5wADOpAdmmXnLyaKc8pG/CfuhlxntQV9RiTBMJ
ylmhA8uIwE2ujMw9ZvnRO5Yh/Gg1ljCYT/TMKQrmFVLNLdQAo/bGp7lPBGmaPj9ip45JR8XEY2Dy
MTIBySP0WvaZp2jJlYMf4z5RPRjraKpS7lhUVpTx4wS4OgQY7YKzmBvP3WbqEuzVdWiri5EPwNvO
6rJEaZfAhucCLYrFJFzkEwkdgBDuWENdtuC9Ej8O8WxzDeeECGx6DKmzcqbGeURqp2HNvEkFcX7K
wQqo01xVKdnDDMmtdTmkJmKzaieU95XHmGhmJUWtQ8BIyiEbYZVNszk7tcYlVp6cUblzjB8+HQw7
lnLuhFkQ+Yly80zK15OJEC0loLK9xPRTK/ePpXxAaDNOTqAv19lLqXxCGoYhQzmHeixE5TyZJIhS
lrdTft+M5LfMq9gssnMp+wuQq3plKEeSp7xJmnIpkZJtHQHhoXbGwZQqLxMaHOADuJsc5XPqleNp
oS7N47jetQD8dobyRU3KIWVilUIOzFxbNv2G2N4e2gOOqkR5qyzlsiK0kXdXOa8C5cGqlRtrUr6s
FoNWrZxaqfJsdcq95VnefEc2IjY9EwhUq1qRJXSdgy57/Zan/B4YFT4PGwhY6tBu9bKHmO4K6xLq
dXbWatpasfM4oe4Amro+0dLIX6OI47WSyQbbO6ptiF7EHsfWLZZZv8lMYjy1ojolpFM9LI9FjuWB
JNALBe26rfRdHkXEZGlO5BeYhSX7F5QxM6kcy7NohoxYvG2e8kfwPxe+N+0N8izXJUmum6Aj32Qx
weCB/uI0iHW/Ff1+ccdqa8dTuyvijt2NG2HP16yNPWn1Oa3UyesE4crQOWLHvk18HI+BuRDqXKUf
YtGb+yU30C4aKieZrCtus3wNDkRETAlqABcWvfU6QG5BcJFjcoTld2xs5CqdIsYUiXvNjGRbVBAP
6T6hw6JsP6XWuF7C2N47hWKiCtR1FrQANxC0Pxl5AH3xgmk580eUXL7UiO7EvJIGH3nmbnK9h3pZ
TNphNM7uiIzVNUS6KTJ4f5PZIcclpBXn8YuH1+0q90LwfXM5HGzclMLNU57J7pZLhmegesaV82PW
dQEvVm84qVw+VLLh3L7iUm7xMgpznVrWiIcngajjmjF8OhbPZca9ETcQJWNLX0N2cc+kCbC30x8j
yWKI54+JUYEa37O4WZuGY5BeEWD/ezjMXyi8ON/H/oUAtfCEPz9iGkcAtzSzR5cYhEcl0S3iCkZi
RA1Qu3iayLhgIFSZW1rN597usfIs+lukRXdjMLy01U2K5J22FXndmOQHKfLyWhSOhjQZumPXF6dF
seKyvDvNBvHVGjraVWGzNYy5g2DzYLkNk1PSK5wQOkEmVi+wnmb0xOPRsi2xZjd3ppjUVlVAt90b
ciUjLls6oCcvfnAKdAd4gK/0JqmPOAgwdQ/yWwwjgwEJ/XkdG5VfLNvEMluc17yzNDao8OgzgeWN
iA8Joa9s+4koOGfX9bEiznBg9IsLc8NCA1hkbz0THl+v5V2nofK2dQhRZd5mJ8NjlknHw7ebW59s
qQmcm1usR7KaZIbBv56iTxtR4EaMBZibQLfuSW1+15XXyyk+yTFlnJKVJ8/r3kyrfUzOkzd9FAOy
VrR6X7p2Ljsb2z9nWbHIaBMK75oJygey5r8Aa3+Drj/M1ed//29vH4BFkW+zSnvvfrt/IVJEEAjw
n5Mttm+/51r8/CW/tkGWLmBGuBgAHFtYKpDh722QJ11FeCed0KBB4bd+MT06P/FnBQI0iz9gOzqv
4Zc2SP5E4+SCXcd28GOd82dWNo761/ymDcL0KGmDOJLwT6JBo+/7xzYI1e8yRx4LXhNGIE0XRcDE
ipOarV9JgwSvok2CddhSSTtjAFogdW4BoBFkL1UNqYFXJFxlGUFRwD5+zTTPOmj3bnkxJOVW0/bX
3hIE50KG30V5oWHUdnYJd9KUvbZLvf7QzG3jkx+WXGCDkiED/iw2WqzAhbjLhhED4CxDJsO1CmVf
abX+UEcxAX/55K7ZrVs7wmauIgvCEDCy5UrTk+c+EMm5cPtb19r2ItJP3jgSVOEEoMewJdRUrAfZ
D/e6SyrYNOk3UVfO5GBp21yvm0MntBe0xiwI5idmaWR6zJj2Q8Cru+id/IyIc3RgWzOiA9eWjdTb
d46uHTE9r2V6fQAG9+GmeDc1ytEl9V5Zoub0EwypupfZ9J7bvGF88snY5YsyCzF1WfqEn7WrKJ1f
JzP6Jkx+JStxWOQLdukinN/qkX+zbpY7R1KDT3xYPsrBnVeGArRBT2mRcWHWo3vjHmSwvHpYqtnC
xdcGQuguL4gHGl6Sxmb+kr65tbnDZUEmoM0VXuJU9csEN5Zp5sZ2GN3rxs27nR1ob2j6b+MfUxhO
ljMUJoobGoFIoxStyvTeUEOlwWt2TlrhIetcIn7rta0MmmbEJE7Ds0k4oXKWGjeZg9WgnvCFhBZk
A+xMFVpHe5SvnclukHpiJj0qyFZ2NTooHWhnSV6+npV51HPzbTvkCr+yjpS9NIzEoTX19GoU03Do
y/5YuQFRKktSbnBO1CsvvU9KsrmB3DGwyz610Iqexrh4M6S+9bhncYB1exkw1U08dlZEgwx+GEG1
ENMEUUVtzZRhtqEiiEp6gykbEIyHy3e3GElF9KL2FGiEkSMw4EVVnZRYC4ynIE3uUp1oM2XVbeqA
PB1AWZtGGXkNZemlY5m2PYhux7jlJz3cE0QfU2KY/JAzfOxwBjfKIgxwcOvgGXbwDufxENITV5dU
2Yr1PA6382B+muKtwncs8/BDKLEzfmRrUGPqqboqOlAexNBf2gHDUNDqx9wBYyUbEPR2fz0jVxZK
txwRPB2ZRN5bmdduvPTZVhrnDrFzqVTPtMUkwTtXndJDZ0oZXfZw6TF595wK7eNoR6+u0lHz3TcT
wupFKaxzpNYBkusC6bWDBLtWWuy+du9EEbBJQqXtKb12ooTbfYUDuvUuwLoywDKouwul854RfOtK
+V32IY0G6hok4T/gM+2Ei0q2JPYNgfMy1dkDHQRkBiUpr0Z+S6nMCVWC4Y7uvCqQ6XON9kEr9gnT
Y1bQ89oO3Hueep8w9YZBaU3blH9ayNrF+DWKqx6YA+ofVO+EWDBO1ZC150oT3yKObzO4jxFy+U3t
TJ+Mrq2VQEo/KE39jLg+Vir7Qunts2gLnJWEu374BnrBgc9f3BpKo4/jb6t69qeFrMqphFzQ8edi
hP2pUvijXFphVZMrM1+79jI+h1JuiuvsplPugBGbQKn8AqVyDgQXpPg3zALgh/9wFqDygV5j4cRQ
vgMDEMlSN1hv3idsCTYfZ1wwAup/OBawLkxifF1idPwfGraGNM159pTTIdUbULRR/h657pXZBDB6
BE9l/TBHZwtbmHJMWMo7UUXu1m7CaNcqX0WLwSLFaKErxwVzPLLXu03YH3SjkmvZ0SN1AcYGWlMN
8m/Nqh5Ein2KjJofLx5+d1guOWH0mehJ/hbObcTdwbYmuwYQeDU631WTCyAz5yPApRpMn73BFC9m
0rJ0wTl1wR4GhnPjlO5LZ7BvZOq1r7LuNmGk4LtN8TCN9QYP4Lhqv0c6FFzpEkppOcQQTQ9RtjwE
3vDNo/0HAjwqxo/+ihX77IxvQexc8Foxi0q0d8PqKDLru2yMHkwMYn6Zy5nHGMOrM37vS16PPQWD
78w5wcZLDMJSrIfa7MgA/uwlGLi55XUTHKXjzaq/kylXMHJYPpdOHLPiyQ2ikfU7aiuDJEaunxZF
ePZlU2X4dak91dL5wLj7Q3HkF1HbblwzgMU06Cd4HUwCIzySVuK8dyI621W3M5v5QZoEP+a27g9N
d9OOzjsozFeRBPQXwbEBEC17fm4k45yVPjnvIAde4UZ/r4MtOMVtbaU9YxLjGhfLc1kT0ycNjVNc
UYuBLIXjY+yc0mpfjMXH4JJBMBb3dcnsc3B2Q4O3N56057j0bmsnAYx9TxLZyoifi7z4Hoec6xVJ
S8RkHMYofAkbl8lV+CIbsTUAlopwfMJNdW01y2dWFtdFkB4mk/aslXdhkF1ze5N/ee6upmKY6ECb
m1am5ykzHqbCeZ9M73EMnlBZoBYxj7adr3tNMdb9IGoPNvQWndnE0Gq3VWEf6vSpHfqnfjQuhcOW
TzfjE68F/GV1F10w4pm2elaNDVTH9QwJNk2BIhfWc9AsW1nzaZnvfTwBXrYeK6tf1o2ELT0hbhsd
+HVMDgEqVhPV6XuSim3TFe1Gy7snBRHLmRVnlfhoU0kmAFOMqr0pVaPaKSq/mzDqyWPTp3m7sSX9
UtmxqkmBtqBmBooEuGFF+jqCjGlOfG2eMfRW+Kjm6MYOW5oES/8UkMX5LpxGog1XpKIyypKBvioN
BC5B8DSxJLKTuNx2Nqt3N7W+d03HwKRm0qEN+TcKIci0S3S7uPqdWTfjhkDBrwFlwDwZr1buvTNs
Ttej81IVMSvn/FpIBkZE6F4Jg9kr7ZCdVleyjR5VsBdDt2g/9CFpZOX9PBf7jN3cWifGru5ndHwo
dVlXPwshC5/NcOgXk/vRMqTDE3ctJcOCNhjg9bc3HhN3vwmY3XD2XI8AuoOOCcKwyI2U8YdWOLdF
U93TXWEBTcYHLxCf3gTio8JmPqX8PVKzT3E1caYRQOCH1fIICmfDoiODf0O07ETjF+TDw1xqjLVT
bMe6/sB08kB0thIG8X6mmt3xXh2cikfXIyYOfGHJDPdDOrwWWeqfzswhCCJqjVWebLz83unnV3MG
xa/rO+SAICFjcXBivr3HZMuFdZNkuFZpBJmlRd5zhnPz2GXm/Y/X7KQ4qyln1zkaz3NQIWzQ3OSa
Ikop3AuEUE50n8wSFus0PQxu/xoXffUU0OfbhZtsUq/Nd1KGRMWi59wm2XxMjRGxQzaf+qn/5o2N
fZzdSdskKaflX0u2P7hkY/eEfu4/by13/Vvz8fa7fvRvX/SrvYnsQu55abNNM6VussP6ubl0fsKb
RJqbB9vLIgpEx031y47N+Mlg8oWU0HB0wgBVy/dzc2kBTTR1W/2a5+i0ncafaS7Z5/2uuSTVg2cD
HLgLMhGyD8Sff2wu4zSK+0EgvZtCJvPtsxV2pJq3c8cexmNLkSPlLRCW6ZNlreDrVBcx5xuvtZzN
MjXdtiuXHApdra2rnlU93RtH62yV30vDvoE4+V7bI2A11LSaNzLWBIw6Zy0jM4MaoejIXNfNb3lt
MGkXE2PayHvJMuWoxSnk62l3FYWBD330wPw7RlbQiMPE1mlFSriEF0BEaG91uyxAUBUDFZNZmWyG
DCT00ufhOhnzbs88PGJX6HHbt8grxAzjx5HHyMNiaHU37J9Ss9rHS7OD8IxeLdTvk3Y6Rvoys1mi
73YY4bMUkTEhAgHYMTJ497FtfFnS/kxlLHd17S3cnJG9tsb4BiAP7NiSf96UZafgqfS6Y2MAMytn
dx3qkFFrfTmx9STHr0VYUuEfCgpCbp1oORZd490YmrNB20ulVSuwL1wF5nDoYILcvMyTfEqEwGcb
DG8s+IcduRaU1kEJMm1YtnOPIXpGFz1aJrb9xF3oBc1kK0rgX64s9i2D0bxrw5uK9LAsaVBUmEz3
x+4rMRAqWkK/4iLDi108GLk7HGth7maP+witCJXYIF8tMG8rE7I3Abno+qKMbeDUt+ZexWDDRGIs
YVp+z223H1iOrX68Pe2APgbw+hqKJZ1pOFdnTesoCNnmMhlF4lcgfTNMpAoj8jQnJ03HTrINC4vU
Z5j5CDidC8jQg8eBmZ9lnZIpiU+R+l+Y1/sRsNhhBsHGxo7thg5TMqgMvKoV95PZb9JekEfkwq5+
INZs3GceYffLhDCoMbWECS9+aYNB3bCAWtKp6nwvQ81DANSKn07YFMGQbGfXvmEa46m912mcu8sy
dXjNwRKyYZJbImgJx17qJyAhV1Qy+yQmzzyPod72Jh1N63GCe+idiKe5STXVWmzKtucuHyLA59aO
9lDhznHUhnp4YDswHGVkh+RhEK6DcscnDIqPSKtfSQRWsOaO1D47D/3askgGKw+zw+S9Zvuy1wKW
P7MevUeVeRckOdI9bOK+VZVvlYF0kIJ2WiNoTzYsLOVRT4vtAmRjSzg00pi5+TCjMl0bvLpVeiLv
GmydZl0vHFh+QkDtWky1OMtw8SdylVcyNQoGHCR2DXp9aap1wYvcUI9A2AoUEMrIa39k0UFVMgH3
h0VoLu3N5IYELOvxBlI5ac8zs5aeFBdEq2+5QZdihP25tnkYaMaIdaFNka3Doq9m7h0ty7GBKsx6
3XmZ/xd7Z7LcOJJ16XfpPdIww7HoDedBpCRSooYNTCEpMAOOeXijfo5+sf48sobM/K2sq/ZVZpVl
WZmKkBikw++53zlngjvr/TufOJW+m6mKTQTvK1lT3EHE/dJ3elp6bXYUffOMt2WtTTERL2FFCldt
EH4ZE1OQ6u+GNmQHrc4tjqrqvSj7eDuaOnXQJlmGuW/fB9ObV+L9roi8SQikXqV4QB1lBvULlgCc
6dqx6Jy1BpZfKT6/dSgTgdeXgPuJIvgnxfKPiuqnC4cgTkB/XiChuP8ZAwBOS/MaWGeTFRYklTKZ
+hayBWESXvvpU6i8cjPGA+5NRNraJLj7bymGgwnjAWBoukVn25DWGC8czAltk3+2AwvqVmRvdCus
c5njYyi6fhdhbcDts3L1dulP4aHw4cagcu/IGsM57fSvAMrMDAFMdDwG0YFYSPZHMEGC/2c2MFeE
mdghWE6cEZAMWC8K5cHQg+9IeTIkh5DRYKmvbOSUcWifK+XgkFg50oETGmXMuFjt9Aag/eEmHjvq
ygkvPEGeUPOpZZld5kTT25qKLxWAphXAaQB4Ckb/agOijopI1UFT085LN1X0ECtmlT4KsZ5SNjGZ
IlqdlMplG7isV7Rrr7hXRxGwILe0AgPFeoqONRQnm0VTfSeBqRaWomgBlvkup2mbRTMrlDkCLUm9
kkYzUjckIK6uiFx4qGOoJQ3V4qw4QtXAB8W76BXJa4L0portHYF8haJ9bbDfMZFnm4cB31G5Bd7l
GVbW1a4afODR9ZBiN8kKqiy0YK75W7GPp6llLlasMdBxDXzM68zHQPHIgQKTFaEcgSqHB919FhN7
wJIhbazsfaq45h7AOaDcaFFhTxpgo5Eczy70+CbPXeMmegxYbe7AyXJZIWNBzjtv1A4Yb/IlfQad
PMRA1o2irb3BeJvBrzUdDjtTRLYHms0WH+xN0doDMa2bMnduAM/vLnPTulZst/SjB7xpKzrPAUsV
/q048EwR4T6PEEMx4lqYbDU73sdfHPUPY+Y8mBVB9VSZTUvZExChaHOT2vkd8eI/q1Awd1dZum9p
l8wlHWRD2FPuSGJNrMPGAI96hxmonaAVd9X25bbLCdmfQkH/m0mcnmLhfaD4nrQUBBf0I+QTzgzt
sVME/WCY2w6RfdmDFA2lfhiUKclX3H1bvliJ9j0XFh0hscdU0DlPpW5upWm1xyJ5kZF8LBXLT3Oa
u+wZydZpj+fCYEgzB8S5QpqXBoJwaSpfQKkcAsGA+kI6z3lMFfLaxjsXDqNSQMYImdErRCNRsIZU
2EZQN3wmeNIRFaPvwgkdTCbt3UBlWG1AYU8R06GDtDeJZBnxENO0ha9AkcTY6AocKSFIYG+DbQFT
UsCWTLEwVi60SaiwE6EAlMoYVwD5ZJygKg9DTtoItIqhsBUdfqVUIIvj1/d1KJF6GxkcygeRQwnM
Cn4BmjUbW99DdUD/+DLcMF+zLZ45dGJSXxdTN8N2zeLbHF9S+BqeecdRATeZQm+k+UKs16JQSM4M
m/PfqebfnGpMQ8Ul/Oup5o4k+PivU83vX/S3qYaOYqg8MiAI+9Q96Od/th77vznggcCDjCeszlyX
gePvU41OWTI7LLZpnuEyEzHw/H1l5v/Gco1JR+hw0Dqr4v9kqvmfkQ2Gigh1GZMIpYcr/vNMo8ug
KULTVGsk90JgGu++Lv2qh+5iyehp7obg9xH5X3a2/4+OcNczPMtgHwg2qV4S/c+/I5cGocURexN/
VM6fCSBG1nLtuzNZ0PqPQSOJPCq2YRetTeF9EG1xavL5zZj634nYf/mduL9+qz9Ck55uCJJRGeWg
YwQutD9/K6nFxojHG1WhspwJG3VZ5rBNT+Nu4zahufUyVOm2bwoeL/5Nx/7IRdfZ+60/LAeSXJFU
6JgvkY+7kqYkWquXPKL6BXFY5a62L3HENFgXZUZ89vQ615y79iSoGVEDylDskmkcFmFul+usxJ/r
jH2+iEht27QtT1OK9qJV6BPXpzse3lpPki9Ghwz2cW24Z29epqh7LJzQaS1a5LA0aLEuXmU/0nsf
x2RHobfLRNuns9i4XviiuwEOrG5+qROJhlnNe1SZeaknkw2NMNZ3Y6ovouCU1Zr26OTQ9FqXFOt2
Eu0qttqEnsdxPltmWe8S4dE4Wxvdg9CXyMDOcvDIe+68dth1WdAum+zgemzR9KZrn4PIe/PTud0b
VP5mI5cJLbvw2I6Wktluk3r8kFVTfnGhTZYn2nenG7LWU20W9cp32nxHtuxNRCwafdFRxNjG1pbp
hkcRau9dVYSPyFQrvouV0+OSaXPzyvrHuk16oAy3eILj8RSlggcUWeXYevFUtwiBJb8EhT/fetc1
x27orlVVuFAkqb8KKHJqHHdv69jPaqZQ+Bk8CL4aYrQiGbdTmnzVs88fcKfFVAqS3ZpluxJ4r/Af
O5/bCr3KfcL4F40YoevWoW1mBsviUF/OBt2/TFCyNdJDW3XXolHB016e8/1QV1wASxLbT1FOb6su
mJAmYHPg4Q+hi4CLSaIpoGV1aKJWP9uezn02fa6q+Mv26PNL8nIzsNtLG4RKl7VhKU3SuGKWp4Ns
Nmy5MCdm7vhEPU+blXeuONidfcM4o+2CH3buWmvXMa6mZrf72iJOT4QWkqwmXzwtehaNbp2wFWPz
SDc0nlA4nMIE1txTXfZcZwfxXaNl1mSqAgS5kmSOLdHxGJ7jmwvtGrb2hMUxQwdxl45gQElj6xaq
LuTMfihiPDFOYWP9MH3oEPTMRS16a2+P5Fm27cET+WU2w0+H7WaQ596hDreEtF97x+3Xjgh/aJzG
i25kQeHNF7L6m02Bp8WhErfKuZvl/tE25Q8TeAlklNojy4lfOgbbkW9hNXqZht0vGvEEaGI5Ovi/
jQRThEmYd98Q+9in2i7UTHI8J61b4mrZ47fkiR2H5yiP3hhCIUj5kxi1M9armCxGfGpqnBbyDGPz
sx4JDJugX9ITrTW3ACIGK9XRVYhMCSuj8pF72Bn6be2rpXAaji7CwWX6HfcwPoOlfbdZVK5IABtX
gwJyHIXmmFzApIJ1XIXt8AMh/RT2Jae/eUn6xwe79lNucKiUJbnmnQKAOoUC8Ul5kbPIF4bBhicJ
5LLkubQkIYrYM8Cl00wNr4MvJPBSrO8dIjBezWd60aPFrGAkAyrJVXiSiJ+42L5MvlpBzKMK3auX
pkKawqE+Yfk1V7U1HGaFPcnwjaUbzJYCokJDLSUUJKVDS9WOeJjR0Xk7cUOtIr85YvZZSnpKKq1W
sTQ6NZetKM62ke5LhWTpUVltU/3eZkbidL20ufVBRxwOHGguR2FdvgK8hEK9XAV99cQTrCOqqxQO
5sGFJQoQsxQq5uYBEfXQY6xMsYlR0ZbK/DMuCdxsFWqG7GRzrO8zBaH5vPMWBATe8O6fbLcRp8mZ
V9VMX3wYTBzbdstI7A/xNvBZkCUKdmPTwwhcOgs6Vjb0CYU097FBrxUk14fTQ6SwuUi+soiqmGn7
R0uBdS6EXapQu0JBd8x2oGD5m7CcepuRqbxMEhrrdX+gWaJ3xjUvuGuV2r5QQF8B2Ydv6WtiJUln
6qjAP5O/IUW1eBthAlkeQCgrTDCCFxQKHNQVQpi6FNB7nnYI4D4XpQINE4jDFvIwpb8aeyowYgaV
CNppLYNQp9PUnJJVnua0c4GcZvNydsp8ZSc5B0/TP+sKeLR+oY8wkLlRZ3uepGhiCRd81pjkwhFn
p9BJV0GUXjsf8W+eKTwol07Li8b7siKclvi8RDdpqa+dbZkpljBUxbda8u50uXFq7afcFv0WPblb
FdnwmlQzX+V/W3bwWovyKzRovhqJUj2aDXoWjkCaKbiMkNFhciyAK/O/lC7P69ZNCi4q7VuW8ANh
d/KQTPT7aSU1nu+ZbIBOawG1J67s7j7T6fjr7yt7/B6mgVApgaIUzfxQLqSASD7SAoB5sLFZdkjA
JVmXa5imThmN1sIdUkLEvV0xk/gJv/g0ATY23r32c3RrGmCcgPzM2d/UfYVP3CGJp9WH96z28HEY
3cvshs7CSYara6OH9jHyB5oCj3V6t6WM5RJ5ne5hK/qSU/jEYpzWjOaJagf8cT4Ni2FZgVJLJChf
LJ2wxoDQxmxudWymPf6GMZXPg5KEeTAi9eCnSgjArDTQ97bur5VgV2rdgcLwm1vmW+DXQDYDr5Wj
/SSVd09fFgUzLubupGlvclq3WNjdjtOlbHmA6GheSHGtjc/9izKXB6ovrnHHnNRrvB61MzM3F8Rx
Uoy75LgiF7GdgoWv49PSdH4WM8yZETPubclIep4HHK/51xxeFxOPBZVZMRqWoY/dPcyWQa7RRl5S
PNSzC6MARj3l8MZIQ99nCaauCYl/rjDQ1PBfer9T5eg895ju8sBfzh+RqnTDZfAByc4tIJXfpXqu
x3emalfOWo5lJ/PfmUBHqj47VCNt07HxjET5kTYp9TtS9XN/M5NPIDE6MYdp/aC50WmcJ8WwGjfX
9K+DFvOyhEBG8YjQajwGnb1KrOCqteJrlJe+iK8IcKxHO0H3DK7dNZQ26A+7tFYprlPwjKZw7xs5
B6F3K2a2bLatf4ZNdm3MZ2LGbgksP4m+D2NbOKc8PSSxs7XgbhZW8RwNHcIsBxrMh4Q56pLzrFmk
aUaUGFGV5MnE2TRjZC9F/4Az4H6wqpKfJzE3mk4fHgkcVXecgmpca3H6M8KKedekJHibSXsekrlm
w+txuwa73SSjvGWlPBleiF03KA//nWb/vWnW9HST6fNfT7MPZd1+ZN9h/f3nPd3fvvAfezo6w9RI
6xDSIQBE/9h8YdnMkrqBtY2ESf76j4nW8n9zFc3hMdbyVSzl/jnRit9I1/Bsna/ktvcfTrTwnoxt
fx7rGKVZCpoqg5Bv8S8zbUA7qBFrTQ5vx/arkTFlr6Y2Ey3KGaN1j8OoLegbVTnscisnslc9lyd1
aMoPF4Zz53TAR0AeXeXU6IXb3sNq0aX8MrkXvIa625LxV21yyfNTRjoCPvZwym3a5yZI3F1qyopf
jJQIS37L5uRG13hyfybcC0mSLSzsYd28MCoDPCTIT7Wc540dTC+tRKaazcFY2bFaxgRVtfZqblwG
xabLPm4pnxmCLwO0q2Zb8+oVGsuHkEdTPFOabj04TfHM2vFSm261DdMzgu1j3NKCZT0VpRmvAhlf
vda+G5x+I7ks7HtzbrZOmuGGrqn8HcdhhWUvvA+8EWd5Y38H5NvSsVHgkxLXTgzTTpgBMQEyiy8F
M2nmOKQDmOOxarlM+gmcF8/JZokQhW8N0xYVip1lXJDBe8zyNVaUCbqcnKzKfjLsqkBG1HLCHrLH
ZNKNfQwjpaUpaT0YC8lyLkgh3xV56a07PIVbUyNjJP4yxVztowxnzDDHGAQrCky6wF3mY6mved6U
nEQrWfWfPs6ZVdZn3rb0xx95WDT3dJ6vk6DonkBRb1WvkvN7zzq5pX/KFUQo9eCxN73hbBdxvu6S
9FtGUb/xoR+GrEZHth2VEcLzW5/GZ5GaNJlb5afVIZU2tXxOJ/sxsK5JMIfQEc3NsapkPQiP518z
nzpTW/NHjX9YK7plx319qEAJCaNeWU4BS2V3PBp83rle6S40eIsjVNXrMIxU6zb+D73qdnWST4sg
xX8zlM0nHse7jrqkBY5ubD1j761DMhaW4Br5r448WfCHMicJrkuMkSsSeJ0dGy3aJec+n06dIL2A
1Nlh57ZhyoIYl7ozGqd0DvSlVreELDOA8qKyRI0igb0RtMkiqYUwARCRnHd/XVDe18MvT2Q8NJUa
WotBv8vm+4KnMXBhYVCWyhIIM3fzGjolnXX26O91FHPippeeyVBRM5tnRWPwu6x0HhtH35l2Cfov
InXXUSFTrAdIJD5fFRvBbHyUYWkTVMI1O3EdGiNMv+ShaKY8g8VbNSQq5C2nmMpxVw7q/VKT5HfV
q7nUphW+H5J1rGmXJQgjtgOcKraxjSysjd4r/q5pWZpes2sMdJbIYjfR0A6QyOxm5SCjtR6wt+9/
dOYgFi7IGwW6qLuzpz23WBRX0TwlR8Kp+lUathu7wcw/9yRa4aTf2Q4rhTR/9+uhWmgZRHM9HTwv
u3NEyzzgFke7rU5u24x89pu3wSbNe9Y0arg/655xWzeNb9+x4yWBf91O1L2zZM9xzc2OCzt2DqTx
Pr9LzPZGKW67J8bbX3Y4gxeVKEmOK6xvbM7H1GUkbHomB5p330rdvozWxG04TpxlVdjRXciNd0hC
qGL3tU7IH8fnFq804D7DQUmwnbam+pbwORu6lQCcglZcDC7SjE5cMjGOVdZLWBNmLJSvkrXGdKsR
ivxANFCr3JrLzNnOzkRLV5zjxs3Yt+TK0WLyjc2eeSm6Zi/Bgw9WNXvHcKgx1rUHDvz4zExIZkZG
5HxWyO+qcmeu3vMZUSPcGIMLKNoMGksMxKc5TUHduwTPoO38HMb6LLiDbNkOyoOgZGShtz3lgB4T
GGEo3spgL7ozymer2NRd1u/Dmmi/OCOlyFCFZfBLK98nDKCI2gGfUHLSZJ8czEy+mzZvb4P0ZC8f
I/hz50wnEo2Qvn1opyhae4DQzKJKJ5tNmrgzR+z1ZvzgzP50Knw5lgkOzGyG+yyVun/n6uZzn5pf
fjBpy75yqx1c6Wps2dLlru4e+kJsWTsTahIaB5MykSWR1MEiVz7GmZLmfTGY35BTpO9pM3n3LUZN
AwZ/1Pp2zfFMIdtnLu33UYNTrgsPDL8CVNCrrcGLfJL1gHWCKKtEWCfP7m41HlVr8JpVPL/Sz80G
e2B6jj34FC7fOYtu+ZP9e7lqlLhEEcFjEUp2hX2an6tJ0PLdGfucP4p7soqp6YZkrMpqP9Xmc9eJ
cd+23as3ZlSbW9l8YA3EIoyQno1oSXIoiYjfUJpNayZN1AtVZrGAo4cq9VquxehFYUn7Wjb2NjYo
9mhhpm/4y7tkCq40DReUH5crolBwelrW00iXE2ZW8xEP07BNp+7S9nmKQEMcUEatCPFMxnaMWNEb
c0BVlEcMrk2hOIxGLcgb0cj/5xEdVEWwjGb/OROYOvIJ3+zAAHo3mjkdDqX3wkSPWaAi3Aohge3P
LgrJyxICRdEhVI9hIKAR3Cfu32FFOEzTvi/HZzNCY9QHl2wkOLZlejYTTPHCShGqydQkmc+9MGyu
+wL396zMur7zwza6R54V9M8UOkN8RxU2FX2jGoyHxHOOHX7KmSFpjoCBsr5VyA2xm1PnvvsJSo2V
9su8dr7y5otUnmCX1uhARB1VvGA8QHPP+fZNrNqG8x6naUIQ3xdeEw5trbuOIpsfc4Rv10Co5Ecp
6bFhTx8Oy6aioItYHItjBX1BHIrY+WxRNhd2xTerV/FTOmFnt7qaigeiDZFIsd7WWbBxDWoWgjx7
8F3voSqTL4jOGChT3HrE/A2OduoRIu0Ypam+rF19PVWDuWLPskzM4tMwQ/psmmcztg+6TlmNH47T
yqaFem3K7tFWySV8VOONF/PSB4XQd8YcbkO8pifpsjXkcvjTbiX+1W5GpW8vZnyf1817GtMSSozV
SFEfiTDC8H9QCtYjkKf1Nq+rn4lELObkeW1HzEUxTlxiPTmLGv7EE5339WitHX16DEYOJy808mUA
CIS/OfuwiuiYGCxkyWfaeVwTl2kJylX6gYGUR0lS5Ld7O5eCdEQfIgF/pIMMt6om/WBX/rRmr9ls
ZRgoWks+5cFHb01Hv55P9NP6JAOwWnBL1RZG+7TZADX5IkrZZWhfvtFd/zto/ZuDlstu6/83aP2l
QNr8/Wv+YbQTBACwkGO+shymoj/OWB5eOQhJzmFPBRQy/vx9a2j8ZqP3qVwREhx+AY9/3xrCQvoY
81ziRvhychX/swJpobZ0f5yx+IV0Nc9x1+A/RJj8eXXW1PQukypAu3NopYsZmwj5I3d+2/9wqY21
qI/NfSdDrjDg34PdWDkXr6N+x6Nytte7U6c6aGvKaCu7vUSU0xah/tiDh9I4gcOpm6Ac6Zt5QJ+O
jhMSKvG09o6KwpeGSo1I1d9Sg4tockJ8/hmrflxJQQ0RpcOPWIc6o75rFxeg6WJYFW7/5gz1d4Oi
uACh+jRKVMKRmWRGD237iq4G7OktiVncc8QGnorTn7JjuIhDChCkQrZAnOnJsTOkQumvY9NV18WO
0qlGUGCDzERuLikW9HQQ35WpIK9MRXrRWjOtzZLDUdj0tWYEpkKaRRst5V5dUAFb9llOmCDNg3MR
b3DcMNa0FjOWTl9pyzqyUAFj8JF7zWrqdepq1qYqt7nh82ifLeIciNSy2T/aoc/uyvQkj5QUc0r5
k5Au/S4BmndN1XhsMUFa8h6YUjx1BpkL8xyvo7mrVzxCS4xGWsrwkI7rmPME79lEoqoFMxal0W6Q
Pn0cGIc2KF5bmUhrV4bMS7kBD1mkxFNFCKhurTMxRPIYBwS9oi15hDDhniBtLvKS+qmnQxlL9DYj
sC9325/lQFpUTZH6UY8uKYIzSQnbwbfJUrHcZ92k1R6AqCE5d9xPaNMkxLBPcES35pq1KmSLeW/w
u1Ohkw/HSFPGRKnoIYdln4Ybq51v4wRDCg03LRnqUK90rrAOvh4YuqfBF8bCqiL7nNjtuWsJTGZZ
RP7c0L9ozpBtQ7MYdiaK5RHkj9oS0rJugTvfW6rDhij1aO9VsO1hO37UA6NuWRInbcbFno0K2Ffm
nSefGuOWkvWxgzmduYKXdp1QPj09Gl76wy6mQ+LLc8QbZFFUIExs41mWBPLJsZuayOVyO7nVjRtt
s7e4S7LPfofU84DL6g1D66WRLm4hPOD7UqgGs9DewP6sci69pH1gFM5LVNXQl3Jtql7krta7nW9Y
t5knoco5IM9MD0twGzO/h1rEnx2oZS/JPbooyLU03Yc+0PjCokClt1jIMZkl63rGmhFpvX/w48dS
E/zWDC1LYc2v9LkkV+AFuR0az2a+IkxlypMv8kAJtsG0V9fzjnKIdNdoxUMr+IUMMvaI3C5usy2d
MzlhAxHHvXZIRBKuWtfydrZF1ImTpcnRqerxCZ3QW5IUsCka+8Mfx32QZnciLJ4I+LjSD4aTqQ4m
2uSSm/onvaDHl/81brMmXkZN29pNdAXfPWaDvSMV5ayT482/kBnNzrW757mYafd0D6p8J/eKY+rX
lOocmIr3scP/JVFiB/pmfP1u4r+Glt0lWXPouSyGmjhM3kzQGvpI6RySQj75efaOOrAl+eccJoTC
JJJPYnhIy4r6r+zmucVjO8d7rr5Y/OVWK7gFejOh0+naCcUhKq1bo1nHuEpfqSg+2rtaTpu0N65l
iRCVWcc2iq9ulZ9ajYgc9uq217IWFk9sifeG6F5sP7mnu5XT8maL6k7v87NeWvehpz1m5nxqebHm
zNhCZNPPvsDdRzBov7Hq58Rlv1okt9Rk8RroW8978RiNB4cdpkRnYpvwTUzUFQeLnddPMeFSre/d
OnqF8ni69F2ziwbjQNx1m35amvnpD82SAlq4Ls/f1674DGPv1ZXzs99UkILTuo85q9JtGleP6vvo
7InPRoIOneC50u12U3h9T4pQsyME4VTGOBitiyiKO08bVsE8PFs8BzJDnrWwe+uZDJ05vzMQvIi+
5M7XOztduHhVq0cycO/YkALKkp6edI9d0e2YHTcyGp95VOytyKImEmMxKQ8oUo8CqrdvSxL3wstg
I6Tpqz50T0ETPOETxNM5t08efZGFw0BnYiJLIutsJBnzW5AubMe5BqK496rq1dUIs2Bs6aV44Bb3
TnJkQwqLXx6bOv0og/lqqa5yYf0AwHgyVIc5UXWP7uDNp7zkATnW4hULD88oT6PXzpqLbUIdeq16
0XEjMExQlR6oznTNXhnGLB+TxD/XqlW9oV69VT3rdBQRaaxlB1N1sNdzFCwJ0VhI1c/uOsR/NzXO
5qxBq9d6OAYtrJcaOh1dW0m0mZwWNYPW91T1v9uqCX6UqVxmerzrVEv8f2+T/+ZtEhWb69e/lu2v
H0X7Uf/f/5P/RbX//ev+eaOEGqM8iMRZS8XD/c1a4/9GzLbjE+lgcKHUuU/+4zqJZM/10/Z9i0If
FpAKDmuAmKL//b8sJHvLMHzPcsC58N/8R81B1A395TrJZsKyeGz6jKougRB8E3+01tCVbHudV0qY
JvXuIbF6aALyFnvrBX1owdloLWK3GvjoaimSrkmeU+tMWxSKt94d3mDnc0nfmkyz8cEBjXcVn2p3
wZ7hnkuIA4XRRGTmO5mx9sp424wYKtzSse+ENDIuQCzJ8VGSKxVD7Sb9vB87Wi5NIz0VUVHAbzjo
dgm4v2+/d3SxHXrOMcedvuvJvJMJ5Z6BI2IA4Bgq27tMaXGdiLRcTZH9IgcepzOL74Uc41vfU7DA
vowOUoLmljmbVFTEHndAM4MJZ885LtFlUtrlasZHFCg22gvybamggaVpOphry/leDoBNaQbWOjnd
0pvM/MG2ugsGb+1qOFAdXnKOwnJflFFxEyb2eWMiEshk6E/D9LMyugtiLo16GWeux11+1SMUrqC2
ncN7wIUuzpvm0MUzKXG6tc8LHOp+cWl9jJ9k0mHi0XjWtEEQnoKI/M0eRiZprfyQhdaef7nftaEf
wM1CQ+TBsNOSPt70kHM5ivwGqiY8zL175noWMz0HHutwS4/u6wJnqBeX1rbw9HuS/XJwJcZffORY
cLGasNlpmL8D/a70+oMe1umpEunPqaD8wtJ3oHcDveUg5rVxspu9O8bwSW737rhWQI4gdAO1BHgf
jXHnwhts7U7b2ck93NokJki/ejYPNMLJpZBgVljniXHoXqlNVL5N1vVNDvNeV8YHAYVL3JruWy7M
C+8oLiZ3LFMubs5BW4REP7k48Vu1Mc7JKV/klf5zKOMS+1QFb9mjRTVs0lZ4t6Hoovi+bNAk2Esc
fS1giDFuZjlfEeQ/mghyw4yOQyM42MciWyWVSWxxZR/4VMtLjacOi+l88GRHelDCP+rrq85Pt69Y
t670EaBYzObSlbzNy34mKNCPvgJZPpiiP9Ve6WHSnIj1g8RItfkDdVaAWxFLrE/cWYUSLzslY6Y1
b3wlbPL+PQsldQJwOCsazWEB6nfPzpNDgaOeS8Sw4c2uwlOLdmUq+TRBR42UoNooadUusFk9m0pw
JY7FW6nMVXzb9KxTg4z7rTeRaM2s3vaotpxcPwebH6JXZlcHvxXikqkB6CP3hikF9a1jcNnGWkaq
9TfZ0rh3e3C9PEyT82AeQjI4aJwU3tE3pvQwi3aP6edSJaQdSSU8o3Et9Lqb9hyI9LP27lbTqUYO
lGDNabPUBO5Z3hHuIkxIeIjQt0sldPdK8haqzwX4MPTQhkmAQBY3ucuPvPhQ9bx3a9zTPRHOC6d8
C6uEmCPcvJUexXeTktwnJb7blntJveZNzORrMQaQrNk4xzx0v6eZY6JVIn6m5Pwa5X9fYE8PNJuL
jRL9CyX/J+wBfLUQIMqz2wVqSWCwLWjU2qCdPwu1RhjZJzC1v7nUsayB109NK4+uWj2QVHxnql2E
lpwRsJTU+D7MJL8DreyKFisNKYD+qsm6DWZjem0nLzlKJnaVHHqr1ALEUauQVi1FTLYjFRcnU61L
YvYmhlqgjGqVUrNTKdRyJfy1Zvm1cGHzMrOBcdjERJVPnDUdOpbsDgXvaQp0R1rRu+WkORej8OjG
kSFZPWMXLetmuNigVaxeeEjEpRgXpp2shoIDHgFsp6v9Hink4caWI6TkGO5oODZWo+QaNNgRZ+hU
P+bjgbqCZaecf/1Upijn8XubxtzpElJNRj4IfFz5dG8KJD/+zRqX2qrrTqSAkO49NV8xZQIhh4Xg
+Us7ZbHRLGrgWnGeanFwx/ZZk/bGpEDiLpgPZWcld5LFzNrFR7GJOZ27SNubmn6iyOdTxD70lG1/
J3p3MXAqhmXrLfLm5pErbIUcpjqxp5VJ4mD1GTl9ta6GOl43dnV2CdKCYeKNDEi9MFmjbXUt2eno
7Csm83vP5BSyOR54qSoSVzySmgsWeA221q2pswkRSNuboGmubhp96UT6LJAnY0I85j14sXUI4nFX
+SwX8tHN7uBanyKfAlRxyzN+FMRwaU+Ek7eEnRM66z3oDkpPNoS7BhuOUd34PXVuiSYH8dRheZ3X
jj17S/xEBFvYFCT5E7iQ72UkOeti0dkWF9QkS9n/ZdvRqe9TQQEH83RKojLuqgqvBe4IfZ3m5pMf
z9RWdm9kzWUbtcwcLFR+juxo5UfVXi+ax6KEiaw0/5fjZWkObyww9wFp5Qeb0Vsxpi5xRkhEbobe
D4GaKxaVPdYDSM1Zt3SGJyjBEmy1ABXVGjhWB6B1AGxF8VnRURyvwTavmWJf+7B98I1DJf3iXNuU
/8qWjD1Rgcix5N4k9UbIyjph/3vS5+KlsfnU9U1tbQMbBAnt7+ooElf7MSgu1wHQ9cTBULwuOytF
746/Vi2K6G0Df61Iw0OMp3VJyCj3p+EHOXXlxs6zTwkY3GTx8yCmh2CazoLQvFzP2P6BfY0NvAKL
EpIOs+DnzEqXa5KAOnYxn7CneJewe4RQ8kztIJUJ404PEVmmvWf81C3CayqeKEtSkHZkFdL4pJBn
F9W9Mwpcwt6jbUAq+emuqI6VQqUrBU0Tn/AVKIxaKKBakBOwaBRkjfmRxYEEsoe/JivBX0mFZLew
2fMvSBtau1HYdukYPyarkMuO6SNUaDfx9MOJnhmYLX8jGTVvwBnX1oypTYCWCiDEJaR4pJBxXcHj
QAuQzQoo9xRaXirG3AE2t4aYKFSDIJ7YHG/rzsTl6hrZl26UYOoKWC8Vuh7ml3wEZR+ZT2VQtXsf
yn1WuDt5tqpDZN8qEL5XSPyo4Pg4xJWKc9CqweZTBdDXUVST5oLYQF1YsuoUaB/2CrnPeBBG5qw9
+vMpG/4fe2eyXLeRpeFXcdQeagCJMaKrFnceSF5SEimKGwRpUZhnIDE8Wm/7xfpLUbJlSnbY1qIY
HXW9cpAiefMmMs/5zz/MVMJFc5Z2HfOtyZ8YkY6wNyLmMvH4ro3N6eAMwU3bupz0hGuMuH6WSgIA
x3Ezl7l3GzofM42A3wzrodAKrP1EypPSEdhKUSCVtmD+pDIQvEdNMWoh6d40IQqjghnxWVJnRLiH
g3nRG9YAztN1e8fBTgHio1CUDSHbHvd5853K/kIZwDtvQiRXMZ/sUIp1r5HwGzkDZbZzHbRIfEMm
LKxSKHc5diwLE5r0vu0ukxa/1MrV3kfFQyo9QBEdLqFREGsTZt1tP7Vcj/YEt6Bi/DT7/QADQM1R
PmbSfpx1+JyV8oGQ3W1OqNwJv4ecTfK+riOBJ8Sor3v9oc+r7Wz53dJwlcd/i5tEWYSnbtQufZWF
g03WbdtO5OmaVCDo6ndDacCtByWdOCfHFirJ2LGnA+KnUxMSjlv37xKcKDezHtyCXWD1OvnXZgvp
JS5IuCD8otwihT6b3GLjld2xRTgNv485UgslwE09gajL3JJ7hnR6wHoZgMVFrLERtjyas4OJcVGd
lcLv91M3ru1aXjAIPuQmfLv2xIdsHKfRPelFcx2lRrhTHPMORTKO0cVuNq9qfbwPtfoCsLA+08ip
tlrMWaA6u0oKADRKGE+AVuadQJ6M18EJzx9K6mEC0ChvUVsfsrTwNnqXEsVW4O9l5YTCxyUnCmcS
AdRA5XGernAIOqvhT+f2Fue0k2yjZmN11E3NTKqDSmXHB+s/vht/0tLRZJ4Dk+4PwIHH7n//5+E+
e4YNPP2zXzVqJl031o62rUOq9RFC/QIPALKTtsWox9aVh/2v0yYwAM8C4dQtE+jAtF2a+i/wgKsY
fcoq33A9JVL7S/AA3vvfwAPKPx8+H3+HazruM+cNb/DLxEjgpJSp1W8JxcFNKNYfwlGcgzHjHuvi
wZanxmkYo+GibhBKofVkh8r8oBf6G8LezYVnjzdIUczlNEfbshj9FUbkSAKgX9M1RIdKc648rsFN
rEzizKKoDoxiqwOSa8JlpEWgzqDftHX5viAZ8NjEl5jbQNFN5uQgyrvMD2rILz7X6Ej7IQL6hsFf
Zh4kXyXR1rN5NzDSIi6F56bgVENq4TwY3uRvuaMBKcrpdVnN91iKn83YGC74LT0saW2ZRj5IY4DD
wN4YO31bWt42xANryDFMi/RWO4zavJFFneztkOgKN8WOoCGOnI96OE+H2N4bWX2ZoujC34rLnFij
kLpRN49pxLs3o12eJsEajX1Ed9bf0pbigTDpx5ohNTV5dhO2LvbXXgIWUZLOGOJO7MVH25MSVU82
KSXFVPbZuvdxhxyokhd+0LxjwnRHWYMtk8CJnhsTXhSqdoHQDuK9v8TpAN5Kl12RHIQEu8ogKicX
RgVPRczuiUz7K2FCCEcuvvEjayUTLJxzY6s38/uKsKsFfc95a/iX7WxjAqkHTMsSrJvzBmqmbVEi
zkawjwApFvg8OFCLQSOiAD5278HaMggYQZtA89GeenFlJdhWlDoamC5vH0KZZwtIYhcatoW70dLO
tXjKdgxDr8tZnGm2hhqaCT2KG58yiUoULsawt1P/whrL62wemkMGn3pZNs1Rp2eip9Xxo/aSak/2
Jb3pRO6OV9j1EfDmpk7BlBNGFojec79P741cc4isgeBSKir5oGH2ELnzz9M4JttpxGV46jFyaAFP
/Ci+SprhcbYPZCFyDmfg2kkmj70WFaeeYCT0ww9Vf+uTC7mr/CQ7TFq3sSdza+Tp1sdcYQdeXK8C
713vAuqUWrpMrJF2rGyMtWEhzQ8STLlKBwlk2E4bL4+x4cY2AvqBfep8I1rVRiSXzLHgfOlzcxn6
M7d23d42GKFeM6h8U0wj+pdKUQSpjWtB2YXWOxy6cs/gKVzmVlVDlfDJmfSSm5j+HSxZbM3xqm2Q
zPddYOwA31nlZN+NfNTkeMVg2+O+GedxlVaET1CpntU+gFrSiLUMKP2s4THuLW9Xt0azaY3k2CBX
tzElxv8+3pte6FxOFQbNem6vqtK7y/U52LZZ5h9TJnqdJbAaz8XJmx196wn0Sf37Mgf8cmS4DSJH
f9tm/gfRdxMiMah07tCdh7n0VhHvZlV5VBBdjfebLue1Jjobo+suPM0NVt55N+3DdLxMq/7kGKJ+
09hIbFo/u4uqtzpqiEsZYv4P2eossBmnYkMKmTYfjwlQAi3/RzyFliTnXDhFHR9TYWVr7LD3sakv
u9q/FmJ0915Dsk4sxQ5so15gzPHR4W86ogRbTGMQ4MbRv/YUdDiDIeqG8rpXsGKmAEayFh8CXJ9d
9FYZglwNIFLHDVEBk0E/mEjli2sf/UlsIWvscTshxQi0yCgNZ5E4TXvwixBPtBhliGaO0M+Md7OC
ROswexOBkUqwUk2BprWCT1twVLgDjwO4Kg+WICrQustAXBnzMS/0Of1dB7DPd6TykN3nUWy89x3G
OrVbYVej9IRkzVlneuV0iuK5jeip19UT7MtkWQHBNohwLOnAHDDiWoHFDJHpC4ADQJH9UBBFjInF
KKSxgaGBo3ucIGj9BD8TYBsmxjupgGmyi9RAh8woVczAF1iTl45ZBnXOoAoeh8on8sdLWVOIQbZd
6cn4sx/bB1vwScKrD+E5DO+w2hCbWeNn9Wa/Jb2ELs6W771C3NoQdCqzX3pJKteZVV4lxszo1IxC
RuIbDHm9JTrNdtWlAHGBcXLnVlXTlVwJRD4W+kkCluSmMwaxw5kKJzWIyMKuaNd06yNY+vvAgUI5
mzbyScw9x9DT1mHaWMQWuIQNzi0fMlktqaezjyfzxIzSBxuAxmUlxQN/G54Ubn0WpvDJAqd9LUlR
mYlAWbhZ+ZAXuHYWSIlBqc+K2fdXSJKSRZ9bKlMQzq/L2FrC627bfIBJ2uSbyLca1ecvPKPUl7oH
29HDvgGJCfZ5TrQjQDS97kfvYZ5hCA/hEsNTsZ91iNY9YGja3HlesdWjsQUA60mnRI9ohzF+Ujlc
uG5uACCRWzc5sb2THwRLK4UVwJCjWggvqohBUdpFbBGju0nvxbokzWqRdpTH2OiDbMbKgQenO+aH
9ajTAlW9zmgfTiJ6gxZ61tStPfgAhwD2b2+HNSLsMNqFgQi3Zhddpxp+MKzPtVF68gIvFRnJdNv5
mE5VAwlgBXfNMvBiB6915xyr0WpZaYmykFeMEDlqUEvLZh8Q3gGrjxM9j46jazt42BMojJyZDx2u
LUB/s1NGe0jbMduYy55WIkFIQ/JD0wlvga0oLqatOz0UZzpmR+skek0IAxLVgLcXm51YZln4uiF4
Y9PjAoylZL9yNdrToaW17euUC4HsDB2LJMyr4go+Be1uI5O7eXDT9dToM1SJ5qGek/d1alyKXqNr
BRrjsML3F7svKMlee9lYrUHSh4uFFGSUuS4hz7rhg913mAxXfbopML8OCW3EGm6bRKMF3Gs81jgS
ZJ3TbuuunWlPwA5tkxsxFjYGgRQOJpET88j4oXUQEWApu5ywj1q4EwoFZCk7ByeeVTTgfCglYt5O
YxNkGdRyq/s5N9J7MaJySlPMrorA+djGo7fM5xERE3DpQlpJi5/ZhFkyhA494+OZcrF0CWxZFoEm
D0NBCopowlu782+thCQep0Bx08dcrkF8Rl+7FH7hbixpGuQ67FtpxBuPh2GWOIMlrYEdj32fTC2o
8EQ4tqvsTSu63NXYJDh6l/ukkjsgrnwNzQI9+2i9yaMAXFXNE9KMVAekd3jeUnAOJqSCbtNr2Gun
CfgVHNh1HPNTw0k/D6XhLQJXxjya5XqSkDB7tWL4a8kFyMdOMk9ftGPicZCEBKrMLvRixjbs8qSk
1ccP0sXHaMAoeC3R1SFihf5g9PaDSQGwQkWxGJ0eFIQyc6o6k22DddmQV+EawxUsfBWL2QC7p63H
Iw2Jbtzb0It1WkUu0GQim8XK/XuwhDvBBxum2EjHon9oa/EhxX4bvKpAyaaAe5dUEPV+SoYj+Kup
EA6bE8WDQZN9/BT+V7a4qxVclbsmdQ6cZfdmpEGHxDUVQcGVFA0agTEmtjzQVn7cBtz9UCaw3SG1
jzxSF20upyKBLqjCkclQOnswecKBrchMDY0HLbHhY3eJNqPeJXJYQW9LVrHv4I9tTPgakTG16qoR
vwumiUv2LErY8jCkQ7hGZHI+muYZpzimXGoyFAKehKMFMlfZA6UlR4kdzsc8mMi6sJvhQLnzkNod
9Tg5tlhTAJdWybSOe7Kd/Io4CqOTnPrDuPM4uMjlA5dHnKHvpR1vjK5Kzmw3ujT1wd47PlT4Khos
ctUp2tz5QzzFzWF27RDB9fAQ5L08azhmbNJOkjaRr0Vgn3qvCU44uW81JYGeSPY9NHJ0tzq+pcg4
kJPHXv+2CsojDlGoWUaiLKtEEtWaF/46SxHwx82DN5GcFdQapxokWDqQC8+2sVztsbsRDk7jznzV
Couo8rzJNq4WbxmHYOnp3g1Ty1SL6n+R+MTPmx3jDUO/CiFUHqLJ3nA9u0vI9whG4vpgzSaUZ0Zm
PGnlVe0MgC99AB86hh81zq22RyB+noFJ7XvyzOj/3H1M9Dry1xq2iS7uNELOREI9JSfODGOampPf
RnhvIyux9Z53mO0yY5SHAp/5hZu2a4B187x3K9yvw0dPcqszQ0NQoHxvdb+E390Oy//QJP4kTUI3
LXCL30dCbuLs/qfXj99AIU//7heahOFYjoHU2YRWpugIv0AhOPnAq+VLlg7NTpmU/sKUsAzS/Gyy
AdEbGgKHm1+ZEnzJMBSDF8cevsdFEvmv//6NR0377P9/Kvr8soyLrv3nP2znW8MeiL/wJIQF+0Jn
KPhbpkTJb3eDktwH9BSn2IvPQlT2HMmWvqQMfpPNlCaTc0T2Pm3xmmFcGF97kAULlXE7q7RbLaJk
7dC7L1wiLledzVVHNgTRuTgcT/lSs322aPXQE6M7qDxdh2BdmERU/ypr17OZeqr03Ujl8FYzZTH5
CjAO0WoVbYd2bTQCKOVvkyF+V3u2tZYE+yJkuEtU0m/oZLdT3LmbiBDgSAwOk5z0PfOCnWmXN3Px
vrdlfD5J4haqcLQ3TlOPm6pK39ZMF/YJccM1k+GUE8ec4o0WW+Z5PBINep6jrAwQuG7NdD6vlLtz
Ctlh3xsWUhFQ6pl2ZQPD4E3BwHhjpbG7maxZgMGv2jG9Fr3iNYzEnOaAtsvCS7eu1FYONySGd2ay
if2VU+G607RNQ0IoEQqyHd46wZraCUcyq2z3sH73FBs30xRu3Ti0tzVwUeaTSE2aoFXhV0D6tOYa
6QJX0tsydBHK+P6j0UbzcdRd5iAh6LVnVOtAmBn852IX9AHcCMeidmqw7eEmt9AsDPV00r1gMxNl
pwUamyHqlrUrEVRUoDO8g5i7N/tZZP2qD/vXQl36E6jDSg6X8eS+rePS2YeaQZoyvurYz8frKaIb
d6a6XQs4Aib0Ga3Dhs2mVjHt115jtweC7c7G1k63gYFRg8EAQ1rcHJEV9Mtbu43MI1rWFbRDmJBe
fVGX4q2sk5UnjWDVt2Rez/2tOYkH5FxcablxkRvYHnUEc5H9hZXNBAO3Jxk2ipJ4k9o26hKJSrLO
3+YJQ/WCSfOWVgFWBlELiMlaYHm7lJdS1KgItWod+p22jKkkF65XAEVLa915cm3GycMcJVfOHKCi
l3a7cNn1i5pE7aUTh5deUa6j0rlMmcKsUNh8yKW+M1GptoGDxIsj2wnhIhpb9li/maqcIAUQLTQz
wSUSP3S8WMF1FiHlQ7D3AZO6zN2003zeaPJDNHvJnjhu+OntY1Y14QGXuHO7mcuL3Mp7kgyCTWFY
K3ozbqrUYrcbaq8Y0QV5a1tTkKlBroO7HAy/OhSGeVM0IS2M2x3NPC3XZRjfVI0I132UvA1d0S4r
wzMhcqPPJNm7W9MLiLKujthHbhxpPo5drB2GYN4O5BJMFno4ja50IT2ixSknBMRqu0l3pTdxSSPh
04wEl1xYZVQw/KPyPh6gDfF3oXgbCebNyJ30E4xKbOdewAQC7FOYYgaiU4fmVUg/3xEEtzMxa1y2
BRHBCS6s42BeW07zrhyRZRuYam7zKnkd5jb3vmY+FjoNMGHVMw2N6SIjKzBUpxNlEHiNmQFeJdI5
Mdvd+hLvPhTQuzDcBOIq4Fcdm7T2CWrIVdyBh7jTeb+N2/IWgvmD4xXUmlp2GVElMwHDwD4PzCs9
6j5mJjnIUxLeBh2hgFl+aXT1cMBPBeBkkMEOKoaS2n5IjY+1i8tEHBb3mjBvAMCDBZZesJLkkG0S
shdpBteWPtHZ1TEZjl1+hVfOdvTjYGctEphPcB+8vU1WiS4FgsWR2kTOzV024lnPcNI6p/QrIV/n
WOgbUF7GtvWXkXVd5LVNfetGO+I0PAU0MnQz0MQKrK4W6aHuyJYpL6252gmND8mGCxaP2N3GmWrF
7zpMkPGzCNaTP1Owe84bEjHPwIVLFcL8LvX5XVqU3rhDovQG1SWtcL/WEOZhiVKftIkDE28xpvKf
mrrGwHmnHI+5gS2rnlrtMqkTkn1qjG+9/j4ZdP0oarnPCCQK4mHVdl22b2ZG4a5inRHYGE3htQar
yZ+RJVk1zrJBw/Sz2XJ0gbrWuJqUmGi9PtiVo1CbhBpbR7RVEmqu4RCkl9mb2MlvXFPS0VAuDwBt
XRKfybiByQGqUiXWx6nWP3RW+dEuUJVJF43gAIadJ2daZH6YHfxpaYqZ66fDIwypLfYhmHOAQoBp
Al5BYe7m26LR1TJ3p/qNJkVwGkNrPxvo86wOdxKvGq4DOUM+gCJMdNOCBEh7VUvtNLbWZVXUIDUa
XFpgZ4vHC9/T5GAXslgXvYHlbsYAjdwYoP2cU6BNdKyWR8IECoewiMDl9DCJQIDPvulEWGyLxCGx
jw2MTII2klEhs2OtW2J2nwsnf2956YOeheapIl5hMYMyITWJICWSNETmSOrs4sRF9sGULyehyiPs
AuAxqTdRm5+moV4KNuKyghuCNAdCkUGOdYm69wLuyrmVEiijo6TX9bXXzvlyDnzwVEmVG7nRRo7O
67FBKu8IkrRGM90wR6SfIYHOQd6cIzFd92m0JjnjMe6KyzjIdcIPTrogE2tEskNBAJtiLlXMnLzX
KuIEK+NoBRhzjrLc94kzHwlqTRIzhHGFqgSLmPMGmUk4RsiIUZ0uvK44Ovi40Ddpi1nDsxQnAnQq
SrFSKu0KMpftrNQsUulaWhqknUTq0ijNS6TULzwEzFiVIqa2YFSESiWjK71MDumrLB33baJdaJiM
b2ylrcFlFwadNp/F9mMw8sknSodTlpYD152NTt7QCnXiOg8EAazRNlEqnv9flf9/PRW9q/vufv2p
or/q4ca+foTt1/1SAquvfqp935Z/75u+1NLf/0E//dmpKhYmz6eqn/6sT3/zH/2U7L6Lu/4DOXwo
7uA543qFfOnTi0pekQg+f1kj08Blegp5+vPXqeRpXr5apt9biD9+j08r+sff80fv4GmJ9h/++Q/X
swyGu896qr+zDqZwHdNGI/j1AnivLMf1bGEzKf70evpNL2oBzO80lX95AQx8Xpmru7oB1Z4XI/Sv
18F95WA0ijDz6atsvX/TRvi57IlM4JEM47L4mi9g+PzJv2msf2cNnv2EXx8G5f7jmXSs9jdPgc8X
PNVpP72eWvgXtAn40Pj7rOd63t9ZgWfpm7+uADiAjVmvhabwlzf69S5wXqGvUDklzueFeHJqekEL
wXGgw37+czvhd9dBcO5BMOFc8Z72+7NTwX3lWxyZoBifH4enrfei1gGMxfzRdVDhNMA3Ju38d9fB
eyXQ1jickJ/3wws8HQWe0T+8Dup0VF7Q3pdr4LenI+ugExGreyT8fHq9wOdCuJb7o9ckJ6RvkSsA
2+rpffIDvz4fyNDVDccWOH9/fv2bbolnT/bX5YKwdUXN+jM3xbOf8us5CavM0ZEyowV7Wodvzgeq
Ep/L9Mt2eYH7gSACpWD7oXXgvvCYgpto8p4+72cXp8d+cMg4Nr5cnC/xfPhO3vRfvTe5L8D1+Q/7
9k+vZ9UTqDymvK4Dle3p9QLLaJJsxI+eD9wXDmNB14Zy+en1bD+wTDA3UWN+/rKSWL60dkJ8J07h
L+8H/xWKU/b+l3WgMPv6nESYym7hAcQn5Mt+eWnr8D0jzr+xDiBduk5f9Tv7wTF12zEQ6T69XuJz
QXv1w/eFEjBzCJri++vgvzIoojgmv9STTwXLi6onP3v//Oh9AT/aNbkyvrsfqKNsky70S/vxEs8H
LrtvlO5/47kwEayjw+IA/O3BYHEyQEr/XG/rL67TdL3vsfn/8gKozsGBbfnlwf9mHSitDBuPwM8H
w19Yhz/x1ADlqe/6OXu8b/71fwAAAP//</cx:binary>
              </cx:geoCache>
            </cx:geography>
          </cx:layoutPr>
        </cx:series>
      </cx:plotAreaRegion>
    </cx:plotArea>
    <cx:legend pos="r" align="min"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_xlchart.v5.17</cx:f>
        <cx:nf>_xlchart.v5.16</cx:nf>
      </cx:strDim>
      <cx:numDim type="colorVal">
        <cx:f>_xlchart.v5.19</cx:f>
        <cx:nf>_xlchart.v5.18</cx:nf>
      </cx:numDim>
    </cx:data>
  </cx:chartData>
  <cx:chart>
    <cx:plotArea>
      <cx:plotAreaRegion>
        <cx:plotSurface>
          <cx:spPr>
            <a:noFill/>
          </cx:spPr>
        </cx:plotSurface>
        <cx:series layoutId="regionMap" uniqueId="{7D85024E-A40A-4138-AA05-C850460FF396}">
          <cx:tx>
            <cx:txData>
              <cx:f>_xlchart.v5.18</cx:f>
              <cx:v>Estabele-
cimentos</cx:v>
            </cx:txData>
          </cx:tx>
          <cx:dataId val="0"/>
          <cx:layoutPr>
            <cx:geography viewedRegionType="dataOnly" cultureLanguage="pt-PT" cultureRegion="PT" attribution="Com tecnologia Bing">
              <cx:geoCache provider="{E9337A44-BEBE-4D9F-B70C-5C5E7DAFC167}">
                <cx:binary>7HzZct24suWvOPzcVGEiCJw4dSMaJPegrdmSLfuFIcsSCU4gCXD8g/slHf0L/Xp+rHPbkktSqaY+
FR3XEVflsEPEBjeIhcxcKzNZ/7yd/nFb3t10b6aqrO0/bqef32bONf/46Sd7m91VN/ag0redsebe
Hdya6idzf69v73760t2Muk5/Igizn26zm87dTW//459wt/TOHJnbG6dNfd7fdfPFne1LZ39n7NWh
NzdfKl1H2rpO3zr889vVTWfevrmrnXbz5dzc/fz22Sfevvnp5X1+9Z1vSliW67/AXBocEBbAfzxA
X3/o2zelqdOHYU8cYOrTgEsiv/3wx+8+ualg/h+t5utabr586e6shUf5+u/jrGfrfrx4a/ra7Xcr
hY37+e2Z6Vyf3pRv32hrwm9jodmv/Ozy66P+9Hyr/+OfLy7Aw7+48gSNlzv1R0O/AuO9tnf94478
+2gwdBBIIQIqHnY7eI5GcCACJFEQBK+j8YfLeR2Oh2kv8Hi4+mMB8j+HO/132sceEQLnn/j4ORTi
AExG+NRnD1CQx2PwzTD+eCGvY/E47wUYj5d/LDT+9Z+D6W4eN+bftw8qDjiiknEuv3mrF6CAfTAs
SYAeQRGP3/0NlD9ez+ugPM57Acrj5R8LlL1L/RsjCMMHBEIIARv5ZgkvfJY4oD7xERH4wVBeYPKH
y3kdkodpLxB5uPpjAaLu8r/TRsAIiAQTIOI3bEQyiC88eAj4CCL+NzbxzUb+aDWvw/Ft1gs0vl38
wcDobtKb+l//629EBCzER5Iy+WgCLyyEHwhfMoCMv24h6s8s6Tdg+WXqS2x+GfkBAXo8sv9+SNmD
4xOJpHiMGS/jPEWSIyToN2tCL9zXV3B+bzm/A8zb53zy57cPN/uxAHl3U7ub7l//u/q9XfiLqkQe
EAnUSviw28/lCAsCAArhBzTAlJ46rz+1ltcReTL1hak8GfmxkAlvrLsrzRs4VvXt3xjyqTwADsYC
Xz6EGOC+T1EKwN9h7lP8KGPkc5T+/Lpeh+rl/Bd4vRz+rw3ab67uqcR/9qG/KvHlARcEy8B/EXeC
AwkDIpD0Ie68MKY9mfqmvX97Ka8D9MvMZwv/Ly/nQ6Orz3+nYAH5SBCjBNjvq2QMyDH1Aw5K8gGC
FyryTyzodQS+T3xpG49P+GMBs+5vui9/JyVDB5whP/AZ+rbxvzINQiTxA/wwLF9E/T9ez+uwPM57
gcrj5R8LlCNtP5u/ERQIKwhhKgn1XwVFHmCwFIbpo3Jhz8PKH6/ndVAe570A5fHyDwYK5L/03wtK
gAMfgbk8uKjnsV4cACED6SLYAyN7ISeP/nA9vwHKw7yXoDxc/rFA2cfDm/Iu7e4eT+y/L1zAWvA+
CwapyVetJTjgBPkc48e8y4vM/Z9b0+vgPJ37AqCnQz8WSO91efPm4m5fa3jKd54931+kXl/FJeS+
gke98qK6AhhR7AeUPNgOwo/f/S0X86eW9DpET6Y+e4Kf3z4Z+bEAenfn/vV/Pv+d+EA+mVKOAZ4H
3/YruQmZZuzz75mZFwz5z6zodXh+mfkCnV8Gfixw3uub+ubNF/PmQX09HuR/39GBEYkAsssMkmhf
f15wNQFqE1ACXvAA4gsO/VdW9jpYv77DC9B+/YH/z+D9donze/E3unE38deq8ZMq5++Pft0NqGO/
mPp77vGb59x++fltIAiwAv+Jx9zf5lm25tfb9sr0O0hi/PwWCtFQ9qQCYYGoL4TgcArGu4chIZBA
MhAUkkY+45BuqCHiZj+/ZeQAM5/TwMeEoABRcLDW9F+HMNSS9soLQUWVggum3+v2Z6acU1N/35yH
39/UfXVmdO3sz28x3Kj59rH9w/qcc0HFXskFkF0HrwHctLm9uYDegP2n/4dNm6VsCt4r3M5h5fGj
3I+lbOLR0o1M61WdL/HoD5FB42bePdm1V74caly//nbfp0AFIOmPBWPo+bcHXoJGz9Tw7Q4noU5m
p0qiVZ50bpWMJhZ5e4fzIQ37IiGqbW9H225Gr87jtuPXXuqVMZm5U56VTeSjLCT+uiuXd1ONL2jS
H6fOS6OCmi++Rn6oWa7DeXFEZTV/X3t+VLCmjlPkLqfR3ovO1KGE5grlJ20eZTzpojxfjnBSJ2oa
55j63spMLYkaLVQBmcCwn9NR9a66X7qijrGeUqVbWYYTzlcYsyLkWdsoM5ehJaxfd1Lb2E/4NbO9
PKzrLIjyxAvHRO+Y6KazbBryY2HZYSOmCGXMWwVJokPD2RfYxOtmaAOVD8eVS8MsSH1VBtMu4ONH
hudgl45jpXS3zLCFNt3091JfjSVC8ZwOVWy9vjvieXtvPE/vcLmoWbrmvBKr0S10q2lznrgmOLQj
386y95VLSb5J5Rg1fZWrdGymDaP9dpza4lgkyUlL+afKH3QkSxvixmGVWnIxIisP07k6rLCp1l7d
COWSC43ZGHaJvwmw9yFIfBkae+/liQmLrtTKDnm6SZm9NaVNtqlth3DZeCl+R5cu1LzD267MV7Yt
ZeTKsovIVGwwqagyZJjDtF3ukIAzxJncUL9u4mJk3TaH+KgqrxlUPU03Ohu2rUFLOJYK7C49LQnZ
9LPzjjQrPpQkC/uhTN8hNsETLvlWMz9RGWo/jl4ybd072rH2OIsmLXXImTesxUiadS/nkwzjM4lJ
rwqU3rURl/kQF6jnYTppsS3xcFd1QpGiOuoJtcpD5aBIKexaymrtKs0OUXeDFw1fTG20BORwrsRp
V2aHmqfvCoyjQcxZBEfSqtGVaVh22Is63Meilmaz1MOkqmJQeNA70gm6bSf/o4c6qpZpCTZzk6yX
tP/skslTQVr4ocFeaK046kwv167v7p233DUWJVFO+xuMTaMqnaMwyc7GRTaHbqg3pTS5qv3UqSxw
Tk1M0DXS4rgc/WVVuuE6cItKTX68yJGss2VbVL1USXMMxdf3lZHBRhp/R3I7qbELbqag1JGWqY5w
aUg4MV8fyqUM3VzkapCpXaeEKCIys0rzHow9A3sqErC+BAWn3dhFmItalV7cIL28S2R/1iy1apOp
uijxeZ6O5Vmgt12woDjQlVZBl9YnaaNmZ+8K6/dx2o2nQU/jgPexTqcd7Ol6EPbc5QuYtnRk82GQ
Q7Mq5t6qSZqrpm5WYxniaV4ZMEU2JqOyWfbZ9+0JyrNTKYbrtlwF7XIc9GksvCHq0n6V2vlkFvS0
R/kJmbOjJSnXTesORb/NbHk1FPp84UHMm+yUlJ+mkr5v+uWYTfdNN23Bxs/aoV5z32x6I1eEFYuS
WMdWwHl1Pph7EsEOr6e+jZO5/uAF+H03LdcdS09M2cUpLnau90561J9kOb0EYXZGDKsVF5Va/PmY
6ukISrLnqa7XTLhOVYEXakE289yfVPm4TfCyq9LlE+uWM38aTnq5KvN5VzV62wSwuSxYde10WqfJ
RYD0UdKg4zRaxuKsYvmZQPpE8Gq3+PKiMfq0bvhRh8yWMhR3fhuhyUXZmF7TYl6Rlpy1dihUj6nq
vPRdw/lhmnebJF9WCbOHJkVHbso/IYl3AuPTustPLDc7IUjY2x1qj3HJNqQudjMtjpCp16LNz1xQ
R2kNPhyePOD2wnTTCpzF2sg65OZqv7ui/1AQetj5y1kmssirliMrplbpmn7KZnTW0kjU3sf9DniN
3O4fjsj8dCzns1DDBu+ftGqLoz4hO72QT+VCNwk8dcdPAlRGM0nAKx9mpT0MWnsm/CD8GkUfqNGz
mH5rmrnTafbQjvf91/+4NBX8+dox9svFfTffL78dP7YB/u6n1ndmL+Hsyw/tV/P9Xr/0pu2p0fdG
tRd061vj4G9wsd8d/LNEjcLxAtL8vXHwV0TtZUXlKU17mPxA06CWzamA9gLJCAYitL/vd5pGBKSJ
JBQifCh4Ayf7haahA4agEAFlCuhto8CgvtM0SHP4hO9FcgBKDJp/8F+hadAn9JIpBRzt0/HwB1gj
2tPIpzytIhCe5oQZxUawr/FSgm8La+ASkZvgKFtXH9co+ZgMfqFI3jTnni891edeHmNiWUjJOJ0T
K1uVllxp38S8n/uQDqSKswptUGPJrq0iv51xPC+pCTnpwrKawsVVIWOT3HrMAJmq7HXjtWGFcaaI
XWwYqCw5hZYzdFSgsg11zjadpiKquVW89ZuolfMMtCWIsqBMoybLhBJdXsZIyybMPafyJUEh8pOL
ZaovCzSvcVqrhHc8bsfMV0XanZrJE+Gs889iFmd9VouNnMskrvjoK79mO2nbZSerm7IiJEzzJldm
IjtXiOXbX3ju0W5A3qapgvKIB2DMGS3WMu+ro7Z5N1ZZvUuLodrVJat22CFf8UncB4hYJWlEUSpX
Zugz5bIArbgIelV73IXNPNuoiea6Y6onvF8nN2RIUuUP86LqQTrV0+E6L+froKTdymO63Cx4uOrd
+Clhea7YUG0Hw8uIWi+NtefXYZcX7UqXnYJOWlVmnrISu7CbxLVt7KwqeqjLge/8zEGw/KKTsVXU
d8umt12q2jwlaugbdNiZxVeyPecG6PIgRR267rJCwJZJoF3cOS+uYMlqaMZA2Xz5jEfEI8aSbtXN
QRK1RaLjqh7qsCiSJLJCY0WS4gO9ZksRbJjFZQQZpHXL2Rhzj9iIe42SSTOeNbkfyqE7bGxfqd5H
Reib7GM625O2KKIuW8bV0FTHCFjA3KWfMl6pfExO8yBTAWlXdIQPzKOfh7Mf7CTKtkkNzCOfvuiU
bzzL1nw2l4vTl5iSKdIYX7V2CqfJpuE8yThP5b3XsjRigRePeCqjEQdEBc0QyxSkTZsd1YtrwsLV
WGG6rWm3bPDkbpNJHGU6Y2FC+usJiW47L4euh4CZEhuWdtAqm5etXw5XyxI1shQqd23YMOpWZdvP
ALvyxTBFgc/9uF2SSFdJzI1HQzy34xoncNhZuYStJrWyi2OrohG7PiBd1Lqljvm9qKrthFHyvhjL
dNWJ9H1mkiJcfDCYKajG9bREhDYiDOrRU6yduUKO87DTLpLaNMdzW2Jl7EIjW01rTf1FjaKGk1J0
bAM+DCjM2CtpxYmcC7pxAreqKayNuinVikozqDmhn3JSlGrO0kxxS9b+sAyHQ1Ve9ohf+gRMHU99
NLn7kbZtVOUdh+MyhT3P0lORlEoM1aaftD3VHs1XSS5gEd5UxoustktvCNjssKyGxMRtkTK1dM2w
7pLhpiCkjHUiPvSVf0bLolA087ydoH2vRA03znIZBy2Rp8OCQGO0OFo6IO9Vwj8xFlSqQ8suQzpV
HYjyyMNl3Eh36H0wU1nusGeSEATHGUPpqc4Ei75uj3CBv041vdPefD8Y3Gz8ivgbkXMdi9QMcaXn
QmENWoPy4ZAE07u5dPk6X7p1U9BmY1XF3Kms5K2/zPyQmGNuex31YLfRIP0spH5iN3TKgBrNAyiv
XufxvrVn7efNSTLYddFkIsqbgIdY8BEkkyZbU3hZuGTNFhcyRKDeglokIbwFgNWSyY+gMUqVLBNY
O6JXxo3wtDDOu1qEYu99shHulIFDNk2+0aS8ZZSe5rwxn9saPIObZapGVnjR5JnqxEsKt2rKOYgT
wAlUqTkrfMRU64HjIEtVxNC9p1I3uwhSEGVMkw8uGeO+sCT2IJkf+YMrTuZmAOEzol0gZxourb2V
Fk46zmAPujrKTTcqjw+rMmvyMBk4UoXuzxj2cKgbDfGic1oNOctWY4ey8x6eVg2+r+ZKqiKxw6rX
aSRIeTjmto7oxCDKJDTq/TRXRONp603tJh3CPM/Op64iIRl9UGZVWa380cyhFWeQcrjts+owBaFS
B32hGls5GBhiWsqwdKRV4zRvC5NvwVkfFwmOvamgairVUsxbZkzkCXPR6voK1zFty3sziat+w4Bu
qoIhrPz+fqrdtMqcL0JUuesejrgNZLEaivZKOPoFl60y43RTLGTecj/pIZIPgAgFsdr70yqw1ipT
L5+Wjt/NwcDVgoYkTJLpCGvqwsxapDCrN+bak6Q6GrAFCj/ayKS5Vj0rtnmrldw7XpEikAmoWJdO
vguqcjUvsM8OyU6lUNFUw0jACqpopuImn+hVQjOVTiApKfuYanToNydmyFaT7+2CAUJ+LVYBavsw
sac1Pk9dEDX1EA1DlqiOlxdWJruhLm67eutq2iuvrS6Kpb5ftKyiIRkjTGaqyjZfQprZLePJORCv
Qx81d1l2nuSlCfsO3JkbktWS5O8rH14ywTS5liY5phSnK+mhbVMEfTiSpVXzIJLN0jQGUjr049SZ
sJxQH1WMi7AKxBg6AQHUeW0ZVSYPlz79QLnQcdJyCNKk+ewquYPdsIcpmt51vmIyt6uOTRdkBt8C
p1jhJrnpfT7EvMzeDf4qaSU/dAs8W5Z8BiF10VRoi8ePAx3CxpMDMLRsVEttz0XWbnPqZ1HqBZBU
EkWkdV+uxqL/KPRymlfk0owUwWJkrqZ2gSSTyEPkzBCOfneasXLtpXkROkaZqhHQpqAcQjF3uWpK
jUPhZlgwWwKQMnMMIepUtnOi2oAixXH7vhu2rhzTzeL3x21jgrPZkSY0bJZxlYRl2c+rRryXfIgc
7S4TL6+OdMHcNunnjSkaepjzZeuhSq9Rm0ulg/yLZ+076VlvlWDQNsLgYW0scDw+abPOTbvymzxV
gmTAXhpyigbXRpC42VTI5GuMa6Q6Gai2nDU8hz3R9aRjh3Eb+/4tpzZuzQI+gaZLBOyx8q6YbQKF
IE5o1F+UjN0JrYtoXMwtYeS4n9JD3jbv/RoexVSoiuue5kdyOcQFZqBG2WpuuqvW54faiZOEDlsk
ypVYiIxHpIFTmLCe7Zcx6ZbIwSZVmkRGZBRILW+nDqCyihbLthvz0Bb6shr1p342xdbt41ohCRy3
QzPO3fnAstOxwZC/NAZH0k3phjZTKBOI4sswzeAa3GaojV5jBrlFIyY1B9UMAXcEj9f0F3hos3C0
vIuznvpq8vwLWvShaKeT/9aLv/1W2TPJRxCBavJv68XH1olXJn1P50N9AN5iCiArzxkGTfZdJ4Lg
21e1QUBCXISsg4BU+0M6H8QghYyUFJRBx3RAOKziIZ2/fzUE2hQo0BH219P50MHwQieCIoHqOWNQ
TcAB9NLD+p7qRFPInlS13OewyXVdE5B4o7ySvDrxhRlVmtjzSmepyvu14ODT02yDq1qoufQKNTY0
hjgcpdSzkfb0Z3irRXk5vxzyvlaBHiVk2vehVF4QD2+6Jbtv6Nwqgs7ZdFpO8r3VoggbkVZKLt3G
RzUkLVt3a6zUipf3OneFgjbZY8Tt2Ty119lYh6I0EyRpua9qSj+1mFyBMal+Oa2TCf7NYFpS+6rn
wXsM/lAJtElqlipXm3uQDbs+G1w4VWjdBy0Ns2XOVLfsQGd+WaYiVQgXl0EyFsp3sSNVs/ZL66tx
AWWygDrOadWqornndAAnzIkqPAskZc5Q2Bv+qSvZBT+HYg0NzZJNKnCaq96O90tOz2peelGDlm09
zieumkU8MDOrLtNtOAgeJxWdlKt6T+XNqdV+dYSbNFVyCq4EbVeQEL4uxqRXne8jNZTuMMj8z4g3
ftjki1TG6zYCgbcfCgfhRiefhvyENtaFgYibjl8l+UxUQwKQkbrUwHq0aozhYV6BNhDgcaJuAfKe
eulHneanS21UVWv+od2rUCpBS/JcwNdMQD5zczkXtj0aIaHJK3RT64u0r8xG06lTvgE8RboRg4Oc
mTytxwHvZs+d9hC0OwJOeDhZ3BQ3VPZbUjdHfZaSCK7saomW1VixUmkyhW3Wr0ZJ14NXsEM3Lhs2
OtghZLiSxu2WoF55iXc0t4VZ9865kMwgjbTwrhAsY+Pp7KMnC7uCbMaHgue1MkkNJMAVm9nWoDYQ
BCU/MOFk8JcxS5PNRLq1s7OJLG+uk7QGejF5ZxW8SXrKoM5CgsaP4K0sFw5wMAb0OWUT5CbbDJaY
AJ3wq7Auk+kUQXYXNyKPaV3vwHnfiRTfe2ANEo1xNTHQyAmugcFZux7n4Trrq/Sky4peobGAakL9
uWoC72Nhg9i5M2qQt62hxqSkSIdN5pIG7IrOEDauMLIlMJeWxKwk8YL0oGhQrXCXuFB3mVWJIB/Y
YHvFvKI4TqC2ADnsK0md25ISjVB2KMlJ7fUYEru4PbLpaEK01O9T3bF4KaGUAGnlRYGk0Ss+DZWq
jK/DrGImLuZpVFO9EWUC+ZOULaHXdHMceMO1x5LiqPVBCwz2gjiv3rQdGhQKGhdW1RyzUa8947PV
CG3wYZZAvWcidIuMnsMcBe/hWO4NPZAh1z5eC2FXwVgrqG92SqTZsk49A2ikUjVpd+zx7n3iQ0wH
S5nDCYSWElnvTsScf9SyQ0fAiu6XpJ3irt/1ufWPlyGCWhNeTbQ14KiGUzmcuQmUfD0KtpK6uy7b
MqzdsoCDKPKTua1vPMdnpccetrq+YjCmBkbXJNjKRrLjwqOH2Msa5UR7miMdNQadaC6vltI7tNJQ
FRdFcE6m0Q/zKRgVJGg+OkN2oJUh2lf4M7MLlFKgvjdY1kZQK/LDBGhdA3TZLypl2PsSZFlokyaP
JnqOfVAZM+wOnEW4w9Smq76rQVJ5H1JWjBGUl8/1OO0mITdt3R/Xk1kUQuMllG/3aR+hgBrVofZu
TMVbkE2DD8XIBUoaYxrWNA3bnJ/xVt7xFNzroId3pg1WPbWnk1cXUEqAVJlj77DHPpviYhH6Y1/k
H0a/3ZUTjVHFTuf+XV7aE5zna0/OYeBVVYRtf2FysZamdKoqCVILz267sQn3d1g4pJsGyJEB2cGh
KabPiddwqNRu9eITtXj4NKmbUtWFtlHJq6Pa9p+JcSyEc3QyiQrULXB6h09B5t9XaPGjupULsK4I
Zy0kCQdvz4rdoCyhUdvWJ7hvJSR2wBehueuVFZu0CkDtJlWIPPgcFvtg0za7mvD1QrPb/RexoT7J
kEmUP62hBl6AOBv2OZwJStJZHc5Vr9XUuXNd2QsdyAz2te7U0nefaEl2U+M2FbB71VfwLngqZwYV
JApuKQ3uaj/LlF8IFNJ2k3UgqE0/He3pfgo5hWTpb1taqbJjkI3C+igd+ca01c54UO3zRZ+qIgsF
Gu6pW4qo4lDnC8iopAcVaY+ezEk+hRj19423YZmVIZtAP4uuvAmGcmsFfW8R89UTSvRK1X5PmZ61
DADFIHtq4UODuJTQ1PCcYujanxE3tFFwAKDWDNoxGzLFsimCNodNr6tRNRTf4LS4YF29Qa0+tmMX
NlN7JlN4WjqO92m6q7J+N1dgE0l2NFt+OAVD2MqgUEsbJlAFnC87iTb/T2sH+sYJ9OZQ8qLdAeE0
WOaKNKrgkLgTtgEtAbWwr1vNmuyiIHzbd8FJMLEj048RuBRZnBtaXxFkbwNiP+mAHPVSH5qluprb
7vM8rxIEfhnOJlT6IQNpe+oUS/ghZFPWv798+srWw/tcsPkM+u+g4xhKEc/YnZ25rvZb3/mDDYeg
PRlxcTXOPApIplc4GZBK53SLIMccWpcfJTMIQm9vJaMgi6JmOUclUR0FZTrSu9HBYQZHfTKM7UbU
pgizGQqrrCM6rJALay2nME878FZDmKSohZorSKJlkJA3rtxZCxlQSIxUMn0XzCVSlJTbr4/839Wt
bw1mt0//txGPvWf7zhwsoefyt5XKvl316Tsu36d8r2dhQUBxQH9PwAT62lv0UM+i8OJzgCkT0ofz
HyCoJD3vOtqPgI7ZS5hfZAo6QPBCIYERnxF4/0b8lXIW3lernnYdUQzLQwJeVoCXeDi8Y/L8HI+Q
QVwYygPwlrne9s2XiXZqNAs7tcTxuGTyUmTWi4PensjKQG+K6f1tXxXrwTaXdSrlIeZmy4WdVg0P
5ujJXr7i4tjejp6tj32tsknuI9B7UBF8sb4GCuIZSLrQm3ixSvu8W1k0QWoFyukEcjFDKVaZFJuh
A/Hga5Ofdylmse/p86Zx5DBYsi2vNBSYgfR2GHQ8b3seE9lfFoLUIRJVe+rX2yWdst1iq9NW1PMJ
l91NayiPkjzNtlXHXDyks1shU7EI1W1/mLb6Bs14Oqlpmb5vy/w8pTyFikphIgM+N+Ut20q6pGfD
SOlJVwcxJN0uqB6rP9qi/RY83yKBwQvBEYM2e4bx3lU9aRxroQQT+OT/cncmS47zWJZ+IphxAoct
B82SS/IhPGID8z8inCDAAZwAkE9fR57dXZl/lmVld1rWoje0cHkMLpEA7j3nOzegqQrc7M2iZXz8
utThFB970817ClcN7sHgZjJg9TcnLMOCeqaHezPYrANEdZQoJcrStUe+AGpxZV0e7axhZFTkpix5
H2m9HOXssVtE5qd1NvVLF7ogOUiwHW0ZoWNV7MzbNlzTWHQQl/gCiXSCRsy3EcAb1C+mgS/hR0dR
m+jbig1ynXl1gN4Zos/1nZyUvrovlIR/8eX/Mrflv3iIoj9v1lhij4CuD+4IgBvyUn/6hFD2NCX3
TQbTjls772UN2bbkxtxF7bOLnvx8nak4atZPXapWyIY9zJyczK04BrMRR5T150nTi7KB3LjzIAom
bXmuh/BpAQ1yDqexPvMG0IGw3vbrpamCxZZoy4uOWufmzYnM64Cozdonzs0+Lg2lUQq3b9iB71lT
Gmh5SxYo6KIMP5d6vMKdUbdhdU5mLdVRWb/7y4W66n99GTJVtMoNjgyK4WVYqQ8Kpqt2Zhp2kqvu
LKO4OxM2OZks/WQzof4UcSd/0JpGm6CRZYZPzN1ZR9nTUvG9jqtxrx9ffb0EicKeFHySA0zjwodk
eiTtMh0n1bdH2BwUrW+2wDu6qIgNJ9aN/90e4P2ZTQRRB8IdoKWLpAKKhT894EQmY43li6Y1Jk7u
dV594Ty64mNZ0mT2h23pdBO4yFi8Gn+iKDX7+qUZnU3PnbFg1MK+Qwf5XJvp0E5TfO9XqNtBtVzq
FiKl8pW8jBJGTXypte7f1OK0qezC7tx6sMihgTbbvo3NWQVG/DeFRPyoc/5m9aL2SXAw+AEwU7zF
P21wehUydNEZZNaYP4KEm8K23J5ZsFT7ssSScmyqXUufuWHfg6V9G123upGQ/eRV3B8cwvjt66VV
RyRNwhk82OO1r0sTRiYPNWgBtjjbmvjVGxtnvtNCBnnMpHgjYxduSFIVMpiDLNDU3r8ukV72imh9
MY1d7nOnw0PvrQ+XHL+DD/Vy9yM+ZxNOgK1fpuBZxyvwJOcaDozkU2LC/OvLr0s0iGjTRXF51P1C
LsyMVcZCP/wIE3qVS8xfvQC+YwvsbqhD2FgJOpZ4kd9dWOo3x527qwt3z7J+UwYhpCI7JGOORybB
P6KKBnLKa93VohhL39u3rhPu3Rrm6+qsYJ58mA8DTquNE833sPWCJ1AR5VsZegfYVd1tFn35pnhX
KLeldxOoX//4DKP/xS0O/SD08Pji/kbh4/t/tUHHSRVWDjoMKFFUw/uPbmUTyJduQQO0ju9lG9Hv
JVr8kYsU+3V0+MsFQkLqxOVFerQ+2GBQ8HOAYBG78gzH2g3+dnz6uoBpjE9+HXS7ZkjuENjLPte1
90ODLAVZEQWnRg/tYYmmYzXYEXgsqs5w9N13vj6pOUEdHT7AB5QjRyeY2K6M5reytpBPlvgPyBLB
L9ntpwEmterac0mF5lmvCi5G58DJngh3OMg6gT2/OCs7cL//35eoD/N//HG67t/VBICCQkQvodM+
MO4/tz2WwLoaOq/LjC14GMwHqGxRnRrD9aEBiFNDNNTTnvthKlpK7/XjErsv6Eydm9BReZnjfgcV
E4b//7n0ZsqVZXrTTyHMWxQ1r700206E7jfaw7aPG7Ps26GDh8fpYak7vcXmCS+e48CH6UM7cHZJ
t94bFzQx8RkpQABGZzdQpw59xG2Qcw97MbZZ7QffEhdLhCRmyZjonVPv/1rCKNyhhLJp3wbDbXxc
qKcNoDow1ZB8in6K0Ve7aCvidbg5ieyP8xw4EFaZs8EntaYKYFze2ebN4/ZI3DG8CsOnpzCaD1Xv
0uPXZV0ZPdaE/6A2SbaKjeQ8S5+cgSrA5vd2ZKrZdVmC6jYs63YBg3OmFCjBuLi7hAAPjB4XgB5u
tky+vED+mDZWt/SpATddiETNN8fRTp4o0lyCgeg9KwWsxBn98OTWT5RXMM7oVJ86HZiH2FjnY912
P0xl32dlh7stVXvmidNnKwvaH6qeXhqvM6eRL+L2denWBeBr7x2aYW1tyiJ6NItPz0aQnzGgw5//
+Knz/24RI8QYJTh/PB++AzLZf7uIo7X22mWO6owPuaVa3Ru9qt2gmJMK3PAznb32WCeQASbPkSlv
Zo2iUu71Mqqjb+tx10ztJ3RM68DsSqadrKJvDKLsyQz8l6wSsuUkuLXLrZNlkst2lJtRueQeLMbs
JqAfVbUkp69L03OzAZkA3JuH+lX5fjaYav32j98ynv4/dweYFRei8sLu9RhxgjLqb990n0xmjgPo
I87jrAfq83Wp4UwLHnp34wXuuYTaNtZ0BJLAQb/Ah927FepNCqT2jRqnPRGWGLSttnqLoXkfjI5E
9vXdkIV6XwcRzUbj8zfLONu6c0bXqoNd6NavsYBBEo3FzPryrp16uhPfqfEvdfbw9eXYAy2YOE9w
SDr008KfPdsO590yxddBxUC22jEAoL1sWzbZrB37zNXW7NXavwk9vECuK0GU9L8EQz6g5P2PTl72
I69+xdJADJZLscrkB3vohPCFRzp9X/zkfURFm82/JxJ/thrymZKQugmcUi6XH9bHgeZ3cMA7nJjN
agCglctHbyqeOX63jcJSZtYHrb+GAfS60suqelYwYwFl9CZ+ivchW38kU2vSpa0ubk+KqWmvYtDf
xUB3MpIfce9vkz5mqUt1nXW9nLJOrNjD/cbdaBNfhriZtpSRj7XtoVauIfRkXp1JA8lLRGXKCYIC
qpPPLlWbWSeooih7E5V4H8hLGPbPeomCvQAQng7t9GMaGpnr0HwjLXoHMteZ6CfwJJY8iRiJkdkZ
6jRo7KsICIiAcFONZuvp9RnuWCrIK08AMPE2ObNF3WQ0qcKWeuu4KkhRDeQ4jLuiqyBE97ZrNs3Q
k3Rw2Xbw2m+9P/q5B7w8g8YHeQdg5K4O1noHWEBmM853wJNp7w/Vtnf9jSthB6wcsDrp6S4R8Kn0
nIBlU+VPZ0gJieJffQjdc5nFxgNjtnGnBmGHO0uCcRPUxF6oLoe0prNTuN0Teh7sTk0eRyJ+bT1b
NIlTzAGYuHhu6b4eNO58NW/doTb5AHA182bgjZ4G0qErAFvkFLCSH1oK3m8G02+4I9BPZ24d6e1s
Z7B8UZdSZcsTUfKIdwZvIqi7lHmsSvvZA1w2kG29OE+Ocj85UQAovbLacC6HjKztfZidF0G2s9aQ
52O1Cz2VexAme6vXvafogSe1SoUNrzEwyRSfJ0lVjwCGAHxCF8+9eHJ9WwfdFmNA50zOeB0HYrQJ
sevtqDd2qQX2FqDZ3WlLbaF1Rqr2LZniD4QKTF7tWOefQx/+1TQ509ba4YE4Rp/1wI6GwpK3kA2W
AQWGCXA7+zA8l7z24ZlxcnXX5562f4xluBUcuumKLWSsVMrKJNgtq9jMc58CFz4rm1xnT3TFOHvb
ibswDmEmWCHfiON8kMDgLCq/1R0HMOfsdKhT+VJxd0zrqU/SuYueJls9WTdeDtO3OVFYhir5DrZn
mzQLAVakc/U4qEDd2fknj767ZJzzyiwK4Rb3oO1vOdfd9wY/uLEl9LxORzcQTP7gPDULskjGYaB+
eyzmhXZ3TyYfoVzhz5o+yaFjiDQsuyAtSVzmdRzoTVQR96wd+9l2tksd2y6vtBK7sezKbEhwEPrz
aPPOOB7CKSXPXF/+UpIHBwPOtVibHjEOhtiCWfpb0pkWsIbeIV31x2jqdiuEPfoL38SsnQsAb+jy
SuSN6qT94VdLvxOqfltVeG0O7ABVsisGY3dNj5XWxr5XuFAsUt0ncDnKTVjJ3zEgzhp2qV6ntmAt
jF4a3pcYnOpE6zBblnDZrXmnqyAdeuMdVMueu1sjESiBhxVnY8N+zEG3n2u2Zp0JPUSz6BtKD3JO
jEvONqK7UEdxinMf+Z4kRRYmOLC4f2fREJ8gwVxwwz9F/Yh8qIqkvUfWfOmzbiLzzVjwRSHtU6cB
Dri0+hyFC/Z0T+EmJPOOzuBMdLSdezocwnqrIxjms8Rf00TsvQSPuxdLv2kUqzPFHZW3TufAYJhe
RybCnfQUkG0vzB1f/Z6rc+LeqyX8FJyWmwoRBSRZ5hXhPRfnCWvOg1rXTcCWb5NC1mb1jJsreN/Z
GJq+iAasXJdA29XV5G9Gw365fvM7jqv6vZGsQLoQoZpqba6tf6Vj+0pIfx+8sN+W8jKM862aNr3x
X9rOq3KmqudoCuAX641CTG6vvXXcUln/nsah2jTWgkgMbfnEIgtrZAx+sxoxw3hsZZbEz3Nsll3s
sThtwDLdWwBSNaXTdvbssZ+qKE2EZGmNwA68qxVP5carQarOvnsnMcq9zqIgskvm9G781AcvbtCD
L9SkAbRV38TiuPtK5F8eqRrBq9UStF7U7tqmiwoIQM7WIxw81i8vXvs9r7EhmrVq9kHfQ/hnYdbY
zimSQXQbLAXV659Jh1/Uuo62yjp/cBUPTxMrgUq28wsO27f+QfkkOvLPQ0XO1PA6VQ67aS8yl6Ct
mmIW8jeoBA07skEObQA6H9AlFxUaMGexrzFark3jdz/9GWbeJNpX33g35j8LtpZAvMY36veiMDGY
Ozqu59kjBW41Kzhp52xGosX0iCz2gOwRg5syGszAIRKw1RH8dYKy+DgS9W6MTVCRJH8A49sNAgwS
ky3Oh278qav5pKF0pMMQAw6wOirAxZpMVU0DB5ZtVIubsgrh50bLJDfc0h3sZQKnWjfLeUb3nHl1
YHbhVMp8Bgm3p9Y9/5Nsv1jD6yAIwmL/k2x/GFAwjQNQk3+N7Y+bSO4qZv9Ftn+I6vAIkRD1w1+x
/bqFF5gE4v9Dtp9HUyrH+W/YfrPKFzlZgPSJ/5osJmMWJnY9x4UJyac3rWXOA1ZEwMX/k+2XFTBC
Uv0V21+VB0S1/h1s/7omuatIQZiAfjWIf5rtxw4FZPMorKiO/HEpGySaZxrtl9HLGtN1m95BzoQp
V2YonxRCmQUU8BqegUr5i2cHs5OtJsVqEbEcfCIyYF6bxE1gmq5ICztdWGVJDTi2euRB3C/EQIvN
EtMntK+oUlsUR8t0XS3yJRrEC3D9aEOkcAux9t8qpk+mTnaiYtcGQGQhZqApFAQXXH8fZGuzPkni
fVv7ohtnQF6aP3UtMhmxGbcxEQCLHUgFs9CHEKdUMTrhFkuDZn3jztiR+x8mDuE6KhTyPm3AJQTB
DGJnL0jQpK5EkoWwYICmw39y5d/rTrVIvoZjFqjuA70pNpyqt7nXoKD1Sjc8OLLdrEDWNqtAm1Av
wy+fd/KBJgwpApChNicm/MuKgRqZkMhMeghxn9cQ1UA7gPTE0YAuCLlz7fRo3/IWPyTK+G5KfWR0
0sBt+sxw7uZytTdB2/Xgr6Am4tLsOwcsseBJNiwh6kJaHftl/WhcE6RuCaCURsWYjCE8eT4V4Rhh
z+/R2/B1PYSOireuE3xfFgDLOjklTXjT8wrOW8Qh/JEhyAEekCwBWn+ag3q/6PFV8bogS7VuZAnY
TcFciYJqzkfp/HCJqQ9kQC46rvofY+tVkKgNjFwvAUubBE9s+R518kn0pE/JyqOMoC8I3fUDKfGy
GDxvs5brCZxWdawFjiJPYb1N/DKUmA0QrqvJLZJyGYCKtWhKhEeHX9XSpLYJk43j87JQNoqBmfAM
pkv1hlQZ6vonSf3yWk72NUBgSNm2KYYWfyqOoKKxm7Uklw6/N1VGxeLfdaUeEQEebEE7LOkyoAOO
ZGLutCV7nUBql+PJdb0Pr9R7lzYhTj9duFMrdk7Q5hGyQ7sBWQ30ssDH5h4RYwsYjyHX6sT0NhD+
HRV4ruLgB4Ppk2FS+qv0gp3UI80RGnrS9lsMQiBb39kMsA7LgsBiRNZiDR56wpLojHsnKYm77Vj4
OjfqWlJv/VWXBmEEMgM29678wba1vDwrNejDwsLdAubRmzk+VLLsozSmeHO2bhCtqIZ8bMNorye2
DZsEHc6qCkTY3kYVfGCFIUiSoJutnWHJqNOMOV/5R112KM1Ntvopq9YadamMNvXMDrRmKDUT9P6u
S1JeTkM283ep6p0y+AvIjP57IhNHIYx14NdTVtL1lyjVe+kj4x2Z+TQLocBcoxEKkesY1+C5mSdk
ch2zR7bnRcIz44IfAwl8KvZGmXOMd8hZuX5bOv/FvkCz6nIPYbsDUJp9Bb8rW4npN2QFyx9pg+Sc
893t6QXuLstihu1qnZvfJUrSod7QkiEXb/TPLrDtvhuHPfIkG5BN08W7xrOjUijIIADBvcOGmbFJ
wjLdEwIXYtI+IDTuIfbYQfPQaCxLeu0RAo9jACcBEkqgDMFnijAu5irIe40WqytjbBMA+1Kv8bNK
D+Fu0tEJRc0zA+QBV00Xo4l0MUPqcT3sizBsaC83xrBntl74QiAPLFV/VKauUzn0ORxR8SQH80sb
BCQRHzkkFpFtqZEXSwb3iNp6wmn2Ocbmtbe9Pg5xtZn08Mlb22xbgp2cOd/HrjqSZgLX+diKyskR
ECdiH7kNB24hTabChoU2/IjnFYoAAYvqVWfBUPPXlf/hL0DcFP6TD6GbLImwzjCwQq/womF2sE1s
A+xKwTW0AckCipsUzl2Gt7CZunDNG0DyqdeVd2d2Ra6H+jXyJ9D7XNlC9gy9LUfUR0rAPhXSgIuq
wBSueByJM+LUuqIOhocFkS3vGXytyWs3gcfp4zfin9PyPhBZTLO7MV7zfQgOUdRExcLomjPCiiou
kbssLZLx4SslnBznBQq10/kRvhfgR527jUra54YNDb7STV7h71k7yN+hcVGRon4dDBIZ6Gsfzwnm
PDA33GMNSWz1a3Ai/TYhKkCDLb20LsejguGW9XoFHYagX2HgMkeEbnhlr2VbHYJ5trl2nJxKSAQK
VhQid82nRS2tw3cS1kfpZ4LJ6jDJ/smP63cjW4l6pLxOjIoNHdzftZdcwTLiaQNJ54y8R00Nzos1
9Y+R2E3SGDw6kOpwr+UPzp8mA1bQkTG6J4QHwZXlWApvMihtsZZagRj2T3YKZI4k7ZRihoQGRJag
xZtlTlf2B9ybIXVbzk89Zzliys9zvVbXu9JOe1CzuiNydSaPyLwtp3P9R8szwK4JFhvd63rpMh6O
UxoOIt6ACM7a8qUb3BcClHf2Ns3K0CG4oA7n9qNK+n07TzsVeALChcTp140H1Y8SmFDztMrAblo3
QF+CbvbrK2nhII8RObdzuPV8DCwZNU4k42LiROt6b+1Q+vnDOvIaCY2urN7U4Jfo3MRLGfljpgCY
oDnRS+rwYSo4zuoOVJ8/LZtQe7/BwZGDYevWSJYtAeu3hAIx0bFycghivs1bOshdFy9FLesg5R5K
63CyyHkN+EPdR2UgC+Hn6sEauiatEUBLRJ8LGn74HA6w8jEjxcM4jqYvvVtpRjhs0DbgiQG8wgyS
RqCyscZ7DcIB6UOoBW6ylNtGiXvZgBTjrfN7bIBg2wA0rrd6ERTidmNWp88hf7+2CwberDp8kj7d
JrrbUDTmu7LcTONtcJzlOMg+KSbedAD0IV3o8PsW/xXNO6aQIJTUghom9XWO7CNswzHZh3k3h0+f
ADSRqhXlO5uQk62bqzv15pAYCYjfaLZryvA0j+Mv6X72ESj+qsQm4ntvceSyNK7BuRGNLUKAvJAt
sF8H/rXqK3C4U3ObKr61ScV2AeIF5cGxS7ynI9AV7UeptB7D9jP8qC0Y5JPjBNDwkWfH+h/yxm3x
yY8gGHnw2jY98i9zxHfKDeNLYDvkVV0grf7isFQeeriLcXcNYIT4BDeJkmdM3kEJibieMshVDxjB
0s2kWBKghFUcPrOpOzUU7juLkzccpNiluHyLjKj3xFcQAh3U2AwSf2T7J7JgF0MuKcDZj6rVr3VQ
OJ09NgjupI4MRuzHKHFcs2ahGj+EcZyjwfqbxUS3oXXzEopLGsFeiGZ+tutUb9YgDoqBjXTTDmpG
zMsHJQB1wvfRyhsAKqD4Lv85DyeB77CLqv7fPA9HQCjPVmjA/zPzcHDqRg9i6/9pHs7iVgfBqucK
FYn9V+bh0JVs43H4A8cBSUNwRP/0PByCxAp4mcMom93/9TycVaDxEuW/ZR6ON42559J/aR4OkH90
AH83BAdGy2tDKi8dWaBSf+4/4UCUKeN1XlLrXU2MGI0Oos9GNtkQu09Aned0HlSZjiHKZVib4H56
xH8NJK3SDgpnGfuGgp8VDPXKzGh9jlT1M5ZLsMWQL8xmeDQrZARVm6DqNAMYvMl3X0zcuy+u6LYe
KmaEIS3spRj0aYmpFGBXnOUazcuhDdvyjuNj2sOtB+wd8KRgoyUZaER2oShcLrGzrgVGwphMqA5t
zJIcAZBMF58hU9+X3alyo+FCYsO30qDDIm+tUZ+lwAnkdnQ6YeOe025gyxb5JUjpQfKbcnH0+ng4
icamwwyux7qKX1Vft9ApFcp2iOpF6es/iOmObbi0e9C6kOukO1zaxqWP+VnTT2FTJCj91PFbZ1vC
G91MCZzOgUITqOp2yIfYMWfTz809wVibHlUhxupsm6kf7zAKC712BvMt2hC2tOhE7uH11n16ZKr3
Uxnqp4pK8xRP4YDUP2rWWXzMzUSvQgziXvkrxaAe/h6PpLp/XYRGVpIHaNoxwXDPw6pGVn1Rd/QH
wB4ChokAHYMjXdER8x1azIqruN0yVy03Eyv/OtdoJdzvGlTDAUMMqptclbgRFLKpndi8e3zT1E1w
IAiUXl2tVa57AdtUBeQKrcsUdJZhbns+5cSMSIwg+nNPHpdhDLAGubk4kg73pFvYEW/+vZkajCGT
DiZkNF78zKKfpULPDJMcMQ4cZyeXkiAf/KA/hYh1h2aG98DasxfZs7N6+rmpX5dY9Xf01OaZO/6Q
L2qttl9fAvDuUi+oms2SRL+6GYOwMievMVzhpabB8BLI7lMmrXOK+3F4iVsvAsfYYF7S45vl1GOK
Wbm+LL64Oz1PvhnPnSBI980uWbX/QjFcChaGs2ExSlBH+HY7+qFF6iton70StxC9CKY+lWP7HHkz
yfyFBJcmwOMiVRa+I4TefXoV8m4AG5szpxrGzkrCPBSlvSS8Kgs+8utaihEGevTh6wDhNjhcWT/E
u0EG8a0NYHJYHf5i6KgfQ9gCLJoPW/MfpXD06+BXLtiA6CZi4uZuN/Xgp4DIz8PYbh/66YnTXhyC
B6vX9N5JiUYBkPXmz2HwXiISOveYHL0K+oUuzXe1NBsfLvEp8KGUB8QcVhG/8NJvYZZSsEMzlrUd
LpGArfxIaGf4iZetmQooQMPrMJX9s0Sn5LrnuVr0t85lHUjKixPROh/cxhyWMikzt/fK44S6KWyd
8lSBHMtr+hILPyNRhwbZH8UuJNE9IbK7UMJGGGaGF5JI70xqvS9rfPT4UFjammZCHt3N+mileLbK
qtAhbKmgI4XLFPtGUW4dHNrFWUU/lQhKpPg6cpdieFkM8Q7+EEuIbq0tJl/xE+SVmxEIHDPHellc
We8M3NbNBwEkDjb5AvWi7oBgtduBijDt6NBvTU/obQnr9gnDZTa2R6i/ndt7K1V01EFyoLpFvhki
Upo8IA9vLk8zAo5Fs0z3YfkyUjzYHnHXn/y1oYces8oGTmsApE1WItd6bBL4Hq2n9cavMIDC84MW
pPL6A/sv20UyIvu5Ehq1cojMVtLc3WXqkASFh9mF7/6I8YFUAZFWExIUcV9dAIm+C4zPu3QDkgVJ
28TbFT3/dhz7q5wAqJQD/zSjG1++LsiB7qK+IQj0dQhQxr9HTG+bVgHHvY/+kJARaK2Qbm1jWLHW
C04VzqIEww0vMomLxUvKAzIStBiScJdgAFwhR/OIuuJBVSSKcpeFe78sTYZuGvhLeJWktftk8hKw
uOSkOCiYpSTNjk3QQVcrVI6hPUgzabUcIxLJzA0r9AL9A+Vldty0WMf7qom2per9n03r52rRaeOO
zrfaXZYT/EFAEMLKZ9qFGGUg4uPXpavASZPy26Cb9hY1ZXBvvZLk8fxeAmTZOLBRDpXn8p3XjT+c
LsIsi0b8CjzUEXG5hLcYRGXaJQ9hZ4VQO0bTqUUWx64jUEct81B6ziVJIMX0irB8lW17DR1wXRGd
eO7UMPjRbA0fXjL9Sp7c1ai7xKkcmBoTCDu/guwZzjBXoxoMyxDnfGmijShnIHzt8Nw0v9uy3S1y
XZ48GapXZsgv0oNVJ2K5VBZNRSzlXlUeP9VUZqVHxdkhQ6q0T9+WqaWnPsYMGkFWLNFFnVdevfoT
HD4jS/cmpxBW3OpKpJziEtV46W7bRiXnVosGO94MLRoxm8IC3QUZoW5AYVaMwJDBXceY5tcRb+89
GhSEqvi5jYLyHIFMjOu5CD1NC0wYYCfVehgEx5CnotwxucQOtU38ZbmtNtjzVUWX0o5m0431dBKC
ou6szUY8Xrd+O4CDSINRBte6g5GYjP4KbR4BM1VF2KIEUoXj0vPURVP5WqqHti4Cc1raIDrawXOR
+dduWo0B2cULW9/qwNkS7lUf2URdc3bZsuZV2XuId0UCY6AIFuW8yL3p6vb4dUFIE2JD68FSNQBg
kxnkf4wBWex1dpuoRYgUdjn286Co/4O981qOHDu39BNBsTc8biZi0ltm0psbBFkswntgwzz9+VBS
t6p7Ri3pGMWcmHNTEdXVSTKZmcC//7XWtyrDv8sj32PiYNEkZxJJFngPjd14D0X1qkPQupiTezdJ
LvH5BKNCDaWJ5xkv4+gK6xAbwQ2nec6GVRXdNrsJPT9IDXnLXkw7S9HjlZDGAb6OgaRfP02o3NvQ
5TU3HDcDoNOxdary7OSKbBdi7wHDmj1kgcyPOSuylZ92mBBNs7j4SVderI68dCCznd48hNlQH5vE
xz8rgue+tcYbPqS3ijDIl8tBtGqCVZ6Df1KTZa3+OucUvbVHRf9xT/DcUn8TXXfIkdRXtp9ZK0KQ
FpjVAIOx6LZ8NWtR27DIutotH51eqPWkeSCOjMxcVnoao3ri9zNFKa7ch1qub/nw4A0MKbUTlxtb
sw9Oy7aRz1Wyaqtq2ECs8LdZ6oxriBvNhgcExyhsnGXcts6DrfwtpoYMu40VPwXThkS8fTAK+3vq
jdtsCIs7GUKqBVZIRg3y07JptGKVdmJc1Y6dAdBK1dkf1rZy7z1AYnlhW/eGxz6qDqL3NEzZAgZ5
fap8TC+duJilDHZjLe4zaQenngFpWb/UTmRtSqeTD34uuSD6GjtYWC0HgGbLltTEIlJksk3BLpuI
s7cOAlZHuCqgEaUZuzo/BqpC+mTDLh+lQeKI8yq4kYXrV84ynUr94g1hvpja0NiZGWlnnxzgoiIA
fsX2htZftzc//qb7lVzgvXS3TZ7HhyLy301LddjPBpvdRNjt+nAqtpgDjSX71fKu8soS1/gn3tD8
QrAwP6chRMpmsk6YL/gDmWk5EbjHURKoq47R6OombgtNyroGZncnnFreAOjoH/r4QQ+F/vjjL7lx
X3qafkkD/cFiPj6XVk5agUD+6+iUew4xipVdlG4bq/JvG2vMbv/YAYnGg8HxZ3e+Q3WxqRvsCFxL
J6o1RxN+sm5XSaga5WMgijC+4J5pxK0d297Cgde5NuOyPXpzGCKSOXiDLshW+TjwIQqBCXmZuzJ8
0W24pRSLpMottqpTzxoNz0poPGVxkLKUkM5yrAkENkVpsXkpfNaLtXFkIT0bNjb47h0Xt72TtGfO
J8W1HOILmSV1/vGHNiCG5QN2mh9/FfFHGQHhy3RHHf3AXTWqaXYFBIQjppxwX0dhdPQAUO/HPK4O
WfNmKW5XXWVjNRRdHm7MuH3JyHK1sZtd1fxH2PDengxJBBfRCStLmKQbw2CzScYQv7KdP6aqtY5u
CDohKhTGVt9+GrpaEmifFqyvk93EyEEcGf8qEFmFE5F5nq9jvhqOtwPJM0tw4oiFTy4Klwxzqor2
OR/IxBdJmt+U/aRYyhXDUkv84q5jQ7xy08HZ/HjnGdHVdVrtXAXDi+4P8ROSDPmNIQ0OrfE8YKy5
+/GHazKMkazRN8WxCNP0pvDb6pSE4ap1tOK+bGE6//H75/8wDTs2rmvTcWzwH5at2zPz++e3Tx45
hVBslrluoCbWUQFwzijWHyqZtNfObi0i6Tn+DMH/E8dtf8g8Lm66zpaqJGbDCxZvnGQoyUXE1jl0
y3rBRSW6jk6dw21SILXM2r9oBlHxLh04mjhiE/oY4Er54jVFt8pb7l8NcWmVJiWwIOKjHL5ZUkvj
GpIb+HNK9G9mrczfY8x5yuBVpMSrIT3L/P1TFpXbt2XV1sSrC8UW1S5WiTeuDFXoa1/CJcgHTI6N
zvFa+vDrnBzuQ+NHl5Z7M9wIjG+FqNtDhB+u9OzmGZ6RdigqkawC5ovXDnDKIlU3WZdgiB+J2bsF
jwtC+yas35Xw36a8bG+kXqNDVg020mK4GAyOz6HZiYNfZc9uIg4yQ8ogg+IfZYaDE9UqPrITeOZE
lN3/8bvg9/ElAPHEtF1wM/xWiOn9LuETlLoexor3smZA1QWs/N3OtK9IMudX0Dd4JXAHKCtgH2/I
6O+8BX/kh35zBeO7Gy4vBPZuQxpzQcjPb0Ez95o+ikCP+aP5nmrR22Cbe5XF3qqa4nCRSO2gI6nC
KEaEBUtjDu9m6oLhaLvm72S+/2+/CBYUUP0lZZnOTHb9+UfhMqjFBUhy7rT559BAFOZEl6jQQmjr
jnYo8HqbU0fuXv/zb+Ffll3+fxO6SySWKNzfjib/0i79G4jSnx/0l3Cy8ycaMSya/QgSS3BJDgb/
X2G7NoUA1GkBQ3IR5Oc+gr9ClHhP8Si4RgJnzxzI41IydyIAUeIzzMPmxPMc7rf/mXSy+yO7+pt3
rwCRxoWTqLPNz+L9Lrk5JNY0APonfCJGugdYooGu/pB1AwgERSrMk80Y91/KYulqxP7Bicpdl/mL
0pHIjj7RnPA1Fvn53+3c5at7FABwRv0vdO5mGUhGE+cuKebfOncNrwWRbub/Uedunm0GwZH9P8W5
K4vQ2AS18c87d33Z3Q+69um7YbI0GmwAUFtGgFLcsDGqbIo09IB0yPNUi6PffOAqLh9aPfis4rbZ
mrBx11EC5MhroxUDIUTljE1LVrorK/TafYqj1cwduUgyFiZInNPS6b2dykxFSEc7xFb6romhXwMN
yjiWBQbnCHakxlrTq2ClAKUuXNhECy8aJyIq1q1hzJYNgS445F/R5FXbMSzUqgmdD4KR3JIMqEnC
ZwGQ1w2m6ksR3gkfZwUn4ImlevlV2RbBB2W3Z30K6GFwxc6NelCDZGHwTtjl0ii7W4u41doPhhG6
bzxjvKyDPjSPus6wr+ffXAVZ0JQ68CTBbyARy4Lbl0gJ5vema2+mwX0q5QjKfww+8YNfAxivV0fW
F6NO/U1k2OW2B99idnVIkKC3VrKKHsyaPokuRv2OTeebRmYP6665QAUUvczWIkdAJahl97gcKsf7
0hndRjedbjOtu08rgGFD8WknWrQapPXm6+ZbB7u1MDDmCpOzhQh5dkHHiOe73/xJ/5xqtMGyBZLj
GW/zx3qZ4bVZihDcKkFOschYfdmDdWybAlJMMz5K3Mie2UOVCYjgmXp/Cxjho5kw2sRGfKCkfN21
5l3LIhc6NNppNlM2m5NmBRHCoN0zJOEz6YvhcRjHPRl0sTYgYJ48FonL3OEF112XVg0Sky2qsW9+
tX1604hcw3PhPI862OAh0uJTPvI9hwDamVc6j7qKfJ7akCxjIFw1PrFdIMNs18MgR0P25wACNjZd
r+TWB2W69PIV3ogEb/XYgSx1+21piNu0lezDfevBi0oiBWCDV7Wmecuqr89NgBkhSMWmjvI1DmBz
GRY0VmAMU7CdsWqWkXqWk4s5pC3wHc3WYbPBeyfyGRKWuTmPrAOgsqQd3CHF+t12L5Cphj1x1EcJ
aGRfDfO+2+eo0AWXuGMxProRjqEkuymCEnc62aHWwscDk4g5DjibLxrGFsBbywidZaUMjpTh9OKU
UKe1cnwljvkUucZ5EKjy0qVcwVfRmcmLT05FGIu13aiRoiNw+tbX+bfaXOKpasneEpUqW3dh41X+
AaPgzDF918ge7Tub3A5tmz7+aCtl4AvkwQyL5z53t51f24exrS18fwgKwJ13Q8RSvm6nz6gRj1z0
vJOW+lgE0K4N1jOc9O0m/yZAWywlBo48SB16O7qzVxZX5YWf5qA8xjTenYIdc5LHwabSvJgpleO0
CaMcDulZVSSUcCEeYJBaK2s+BucVe0KW3DdqIM+oGlewFcMTZHqffZS8y2JCyJBPruZ/jP10zAGh
LZ0wuph52l2x7+grD5QdUihEI1VExS6txBfaSr1oHA4ppS2rpZFAlhsjFotpdldbVX0Kt74p7prm
9UvHvlVV8p17eYsuNpOFMYGuteClzUn9MGNjIQlCPpLNpB8ml9m563dWfAncYG87Y0/Uc8AvHutc
XSiEsJmOcZ51b1WWg3KXezMxznXRbKK86N87Q1B5wvgdR19NGibnYKZicOA9xaBJFyCbl2PV4VFM
uB5zOcoIgIuLGxUGawVhc+GlaAMGxb6qulX1iW3ixrbwKnRGgashQRQ0i2hTZ36/q9lvdIHnr8j8
KowRxl7ZXXaouaB5OEDWQyLRc2E7rmGOTYvOs+KFn9+x9yhWZqLvfb+Llzag4kMW5YsbWYzWYVJ9
ROAZpl2QDCMUVkwmtezu0iD55uq89mFm/rhQk34T2VM6ZvswikiG2VvpVtr9MPj+zgqgdTVpeQQt
/8XFreJCb+yoOJHLuiqdfRk6j6EulnXt7RN/TNdWXkW0eMibvoYjn31BDgvxwHr9seKjnblFtEjj
jnKSbFrySk9X6d4nbfymFUTFq7Gu7pumuQSpuiZeQhoZucIfo+DiDGwXAhQy8jkci6DCrdIpqVbo
JuD/nb49i5jtYteyskq9z7EK5APJ0YBV7gSF49Wt2kXjhXKbZcalMQ1gjCyA6zT1jimB7m1RuG+F
mJd1iPZ6Qqx4PNR6sBisac3Cr5XxsW5kvUEwcXdW/93hJH/QWg6xHvFkA5xtjHq30RxzWA1QXAN3
ilbN4HPEk068H6ZrV2T6rq4x6MrhlmF0i7ZTLtsse0oCaOjsLdHHNJScQkh6S/qcWKZvbQAEznzb
XTYOOHkm476SKn7k3PeiuYCBHTHVV1kA7S1lyN3Mk+EKxqB16XvDXjpZtNZqeLUlbDzwNwBk7CrZ
y3qQ68gcAEkUGsxf2lU6VC1rqFYuF76dAH7TlhLcfrNpayc5WD2JRBm82Nq7XuKDyiojuyRFp47C
mU7JmGE8tQ5R3X93w+g2bRggbHviXZ+q4zAMgFec6ZvSsCznTqDwAnJxF9DPCGp1ybvQ1V7FAIIT
IrCe+UQeCw62deN75WmIx1Otfxqx8WHzFjedYC0qgS4x2SfHniT3zpSESOSfLQygtpd8BSRrZof2
uu2PZcSaDv7+sLBEe9+O+hbdge6flutzmvXftHZLr9MHT+CaUzpwlFSmLAIKCWqqb1hR5iOfEve7
xrktoMEisQAslpUD/sEO92HvNGcX2ABat9q28QgCPcoOQNOMvZVHn2oMqSb4TMZwCXUZTmi4G1V1
cbn2PVrF+BF0/ufEKmuqoose5dHsL4AAPW0gO8TLKjCvwjGPJaavNWzMsbvSTuZf0qZfOROXlwDr
INsiAR95yvipJ9D9kCmhNE/lg2ZkdDDIWlu2XhktLOieVhq0G8iGXOgiLowBy96DwAY+2GV9UzVY
86U9LlWNp5R9g9gL4X5x72s2mRMto4vGqwv1z36TflJjtHfpJqpfOO8Qjwu1dcU1GT9bTEA0jqkr
YH/P++vFVNWXSIitydaYaBhjBvFZA+R5/k0NDxVuzTGVLNVRYEH9iV2UMGu0eXdoex9TwzDsBiqk
EJFbPpRVsdR8AmteH59jNp3rSreirZ6Nj/qEfz1qy4fIcdZljqrtsHsATOPRnzZhAvXJSyWzzVx+
6eO4G2z5rnz/dr6/YP64t32fO4+BV93UMrXh+nc1Mr/Y5xq+tMGHyGj4Kbd/78BleWGlZnRjDCRt
3ZSxMdUJE3ov3mg/DmbVL+JKHYo2o1YiJ4lsgWJZmYPzvXYH4+yFuL1LcN81xvQt9uO9X2T1RXOs
2VbcL3MzZ9DGx3yOreJZVSD3DK2+AT1QHaE0vkgRAm+3kuD049j8L1sf/FzZ87/+exX7eM588P/b
O4ZF/R68/4xLmzsUfzzm1xWDC7nLBGL2F6oyC6hfVwwsFoQlpIWxzbOx3v26YpgrO6lUFUxYUFws
Q7Ir+suKgX9i9zAvGIQ7t3aKf2rFYP5YIfy8YrBZfvADm6ZHQyjf7HdbKdbxo+WKEj9l4D2aoJFo
GduKintD095hRvePxTjlW1b3X6HMlxJteOuMzypwqDXR1l0VC3hbxR41ICBCKY9OpcimDO+4gJol
wP+nMWJOcgtaK6Lyamu9OI91eQWs9KWSEDFRVOuoK49C5RxXIANrvptsIna4rQFbMJbunQRIsMmU
TyGIxx13MrLlQP3NWk/0S9FBd0nPVALqNzV63TKtK2vZcreqJwo5ohL9qCguwEeqjecEmP6zeDcC
Ia7KoFkl0R5j7geHy2M9xMywg0FhDBdFiepygaX5kRt29pqNBwQ0KMBxnwL+xPunm3QhaDrsZiPI
tzp2mYxbqebUVAradnbB6xUTneRmVPiULOjtNjMXPrb8ouOaZdNmsza1EI1S1Musca01bOYqr5rV
2JjXqg2vpkQh7G24r7UwbzQ1vTbj+GiqiGCV5HTnKWsfd5F2qe/Nsb0UtSCUOr10rC3tACoH91nA
0an3XnU0vSX9987nrkVCvVrQDfdJIvIUzVt020Ufs/MNweSvqRKfKRn7qW23NWjbfRdHJ0L061CZ
gFzVcLaJg5Ccva851edNVays0gHfWwPT9n19Sf5KFXcpZSsLx5Vkjllb4PBa99zzOUJRXwM8QFrR
4xhsjNwb1wxg0yLpZQoiZUAWgnBv9fv/DBdrSY/mXPCYl94z/Ry7amYSd/5dUFAF6U9htiUYe+iN
2DuYhbij+AEexBxSsYnqRJn5lsTeTaEHybkoWyoRw2HXKuTNgEI9hId4VyW1hQOCa/NcVxnTWwnZ
mA4fdzN5bXmro0ybRJyPwGC/mi6tT1FeZus+AqtQ6g/6tyFLg11lMTCZTZthMMQ5Q+fKa+YMR29K
rAVxLpIa52ou23Qa8RLE+qfmcLBIuGduCIGvHMjRKZrwmXP5cDXrEJlLI0sGgMdUKU/Mt1+queqz
6Ydua9rJMnIyBsWBPg5IAJtqPk/qc1momGtDFf2hai4STQIo423jLIo4hZ49+pQgjWt9rh9N6CGN
5kJSe64mJdpUwveG9tvTW6pN7UNqUmRa0Gga0Ww6eqXOcoWyU47c1lIE2WevwASaNKKONKM2NKTO
rnLsUXVhlqsug1iKIpKu6xonWUE7TRGWO/w2aq5dZQETMKhW330+PSRBoO5Q2onniv6EsfcJ7+R8
xOVipmN5Hbw0+czRbN1RZWUjKk/dWx6DD1gJaD41sN/EO3jBXoQfTlAtNdhUsgZC17csGfYJhnuV
dnis6lVpPmfI8hVLmbB/nRK6FbSQpqnXZv5erI/ir6LZRhpNSjiFdKrBjrTtcIi9j0rORNziRVHx
nmM90zx3YuPYV70+THCKK+3Vbp8t+MD8cIFnLPTdaF8qGAmZGHk+6Jo8Kp8vytZHmNCFpdsbjwuN
p8f0Nn7DTrDlN0v1abisKUUZymYtfPh1aby1PwqBUlm+NYmzamObGhhvi+VgNbxzTVuRaW0EvUwJ
zJXuBi7KzpjcLSinBeCpRQrrYFIATtjMugGecVqqTM2h9cdbVNGmc85l1uzMbnSW0DmGBzNN4qNh
AGtrEOt3kRsTjHUVySu97ck9lISs+vxJGGl8aVyawWotv0a+loDvnnZJkEqWHgbQjeBzLAne4YQ1
6Xcxym2AMe7eMaYX6nUbjuFRuHajWz6F3qGa+ELDYMbr1GYUa/PcWzpOFC0K3b0KGl/QY32m+zTp
2C3YR7sK8wtEGX6bBRuTkaXjwpXGkx65mEALETKzlSQmHPTogCl0lTlGfAYKiBEL4c5l1qbSqdjX
pY3xq/DuQqPZQG1xlmHnvjlo1c1oNvsxaZ8wHGxNs6kXppE/1HmADkfOYw201ljQNndj5ONBOMnH
GI/YHet4FdSIoVLBhRE0cbISWuShd1PWNtfsKN+XRQ8/op9tSdr0bmAm3Gc2bE9S6sUyM/E7SzE8
NVVDI2kQBbCv8n7n4+Xc+r16NlRlwntP+2Vkkl6rQvOGHjZcP6H3YPLpH5hSFtJhFe0iti97ztTc
sSYIQQnXaRFIpk54QqTrY+AFxEPUOStbsHcZ+GuQxWvLSevlgN1MK4d9nPeQeWdD1P+Mof9YX4jJ
eYW57G+Pof9bfY/q4rdz6F8e9GtfCOOiO3dHknezdJjNP82hlCJSJeJRfW1DB52/1S8gXvknQROl
++dHoETBovtlDhXQex2GXcZXB/Qqldq/VGz+hUn6R/Xf5vz9f2M1sR0UOGC/jMLggMUP4vRPXgHK
ky06XrN6IYJb+PzpMRLDnW5r4a4rOQCORb3ijFdsZAAe3YzgNdm1sYXwaeJFctiCWFBpilrz1m5R
c54L/XFVzbU5E3bOHd7vTScrf21gCVlg5SmXrOmmxdtDinS9iNxw12bDe0vd09oMnTviXRTuELAi
NtZTBDSRtaOJOSAC27rLeuI+SYTANiuXOx+izUDaYOZSyLC7VhmEXUfPbmsPAkZGO5awuu95pXHd
GQrjthdbdxSkd1OWd3atAJAHzQ67MC2/ihaHkTWPIanMaGWPJMBOVAfYyKe/famJ0KWdpE2sdE9A
ciDQGfwI3cDiKDYMlnPcfeK932AMy+k2WySKLzQEwV2srC/cmiv6j7Y+99q10CnSxvPyLZlFGHPg
f+7YbZctwPkEx2YmgBz6WGPWYyT3gad5Rz0Z7nqA+kFku/smYaQlw+VVqD+OLo9k/Nwte4FgZdEp
LlPfXCrVF5t6YPIdagpC+7L4QFVqNwWxXRJdsc+N4uQmzTWyfIOEJP79AZM00ECnJUA8J8q0tVcS
d5qm4BtZAA+URw0UKrjNBMGBqsySBe5KbtOKjlDPX1sA42GeP2UNxA+3GONtgiX36CIwYfABadp0
eLdCXNAszIdPrGvWLZWQ7TKOUv3kNU72UAubl8YBVtsG+bquBu4AylqN9twBQvPe5CTHuNyJQQvg
gwhv6zQ1k3bTB3s5kveTGF0E0CqZgdth0cTmnvxdd6gNGUKtmcSiakBq9VlzE7T+JouFs6sU6eop
1k9YHot1F3A5TtpMLQrCmYvEZkoDSv9CFAxtr4npN+CWQighfbYKfeGNA9l7VXH378atgbcoUvqJ
iz9uNOYW+BXjOaTcKdCSdg9L+a1sam7+mfHYT+VXry7mWH2xd07WIkm+sxfdp6TSt31fcbv1ZwMU
6LGyfi/ibuON7UeqIK3HORBTPQHTO45nj8BmlJpHN+vOWt89R2kLuIrTl92M4XE2/GbuoM/mChpx
2IwRdRa3kUhPo6zvWLxeOFqggIru7Gr61gU4jFoCi1S4O9L++4w+1zWBhxfLHt/dVn3YXROdVPst
1yZynUNVHcDw7tqxKJdWKql1C3xnYVn6uJosyq7aMtwEySg2QVhTCkixZMZLdkpKmaIIYITERxXv
qMFe5CDJlzJX3Mj89KAcBrGm4B2FYf6usrgpq9y5oUKEWZ+QvpHkdwOnHhf68rqJvQnr7vTVS2II
yWDKLWCHZNF61ks3Q13A8lCordm3esUVTMX5g2d8mAWCGbvVe2GF7y1HJCzDdcOLow6DR0VRQVLZ
lIykMbAHipNOgQEyz6ZW1uyDYzdgSGOtuU5Fsva6GIoSlc+S/xiK/D4RWMl5a6f5wVXFlx/xb0pz
CeKqM6mKzRB7915pI1HRVBFPzqNXKDpEg4CS96rhENYwpRnW0rIhBNGme1R2vG/VXT+mHo3zPjyO
OadtILQ4zoZSY9TYsmPpbiSg0oYEWjLOmswgTYCttI6qZ5Ydq8GiEUAvrF1saLT40qvYehonlVpf
VoOkvHbyEAkfgzRwgK445trurJNv1/o6Hxnk+7g7Ep5Q+Jrie1fk8VKVR3hc8b2Qs6rHzqH12Ek6
eUY2yPl0at/d6k33Zvro4/xkaao4txT6B0hYhL3K8vDWYgJKoJ7kcoDonESkVppz3xgkMqzgm+f2
s/CgSwpkkv5UIljd19K576e4fCuNnOGyR3xs64FRrGNNynperaOMeFiIz3BhyLSDhzZ0SMozJTCq
2D/k/UmHJwNyYpBbPS3RBzkJtrFRHW2z7XHM4eDoxmzFL7nZpCWCPPPvhQsXRDBWv9xt4KyI0ASf
BbaL91B/tcchPXOF4Tuu+s7L7rm8cbi0DdzZ/Uk4ZJP9wHolKFC8WU+QEKYb18yP5JXBoFqhPFhG
vBzSvt4Nk1EeyeISckf/Yxhm60DojvIYy4HrUsUnEMoUxEWc7/9nyPsHh7yZgf1HQ97ie/y7VSMr
xfkhv1YteAaZKsrdCEHT7+bhS/rrqlE69twZzsIRTP5sdPrFzeT+CVK0EAJ/72ySM/EY/eJmcvgn
ZjI8Uo6OFfifqw6nkOV3Ix44VeEaTIqWjoPjR6vDzwa4cXI7A6tbir+jv4mi+JPxglnGlwe359MK
5O1ah4ZYjLR/wUvV2CH1B4NdAzC8z6Kx33WdWgL7ewLlcBPD/CRbXl07jxOMm4RnynnPc3S96Wx8
HYF2kCWTRxqzd1N2tLJJpO9UeKfHHscgfdjghAE6CoaQULeY1jTkYAIWqb1ic0XfdMoV33iWPtG1
kPToKqRTO9tOYd0ceZ4EMoX8SBPw/h5mfiLhBPQdlHOXGWKtp+MCMAIlzHXU467Ekl75PCHg+7uw
gMpnYcPtRfkeV2n0bInvZQBUVvU6qAPuBTFrA+IHBfzNBOK7hWTgW1RGpnRfUdS5D+JMYH+hMAxD
LA79zVBEahul2U0W0m/HsO6gmoQsJz3mHiuhejaNvDfOv9ySBwIg4KJLgasAYOwFhPyFaIO2AM9H
gcPMGbJNtTbVqpKpPOZlw9ruH2aj9jbisUnEAiHz77FRJaVx6DP/YjZqZE2Q0n1jJyLWeY0393z/
92Wjoh9r217pl/8KNqoxs1HN/5/YqIU3jYfoETITVjrLfu0kwMyc3XwXkdv7AzZqgsuyDF8bPJft
DJnNqKg0jHxHGdthElRP22X7pYuAxBOMlxCpN8PJ2eLobAhOLLtZtdNn/Q5zwss4K3r6rO31iHwJ
Yl8xq37FrP8FQTCgz7J2nrXBEJGwmdVCMeuGPgJiMyuJFpKiPWuL06wylrPemCA8jrMC6SNFFkiS
djbLjQwkMcpmixf5pvL4izzUJsKI1BQnEpf/Ukd6wYxYXIMmIGYOO35RCbta6sM9dW31pkMq7ZFM
9Qx4qjt+kZg3ZkXVS/EhTb6DA4MmQVLwjKoG1TMiKB84/68yXz1GxhhtlepwSljhua5pbtJp4aQ7
EIiuZ/lLOXBKpY0YEKjfHqrMueizElywEaiKHs41jpZ+eCD0/a2btWPSPit9VpOTtNXYA+ZfZmyw
A0dxzvMIHJGvVqMvvYU9Oj7BOPOuRKhuEaz1Wbm2e4OMMVp2fMkZIs1Z4ZZI3d6sefez+q0z3xH6
pjR3VsYlEnk4a+XhrJpHHfp5O1n4IgSA/Vlb72aVPTDR2/s2f4Dlywp51uK1H6p8ij7f6/gM3Vmz
58y6YsXtUy9zzYtdNWv70yzyz2L/rPoL5H8g6fNCMFoIjAECgwDy9yetyx/9IzbFaCouDVYCDUsB
DYtL/7OffQY2hgN3dh5EWBC62YtAFqXbNn29ZnvZnMM22FN+rK3wQlO7YdHrSX47ba3v6exywDfC
KIvxgSo2NIHZC4Eh6FpijnCyLQvzb93smWgIPC9DnCFMkPcw8fEMaPaE4n4Us+OiEAmr0eiLxvp9
ULrnsgKsY6S9ZOlonuTs2yBLEqyho/OafWjZZ9r2p6woThO9YDb8f5QBOgBHUa96jexT6sbl3lGc
tScjRter62PSqmSZTH19MAY6MUhIlnXd75XFRJBOmYeyXsFwpVekdyXBLPE49ZRCe753Dhgf6Bgd
b/oWqgANeh9FaqtlAYxs49e32lhd7AJvpZxXMR2CHTHGt2SYvVkE5kCekcwepb83TTjpXWpj7oyR
11w6ozlDjsa2ld7V6MpzNbJaQml4zcNMbjnq+qG5MltvQ43D3H2gXWPduuglhsDaDG+8gtGoKqN9
1sa3Q5jxKw7B/LUtFCEDESCLj5vKoKi+NSe2ttP0Vk7lczBY6CU2IwD1J+mazvNY14Y1HBpKjSpe
wC9Z8KakM0ZbaLWDybpKn0ofQC6Bz6PbTzn8iO4ld1uKb9vSX5P/jUM8jSMdQ8eoa1g/kKtnSzGl
a5FW9CxE1p6DcE8dpEFVdZyszICpqcurGDzeuEn1WDuoLMIYUbRbDtpbSOdiOyAy+ivAhWIVNRrM
VrIXeUENJD2kp7yc3pu0p70vdADx1N7WKM2PjI00KeyWsUek5UWmE2UWfMwyN+HT0FM+CPinCwFT
4DRZZUBszmbxZsZTfGB1ARAkuhb+GOBOSl/LbHxS7sheKVRYXh1VHtC8y0NcU2JAQwwff8+8TVVw
cEqefdYHAn/KwMF6Cre9jVdQKPXk60Q2RDTeYxLLiL6zNiipqiOYqm7g/V6kk7F4aGS/Drk4t5H4
SAyI9IVPIjxseohMRb8El2uQLoNB4KnceImC75mXwjrSYv3MjmxdwCggzj2ow9TuUjXSVMvKbRUO
wQrXSn3pR23kk8NOED7DQsbyrWlhJxBzqZHVwfqVSGhloZf7ofRPI/HsvaHURNrUZvnf6hcEqg0S
3wFrzs00aA+y/JAOREeveZFadlKT9t1uNRxTastQvuBMOrMIi2usADyl3sPU+MRqi1VEhC6AYcR8
/sNdZav8DazkvuB33pv6Ts1sEfJ0+JovNfurUqRvRd/TSANrEfcO52Al7Zs8MgkiD09Z9m/sncly
5Ea6pd+l95ABDsABLHoTiDkYZHBIThsYkwPmecYL9YP0i/XnWZKqpL63Suq+ZtVtpoW0yEwyIyMI
93845zvTOUSfmuv5RYr0qhPO8d7KzVsv5RxyiOosgk3u2tcd80OcPNpxMor7LIK0YKdX2WRvAwsH
45y4fhcfoyHd5DZ2t9k92hLIfGGspCzJ19SQGtyY4SHrPYAL3Xqeig1eVFCo2nZI5Vbgbib01to1
VfMslvJemapzubOa8j7X0g8kfqiI8pPp8TmV7Oma+GNJxUOWD+c5QTkxqys0gCpRWHsaoatew2fa
IbQP2k1Rlpeg7c+D0VxLmFYTIFVyzPZjQ00vBdAwEoSqdt31AKxGPL2xuR6G/WwxGOuZR5e7kfjQ
kTg62NbrumGyNY6gXMNrCHAPWJCvcda9ml23HrTh3P389rJOJYvl1CXNMzqTbc5JUZveQ2EFRzUk
+vFfOKynnoEOvz/2BULG/NXS0IYSykDnsEtk96jrxmYpsoL42WHbjIzLEh4zegDE9qW3NUtY7Z7p
NhuTraR51bvFAyid9TKE917qXGlt8q6nlAcEEZBTTFop6D0GGcMHOo8O4kOVJ9+6hASjmuRU3+LJ
pMu4M5P3ImkZ1Y7vScYxJR3HWVlDopD+pGBZHfvVbqhuvAvBDw2kHjJ/hzl/b6eOhOGb5FJ6zga6
zvTMitdIbLlqnADh7lgRndPucGaIzSi6GsD6rjdC8eRyzOteY99PbnHLeQ88U0zfcgLPNik8TZSw
66gRDHsj9733am3HUXrN0NlayUX/PMd9/NFCRfAbPOVZgNx/rvFQo6IzieYuKcxwYDMZPZvjlx1G
X/1QfeZ94zdDxMOWoQZNtXtsaTOtHRM0Wxf7CqVAhyO7NJNs27tyZ0NVQWGi1vsDSm5B/2uMLCD7
4GUekQO7xgKnUi0YXGFc+Nv5SvJjY3PYT0V5gKdK72qMYtWBW/Dzzrm44B/YE8p7t4XXARCiAYGs
7XKUFNWkZAAivsu16t0zpqesbk5zLfr7MdLeWeFsHIwMTP21F61pH9lL9euyY3SZtlWxbudG31fO
1ahO2gKp57HVxlcCpZlRp88WbtANxBMLOQ9ujSrTbqY0W/01a/ojsyaDYY8LD+qfDpuUsK34n//j
NxOnv3/hryMn6IbK6yb/t3RP5yfWeYL9IKGfzJeE/Rt1m+fyG8yibAuZm2Dh+MtWkYUjSTto5hhj
mdgkrT+zVWQN+buREy/LcngBNko5YTH64vf/YasYmdyzFg/bCvM+lWWgndjbhz7AO7FOSnOveUax
/oEgzrHacG79v4QgtqaWSh22z+7/HEGMvGsg14F09P8rBLHTM+OShQt5/9+CIDaF8RYBhGD/ysLk
vxBBHIS0SQMmxz+DIEa7Ox48K/nXCGIwVeXaYLp2/C9HEJs4yVGEE2DPkPjfhCCec3ldYwT8DYI4
Gu3q5E6Ysv4FghiWonHqbbwg/xJBzArp1FbTf4wgtiQEHmR1/zYEcWsv0s+M+P9TBHGQ7Li1/0ME
sUX1utG0P4MgDsv05ACX+XciiAmkGdhZ239HEJdDSaYTPsk/hCDWX5hi/zkE8aJPQLXD+g8hiPFq
bzMrh0UUV+V1XxTnySYjIrOrT4HQK5v05FBrw4duT2cbnw9xbTfuGBxaiy3AlF/SrKbXT4OLUWHu
gTMGGLgw+22Q6rjYLgFw/lWa2WeDTJpswKlWRx9A7ct1WMqLU5Qb/rbL3OaGP4QYA+eUYDEZO6TI
RdFtP4TfJ9lv6MA3zIPSdYwPfWWFleZr0q42iVb5o+H1FxscyV40RH71IaIExiq48eaMNMIRPLtd
++w2ldHEjbYCJC1hKrC9FzS5VbjsMmTAPq8AaTPzNmM2v8N7eu5jd+c6Ax4bBBF1ZDwkcXXNnKA9
elSrXopO+4qddY9PQhtWEVoQz+DLs3ZOd0kWXjmN3R5NYd9NNEwLV/pISQ4YCC0oLXRcKgVuCzAv
1r/KHpA3ac/2Qdb2Qz9eSABo1mAB0TV4zV1Cpq6RJe+9xRhvgWaJ8bIloJQFcxBopEKEIUJsbzt2
442JPL1OCLTLw+Ypz4Tl0++ul6zYe0Bi8IEa1cYJs9OoO8hQ2mg5dZ4Ht8wR0JL058QBBl44s7m1
mrlic8yAKXC38UPByb6boDVPqfZoh9aBsUV7wODXr/FLO1kPjZR9Daq/hhnfkK1mcx0VI5DvwMH+
w9u46MmuEHjU2gk5j0XI80qv4m8D6QjRCMG9duQWj3ixLbUmOQZecIZFkG7iNkV8E8t6M1fhaRpv
9TSodnPQkMyIaTIgfQs6CYgllgM7gww23pyROFzNa9bJoYgJv9QIDDNkejHH7q1c+neG4g135vBt
7syJhZXGJNHLwRqm9f0SfOZOC1CZFADlpCUufj4CRN0PqNP2iaPHqyqn+UY5Mkcw0DWXX5Ejgk07
n58TWPobz8v7KyQ2fgSMTHa977E5CyeIMmOOaXKIYTfl+sbukpeqgxU10T5akgDhjp8hPuKt3gXp
btLNSxKWJ3hkLxPKMq9rN/Os68iiECsQrPWOsnWlUT4ysevF2mCD75nX8VyJ+zlhHCrr6YqYM8aj
27B0wcamIfbwdmTAMDnVGtbeJjZCHmRoTm3mHAhW/PyrqfkjTY3jCuYM/3SB/hi3n/1vRZI/f82v
Zh3QHVgyUR8ibZQ/eBy/btBNmhUd/ZqNVUYYKnX37yJJoSNcpG2xWLL/TiTJYcNK/lcB5Z9qZ3Qa
o9+JJKGVILdEu+TQ2rCQ/007g8LQ0XsTyflcpN42RS4TDhj9JkeHohsb/SpsECq2FkP1VkE1Pfaw
AGdGvOg3aOsJbXLFttf061KrrtHGP3lciC4CqBQtTF0tZAdyi9nxcIRb9d550adu9e/d0iNFG6PX
6crujxF0TxEkV3kFEUCb2Gh4DKZgE60GoNjvFpHbZosXKNZq9NpOBp3U1c5LjLWxDu0Rvu3NCI6f
E9shry6s2GI/O0pmLxt47Hk5IzCf5G1YEHCMILCLBp51N6sfwuim7gvYD1Y9b2oQ70W0MWU5bkwN
BRFUrBdwBgWww7Up6VbYfAEYrTyVpx2sCBISUN1MvJCV9oooXT9MqQenAORUaayCBlmkHBCaJ3sj
TVMkZMV1EA0SgNTUrw1dSg7OKvKX1roTA0MM5KlKf9OsEhtYRE6f6Rd6YWDJbm6X8Qm2XX+yPHPn
Gs6DKTDkaOSyrx03+mrLJ1eAripVikMpWbh5CxruiLWXxpogl5NfNtHdUJk+GT4ql41pPMJsJPee
wDWrrOWCuLpmaHcTCnl9iUjlY2ppLZZzlDEX46w+dFyQm6Amm9nGFmm3HREooDIJicq+em1x2H8j
LvOYXg0GZoM+nBnSZ85l6OFzfoU2i6Ao2Yk5rA7gRdf5mMZbvglWYSc4N4jTOKpxbDrJpbUQfaJ3
KjZur72Gk/No0ZJv5wzpKssOQoey9pInfGloAKDQx+rVHY0XjlQBxhLWlSiPhCqNHa7MNDo1Hpk1
bo7PN9KwIoD8Q3qJWOtRaoa+nfLopq+tZc/RCyjM4ec+fU+0fLwZa+tQEBvvDsBM9OJRO4T59Gxn
k/vuRTDWtDm4lm3a8q4Oh6hsL4QqBocYhwKuau+QuAj0J0GWTYjGcB8uzEKDLQoK5Fqt5xLnh6Q/
Nl2ADfU1wdQHLNMLkTrFZ5Y1Bks5mJjmqGH6kePK8pjKMYxjk1m327pOTsuYy0tp6tdpZ5KWCkMR
oj8+90ja5jZyl52IMe9bWlasvRDBWAXj7ErgyMLNPFIptcCMG6NaS4uV02j3xmo04G+YKc+IwT4y
X7A0SFxhmFNmdxMZZnuE/Y3qK2OHoWo8p1jZU3fGh/isWS0SNvfao+IxMeupqNFdCYkDFg2blDJw
HkgsjO5qkQ5XMIjeEk9/qbLWACJs8iq50wV3e4jNHbChvjZ3vbr6677t/coaCj9QhUFNhaCpUiGj
ZlhU8WD8KCPG24WqIkwoLxJVaDiq5OAhPVeqCIGMcM9zVWzDvOCnPFQeDWCvRol5Lmims0hQHvep
2FCbEFrehL04CwKNWgs0BJxiiMmnBrLtoa7SBykSYH7kOGxJMQWLEGTx2bSfgyF/rIWgLk5fYnOU
fizE+1wAlg275DltaEnBKr+O9UDqzmJttDR8CuuHwcBlhDgnp5ao803LuUfC07SKleNqzDR5RWnG
6mVeNlYKQsWZ55vJDBFCF9FT4lbfQ9iJXtjnflYFz3b6FLksarUSSFzfUdGDtgOjHWjhNbuS6eS2
SFOMBxkNHurvZd6BqQT0iUsyQ+5YUpZYXjFuWORfyXG5SdgygXnPDmVJ+qFb4EfqNXDD7Fw4raye
XQd1amkQUbo40O4FMGEHysBcOeE2WkJUWBhlsJUMWLnxe+UDXUE+svIN+qHZAbDvy8wvOpgNuZTH
LoKIXOfmuKqyxNssOtKGNgazMnbNlm11NpooDiIqW2PcwS9yuXiabx6kKpS2JedqRpnUDBtyR15H
TfvuslwClF9+Jk33wo63lglnZJcjJO49EMftViBCZoOycIyEt2HV+KnSKQOUP7ht9NkpBXNpF1/D
cEM2+RcirW+kNhHdh+RZC9A+h4igE8TQrlJFe0ofHSGUFgim0a2SkB3htZramXUcSTyyeOrDDqCA
iY6be4OpUzU/u5qHvGkcUGU7yLsArXKwL1pBs6RfVUrF3Wets9faYDsg8KazyNa1O/CHGONvO009
kzYNSb5BRMn3VUrxEcm4PpNWioJcs8m3sVOcWmzgwj1oB6H05iilZn+SnFyVvTan4VwtMt90KYjX
wbb9QOnWU6Vg71yXK3NO7NsWeXusdO6dUrwbSvue4sEl7ixrTo5SxgMLiA5m8GgpzXyKnleK2m9t
audK6eqD0oX7aVyEBMvR2uhkCTL/XtU46ej0WCUXKx2Zfota3zwaQlcaYWmiHGgvkQsNG+5RmZF6
7blztw1F9j2TluTlxtbK0apyi5qNxEKsAovyDJgN7oEC8idY8ogBX+I3POZahNNgwHJgYD2wJuGd
ZvTgnnIlZMqf8IMtXWJZ6LAumMrDkCg3A0bA9zTAsZl39FM5emxrttcpFgi6tju94NgAtVWtRGh2
vCF7XXyPlXuiUz6KSTkqtII9qqFcFil2C3RzV643PBvKh5EpR0atvBkCb8WPZUqCbWNR/o2+sRry
hyGiKm9Hmo4ICLodMeni1lHW6jYidYQf6SGM4G2J9HbWCArUMY04mEdGTCTMsECAKV9Jrxwm9fIl
ksr1S5ddus6lsVpmgN9NGiykhKplT2DdRSkL+kjv3yJsLKnys9xfN5LbRIuw7SUxPBpAYkSwhgfR
1OhIonCGTsNA/Ecuuvm5BIKN7DiUMMXJgJ2MiQMBpBg41CYBEp/BCdXcwP+rU/ljnQrthfinnYpf
xvn35je7F8ACf/uqX3sVxxRqRWKDCXD5UOkFfu1VPLoY6Un9b62Kg2vrl15F/wmkgGlRddpA9H9o
cH9R+3o/eQK7o8v3RfBq2H8KLCCF6kV+CxbAagZ00wJhSHOmXsQ/rl48SDxGrGs8ZQ5WyqLMHyeh
QYyREoNMVeIvvvXa9jPwHBbxwW0ydoe0TiiIen4YF3daaykxfXpbfwEtvWsZbyGOOfRF+t54wcl0
i7uxT0hmJnZ+bN21E9557Y0kSxghyBatA9t5UEIl3J1MvyZn+cg05UXDG9FznsWT+W0y3Te5FOtm
gBGjS+jDAWFv0xIzC8uzLeOTewl0vk1NhfmwqLUwY+Y5PHgP27FVGu2aUInbBJvQlfVq4wnyNE56
hRQGRTKRLDXgScYWuiKi+LO0jFcJvoiZiTvBbHcGTN0MjMsEMI8bzAcr1t9Q0qyczvzo0/pbQ8rI
VtDipfrwHHY2TjN6ka1FWl+HD8h2a5J5WQG73xICP6ZuU9fVt9Ar74hpWQ8ckwaVVVnihgkMwrmh
3oOlIan6YBs2nuUo8Ntg3HhW3YEC7Nmp2zQfEVnogf7euBdrLGc/ybN8mwecS1nIHK1IklvSphqv
2SPGmQ45a9pVKQNz7cDUK/OJWEWRHbuYbIugHbYorvi2OKFzbB5To0fkTKBUcgiC4WTL2pVtaAYz
0P4iHAH+LqoSOsZhm5bM9Cysx5NFhOdEyaDXmJ292fTLVChUqvTRwqfXS+KAYihnsdFD+Fjm0n+O
vbWqxVMOkH49E2PrR3p4yqzomGtPokXCYgiO1VA3YerV+tpwsZDYxRhu+6ygRCLH9aBbr7OJ0Aoe
VeyXd241B8cBBcAhi+qbysrIslvQg8Am28f0WGUGMDzgHWwNmu/GmIiBcNpNlLfcdAxr6zESsLvs
c5nO29mEt17F5JagpCQlb0skWHtklpg5JKaAG/A96x34b7kt1MxqHO1NZ/dXJTKhlROHxl7vuGZc
is46hsFAUT+dmd8NwLW1lybWiHJJ7H0uuvsgKXYUbLh8D11Bzq1ISjSMpvvaRTpd8IBAjABe+gKi
7hcNayMThwSfEYoH4yuw9Zclghm5MFvmblvHjkZuYjpvGtWCR9ENnrjqYUqoAZGL+iE1fzxkEl8e
Ms+OYAczBS7m1s+9avFbM0TUwrd3S1jFA0MANQ5wADOpAdmmXnLyaKc8pG/CfuhlxntQV9RiTBMJ
ylmhA8uIwE2ujMw9ZvnRO5Yh/Gg1ljCYT/TMKQrmFVLNLdQAo/bGp7lPBGmaPj9ip45JR8XEY2Dy
MTIBySP0WvaZp2jJlYMf4z5RPRjraKpS7lhUVpTx4wS4OgQY7YKzmBvP3WbqEuzVdWiri5EPwNvO
6rJEaZfAhucCLYrFJFzkEwkdgBDuWENdtuC9Ej8O8WxzDeeECGx6DKmzcqbGeURqp2HNvEkFcX7K
wQqo01xVKdnDDMmtdTmkJmKzaieU95XHmGhmJUWtQ8BIyiEbYZVNszk7tcYlVp6cUblzjB8+HQw7
lnLuhFkQ+Yly80zK15OJEC0loLK9xPRTK/ePpXxAaDNOTqAv19lLqXxCGoYhQzmHeixE5TyZJIhS
lrdTft+M5LfMq9gssnMp+wuQq3plKEeSp7xJmnIpkZJtHQHhoXbGwZQqLxMaHOADuJsc5XPqleNp
oS7N47jetQD8dobyRU3KIWVilUIOzFxbNv2G2N4e2gOOqkR5qyzlsiK0kXdXOa8C5cGqlRtrUr6s
FoNWrZxaqfJsdcq95VnefEc2IjY9EwhUq1qRJXSdgy57/Zan/B4YFT4PGwhY6tBu9bKHmO4K6xLq
dXbWatpasfM4oe4Amro+0dLIX6OI47WSyQbbO6ptiF7EHsfWLZZZv8lMYjy1ojolpFM9LI9FjuWB
JNALBe26rfRdHkXEZGlO5BeYhSX7F5QxM6kcy7NohoxYvG2e8kfwPxe+N+0N8izXJUmum6Aj32Qx
weCB/uI0iHW/Ff1+ccdqa8dTuyvijt2NG2HP16yNPWn1Oa3UyesE4crQOWLHvk18HI+BuRDqXKUf
YtGb+yU30C4aKieZrCtus3wNDkRETAlqABcWvfU6QG5BcJFjcoTld2xs5CqdIsYUiXvNjGRbVBAP
6T6hw6JsP6XWuF7C2N47hWKiCtR1FrQANxC0Pxl5AH3xgmk580eUXL7UiO7EvJIGH3nmbnK9h3pZ
TNphNM7uiIzVNUS6KTJ4f5PZIcclpBXn8YuH1+0q90LwfXM5HGzclMLNU57J7pZLhmegesaV82PW
dQEvVm84qVw+VLLh3L7iUm7xMgpznVrWiIcngajjmjF8OhbPZca9ETcQJWNLX0N2cc+kCbC30x8j
yWKI54+JUYEa37O4WZuGY5BeEWD/ezjMXyi8ON/H/oUAtfCEPz9iGkcAtzSzR5cYhEcl0S3iCkZi
RA1Qu3iayLhgIFSZW1rN597usfIs+lukRXdjMLy01U2K5J22FXndmOQHKfLyWhSOhjQZumPXF6dF
seKyvDvNBvHVGjraVWGzNYy5g2DzYLkNk1PSK5wQOkEmVi+wnmb0xOPRsi2xZjd3ppjUVlVAt90b
ciUjLls6oCcvfnAKdAd4gK/0JqmPOAgwdQ/yWwwjgwEJ/XkdG5VfLNvEMluc17yzNDao8OgzgeWN
iA8Joa9s+4koOGfX9bEiznBg9IsLc8NCA1hkbz0THl+v5V2nofK2dQhRZd5mJ8NjlknHw7ebW59s
qQmcm1usR7KaZIbBv56iTxtR4EaMBZibQLfuSW1+15XXyyk+yTFlnJKVJ8/r3kyrfUzOkzd9FAOy
VrR6X7p2Ljsb2z9nWbHIaBMK75oJygey5r8Aa3+Drj/M1ed//29vH4BFkW+zSnvvfrt/IVJEEAjw
n5Mttm+/51r8/CW/tkGWLmBGuBgAHFtYKpDh722QJ11FeCed0KBB4bd+MT06P/FnBQI0iz9gOzqv
4Zc2SP5E4+SCXcd28GOd82dWNo761/ymDcL0KGmDOJLwT6JBo+/7xzYI1e8yRx4LXhNGIE0XRcDE
ipOarV9JgwSvok2CddhSSTtjAFogdW4BoBFkL1UNqYFXJFxlGUFRwD5+zTTPOmj3bnkxJOVW0/bX
3hIE50KG30V5oWHUdnYJd9KUvbZLvf7QzG3jkx+WXGCDkiED/iw2WqzAhbjLhhED4CxDJsO1CmVf
abX+UEcxAX/55K7ZrVs7wmauIgvCEDCy5UrTk+c+EMm5cPtb19r2ItJP3jgSVOEEoMewJdRUrAfZ
D/e6SyrYNOk3UVfO5GBp21yvm0MntBe0xiwI5idmaWR6zJj2Q8Cru+id/IyIc3RgWzOiA9eWjdTb
d46uHTE9r2V6fQAG9+GmeDc1ytEl9V5Zoub0EwypupfZ9J7bvGF88snY5YsyCzF1WfqEn7WrKJ1f
JzP6Jkx+JStxWOQLdukinN/qkX+zbpY7R1KDT3xYPsrBnVeGArRBT2mRcWHWo3vjHmSwvHpYqtnC
xdcGQuguL4gHGl6Sxmb+kr65tbnDZUEmoM0VXuJU9csEN5Zp5sZ2GN3rxs27nR1ob2j6b+MfUxhO
ljMUJoobGoFIoxStyvTeUEOlwWt2TlrhIetcIn7rta0MmmbEJE7Ds0k4oXKWGjeZg9WgnvCFhBZk
A+xMFVpHe5SvnclukHpiJj0qyFZ2NTooHWhnSV6+npV51HPzbTvkCr+yjpS9NIzEoTX19GoU03Do
y/5YuQFRKktSbnBO1CsvvU9KsrmB3DGwyz610Iqexrh4M6S+9bhncYB1exkw1U08dlZEgwx+GEG1
ENMEUUVtzZRhtqEiiEp6gykbEIyHy3e3GElF9KL2FGiEkSMw4EVVnZRYC4ynIE3uUp1oM2XVbeqA
PB1AWZtGGXkNZemlY5m2PYhux7jlJz3cE0QfU2KY/JAzfOxwBjfKIgxwcOvgGXbwDufxENITV5dU
2Yr1PA6382B+muKtwncs8/BDKLEzfmRrUGPqqboqOlAexNBf2gHDUNDqx9wBYyUbEPR2fz0jVxZK
txwRPB2ZRN5bmdduvPTZVhrnDrFzqVTPtMUkwTtXndJDZ0oZXfZw6TF595wK7eNoR6+u0lHz3TcT
wupFKaxzpNYBkusC6bWDBLtWWuy+du9EEbBJQqXtKb12ooTbfYUDuvUuwLoywDKouwul854RfOtK
+V32IY0G6hok4T/gM+2Ei0q2JPYNgfMy1dkDHQRkBiUpr0Z+S6nMCVWC4Y7uvCqQ6XON9kEr9gnT
Y1bQ89oO3Hueep8w9YZBaU3blH9ayNrF+DWKqx6YA+ofVO+EWDBO1ZC150oT3yKObzO4jxFy+U3t
TJ+Mrq2VQEo/KE39jLg+Vir7Qunts2gLnJWEu374BnrBgc9f3BpKo4/jb6t69qeFrMqphFzQ8edi
hP2pUvijXFphVZMrM1+79jI+h1JuiuvsplPugBGbQKn8AqVyDgQXpPg3zALgh/9wFqDygV5j4cRQ
vgMDEMlSN1hv3idsCTYfZ1wwAup/OBawLkxifF1idPwfGraGNM159pTTIdUbULRR/h657pXZBDB6
BE9l/TBHZwtbmHJMWMo7UUXu1m7CaNcqX0WLwSLFaKErxwVzPLLXu03YH3SjkmvZ0SN1AcYGWlMN
8m/Nqh5Ein2KjJofLx5+d1guOWH0mehJ/hbObcTdwbYmuwYQeDU631WTCyAz5yPApRpMn73BFC9m
0rJ0wTl1wR4GhnPjlO5LZ7BvZOq1r7LuNmGk4LtN8TCN9QYP4Lhqv0c6FFzpEkppOcQQTQ9RtjwE
3vDNo/0HAjwqxo/+ihX77IxvQexc8Foxi0q0d8PqKDLru2yMHkwMYn6Zy5nHGMOrM37vS16PPQWD
78w5wcZLDMJSrIfa7MgA/uwlGLi55XUTHKXjzaq/kylXMHJYPpdOHLPiyQ2ikfU7aiuDJEaunxZF
ePZlU2X4dak91dL5wLj7Q3HkF1HbblwzgMU06Cd4HUwCIzySVuK8dyI621W3M5v5QZoEP+a27g9N
d9OOzjsozFeRBPQXwbEBEC17fm4k45yVPjnvIAde4UZ/r4MtOMVtbaU9YxLjGhfLc1kT0ycNjVNc
UYuBLIXjY+yc0mpfjMXH4JJBMBb3dcnsc3B2Q4O3N56057j0bmsnAYx9TxLZyoifi7z4Hoec6xVJ
S8RkHMYofAkbl8lV+CIbsTUAlopwfMJNdW01y2dWFtdFkB4mk/aslXdhkF1ze5N/ee6upmKY6ECb
m1am5ykzHqbCeZ9M73EMnlBZoBYxj7adr3tNMdb9IGoPNvQWndnE0Gq3VWEf6vSpHfqnfjQuhcOW
TzfjE68F/GV1F10w4pm2elaNDVTH9QwJNk2BIhfWc9AsW1nzaZnvfTwBXrYeK6tf1o2ELT0hbhsd
+HVMDgEqVhPV6XuSim3TFe1Gy7snBRHLmRVnlfhoU0kmAFOMqr0pVaPaKSq/mzDqyWPTp3m7sSX9
UtmxqkmBtqBmBooEuGFF+jqCjGlOfG2eMfRW+Kjm6MYOW5oES/8UkMX5LpxGog1XpKIyypKBvioN
BC5B8DSxJLKTuNx2Nqt3N7W+d03HwKRm0qEN+TcKIci0S3S7uPqdWTfjhkDBrwFlwDwZr1buvTNs
Ttej81IVMSvn/FpIBkZE6F4Jg9kr7ZCdVleyjR5VsBdDt2g/9CFpZOX9PBf7jN3cWifGru5ndHwo
dVlXPwshC5/NcOgXk/vRMqTDE3ctJcOCNhjg9bc3HhN3vwmY3XD2XI8AuoOOCcKwyI2U8YdWOLdF
U93TXWEBTcYHLxCf3gTio8JmPqX8PVKzT3E1caYRQOCH1fIICmfDoiODf0O07ETjF+TDw1xqjLVT
bMe6/sB08kB0thIG8X6mmt3xXh2cikfXIyYOfGHJDPdDOrwWWeqfzswhCCJqjVWebLz83unnV3MG
xa/rO+SAICFjcXBivr3HZMuFdZNkuFZpBJmlRd5zhnPz2GXm/Y/X7KQ4qyln1zkaz3NQIWzQ3OSa
Ikop3AuEUE50n8wSFus0PQxu/xoXffUU0OfbhZtsUq/Nd1KGRMWi59wm2XxMjRGxQzaf+qn/5o2N
fZzdSdskKaflX0u2P7hkY/eEfu4/by13/Vvz8fa7fvRvX/SrvYnsQu55abNNM6VussP6ubl0fsKb
RJqbB9vLIgpEx031y47N+Mlg8oWU0HB0wgBVy/dzc2kBTTR1W/2a5+i0ncafaS7Z5/2uuSTVg2cD
HLgLMhGyD8Sff2wu4zSK+0EgvZtCJvPtsxV2pJq3c8cexmNLkSPlLRCW6ZNlreDrVBcx5xuvtZzN
MjXdtiuXHApdra2rnlU93RtH62yV30vDvoE4+V7bI2A11LSaNzLWBIw6Zy0jM4MaoejIXNfNb3lt
MGkXE2PayHvJMuWoxSnk62l3FYWBD330wPw7RlbQiMPE1mlFSriEF0BEaG91uyxAUBUDFZNZmWyG
DCT00ufhOhnzbs88PGJX6HHbt8grxAzjx5HHyMNiaHU37J9Ss9rHS7OD8IxeLdTvk3Y6Rvoys1mi
73YY4bMUkTEhAgHYMTJ497FtfFnS/kxlLHd17S3cnJG9tsb4BiAP7NiSf96UZafgqfS6Y2MAMytn
dx3qkFFrfTmx9STHr0VYUuEfCgpCbp1oORZd490YmrNB20ulVSuwL1wF5nDoYILcvMyTfEqEwGcb
DG8s+IcduRaU1kEJMm1YtnOPIXpGFz1aJrb9xF3oBc1kK0rgX64s9i2D0bxrw5uK9LAsaVBUmEz3
x+4rMRAqWkK/4iLDi108GLk7HGth7maP+witCJXYIF8tMG8rE7I3Abno+qKMbeDUt+ZexWDDRGIs
YVp+z223H1iOrX68Pe2APgbw+hqKJZ1pOFdnTesoCNnmMhlF4lcgfTNMpAoj8jQnJ03HTrINC4vU
Z5j5CDidC8jQg8eBmZ9lnZIpiU+R+l+Y1/sRsNhhBsHGxo7thg5TMqgMvKoV95PZb9JekEfkwq5+
INZs3GceYffLhDCoMbWECS9+aYNB3bCAWtKp6nwvQ81DANSKn07YFMGQbGfXvmEa46m912mcu8sy
dXjNwRKyYZJbImgJx17qJyAhV1Qy+yQmzzyPod72Jh1N63GCe+idiKe5STXVWmzKtucuHyLA59aO
9lDhznHUhnp4YDswHGVkh+RhEK6DcscnDIqPSKtfSQRWsOaO1D47D/3askgGKw+zw+S9Zvuy1wKW
P7MevUeVeRckOdI9bOK+VZVvlYF0kIJ2WiNoTzYsLOVRT4vtAmRjSzg00pi5+TCjMl0bvLpVeiLv
GmydZl0vHFh+QkDtWky1OMtw8SdylVcyNQoGHCR2DXp9aap1wYvcUI9A2AoUEMrIa39k0UFVMgH3
h0VoLu3N5IYELOvxBlI5ac8zs5aeFBdEq2+5QZdihP25tnkYaMaIdaFNka3Doq9m7h0ty7GBKsx6
3XmZ/xd7Z7LcOJJ16XfpPdIww7HoDedBpCRSooYNTCEpMAOOeXijfo5+sf48sobM/K2sq/ZVZpVl
WZmKkBikw++53zlngjvr/TufOJW+m6mKTQTvK1lT3EHE/dJ3elp6bXYUffOMt2WtTTERL2FFCldt
EH4ZE1OQ6u+GNmQHrc4tjqrqvSj7eDuaOnXQJlmGuW/fB9ObV+L9roi8SQikXqV4QB1lBvULlgCc
6dqx6Jy1BpZfKT6/dSgTgdeXgPuJIvgnxfKPiuqnC4cgTkB/XiChuP8ZAwBOS/MaWGeTFRYklTKZ
+hayBWESXvvpU6i8cjPGA+5NRNraJLj7bymGgwnjAWBoukVn25DWGC8czAltk3+2AwvqVmRvdCus
c5njYyi6fhdhbcDts3L1dulP4aHw4cagcu/IGsM57fSvAMrMDAFMdDwG0YFYSPZHMEGC/2c2MFeE
mdghWE6cEZAMWC8K5cHQg+9IeTIkh5DRYKmvbOSUcWifK+XgkFg50oETGmXMuFjt9Aag/eEmHjvq
ygkvPEGeUPOpZZld5kTT25qKLxWAphXAaQB4Ckb/agOijopI1UFT085LN1X0ECtmlT4KsZ5SNjGZ
IlqdlMplG7isV7Rrr7hXRxGwILe0AgPFeoqONRQnm0VTfSeBqRaWomgBlvkup2mbRTMrlDkCLUm9
kkYzUjckIK6uiFx4qGOoJQ3V4qw4QtXAB8W76BXJa4L0portHYF8haJ9bbDfMZFnm4cB31G5Bd7l
GVbW1a4afODR9ZBiN8kKqiy0YK75W7GPp6llLlasMdBxDXzM68zHQPHIgQKTFaEcgSqHB919FhN7
wJIhbazsfaq45h7AOaDcaFFhTxpgo5Eczy70+CbPXeMmegxYbe7AyXJZIWNBzjtv1A4Yb/IlfQad
PMRA1o2irb3BeJvBrzUdDjtTRLYHms0WH+xN0doDMa2bMnduAM/vLnPTulZst/SjB7xpKzrPAUsV
/q048EwR4T6PEEMx4lqYbDU73sdfHPUPY+Y8mBVB9VSZTUvZExChaHOT2vkd8eI/q1Awd1dZum9p
l8wlHWRD2FPuSGJNrMPGAI96hxmonaAVd9X25bbLCdmfQkH/m0mcnmLhfaD4nrQUBBf0I+QTzgzt
sVME/WCY2w6RfdmDFA2lfhiUKclX3H1bvliJ9j0XFh0hscdU0DlPpW5upWm1xyJ5kZF8LBXLT3Oa
u+wZydZpj+fCYEgzB8S5QpqXBoJwaSpfQKkcAsGA+kI6z3lMFfLaxjsXDqNSQMYImdErRCNRsIZU
2EZQN3wmeNIRFaPvwgkdTCbt3UBlWG1AYU8R06GDtDeJZBnxENO0ha9AkcTY6AocKSFIYG+DbQFT
UsCWTLEwVi60SaiwE6EAlMoYVwD5ZJygKg9DTtoItIqhsBUdfqVUIIvj1/d1KJF6GxkcygeRQwnM
Cn4BmjUbW99DdUD/+DLcMF+zLZ45dGJSXxdTN8N2zeLbHF9S+BqeecdRATeZQm+k+UKs16JQSM4M
m/PfqebfnGpMQ8Ul/Oup5o4k+PivU83vX/S3qYaOYqg8MiAI+9Q96Od/th77vznggcCDjCeszlyX
gePvU41OWTI7LLZpnuEyEzHw/H1l5v/Gco1JR+hw0Dqr4v9kqvmfkQ2Gigh1GZMIpYcr/vNMo8ug
KULTVGsk90JgGu++Lv2qh+5iyehp7obg9xH5X3a2/4+OcNczPMtgHwg2qV4S/c+/I5cGocURexN/
VM6fCSBG1nLtuzNZ0PqPQSOJPCq2YRetTeF9EG1xavL5zZj634nYf/mduL9+qz9Ck55uCJJRGeWg
YwQutD9/K6nFxojHG1WhspwJG3VZ5rBNT+Nu4zahufUyVOm2bwoeL/5Nx/7IRdfZ+60/LAeSXJFU
6JgvkY+7kqYkWquXPKL6BXFY5a62L3HENFgXZUZ89vQ615y79iSoGVEDylDskmkcFmFul+usxJ/r
jH2+iEht27QtT1OK9qJV6BPXpzse3lpPki9Ghwz2cW24Z29epqh7LJzQaS1a5LA0aLEuXmU/0nsf
x2RHobfLRNuns9i4XviiuwEOrG5+qROJhlnNe1SZeaknkw2NMNZ3Y6ovouCU1Zr26OTQ9FqXFOt2
Eu0qttqEnsdxPltmWe8S4dE4Wxvdg9CXyMDOcvDIe+68dth1WdAum+zgemzR9KZrn4PIe/PTud0b
VP5mI5cJLbvw2I6Wktluk3r8kFVTfnGhTZYn2nenG7LWU20W9cp32nxHtuxNRCwafdFRxNjG1pbp
hkcRau9dVYSPyFQrvouV0+OSaXPzyvrHuk16oAy3eILj8RSlggcUWeXYevFUtwiBJb8EhT/fetc1
x27orlVVuFAkqb8KKHJqHHdv69jPaqZQ+Bk8CL4aYrQiGbdTmnzVs88fcKfFVAqS3ZpluxJ4r/Af
O5/bCr3KfcL4F40YoevWoW1mBsviUF/OBt2/TFCyNdJDW3XXolHB016e8/1QV1wASxLbT1FOb6su
mJAmYHPg4Q+hi4CLSaIpoGV1aKJWP9uezn02fa6q+Mv26PNL8nIzsNtLG4RKl7VhKU3SuGKWp4Ns
Nmy5MCdm7vhEPU+blXeuONidfcM4o+2CH3buWmvXMa6mZrf72iJOT4QWkqwmXzwtehaNbp2wFWPz
SDc0nlA4nMIE1txTXfZcZwfxXaNl1mSqAgS5kmSOLdHxGJ7jmwvtGrb2hMUxQwdxl45gQElj6xaq
LuTMfihiPDFOYWP9MH3oEPTMRS16a2+P5Fm27cET+WU2w0+H7WaQ596hDreEtF97x+3Xjgh/aJzG
i25kQeHNF7L6m02Bp8WhErfKuZvl/tE25Q8TeAlklNojy4lfOgbbkW9hNXqZht0vGvEEaGI5Ovi/
jQRThEmYd98Q+9in2i7UTHI8J61b4mrZ47fkiR2H5yiP3hhCIUj5kxi1M9armCxGfGpqnBbyDGPz
sx4JDJugX9ITrTW3ACIGK9XRVYhMCSuj8pF72Bn6be2rpXAaji7CwWX6HfcwPoOlfbdZVK5IABtX
gwJyHIXmmFzApIJ1XIXt8AMh/RT2Jae/eUn6xwe79lNucKiUJbnmnQKAOoUC8Ul5kbPIF4bBhicJ
5LLkubQkIYrYM8Cl00wNr4MvJPBSrO8dIjBezWd60aPFrGAkAyrJVXiSiJ+42L5MvlpBzKMK3auX
pkKawqE+Yfk1V7U1HGaFPcnwjaUbzJYCokJDLSUUJKVDS9WOeJjR0Xk7cUOtIr85YvZZSnpKKq1W
sTQ6NZetKM62ke5LhWTpUVltU/3eZkbidL20ufVBRxwOHGguR2FdvgK8hEK9XAV99cQTrCOqqxQO
5sGFJQoQsxQq5uYBEfXQY6xMsYlR0ZbK/DMuCdxsFWqG7GRzrO8zBaH5vPMWBATe8O6fbLcRp8mZ
V9VMX3wYTBzbdstI7A/xNvBZkCUKdmPTwwhcOgs6Vjb0CYU097FBrxUk14fTQ6SwuUi+soiqmGn7
R0uBdS6EXapQu0JBd8x2oGD5m7CcepuRqbxMEhrrdX+gWaJ3xjUvuGuV2r5QQF8B2Ydv6WtiJUln
6qjAP5O/IUW1eBthAlkeQCgrTDCCFxQKHNQVQpi6FNB7nnYI4D4XpQINE4jDFvIwpb8aeyowYgaV
CNppLYNQp9PUnJJVnua0c4GcZvNydsp8ZSc5B0/TP+sKeLR+oY8wkLlRZ3uepGhiCRd81pjkwhFn
p9BJV0GUXjsf8W+eKTwol07Li8b7siKclvi8RDdpqa+dbZkpljBUxbda8u50uXFq7afcFv0WPblb
FdnwmlQzX+V/W3bwWovyKzRovhqJUj2aDXoWjkCaKbiMkNFhciyAK/O/lC7P69ZNCi4q7VuW8ANh
d/KQTPT7aSU1nu+ZbIBOawG1J67s7j7T6fjr7yt7/B6mgVApgaIUzfxQLqSASD7SAoB5sLFZdkjA
JVmXa5imThmN1sIdUkLEvV0xk/gJv/g0ATY23r32c3RrGmCcgPzM2d/UfYVP3CGJp9WH96z28HEY
3cvshs7CSYara6OH9jHyB5oCj3V6t6WM5RJ5ne5hK/qSU/jEYpzWjOaJagf8cT4Ni2FZgVJLJChf
LJ2wxoDQxmxudWymPf6GMZXPg5KEeTAi9eCnSgjArDTQ97bur5VgV2rdgcLwm1vmW+DXQDYDr5Wj
/SSVd09fFgUzLubupGlvclq3WNjdjtOlbHmA6GheSHGtjc/9izKXB6ovrnHHnNRrvB61MzM3F8Rx
Uoy75LgiF7GdgoWv49PSdH4WM8yZETPubclIep4HHK/51xxeFxOPBZVZMRqWoY/dPcyWQa7RRl5S
PNSzC6MARj3l8MZIQ99nCaauCYl/rjDQ1PBfer9T5eg895ju8sBfzh+RqnTDZfAByc4tIJXfpXqu
x3emalfOWo5lJ/PfmUBHqj47VCNt07HxjET5kTYp9TtS9XN/M5NPIDE6MYdp/aC50WmcJ8WwGjfX
9K+DFvOyhEBG8YjQajwGnb1KrOCqteJrlJe+iK8IcKxHO0H3DK7dNZQ26A+7tFYprlPwjKZw7xs5
B6F3K2a2bLatf4ZNdm3MZ2LGbgksP4m+D2NbOKc8PSSxs7XgbhZW8RwNHcIsBxrMh4Q56pLzrFmk
aUaUGFGV5MnE2TRjZC9F/4Az4H6wqpKfJzE3mk4fHgkcVXecgmpca3H6M8KKedekJHibSXsekrlm
w+txuwa73SSjvGWlPBleiF03KA//nWb/vWnW9HST6fNfT7MPZd1+ZN9h/f3nPd3fvvAfezo6w9RI
6xDSIQBE/9h8YdnMkrqBtY2ESf76j4nW8n9zFc3hMdbyVSzl/jnRit9I1/Bsna/ktvcfTrTwnoxt
fx7rGKVZCpoqg5Bv8S8zbUA7qBFrTQ5vx/arkTFlr6Y2Ey3KGaN1j8OoLegbVTnscisnslc9lyd1
aMoPF4Zz53TAR0AeXeXU6IXb3sNq0aX8MrkXvIa625LxV21yyfNTRjoCPvZwym3a5yZI3F1qyopf
jJQIS37L5uRG13hyfybcC0mSLSzsYd28MCoDPCTIT7Wc540dTC+tRKaazcFY2bFaxgRVtfZqblwG
xabLPm4pnxmCLwO0q2Zb8+oVGsuHkEdTPFOabj04TfHM2vFSm261DdMzgu1j3NKCZT0VpRmvAhlf
vda+G5x+I7ks7HtzbrZOmuGGrqn8HcdhhWUvvA+8EWd5Y38H5NvSsVHgkxLXTgzTTpgBMQEyiy8F
M2nmOKQDmOOxarlM+gmcF8/JZokQhW8N0xYVip1lXJDBe8zyNVaUCbqcnKzKfjLsqkBG1HLCHrLH
ZNKNfQwjpaUpaT0YC8lyLkgh3xV56a07PIVbUyNjJP4yxVztowxnzDDHGAQrCky6wF3mY6mved6U
nEQrWfWfPs6ZVdZn3rb0xx95WDT3dJ6vk6DonkBRb1WvkvN7zzq5pX/KFUQo9eCxN73hbBdxvu6S
9FtGUb/xoR+GrEZHth2VEcLzW5/GZ5GaNJlb5afVIZU2tXxOJ/sxsK5JMIfQEc3NsapkPQiP518z
nzpTW/NHjX9YK7plx319qEAJCaNeWU4BS2V3PBp83rle6S40eIsjVNXrMIxU6zb+D73qdnWST4sg
xX8zlM0nHse7jrqkBY5ubD1j761DMhaW4Br5r448WfCHMicJrkuMkSsSeJ0dGy3aJec+n06dIL2A
1Nlh57ZhyoIYl7ozGqd0DvSlVreELDOA8qKyRI0igb0RtMkiqYUwARCRnHd/XVDe18MvT2Q8NJUa
WotBv8vm+4KnMXBhYVCWyhIIM3fzGjolnXX26O91FHPippeeyVBRM5tnRWPwu6x0HhtH35l2Cfov
InXXUSFTrAdIJD5fFRvBbHyUYWkTVMI1O3EdGiNMv+ShaKY8g8VbNSQq5C2nmMpxVw7q/VKT5HfV
q7nUphW+H5J1rGmXJQgjtgOcKraxjSysjd4r/q5pWZpes2sMdJbIYjfR0A6QyOxm5SCjtR6wt+9/
dOYgFi7IGwW6qLuzpz23WBRX0TwlR8Kp+lUathu7wcw/9yRa4aTf2Q4rhTR/9+uhWmgZRHM9HTwv
u3NEyzzgFke7rU5u24x89pu3wSbNe9Y0arg/655xWzeNb9+x4yWBf91O1L2zZM9xzc2OCzt2DqTx
Pr9LzPZGKW67J8bbX3Y4gxeVKEmOK6xvbM7H1GUkbHomB5p330rdvozWxG04TpxlVdjRXciNd0hC
qGL3tU7IH8fnFq804D7DQUmwnbam+pbwORu6lQCcglZcDC7SjE5cMjGOVdZLWBNmLJSvkrXGdKsR
ivxANFCr3JrLzNnOzkRLV5zjxs3Yt+TK0WLyjc2eeSm6Zi/Bgw9WNXvHcKgx1rUHDvz4zExIZkZG
5HxWyO+qcmeu3vMZUSPcGIMLKNoMGksMxKc5TUHduwTPoO38HMb6LLiDbNkOyoOgZGShtz3lgB4T
GGEo3spgL7ozymer2NRd1u/Dmmi/OCOlyFCFZfBLK98nDKCI2gGfUHLSZJ8czEy+mzZvb4P0ZC8f
I/hz50wnEo2Qvn1opyhae4DQzKJKJ5tNmrgzR+z1ZvzgzP50Knw5lgkOzGyG+yyVun/n6uZzn5pf
fjBpy75yqx1c6Wps2dLlru4e+kJsWTsTahIaB5MykSWR1MEiVz7GmZLmfTGY35BTpO9pM3n3LUZN
AwZ/1Pp2zfFMIdtnLu33UYNTrgsPDL8CVNCrrcGLfJL1gHWCKKtEWCfP7m41HlVr8JpVPL/Sz80G
e2B6jj34FC7fOYtu+ZP9e7lqlLhEEcFjEUp2hX2an6tJ0PLdGfucP4p7soqp6YZkrMpqP9Xmc9eJ
cd+23as3ZlSbW9l8YA3EIoyQno1oSXIoiYjfUJpNayZN1AtVZrGAo4cq9VquxehFYUn7Wjb2NjYo
9mhhpm/4y7tkCq40DReUH5crolBwelrW00iXE2ZW8xEP07BNp+7S9nmKQEMcUEatCPFMxnaMWNEb
c0BVlEcMrk2hOIxGLcgb0cj/5xEdVEWwjGb/OROYOvIJ3+zAAHo3mjkdDqX3wkSPWaAi3Aohge3P
LgrJyxICRdEhVI9hIKAR3Cfu32FFOEzTvi/HZzNCY9QHl2wkOLZlejYTTPHCShGqydQkmc+9MGyu
+wL396zMur7zwza6R54V9M8UOkN8RxU2FX2jGoyHxHOOHX7KmSFpjoCBsr5VyA2xm1PnvvsJSo2V
9su8dr7y5otUnmCX1uhARB1VvGA8QHPP+fZNrNqG8x6naUIQ3xdeEw5trbuOIpsfc4Rv10Co5Ecp
6bFhTx8Oy6aioItYHItjBX1BHIrY+WxRNhd2xTerV/FTOmFnt7qaigeiDZFIsd7WWbBxDWoWgjx7
8F3voSqTL4jOGChT3HrE/A2OduoRIu0Ypam+rF19PVWDuWLPskzM4tMwQ/psmmcztg+6TlmNH47T
yqaFem3K7tFWySV8VOONF/PSB4XQd8YcbkO8pifpsjXkcvjTbiX+1W5GpW8vZnyf1817GtMSSozV
SFEfiTDC8H9QCtYjkKf1Nq+rn4lELObkeW1HzEUxTlxiPTmLGv7EE5339WitHX16DEYOJy808mUA
CIS/OfuwiuiYGCxkyWfaeVwTl2kJylX6gYGUR0lS5Ld7O5eCdEQfIgF/pIMMt6om/WBX/rRmr9ls
ZRgoWks+5cFHb01Hv55P9NP6JAOwWnBL1RZG+7TZADX5IkrZZWhfvtFd/zto/ZuDlstu6/83aP2l
QNr8/Wv+YbQTBACwkGO+shymoj/OWB5eOQhJzmFPBRQy/vx9a2j8ZqP3qVwREhx+AY9/3xrCQvoY
81ziRvhychX/swJpobZ0f5yx+IV0Nc9x1+A/RJj8eXXW1PQukypAu3NopYsZmwj5I3d+2/9wqY21
qI/NfSdDrjDg34PdWDkXr6N+x6Nytte7U6c6aGvKaCu7vUSU0xah/tiDh9I4gcOpm6Ac6Zt5QJ+O
jhMSKvG09o6KwpeGSo1I1d9Sg4tockJ8/hmrflxJQQ0RpcOPWIc6o75rFxeg6WJYFW7/5gz1d4Oi
uACh+jRKVMKRmWRGD237iq4G7OktiVncc8QGnorTn7JjuIhDChCkQrZAnOnJsTOkQumvY9NV18WO
0qlGUGCDzERuLikW9HQQ35WpIK9MRXrRWjOtzZLDUdj0tWYEpkKaRRst5V5dUAFb9llOmCDNg3MR
b3DcMNa0FjOWTl9pyzqyUAFj8JF7zWrqdepq1qYqt7nh82ifLeIciNSy2T/aoc/uyvQkj5QUc0r5
k5Au/S4BmndN1XhsMUFa8h6YUjx1BpkL8xyvo7mrVzxCS4xGWsrwkI7rmPME79lEoqoFMxal0W6Q
Pn0cGIc2KF5bmUhrV4bMS7kBD1mkxFNFCKhurTMxRPIYBwS9oi15hDDhniBtLvKS+qmnQxlL9DYj
sC9325/lQFpUTZH6UY8uKYIzSQnbwbfJUrHcZ92k1R6AqCE5d9xPaNMkxLBPcES35pq1KmSLeW/w
u1Ohkw/HSFPGRKnoIYdln4Ybq51v4wRDCg03LRnqUK90rrAOvh4YuqfBF8bCqiL7nNjtuWsJTGZZ
RP7c0L9ozpBtQ7MYdiaK5RHkj9oS0rJugTvfW6rDhij1aO9VsO1hO37UA6NuWRInbcbFno0K2Ffm
nSefGuOWkvWxgzmduYKXdp1QPj09Gl76wy6mQ+LLc8QbZFFUIExs41mWBPLJsZuayOVyO7nVjRtt
s7e4S7LPfofU84DL6g1D66WRLm4hPOD7UqgGs9DewP6sci69pH1gFM5LVNXQl3Jtql7krta7nW9Y
t5knoco5IM9MD0twGzO/h1rEnx2oZS/JPbooyLU03Yc+0PjCokClt1jIMZkl63rGmhFpvX/w48dS
E/zWDC1LYc2v9LkkV+AFuR0az2a+IkxlypMv8kAJtsG0V9fzjnKIdNdoxUMr+IUMMvaI3C5usy2d
MzlhAxHHvXZIRBKuWtfydrZF1ImTpcnRqerxCZ3QW5IUsCka+8Mfx32QZnciLJ4I+LjSD4aTqQ4m
2uSSm/onvaDHl/81brMmXkZN29pNdAXfPWaDvSMV5ayT482/kBnNzrW757mYafd0D6p8J/eKY+rX
lOocmIr3scP/JVFiB/pmfP1u4r+Glt0lWXPouSyGmjhM3kzQGvpI6RySQj75efaOOrAl+eccJoTC
JJJPYnhIy4r6r+zmucVjO8d7rr5Y/OVWK7gFejOh0+naCcUhKq1bo1nHuEpfqSg+2rtaTpu0N65l
iRCVWcc2iq9ulZ9ajYgc9uq217IWFk9sifeG6F5sP7mnu5XT8maL6k7v87NeWvehpz1m5nxqebHm
zNhCZNPPvsDdRzBov7Hq58Rlv1okt9Rk8RroW8978RiNB4cdpkRnYpvwTUzUFQeLnddPMeFSre/d
OnqF8ni69F2ziwbjQNx1m35amvnpD82SAlq4Ls/f1674DGPv1ZXzs99UkILTuo85q9JtGleP6vvo
7InPRoIOneC50u12U3h9T4pQsyME4VTGOBitiyiKO08bVsE8PFs8BzJDnrWwe+uZDJ05vzMQvIi+
5M7XOztduHhVq0cycO/YkALKkp6edI9d0e2YHTcyGp95VOytyKImEmMxKQ8oUo8CqrdvSxL3wstg
I6Tpqz50T0ETPOETxNM5t08efZGFw0BnYiJLIutsJBnzW5AubMe5BqK496rq1dUIs2Bs6aV44Bb3
TnJkQwqLXx6bOv0og/lqqa5yYf0AwHgyVIc5UXWP7uDNp7zkATnW4hULD88oT6PXzpqLbUIdeq16
0XEjMExQlR6oznTNXhnGLB+TxD/XqlW9oV69VT3rdBQRaaxlB1N1sNdzFCwJ0VhI1c/uOsR/NzXO
5qxBq9d6OAYtrJcaOh1dW0m0mZwWNYPW91T1v9uqCX6UqVxmerzrVEv8f2+T/+ZtEhWb69e/lu2v
H0X7Uf/f/5P/RbX//ev+eaOEGqM8iMRZS8XD/c1a4/9GzLbjE+lgcKHUuU/+4zqJZM/10/Z9i0If
FpAKDmuAmKL//b8sJHvLMHzPcsC58N/8R81B1A395TrJZsKyeGz6jKougRB8E3+01tCVbHudV0qY
JvXuIbF6aALyFnvrBX1owdloLWK3GvjoaimSrkmeU+tMWxSKt94d3mDnc0nfmkyz8cEBjXcVn2p3
wZ7hnkuIA4XRRGTmO5mx9sp424wYKtzSse+ENDIuQCzJ8VGSKxVD7Sb9vB87Wi5NIz0VUVHAbzjo
dgm4v2+/d3SxHXrOMcedvuvJvJMJ5Z6BI2IA4Bgq27tMaXGdiLRcTZH9IgcepzOL74Uc41vfU7DA
vowOUoLmljmbVFTEHndAM4MJZ885LtFlUtrlasZHFCg22gvybamggaVpOphry/leDoBNaQbWOjnd
0pvM/MG2ugsGb+1qOFAdXnKOwnJflFFxEyb2eWMiEshk6E/D9LMyugtiLo16GWeux11+1SMUrqC2
ncN7wIUuzpvm0MUzKXG6tc8LHOp+cWl9jJ9k0mHi0XjWtEEQnoKI/M0eRiZprfyQhdaef7nftaEf
wM1CQ+TBsNOSPt70kHM5ivwGqiY8zL175noWMz0HHutwS4/u6wJnqBeX1rbw9HuS/XJwJcZffORY
cLGasNlpmL8D/a70+oMe1umpEunPqaD8wtJ3oHcDveUg5rVxspu9O8bwSW737rhWQI4gdAO1BHgf
jXHnwhts7U7b2ck93NokJki/ejYPNMLJpZBgVljniXHoXqlNVL5N1vVNDvNeV8YHAYVL3JruWy7M
C+8oLiZ3LFMubs5BW4REP7k48Vu1Mc7JKV/klf5zKOMS+1QFb9mjRTVs0lZ4t6Hoovi+bNAk2Esc
fS1giDFuZjlfEeQ/mghyw4yOQyM42MciWyWVSWxxZR/4VMtLjacOi+l88GRHelDCP+rrq85Pt69Y
t670EaBYzObSlbzNy34mKNCPvgJZPpiiP9Ve6WHSnIj1g8RItfkDdVaAWxFLrE/cWYUSLzslY6Y1
b3wlbPL+PQsldQJwOCsazWEB6nfPzpNDgaOeS8Sw4c2uwlOLdmUq+TRBR42UoNooadUusFk9m0pw
JY7FW6nMVXzb9KxTg4z7rTeRaM2s3vaotpxcPwebH6JXZlcHvxXikqkB6CP3hikF9a1jcNnGWkaq
9TfZ0rh3e3C9PEyT82AeQjI4aJwU3tE3pvQwi3aP6edSJaQdSSU8o3Et9Lqb9hyI9LP27lbTqUYO
lGDNabPUBO5Z3hHuIkxIeIjQt0sldPdK8haqzwX4MPTQhkmAQBY3ucuPvPhQ9bx3a9zTPRHOC6d8
C6uEmCPcvJUexXeTktwnJb7blntJveZNzORrMQaQrNk4xzx0v6eZY6JVIn6m5Pwa5X9fYE8PNJuL
jRL9CyX/J+wBfLUQIMqz2wVqSWCwLWjU2qCdPwu1RhjZJzC1v7nUsayB109NK4+uWj2QVHxnql2E
lpwRsJTU+D7MJL8DreyKFisNKYD+qsm6DWZjem0nLzlKJnaVHHqr1ALEUauQVi1FTLYjFRcnU61L
YvYmhlqgjGqVUrNTKdRyJfy1Zvm1cGHzMrOBcdjERJVPnDUdOpbsDgXvaQp0R1rRu+WkORej8OjG
kSFZPWMXLetmuNigVaxeeEjEpRgXpp2shoIDHgFsp6v9Hink4caWI6TkGO5oODZWo+QaNNgRZ+hU
P+bjgbqCZaecf/1Upijn8XubxtzpElJNRj4IfFz5dG8KJD/+zRqX2qrrTqSAkO49NV8xZQIhh4Xg
+Us7ZbHRLGrgWnGeanFwx/ZZk/bGpEDiLpgPZWcld5LFzNrFR7GJOZ27SNubmn6iyOdTxD70lG1/
J3p3MXAqhmXrLfLm5pErbIUcpjqxp5VJ4mD1GTl9ta6GOl43dnV2CdKCYeKNDEi9MFmjbXUt2eno
7Csm83vP5BSyOR54qSoSVzySmgsWeA221q2pswkRSNuboGmubhp96UT6LJAnY0I85j14sXUI4nFX
+SwX8tHN7uBanyKfAlRxyzN+FMRwaU+Ek7eEnRM66z3oDkpPNoS7BhuOUd34PXVuiSYH8dRheZ3X
jj17S/xEBFvYFCT5E7iQ72UkOeti0dkWF9QkS9n/ZdvRqe9TQQEH83RKojLuqgqvBe4IfZ3m5pMf
z9RWdm9kzWUbtcwcLFR+juxo5UfVXi+ax6KEiaw0/5fjZWkObyww9wFp5Qeb0Vsxpi5xRkhEbobe
D4GaKxaVPdYDSM1Zt3SGJyjBEmy1ABXVGjhWB6B1AGxF8VnRURyvwTavmWJf+7B98I1DJf3iXNuU
/8qWjD1Rgcix5N4k9UbIyjph/3vS5+KlsfnU9U1tbQMbBAnt7+ooElf7MSgu1wHQ9cTBULwuOytF
746/Vi2K6G0Df61Iw0OMp3VJyCj3p+EHOXXlxs6zTwkY3GTx8yCmh2CazoLQvFzP2P6BfY0NvAKL
EpIOs+DnzEqXa5KAOnYxn7CneJewe4RQ8kztIJUJ404PEVmmvWf81C3CayqeKEtSkHZkFdL4pJBn
F9W9Mwpcwt6jbUAq+emuqI6VQqUrBU0Tn/AVKIxaKKBakBOwaBRkjfmRxYEEsoe/JivBX0mFZLew
2fMvSBtau1HYdukYPyarkMuO6SNUaDfx9MOJnhmYLX8jGTVvwBnX1oypTYCWCiDEJaR4pJBxXcHj
QAuQzQoo9xRaXirG3AE2t4aYKFSDIJ7YHG/rzsTl6hrZl26UYOoKWC8Vuh7ml3wEZR+ZT2VQtXsf
yn1WuDt5tqpDZN8qEL5XSPyo4Pg4xJWKc9CqweZTBdDXUVST5oLYQF1YsuoUaB/2CrnPeBBG5qw9
+vMpG/4fe2eyXLeRpeFXcdQeagCJMaKrFnceSF5SEimKGwRpUZhnIDE8Wm/7xfpLUbJlSnbY1qIY
HXW9cpAiefMmMs/5zz/MVMJFc5Z2HfOtyZ8YkY6wNyLmMvH4ro3N6eAMwU3bupz0hGuMuH6WSgIA
x3Ezl7l3GzofM42A3wzrodAKrP1EypPSEdhKUSCVtmD+pDIQvEdNMWoh6d40IQqjghnxWVJnRLiH
g3nRG9YAztN1e8fBTgHio1CUDSHbHvd5853K/kIZwDtvQiRXMZ/sUIp1r5HwGzkDZbZzHbRIfEMm
LKxSKHc5diwLE5r0vu0ukxa/1MrV3kfFQyo9QBEdLqFREGsTZt1tP7Vcj/YEt6Bi/DT7/QADQM1R
PmbSfpx1+JyV8oGQ3W1OqNwJv4ecTfK+riOBJ8Sor3v9oc+r7Wz53dJwlcd/i5tEWYSnbtQufZWF
g03WbdtO5OmaVCDo6ndDacCtByWdOCfHFirJ2LGnA+KnUxMSjlv37xKcKDezHtyCXWD1OvnXZgvp
JS5IuCD8otwihT6b3GLjld2xRTgNv485UgslwE09gajL3JJ7hnR6wHoZgMVFrLERtjyas4OJcVGd
lcLv91M3ru1aXjAIPuQmfLv2xIdsHKfRPelFcx2lRrhTHPMORTKO0cVuNq9qfbwPtfoCsLA+08ip
tlrMWaA6u0oKADRKGE+AVuadQJ6M18EJzx9K6mEC0ChvUVsfsrTwNnqXEsVW4O9l5YTCxyUnCmcS
AdRA5XGernAIOqvhT+f2Fue0k2yjZmN11E3NTKqDSmXHB+s/vht/0tLRZJ4Dk+4PwIHH7n//5+E+
e4YNPP2zXzVqJl031o62rUOq9RFC/QIPALKTtsWox9aVh/2v0yYwAM8C4dQtE+jAtF2a+i/wgKsY
fcoq33A9JVL7S/AA3vvfwAPKPx8+H3+HazruM+cNb/DLxEjgpJSp1W8JxcFNKNYfwlGcgzHjHuvi
wZanxmkYo+GibhBKofVkh8r8oBf6G8LezYVnjzdIUczlNEfbshj9FUbkSAKgX9M1RIdKc648rsFN
rEzizKKoDoxiqwOSa8JlpEWgzqDftHX5viAZ8NjEl5jbQNFN5uQgyrvMD2rILz7X6Ej7IQL6hsFf
Zh4kXyXR1rN5NzDSIi6F56bgVENq4TwY3uRvuaMBKcrpdVnN91iKn83YGC74LT0saW2ZRj5IY4DD
wN4YO31bWt42xANryDFMi/RWO4zavJFFneztkOgKN8WOoCGOnI96OE+H2N4bWX2ZoujC34rLnFij
kLpRN49pxLs3o12eJsEajX1Ed9bf0pbigTDpx5ohNTV5dhO2LvbXXgIWUZLOGOJO7MVH25MSVU82
KSXFVPbZuvdxhxyokhd+0LxjwnRHWYMtk8CJnhsTXhSqdoHQDuK9v8TpAN5Kl12RHIQEu8ogKicX
RgVPRczuiUz7K2FCCEcuvvEjayUTLJxzY6s38/uKsKsFfc95a/iX7WxjAqkHTMsSrJvzBmqmbVEi
zkawjwApFvg8OFCLQSOiAD5278HaMggYQZtA89GeenFlJdhWlDoamC5vH0KZZwtIYhcatoW70dLO
tXjKdgxDr8tZnGm2hhqaCT2KG58yiUoULsawt1P/whrL62wemkMGn3pZNs1Rp2eip9Xxo/aSak/2
Jb3pRO6OV9j1EfDmpk7BlBNGFojec79P741cc4isgeBSKir5oGH2ELnzz9M4JttpxGV46jFyaAFP
/Ci+SprhcbYPZCFyDmfg2kkmj70WFaeeYCT0ww9Vf+uTC7mr/CQ7TFq3sSdza+Tp1sdcYQdeXK8C
713vAuqUWrpMrJF2rGyMtWEhzQ8STLlKBwlk2E4bL4+x4cY2AvqBfep8I1rVRiSXzLHgfOlzcxn6
M7d23d42GKFeM6h8U0wj+pdKUQSpjWtB2YXWOxy6cs/gKVzmVlVDlfDJmfSSm5j+HSxZbM3xqm2Q
zPddYOwA31nlZN+NfNTkeMVg2+O+GedxlVaET1CpntU+gFrSiLUMKP2s4THuLW9Xt0azaY3k2CBX
tzElxv8+3pte6FxOFQbNem6vqtK7y/U52LZZ5h9TJnqdJbAaz8XJmx196wn0Sf37Mgf8cmS4DSJH
f9tm/gfRdxMiMah07tCdh7n0VhHvZlV5VBBdjfebLue1Jjobo+suPM0NVt55N+3DdLxMq/7kGKJ+
09hIbFo/u4uqtzpqiEsZYv4P2eossBmnYkMKmTYfjwlQAi3/RzyFliTnXDhFHR9TYWVr7LD3sakv
u9q/FmJ0915Dsk4sxQ5so15gzPHR4W86ogRbTGMQ4MbRv/YUdDiDIeqG8rpXsGKmAEayFh8CXJ9d
9FYZglwNIFLHDVEBk0E/mEjli2sf/UlsIWvscTshxQi0yCgNZ5E4TXvwixBPtBhliGaO0M+Md7OC
ROswexOBkUqwUk2BprWCT1twVLgDjwO4Kg+WICrQustAXBnzMS/0Of1dB7DPd6TykN3nUWy89x3G
OrVbYVej9IRkzVlneuV0iuK5jeip19UT7MtkWQHBNohwLOnAHDDiWoHFDJHpC4ADQJH9UBBFjInF
KKSxgaGBo3ucIGj9BD8TYBsmxjupgGmyi9RAh8woVczAF1iTl45ZBnXOoAoeh8on8sdLWVOIQbZd
6cn4sx/bB1vwScKrD+E5DO+w2hCbWeNn9Wa/Jb2ELs6W771C3NoQdCqzX3pJKteZVV4lxszo1IxC
RuIbDHm9JTrNdtWlAHGBcXLnVlXTlVwJRD4W+kkCluSmMwaxw5kKJzWIyMKuaNd06yNY+vvAgUI5
mzbyScw9x9DT1mHaWMQWuIQNzi0fMlktqaezjyfzxIzSBxuAxmUlxQN/G54Ubn0WpvDJAqd9LUlR
mYlAWbhZ+ZAXuHYWSIlBqc+K2fdXSJKSRZ9bKlMQzq/L2FrC627bfIBJ2uSbyLca1ecvPKPUl7oH
29HDvgGJCfZ5TrQjQDS97kfvYZ5hCA/hEsNTsZ91iNY9YGja3HlesdWjsQUA60mnRI9ohzF+Ujlc
uG5uACCRWzc5sb2THwRLK4UVwJCjWggvqohBUdpFbBGju0nvxbokzWqRdpTH2OiDbMbKgQenO+aH
9ajTAlW9zmgfTiJ6gxZ61tStPfgAhwD2b2+HNSLsMNqFgQi3Zhddpxp+MKzPtVF68gIvFRnJdNv5
mE5VAwlgBXfNMvBiB6915xyr0WpZaYmykFeMEDlqUEvLZh8Q3gGrjxM9j46jazt42BMojJyZDx2u
LUB/s1NGe0jbMduYy55WIkFIQ/JD0wlvga0oLqatOz0UZzpmR+skek0IAxLVgLcXm51YZln4uiF4
Y9PjAoylZL9yNdrToaW17euUC4HsDB2LJMyr4go+Be1uI5O7eXDT9dToM1SJ5qGek/d1alyKXqNr
BRrjsML3F7svKMlee9lYrUHSh4uFFGSUuS4hz7rhg913mAxXfbopML8OCW3EGm6bRKMF3Gs81jgS
ZJ3TbuuunWlPwA5tkxsxFjYGgRQOJpET88j4oXUQEWApu5ywj1q4EwoFZCk7ByeeVTTgfCglYt5O
YxNkGdRyq/s5N9J7MaJySlPMrorA+djGo7fM5xERE3DpQlpJi5/ZhFkyhA494+OZcrF0CWxZFoEm
D0NBCopowlu782+thCQep0Bx08dcrkF8Rl+7FH7hbixpGuQ67FtpxBuPh2GWOIMlrYEdj32fTC2o
8EQ4tqvsTSu63NXYJDh6l/ukkjsgrnwNzQI9+2i9yaMAXFXNE9KMVAekd3jeUnAOJqSCbtNr2Gun
CfgVHNh1HPNTw0k/D6XhLQJXxjya5XqSkDB7tWL4a8kFyMdOMk9ftGPicZCEBKrMLvRixjbs8qSk
1ccP0sXHaMAoeC3R1SFihf5g9PaDSQGwQkWxGJ0eFIQyc6o6k22DddmQV+EawxUsfBWL2QC7p63H
Iw2Jbtzb0It1WkUu0GQim8XK/XuwhDvBBxum2EjHon9oa/EhxX4bvKpAyaaAe5dUEPV+SoYj+Kup
EA6bE8WDQZN9/BT+V7a4qxVclbsmdQ6cZfdmpEGHxDUVQcGVFA0agTEmtjzQVn7cBtz9UCaw3SG1
jzxSF20upyKBLqjCkclQOnswecKBrchMDY0HLbHhY3eJNqPeJXJYQW9LVrHv4I9tTPgakTG16qoR
vwumiUv2LErY8jCkQ7hGZHI+muYZpzimXGoyFAKehKMFMlfZA6UlR4kdzsc8mMi6sJvhQLnzkNod
9Tg5tlhTAJdWybSOe7Kd/Io4CqOTnPrDuPM4uMjlA5dHnKHvpR1vjK5Kzmw3ujT1wd47PlT4Khos
ctUp2tz5QzzFzWF27RDB9fAQ5L08azhmbNJOkjaRr0Vgn3qvCU44uW81JYGeSPY9NHJ0tzq+pcg4
kJPHXv+2CsojDlGoWUaiLKtEEtWaF/46SxHwx82DN5GcFdQapxokWDqQC8+2sVztsbsRDk7jznzV
Couo8rzJNq4WbxmHYOnp3g1Ty1SL6n+R+MTPmx3jDUO/CiFUHqLJ3nA9u0vI9whG4vpgzSaUZ0Zm
PGnlVe0MgC99AB86hh81zq22RyB+noFJ7XvyzOj/3H1M9Dry1xq2iS7uNELOREI9JSfODGOampPf
RnhvIyux9Z53mO0yY5SHAp/5hZu2a4B187x3K9yvw0dPcqszQ0NQoHxvdb+E390Oy//QJP4kTUI3
LXCL30dCbuLs/qfXj99AIU//7heahOFYjoHU2YRWpugIv0AhOPnAq+VLlg7NTpmU/sKUsAzS/Gyy
AdEbGgKHm1+ZEnzJMBSDF8cevsdFEvmv//6NR0377P9/Kvr8soyLrv3nP2znW8MeiL/wJIQF+0Jn
KPhbpkTJb3eDktwH9BSn2IvPQlT2HMmWvqQMfpPNlCaTc0T2Pm3xmmFcGF97kAULlXE7q7RbLaJk
7dC7L1wiLledzVVHNgTRuTgcT/lSs322aPXQE6M7qDxdh2BdmERU/ypr17OZeqr03Ujl8FYzZTH5
CjAO0WoVbYd2bTQCKOVvkyF+V3u2tZYE+yJkuEtU0m/oZLdT3LmbiBDgSAwOk5z0PfOCnWmXN3Px
vrdlfD5J4haqcLQ3TlOPm6pK39ZMF/YJccM1k+GUE8ec4o0WW+Z5PBINep6jrAwQuG7NdD6vlLtz
Ctlh3xsWUhFQ6pl2ZQPD4E3BwHhjpbG7maxZgMGv2jG9Fr3iNYzEnOaAtsvCS7eu1FYONySGd2ay
if2VU+G607RNQ0IoEQqyHd46wZraCUcyq2z3sH73FBs30xRu3Ti0tzVwUeaTSE2aoFXhV0D6tOYa
6QJX0tsydBHK+P6j0UbzcdRd5iAh6LVnVOtAmBn852IX9AHcCMeidmqw7eEmt9AsDPV00r1gMxNl
pwUamyHqlrUrEVRUoDO8g5i7N/tZZP2qD/vXQl36E6jDSg6X8eS+rePS2YeaQZoyvurYz8frKaIb
d6a6XQs4Aib0Ga3Dhs2mVjHt115jtweC7c7G1k63gYFRg8EAQ1rcHJEV9Mtbu43MI1rWFbRDmJBe
fVGX4q2sk5UnjWDVt2Rez/2tOYkH5FxcablxkRvYHnUEc5H9hZXNBAO3Jxk2ipJ4k9o26hKJSrLO
3+YJQ/WCSfOWVgFWBlELiMlaYHm7lJdS1KgItWod+p22jKkkF65XAEVLa915cm3GycMcJVfOHKCi
l3a7cNn1i5pE7aUTh5deUa6j0rlMmcKsUNh8yKW+M1GptoGDxIsj2wnhIhpb9li/maqcIAUQLTQz
wSUSP3S8WMF1FiHlQ7D3AZO6zN2003zeaPJDNHvJnjhu+OntY1Y14QGXuHO7mcuL3Mp7kgyCTWFY
K3ozbqrUYrcbaq8Y0QV5a1tTkKlBroO7HAy/OhSGeVM0IS2M2x3NPC3XZRjfVI0I132UvA1d0S4r
wzMhcqPPJNm7W9MLiLKujthHbhxpPo5drB2GYN4O5BJMFno4ja50IT2ixSknBMRqu0l3pTdxSSPh
04wEl1xYZVQw/KPyPh6gDfF3oXgbCebNyJ30E4xKbOdewAQC7FOYYgaiU4fmVUg/3xEEtzMxa1y2
BRHBCS6s42BeW07zrhyRZRuYam7zKnkd5jb3vmY+FjoNMGHVMw2N6SIjKzBUpxNlEHiNmQFeJdI5
Mdvd+hLvPhTQuzDcBOIq4Fcdm7T2CWrIVdyBh7jTeb+N2/IWgvmD4xXUmlp2GVElMwHDwD4PzCs9
6j5mJjnIUxLeBh2hgFl+aXT1cMBPBeBkkMEOKoaS2n5IjY+1i8tEHBb3mjBvAMCDBZZesJLkkG0S
shdpBteWPtHZ1TEZjl1+hVfOdvTjYGctEphPcB+8vU1WiS4FgsWR2kTOzV024lnPcNI6p/QrIV/n
WOgbUF7GtvWXkXVd5LVNfetGO+I0PAU0MnQz0MQKrK4W6aHuyJYpL6252gmND8mGCxaP2N3GmWrF
7zpMkPGzCNaTP1Owe84bEjHPwIVLFcL8LvX5XVqU3rhDovQG1SWtcL/WEOZhiVKftIkDE28xpvKf
mrrGwHmnHI+5gS2rnlrtMqkTkn1qjG+9/j4ZdP0oarnPCCQK4mHVdl22b2ZG4a5inRHYGE3htQar
yZ+RJVk1zrJBw/Sz2XJ0gbrWuJqUmGi9PtiVo1CbhBpbR7RVEmqu4RCkl9mb2MlvXFPS0VAuDwBt
XRKfybiByQGqUiXWx6nWP3RW+dEuUJVJF43gAIadJ2daZH6YHfxpaYqZ66fDIwypLfYhmHOAQoBp
Al5BYe7m26LR1TJ3p/qNJkVwGkNrPxvo86wOdxKvGq4DOUM+gCJMdNOCBEh7VUvtNLbWZVXUIDUa
XFpgZ4vHC9/T5GAXslgXvYHlbsYAjdwYoP2cU6BNdKyWR8IECoewiMDl9DCJQIDPvulEWGyLxCGx
jw2MTII2klEhs2OtW2J2nwsnf2956YOeheapIl5hMYMyITWJICWSNETmSOrs4sRF9sGULyehyiPs
AuAxqTdRm5+moV4KNuKyghuCNAdCkUGOdYm69wLuyrmVEiijo6TX9bXXzvlyDnzwVEmVG7nRRo7O
67FBKu8IkrRGM90wR6SfIYHOQd6cIzFd92m0JjnjMe6KyzjIdcIPTrogE2tEskNBAJtiLlXMnLzX
KuIEK+NoBRhzjrLc94kzHwlqTRIzhHGFqgSLmPMGmUk4RsiIUZ0uvK44Ovi40Ddpi1nDsxQnAnQq
SrFSKu0KMpftrNQsUulaWhqknUTq0ijNS6TULzwEzFiVIqa2YFSESiWjK71MDumrLB33baJdaJiM
b2ylrcFlFwadNp/F9mMw8sknSodTlpYD152NTt7QCnXiOg8EAazRNlEqnv9flf9/PRW9q/vufv2p
or/q4ca+foTt1/1SAquvfqp935Z/75u+1NLf/0E//dmpKhYmz6eqn/6sT3/zH/2U7L6Lu/4DOXwo
7uA543qFfOnTi0pekQg+f1kj08Blegp5+vPXqeRpXr5apt9biD9+j08r+sff80fv4GmJ9h/++Q/X
swyGu896qr+zDqZwHdNGI/j1AnivLMf1bGEzKf70evpNL2oBzO80lX95AQx8Xpmru7oB1Z4XI/Sv
18F95WA0ijDz6atsvX/TRvi57IlM4JEM47L4mi9g+PzJv2msf2cNnv2EXx8G5f7jmXSs9jdPgc8X
PNVpP72eWvgXtAn40Pj7rOd63t9ZgWfpm7+uADiAjVmvhabwlzf69S5wXqGvUDklzueFeHJqekEL
wXGgw37+czvhd9dBcO5BMOFc8Z72+7NTwX3lWxyZoBifH4enrfei1gGMxfzRdVDhNMA3Ju38d9fB
eyXQ1jickJ/3wws8HQWe0T+8Dup0VF7Q3pdr4LenI+ugExGreyT8fHq9wOdCuJb7o9ckJ6RvkSsA
2+rpffIDvz4fyNDVDccWOH9/fv2bbolnT/bX5YKwdUXN+jM3xbOf8us5CavM0ZEyowV7Wodvzgeq
Ep/L9Mt2eYH7gSACpWD7oXXgvvCYgpto8p4+72cXp8d+cMg4Nr5cnC/xfPhO3vRfvTe5L8D1+Q/7
9k+vZ9UTqDymvK4Dle3p9QLLaJJsxI+eD9wXDmNB14Zy+en1bD+wTDA3UWN+/rKSWL60dkJ8J07h
L+8H/xWKU/b+l3WgMPv6nESYym7hAcQn5Mt+eWnr8D0jzr+xDiBduk5f9Tv7wTF12zEQ6T69XuJz
QXv1w/eFEjBzCJri++vgvzIoojgmv9STTwXLi6onP3v//Oh9AT/aNbkyvrsfqKNsky70S/vxEs8H
LrtvlO5/47kwEayjw+IA/O3BYHEyQEr/XG/rL67TdL3vsfn/8gKozsGBbfnlwf9mHSitDBuPwM8H
w19Yhz/x1ADlqe/6OXu8b/71fwAAAP//</cx:binary>
              </cx:geoCache>
            </cx:geography>
          </cx:layoutPr>
        </cx:series>
      </cx:plotAreaRegion>
    </cx:plotArea>
    <cx:legend pos="r" align="min"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_xlchart.v5.13</cx:f>
        <cx:nf>_xlchart.v5.12</cx:nf>
      </cx:strDim>
      <cx:numDim type="colorVal">
        <cx:f>_xlchart.v5.15</cx:f>
        <cx:nf>_xlchart.v5.14</cx:nf>
      </cx:numDim>
    </cx:data>
  </cx:chartData>
  <cx:chart>
    <cx:plotArea>
      <cx:plotAreaRegion>
        <cx:series layoutId="regionMap" uniqueId="{3A8DE203-C1A2-40A5-8DDC-F8AD0564F2E1}">
          <cx:tx>
            <cx:txData>
              <cx:f>_xlchart.v5.14</cx:f>
              <cx:v>Pessoas ao serviço</cx:v>
            </cx:txData>
          </cx:tx>
          <cx:dataId val="0"/>
          <cx:layoutPr>
            <cx:regionLabelLayout val="none"/>
            <cx:geography viewedRegionType="dataOnly" cultureLanguage="pt-PT" cultureRegion="PT" attribution="Com tecnologia Bing">
              <cx:geoCache provider="{E9337A44-BEBE-4D9F-B70C-5C5E7DAFC167}">
                <cx:binary>7HzZct24suWvOPzcVGEiCJw4dSMaJPegrdmSLfuFIcsSCU4gCXD8g/slHf0L/Xp+rHPbkktSqaY+
FR3XEVflsEPEBjeIhcxcKzNZ/7yd/nFb3t10b6aqrO0/bqef32bONf/46Sd7m91VN/ag0redsebe
Hdya6idzf69v73760t2Muk5/Igizn26zm87dTW//459wt/TOHJnbG6dNfd7fdfPFne1LZ39n7NWh
NzdfKl1H2rpO3zr889vVTWfevrmrnXbz5dzc/fz22Sfevvnp5X1+9Z1vSliW67/AXBocEBbAfzxA
X3/o2zelqdOHYU8cYOrTgEsiv/3wx+8+ualg/h+t5utabr586e6shUf5+u/jrGfrfrx4a/ra7Xcr
hY37+e2Z6Vyf3pRv32hrwm9jodmv/Ozy66P+9Hyr/+OfLy7Aw7+48gSNlzv1R0O/AuO9tnf94478
+2gwdBBIIQIqHnY7eI5GcCACJFEQBK+j8YfLeR2Oh2kv8Hi4+mMB8j+HO/132sceEQLnn/j4ORTi
AExG+NRnD1CQx2PwzTD+eCGvY/E47wUYj5d/LDT+9Z+D6W4eN+bftw8qDjiiknEuv3mrF6CAfTAs
SYAeQRGP3/0NlD9ez+ugPM57Acrj5R8LlL1L/RsjCMMHBEIIARv5ZgkvfJY4oD7xERH4wVBeYPKH
y3kdkodpLxB5uPpjAaLu8r/TRsAIiAQTIOI3bEQyiC88eAj4CCL+NzbxzUb+aDWvw/Ft1gs0vl38
wcDobtKb+l//629EBCzER5Iy+WgCLyyEHwhfMoCMv24h6s8s6Tdg+WXqS2x+GfkBAXo8sv9+SNmD
4xOJpHiMGS/jPEWSIyToN2tCL9zXV3B+bzm/A8zb53zy57cPN/uxAHl3U7ub7l//u/q9XfiLqkQe
EAnUSviw28/lCAsCAArhBzTAlJ46rz+1ltcReTL1hak8GfmxkAlvrLsrzRs4VvXt3xjyqTwADsYC
Xz6EGOC+T1EKwN9h7lP8KGPkc5T+/Lpeh+rl/Bd4vRz+rw3ab67uqcR/9qG/KvHlARcEy8B/EXeC
AwkDIpD0Ie68MKY9mfqmvX97Ka8D9MvMZwv/Ly/nQ6Orz3+nYAH5SBCjBNjvq2QMyDH1Aw5K8gGC
FyryTyzodQS+T3xpG49P+GMBs+5vui9/JyVDB5whP/AZ+rbxvzINQiTxA/wwLF9E/T9ez+uwPM57
gcrj5R8LlCNtP5u/ERQIKwhhKgn1XwVFHmCwFIbpo3Jhz8PKH6/ndVAe570A5fHyDwYK5L/03wtK
gAMfgbk8uKjnsV4cACED6SLYAyN7ISeP/nA9vwHKw7yXoDxc/rFA2cfDm/Iu7e4eT+y/L1zAWvA+
CwapyVetJTjgBPkc48e8y4vM/Z9b0+vgPJ37AqCnQz8WSO91efPm4m5fa3jKd54931+kXl/FJeS+
gke98qK6AhhR7AeUPNgOwo/f/S0X86eW9DpET6Y+e4Kf3z4Z+bEAenfn/vV/Pv+d+EA+mVKOAZ4H
3/YruQmZZuzz75mZFwz5z6zodXh+mfkCnV8Gfixw3uub+ubNF/PmQX09HuR/39GBEYkAsssMkmhf
f15wNQFqE1ACXvAA4gsO/VdW9jpYv77DC9B+/YH/z+D9donze/E3unE38deq8ZMq5++Pft0NqGO/
mPp77vGb59x++fltIAiwAv+Jx9zf5lm25tfb9sr0O0hi/PwWCtFQ9qQCYYGoL4TgcArGu4chIZBA
MhAUkkY+45BuqCHiZj+/ZeQAM5/TwMeEoABRcLDW9F+HMNSS9soLQUWVggum3+v2Z6acU1N/35yH
39/UfXVmdO3sz28x3Kj59rH9w/qcc0HFXskFkF0HrwHctLm9uYDegP2n/4dNm6VsCt4r3M5h5fGj
3I+lbOLR0o1M61WdL/HoD5FB42bePdm1V74caly//nbfp0AFIOmPBWPo+bcHXoJGz9Tw7Q4noU5m
p0qiVZ50bpWMJhZ5e4fzIQ37IiGqbW9H225Gr87jtuPXXuqVMZm5U56VTeSjLCT+uiuXd1ONL2jS
H6fOS6OCmi++Rn6oWa7DeXFEZTV/X3t+VLCmjlPkLqfR3ovO1KGE5grlJ20eZTzpojxfjnBSJ2oa
55j63spMLYkaLVQBmcCwn9NR9a66X7qijrGeUqVbWYYTzlcYsyLkWdsoM5ehJaxfd1Lb2E/4NbO9
PKzrLIjyxAvHRO+Y6KazbBryY2HZYSOmCGXMWwVJokPD2RfYxOtmaAOVD8eVS8MsSH1VBtMu4ONH
hudgl45jpXS3zLCFNt3091JfjSVC8ZwOVWy9vjvieXtvPE/vcLmoWbrmvBKr0S10q2lznrgmOLQj
386y95VLSb5J5Rg1fZWrdGymDaP9dpza4lgkyUlL+afKH3QkSxvixmGVWnIxIisP07k6rLCp1l7d
COWSC43ZGHaJvwmw9yFIfBkae+/liQmLrtTKDnm6SZm9NaVNtqlth3DZeCl+R5cu1LzD267MV7Yt
ZeTKsovIVGwwqagyZJjDtF3ukIAzxJncUL9u4mJk3TaH+KgqrxlUPU03Ohu2rUFLOJYK7C49LQnZ
9LPzjjQrPpQkC/uhTN8hNsETLvlWMz9RGWo/jl4ybd072rH2OIsmLXXImTesxUiadS/nkwzjM4lJ
rwqU3rURl/kQF6jnYTppsS3xcFd1QpGiOuoJtcpD5aBIKexaymrtKs0OUXeDFw1fTG20BORwrsRp
V2aHmqfvCoyjQcxZBEfSqtGVaVh22Is63Meilmaz1MOkqmJQeNA70gm6bSf/o4c6qpZpCTZzk6yX
tP/skslTQVr4ocFeaK046kwv167v7p233DUWJVFO+xuMTaMqnaMwyc7GRTaHbqg3pTS5qv3UqSxw
Tk1M0DXS4rgc/WVVuuE6cItKTX68yJGss2VbVL1USXMMxdf3lZHBRhp/R3I7qbELbqag1JGWqY5w
aUg4MV8fyqUM3VzkapCpXaeEKCIys0rzHow9A3sqErC+BAWn3dhFmItalV7cIL28S2R/1iy1apOp
uijxeZ6O5Vmgt12woDjQlVZBl9YnaaNmZ+8K6/dx2o2nQU/jgPexTqcd7Ol6EPbc5QuYtnRk82GQ
Q7Mq5t6qSZqrpm5WYxniaV4ZMEU2JqOyWfbZ9+0JyrNTKYbrtlwF7XIc9GksvCHq0n6V2vlkFvS0
R/kJmbOjJSnXTesORb/NbHk1FPp84UHMm+yUlJ+mkr5v+uWYTfdNN23Bxs/aoV5z32x6I1eEFYuS
WMdWwHl1Pph7EsEOr6e+jZO5/uAF+H03LdcdS09M2cUpLnau90561J9kOb0EYXZGDKsVF5Va/PmY
6ukISrLnqa7XTLhOVYEXakE289yfVPm4TfCyq9LlE+uWM38aTnq5KvN5VzV62wSwuSxYde10WqfJ
RYD0UdKg4zRaxuKsYvmZQPpE8Gq3+PKiMfq0bvhRh8yWMhR3fhuhyUXZmF7TYl6Rlpy1dihUj6nq
vPRdw/lhmnebJF9WCbOHJkVHbso/IYl3AuPTustPLDc7IUjY2x1qj3HJNqQudjMtjpCp16LNz1xQ
R2kNPhyePOD2wnTTCpzF2sg65OZqv7ui/1AQetj5y1kmssirliMrplbpmn7KZnTW0kjU3sf9DniN
3O4fjsj8dCzns1DDBu+ftGqLoz4hO72QT+VCNwk8dcdPAlRGM0nAKx9mpT0MWnsm/CD8GkUfqNGz
mH5rmrnTafbQjvf91/+4NBX8+dox9svFfTffL78dP7YB/u6n1ndmL+Hsyw/tV/P9Xr/0pu2p0fdG
tRd061vj4G9wsd8d/LNEjcLxAtL8vXHwV0TtZUXlKU17mPxA06CWzamA9gLJCAYitL/vd5pGBKSJ
JBQifCh4Ayf7haahA4agEAFlCuhto8CgvtM0SHP4hO9FcgBKDJp/8F+hadAn9JIpBRzt0/HwB1gj
2tPIpzytIhCe5oQZxUawr/FSgm8La+ASkZvgKFtXH9co+ZgMfqFI3jTnni891edeHmNiWUjJOJ0T
K1uVllxp38S8n/uQDqSKswptUGPJrq0iv51xPC+pCTnpwrKawsVVIWOT3HrMAJmq7HXjtWGFcaaI
XWwYqCw5hZYzdFSgsg11zjadpiKquVW89ZuolfMMtCWIsqBMoybLhBJdXsZIyybMPafyJUEh8pOL
ZaovCzSvcVqrhHc8bsfMV0XanZrJE+Gs889iFmd9VouNnMskrvjoK79mO2nbZSerm7IiJEzzJldm
IjtXiOXbX3ju0W5A3qapgvKIB2DMGS3WMu+ro7Z5N1ZZvUuLodrVJat22CFf8UncB4hYJWlEUSpX
Zugz5bIArbgIelV73IXNPNuoiea6Y6onvF8nN2RIUuUP86LqQTrV0+E6L+froKTdymO63Cx4uOrd
+Clhea7YUG0Hw8uIWi+NtefXYZcX7UqXnYJOWlVmnrISu7CbxLVt7KwqeqjLge/8zEGw/KKTsVXU
d8umt12q2jwlaugbdNiZxVeyPecG6PIgRR267rJCwJZJoF3cOS+uYMlqaMZA2Xz5jEfEI8aSbtXN
QRK1RaLjqh7qsCiSJLJCY0WS4gO9ZksRbJjFZQQZpHXL2Rhzj9iIe42SSTOeNbkfyqE7bGxfqd5H
Reib7GM625O2KKIuW8bV0FTHCFjA3KWfMl6pfExO8yBTAWlXdIQPzKOfh7Mf7CTKtkkNzCOfvuiU
bzzL1nw2l4vTl5iSKdIYX7V2CqfJpuE8yThP5b3XsjRigRePeCqjEQdEBc0QyxSkTZsd1YtrwsLV
WGG6rWm3bPDkbpNJHGU6Y2FC+usJiW47L4euh4CZEhuWdtAqm5etXw5XyxI1shQqd23YMOpWZdvP
ALvyxTBFgc/9uF2SSFdJzI1HQzy34xoncNhZuYStJrWyi2OrohG7PiBd1Lqljvm9qKrthFHyvhjL
dNWJ9H1mkiJcfDCYKajG9bREhDYiDOrRU6yduUKO87DTLpLaNMdzW2Jl7EIjW01rTf1FjaKGk1J0
bAM+DCjM2CtpxYmcC7pxAreqKayNuinVikozqDmhn3JSlGrO0kxxS9b+sAyHQ1Ve9ohf+gRMHU99
NLn7kbZtVOUdh+MyhT3P0lORlEoM1aaftD3VHs1XSS5gEd5UxoustktvCNjssKyGxMRtkTK1dM2w
7pLhpiCkjHUiPvSVf0bLolA087ydoH2vRA03znIZBy2Rp8OCQGO0OFo6IO9Vwj8xFlSqQ8suQzpV
HYjyyMNl3Eh36H0wU1nusGeSEATHGUPpqc4Ei75uj3CBv041vdPefD8Y3Gz8ivgbkXMdi9QMcaXn
QmENWoPy4ZAE07u5dPk6X7p1U9BmY1XF3Kms5K2/zPyQmGNuex31YLfRIP0spH5iN3TKgBrNAyiv
XufxvrVn7efNSTLYddFkIsqbgIdY8BEkkyZbU3hZuGTNFhcyRKDeglokIbwFgNWSyY+gMUqVLBNY
O6JXxo3wtDDOu1qEYu99shHulIFDNk2+0aS8ZZSe5rwxn9saPIObZapGVnjR5JnqxEsKt2rKOYgT
wAlUqTkrfMRU64HjIEtVxNC9p1I3uwhSEGVMkw8uGeO+sCT2IJkf+YMrTuZmAOEzol0gZxourb2V
Fk46zmAPujrKTTcqjw+rMmvyMBk4UoXuzxj2cKgbDfGic1oNOctWY4ey8x6eVg2+r+ZKqiKxw6rX
aSRIeTjmto7oxCDKJDTq/TRXRONp603tJh3CPM/Op64iIRl9UGZVWa380cyhFWeQcrjts+owBaFS
B32hGls5GBhiWsqwdKRV4zRvC5NvwVkfFwmOvamgairVUsxbZkzkCXPR6voK1zFty3sziat+w4Bu
qoIhrPz+fqrdtMqcL0JUuesejrgNZLEaivZKOPoFl60y43RTLGTecj/pIZIPgAgFsdr70yqw1ipT
L5+Wjt/NwcDVgoYkTJLpCGvqwsxapDCrN+bak6Q6GrAFCj/ayKS5Vj0rtnmrldw7XpEikAmoWJdO
vguqcjUvsM8OyU6lUNFUw0jACqpopuImn+hVQjOVTiApKfuYanToNydmyFaT7+2CAUJ+LVYBavsw
sac1Pk9dEDX1EA1DlqiOlxdWJruhLm67eutq2iuvrS6Kpb5ftKyiIRkjTGaqyjZfQprZLePJORCv
Qx81d1l2nuSlCfsO3JkbktWS5O8rH14ywTS5liY5phSnK+mhbVMEfTiSpVXzIJLN0jQGUjr049SZ
sJxQH1WMi7AKxBg6AQHUeW0ZVSYPlz79QLnQcdJyCNKk+ewquYPdsIcpmt51vmIyt6uOTRdkBt8C
p1jhJrnpfT7EvMzeDf4qaSU/dAs8W5Z8BiF10VRoi8ePAx3CxpMDMLRsVEttz0XWbnPqZ1HqBZBU
EkWkdV+uxqL/KPRymlfk0owUwWJkrqZ2gSSTyEPkzBCOfneasXLtpXkROkaZqhHQpqAcQjF3uWpK
jUPhZlgwWwKQMnMMIepUtnOi2oAixXH7vhu2rhzTzeL3x21jgrPZkSY0bJZxlYRl2c+rRryXfIgc
7S4TL6+OdMHcNunnjSkaepjzZeuhSq9Rm0ulg/yLZ+076VlvlWDQNsLgYW0scDw+abPOTbvymzxV
gmTAXhpyigbXRpC42VTI5GuMa6Q6Gai2nDU8hz3R9aRjh3Eb+/4tpzZuzQI+gaZLBOyx8q6YbQKF
IE5o1F+UjN0JrYtoXMwtYeS4n9JD3jbv/RoexVSoiuue5kdyOcQFZqBG2WpuuqvW54faiZOEDlsk
ypVYiIxHpIFTmLCe7Zcx6ZbIwSZVmkRGZBRILW+nDqCyihbLthvz0Bb6shr1p342xdbt41ohCRy3
QzPO3fnAstOxwZC/NAZH0k3phjZTKBOI4sswzeAa3GaojV5jBrlFIyY1B9UMAXcEj9f0F3hos3C0
vIuznvpq8vwLWvShaKeT/9aLv/1W2TPJRxCBavJv68XH1olXJn1P50N9AN5iCiArzxkGTfZdJ4Lg
21e1QUBCXISsg4BU+0M6H8QghYyUFJRBx3RAOKziIZ2/fzUE2hQo0BH219P50MHwQieCIoHqOWNQ
TcAB9NLD+p7qRFPInlS13OewyXVdE5B4o7ySvDrxhRlVmtjzSmepyvu14ODT02yDq1qoufQKNTY0
hjgcpdSzkfb0Z3irRXk5vxzyvlaBHiVk2vehVF4QD2+6Jbtv6Nwqgs7ZdFpO8r3VoggbkVZKLt3G
RzUkLVt3a6zUipf3OneFgjbZY8Tt2Ty119lYh6I0EyRpua9qSj+1mFyBMal+Oa2TCf7NYFpS+6rn
wXsM/lAJtElqlipXm3uQDbs+G1w4VWjdBy0Ns2XOVLfsQGd+WaYiVQgXl0EyFsp3sSNVs/ZL66tx
AWWygDrOadWqornndAAnzIkqPAskZc5Q2Bv+qSvZBT+HYg0NzZJNKnCaq96O90tOz2peelGDlm09
zieumkU8MDOrLtNtOAgeJxWdlKt6T+XNqdV+dYSbNFVyCq4EbVeQEL4uxqRXne8jNZTuMMj8z4g3
ftjki1TG6zYCgbcfCgfhRiefhvyENtaFgYibjl8l+UxUQwKQkbrUwHq0aozhYV6BNhDgcaJuAfKe
eulHneanS21UVWv+od2rUCpBS/JcwNdMQD5zczkXtj0aIaHJK3RT64u0r8xG06lTvgE8RboRg4Oc
mTytxwHvZs+d9hC0OwJOeDhZ3BQ3VPZbUjdHfZaSCK7saomW1VixUmkyhW3Wr0ZJ14NXsEM3Lhs2
OtghZLiSxu2WoF55iXc0t4VZ9865kMwgjbTwrhAsY+Pp7KMnC7uCbMaHgue1MkkNJMAVm9nWoDYQ
BCU/MOFk8JcxS5PNRLq1s7OJLG+uk7QGejF5ZxW8SXrKoM5CgsaP4K0sFw5wMAb0OWUT5CbbDJaY
AJ3wq7Auk+kUQXYXNyKPaV3vwHnfiRTfe2ANEo1xNTHQyAmugcFZux7n4Trrq/Sky4peobGAakL9
uWoC72Nhg9i5M2qQt62hxqSkSIdN5pIG7IrOEDauMLIlMJeWxKwk8YL0oGhQrXCXuFB3mVWJIB/Y
YHvFvKI4TqC2ADnsK0md25ISjVB2KMlJ7fUYEru4PbLpaEK01O9T3bF4KaGUAGnlRYGk0Ss+DZWq
jK/DrGImLuZpVFO9EWUC+ZOULaHXdHMceMO1x5LiqPVBCwz2gjiv3rQdGhQKGhdW1RyzUa8947PV
CG3wYZZAvWcidIuMnsMcBe/hWO4NPZAh1z5eC2FXwVgrqG92SqTZsk49A2ikUjVpd+zx7n3iQ0wH
S5nDCYSWElnvTsScf9SyQ0fAiu6XpJ3irt/1ufWPlyGCWhNeTbQ14KiGUzmcuQmUfD0KtpK6uy7b
MqzdsoCDKPKTua1vPMdnpccetrq+YjCmBkbXJNjKRrLjwqOH2Msa5UR7miMdNQadaC6vltI7tNJQ
FRdFcE6m0Q/zKRgVJGg+OkN2oJUh2lf4M7MLlFKgvjdY1kZQK/LDBGhdA3TZLypl2PsSZFlokyaP
JnqOfVAZM+wOnEW4w9Smq76rQVJ5H1JWjBGUl8/1OO0mITdt3R/Xk1kUQuMllG/3aR+hgBrVofZu
TMVbkE2DD8XIBUoaYxrWNA3bnJ/xVt7xFNzroId3pg1WPbWnk1cXUEqAVJlj77DHPpviYhH6Y1/k
H0a/3ZUTjVHFTuf+XV7aE5zna0/OYeBVVYRtf2FysZamdKoqCVILz267sQn3d1g4pJsGyJEB2cGh
KabPiddwqNRu9eITtXj4NKmbUtWFtlHJq6Pa9p+JcSyEc3QyiQrULXB6h09B5t9XaPGjupULsK4I
Zy0kCQdvz4rdoCyhUdvWJ7hvJSR2wBehueuVFZu0CkDtJlWIPPgcFvtg0za7mvD1QrPb/RexoT7J
kEmUP62hBl6AOBv2OZwJStJZHc5Vr9XUuXNd2QsdyAz2te7U0nefaEl2U+M2FbB71VfwLngqZwYV
JApuKQ3uaj/LlF8IFNJ2k3UgqE0/He3pfgo5hWTpb1taqbJjkI3C+igd+ca01c54UO3zRZ+qIgsF
Gu6pW4qo4lDnC8iopAcVaY+ezEk+hRj19423YZmVIZtAP4uuvAmGcmsFfW8R89UTSvRK1X5PmZ61
DADFIHtq4UODuJTQ1PCcYujanxE3tFFwAKDWDNoxGzLFsimCNodNr6tRNRTf4LS4YF29Qa0+tmMX
NlN7JlN4WjqO92m6q7J+N1dgE0l2NFt+OAVD2MqgUEsbJlAFnC87iTb/T2sH+sYJ9OZQ8qLdAeE0
WOaKNKrgkLgTtgEtAbWwr1vNmuyiIHzbd8FJMLEj048RuBRZnBtaXxFkbwNiP+mAHPVSH5qluprb
7vM8rxIEfhnOJlT6IQNpe+oUS/ghZFPWv798+srWw/tcsPkM+u+g4xhKEc/YnZ25rvZb3/mDDYeg
PRlxcTXOPApIplc4GZBK53SLIMccWpcfJTMIQm9vJaMgi6JmOUclUR0FZTrSu9HBYQZHfTKM7UbU
pgizGQqrrCM6rJALay2nME878FZDmKSohZorSKJlkJA3rtxZCxlQSIxUMn0XzCVSlJTbr4/839Wt
bw1mt0//txGPvWf7zhwsoefyt5XKvl316Tsu36d8r2dhQUBxQH9PwAT62lv0UM+i8OJzgCkT0ofz
HyCoJD3vOtqPgI7ZS5hfZAo6QPBCIYERnxF4/0b8lXIW3lernnYdUQzLQwJeVoCXeDi8Y/L8HI+Q
QVwYygPwlrne9s2XiXZqNAs7tcTxuGTyUmTWi4PensjKQG+K6f1tXxXrwTaXdSrlIeZmy4WdVg0P
5ujJXr7i4tjejp6tj32tsknuI9B7UBF8sb4GCuIZSLrQm3ixSvu8W1k0QWoFyukEcjFDKVaZFJuh
A/Hga5Ofdylmse/p86Zx5DBYsi2vNBSYgfR2GHQ8b3seE9lfFoLUIRJVe+rX2yWdst1iq9NW1PMJ
l91NayiPkjzNtlXHXDyks1shU7EI1W1/mLb6Bs14Oqlpmb5vy/w8pTyFikphIgM+N+Ut20q6pGfD
SOlJVwcxJN0uqB6rP9qi/RY83yKBwQvBEYM2e4bx3lU9aRxroQQT+OT/cncmS47zWJZ+IphxAoct
B82SS/IhPGID8z8inCDAAZwAkE9fR57dXZl/lmVld1rWoje0cHkMLpEA7j3nOzegqQrc7M2iZXz8
utThFB970817ClcN7sHgZjJg9TcnLMOCeqaHezPYrANEdZQoJcrStUe+AGpxZV0e7axhZFTkpix5
H2m9HOXssVtE5qd1NvVLF7ogOUiwHW0ZoWNV7MzbNlzTWHQQl/gCiXSCRsy3EcAb1C+mgS/hR0dR
m+jbig1ynXl1gN4Zos/1nZyUvrovlIR/8eX/Mrflv3iIoj9v1lhij4CuD+4IgBvyUn/6hFD2NCX3
TQbTjls772UN2bbkxtxF7bOLnvx8nak4atZPXapWyIY9zJyczK04BrMRR5T150nTi7KB3LjzIAom
bXmuh/BpAQ1yDqexPvMG0IGw3vbrpamCxZZoy4uOWufmzYnM64Cozdonzs0+Lg2lUQq3b9iB71lT
Gmh5SxYo6KIMP5d6vMKdUbdhdU5mLdVRWb/7y4W66n99GTJVtMoNjgyK4WVYqQ8Kpqt2Zhp2kqvu
LKO4OxM2OZks/WQzof4UcSd/0JpGm6CRZYZPzN1ZR9nTUvG9jqtxrx9ffb0EicKeFHySA0zjwodk
eiTtMh0n1bdH2BwUrW+2wDu6qIgNJ9aN/90e4P2ZTQRRB8IdoKWLpAKKhT894EQmY43li6Y1Jk7u
dV594Ty64mNZ0mT2h23pdBO4yFi8Gn+iKDX7+qUZnU3PnbFg1MK+Qwf5XJvp0E5TfO9XqNtBtVzq
FiKl8pW8jBJGTXypte7f1OK0qezC7tx6sMihgTbbvo3NWQVG/DeFRPyoc/5m9aL2SXAw+AEwU7zF
P21wehUydNEZZNaYP4KEm8K23J5ZsFT7ssSScmyqXUufuWHfg6V9G123upGQ/eRV3B8cwvjt66VV
RyRNwhk82OO1r0sTRiYPNWgBtjjbmvjVGxtnvtNCBnnMpHgjYxduSFIVMpiDLNDU3r8ukV72imh9
MY1d7nOnw0PvrQ+XHL+DD/Vy9yM+ZxNOgK1fpuBZxyvwJOcaDozkU2LC/OvLr0s0iGjTRXF51P1C
LsyMVcZCP/wIE3qVS8xfvQC+YwvsbqhD2FgJOpZ4kd9dWOo3x527qwt3z7J+UwYhpCI7JGOORybB
P6KKBnLKa93VohhL39u3rhPu3Rrm6+qsYJ58mA8DTquNE833sPWCJ1AR5VsZegfYVd1tFn35pnhX
KLeldxOoX//4DKP/xS0O/SD08Pji/kbh4/t/tUHHSRVWDjoMKFFUw/uPbmUTyJduQQO0ju9lG9Hv
JVr8kYsU+3V0+MsFQkLqxOVFerQ+2GBQ8HOAYBG78gzH2g3+dnz6uoBpjE9+HXS7ZkjuENjLPte1
90ODLAVZEQWnRg/tYYmmYzXYEXgsqs5w9N13vj6pOUEdHT7AB5QjRyeY2K6M5reytpBPlvgPyBLB
L9ntpwEmterac0mF5lmvCi5G58DJngh3OMg6gT2/OCs7cL//35eoD/N//HG67t/VBICCQkQvodM+
MO4/tz2WwLoaOq/LjC14GMwHqGxRnRrD9aEBiFNDNNTTnvthKlpK7/XjErsv6Eydm9BReZnjfgcV
E4b//7n0ZsqVZXrTTyHMWxQ1r700206E7jfaw7aPG7Ps26GDh8fpYak7vcXmCS+e48CH6UM7cHZJ
t94bFzQx8RkpQABGZzdQpw59xG2Qcw97MbZZ7QffEhdLhCRmyZjonVPv/1rCKNyhhLJp3wbDbXxc
qKcNoDow1ZB8in6K0Ve7aCvidbg5ieyP8xw4EFaZs8EntaYKYFze2ebN4/ZI3DG8CsOnpzCaD1Xv
0uPXZV0ZPdaE/6A2SbaKjeQ8S5+cgSrA5vd2ZKrZdVmC6jYs63YBg3OmFCjBuLi7hAAPjB4XgB5u
tky+vED+mDZWt/SpATddiETNN8fRTp4o0lyCgeg9KwWsxBn98OTWT5RXMM7oVJ86HZiH2FjnY912
P0xl32dlh7stVXvmidNnKwvaH6qeXhqvM6eRL+L2denWBeBr7x2aYW1tyiJ6NItPz0aQnzGgw5//
+Knz/24RI8QYJTh/PB++AzLZf7uIo7X22mWO6owPuaVa3Ru9qt2gmJMK3PAznb32WCeQASbPkSlv
Zo2iUu71Mqqjb+tx10ztJ3RM68DsSqadrKJvDKLsyQz8l6wSsuUkuLXLrZNlkst2lJtRueQeLMbs
JqAfVbUkp69L03OzAZkA3JuH+lX5fjaYav32j98ynv4/dweYFRei8sLu9RhxgjLqb990n0xmjgPo
I87jrAfq83Wp4UwLHnp34wXuuYTaNtZ0BJLAQb/Ah927FepNCqT2jRqnPRGWGLSttnqLoXkfjI5E
9vXdkIV6XwcRzUbj8zfLONu6c0bXqoNd6NavsYBBEo3FzPryrp16uhPfqfEvdfbw9eXYAy2YOE9w
SDr008KfPdsO590yxddBxUC22jEAoL1sWzbZrB37zNXW7NXavwk9vECuK0GU9L8EQz6g5P2PTl72
I69+xdJADJZLscrkB3vohPCFRzp9X/zkfURFm82/JxJ/thrymZKQugmcUi6XH9bHgeZ3cMA7nJjN
agCglctHbyqeOX63jcJSZtYHrb+GAfS60suqelYwYwFl9CZ+ivchW38kU2vSpa0ubk+KqWmvYtDf
xUB3MpIfce9vkz5mqUt1nXW9nLJOrNjD/cbdaBNfhriZtpSRj7XtoVauIfRkXp1JA8lLRGXKCYIC
qpPPLlWbWSeooih7E5V4H8hLGPbPeomCvQAQng7t9GMaGpnr0HwjLXoHMteZ6CfwJJY8iRiJkdkZ
6jRo7KsICIiAcFONZuvp9RnuWCrIK08AMPE2ObNF3WQ0qcKWeuu4KkhRDeQ4jLuiqyBE97ZrNs3Q
k3Rw2Xbw2m+9P/q5B7w8g8YHeQdg5K4O1noHWEBmM853wJNp7w/Vtnf9jSthB6wcsDrp6S4R8Kn0
nIBlU+VPZ0gJieJffQjdc5nFxgNjtnGnBmGHO0uCcRPUxF6oLoe0prNTuN0Teh7sTk0eRyJ+bT1b
NIlTzAGYuHhu6b4eNO58NW/doTb5AHA182bgjZ4G0qErAFvkFLCSH1oK3m8G02+4I9BPZ24d6e1s
Z7B8UZdSZcsTUfKIdwZvIqi7lHmsSvvZA1w2kG29OE+Ocj85UQAovbLacC6HjKztfZidF0G2s9aQ
52O1Cz2VexAme6vXvafogSe1SoUNrzEwyRSfJ0lVjwCGAHxCF8+9eHJ9WwfdFmNA50zOeB0HYrQJ
sevtqDd2qQX2FqDZ3WlLbaF1Rqr2LZniD4QKTF7tWOefQx/+1TQ509ba4YE4Rp/1wI6GwpK3kA2W
AQWGCXA7+zA8l7z24ZlxcnXX5562f4xluBUcuumKLWSsVMrKJNgtq9jMc58CFz4rm1xnT3TFOHvb
ibswDmEmWCHfiON8kMDgLCq/1R0HMOfsdKhT+VJxd0zrqU/SuYueJls9WTdeDtO3OVFYhir5DrZn
mzQLAVakc/U4qEDd2fknj767ZJzzyiwK4Rb3oO1vOdfd9wY/uLEl9LxORzcQTP7gPDULskjGYaB+
eyzmhXZ3TyYfoVzhz5o+yaFjiDQsuyAtSVzmdRzoTVQR96wd+9l2tksd2y6vtBK7sezKbEhwEPrz
aPPOOB7CKSXPXF/+UpIHBwPOtVibHjEOhtiCWfpb0pkWsIbeIV31x2jqdiuEPfoL38SsnQsAb+jy
SuSN6qT94VdLvxOqfltVeG0O7ABVsisGY3dNj5XWxr5XuFAsUt0ncDnKTVjJ3zEgzhp2qV6ntmAt
jF4a3pcYnOpE6zBblnDZrXmnqyAdeuMdVMueu1sjESiBhxVnY8N+zEG3n2u2Zp0JPUSz6BtKD3JO
jEvONqK7UEdxinMf+Z4kRRYmOLC4f2fREJ8gwVxwwz9F/Yh8qIqkvUfWfOmzbiLzzVjwRSHtU6cB
Dri0+hyFC/Z0T+EmJPOOzuBMdLSdezocwnqrIxjms8Rf00TsvQSPuxdLv2kUqzPFHZW3TufAYJhe
RybCnfQUkG0vzB1f/Z6rc+LeqyX8FJyWmwoRBSRZ5hXhPRfnCWvOg1rXTcCWb5NC1mb1jJsreN/Z
GJq+iAasXJdA29XV5G9Gw365fvM7jqv6vZGsQLoQoZpqba6tf6Vj+0pIfx+8sN+W8jKM862aNr3x
X9rOq3KmqudoCuAX641CTG6vvXXcUln/nsah2jTWgkgMbfnEIgtrZAx+sxoxw3hsZZbEz3Nsll3s
sThtwDLdWwBSNaXTdvbssZ+qKE2EZGmNwA68qxVP5carQarOvnsnMcq9zqIgskvm9G781AcvbtCD
L9SkAbRV38TiuPtK5F8eqRrBq9UStF7U7tqmiwoIQM7WIxw81i8vXvs9r7EhmrVq9kHfQ/hnYdbY
zimSQXQbLAXV659Jh1/Uuo62yjp/cBUPTxMrgUq28wsO27f+QfkkOvLPQ0XO1PA6VQ67aS8yl6Ct
mmIW8jeoBA07skEObQA6H9AlFxUaMGexrzFark3jdz/9GWbeJNpX33g35j8LtpZAvMY36veiMDGY
Ozqu59kjBW41Kzhp52xGosX0iCz2gOwRg5syGszAIRKw1RH8dYKy+DgS9W6MTVCRJH8A49sNAgwS
ky3Oh278qav5pKF0pMMQAw6wOirAxZpMVU0DB5ZtVIubsgrh50bLJDfc0h3sZQKnWjfLeUb3nHl1
YHbhVMp8Bgm3p9Y9/5Nsv1jD6yAIwmL/k2x/GFAwjQNQk3+N7Y+bSO4qZv9Ftn+I6vAIkRD1w1+x
/bqFF5gE4v9Dtp9HUyrH+W/YfrPKFzlZgPSJ/5osJmMWJnY9x4UJyac3rWXOA1ZEwMX/k+2XFTBC
Uv0V21+VB0S1/h1s/7omuatIQZiAfjWIf5rtxw4FZPMorKiO/HEpGySaZxrtl9HLGtN1m95BzoQp
V2YonxRCmQUU8BqegUr5i2cHs5OtJsVqEbEcfCIyYF6bxE1gmq5ICztdWGVJDTi2euRB3C/EQIvN
EtMntK+oUlsUR8t0XS3yJRrEC3D9aEOkcAux9t8qpk+mTnaiYtcGQGQhZqApFAQXXH8fZGuzPkni
fVv7ohtnQF6aP3UtMhmxGbcxEQCLHUgFs9CHEKdUMTrhFkuDZn3jztiR+x8mDuE6KhTyPm3AJQTB
DGJnL0jQpK5EkoWwYICmw39y5d/rTrVIvoZjFqjuA70pNpyqt7nXoKD1Sjc8OLLdrEDWNqtAm1Av
wy+fd/KBJgwpApChNicm/MuKgRqZkMhMeghxn9cQ1UA7gPTE0YAuCLlz7fRo3/IWPyTK+G5KfWR0
0sBt+sxw7uZytTdB2/Xgr6Am4tLsOwcsseBJNiwh6kJaHftl/WhcE6RuCaCURsWYjCE8eT4V4Rhh
z+/R2/B1PYSOireuE3xfFgDLOjklTXjT8wrOW8Qh/JEhyAEekCwBWn+ag3q/6PFV8bogS7VuZAnY
TcFciYJqzkfp/HCJqQ9kQC46rvofY+tVkKgNjFwvAUubBE9s+R518kn0pE/JyqOMoC8I3fUDKfGy
GDxvs5brCZxWdawFjiJPYb1N/DKUmA0QrqvJLZJyGYCKtWhKhEeHX9XSpLYJk43j87JQNoqBmfAM
pkv1hlQZ6vonSf3yWk72NUBgSNm2KYYWfyqOoKKxm7Uklw6/N1VGxeLfdaUeEQEebEE7LOkyoAOO
ZGLutCV7nUBql+PJdb0Pr9R7lzYhTj9duFMrdk7Q5hGyQ7sBWQ30ssDH5h4RYwsYjyHX6sT0NhD+
HRV4ruLgB4Ppk2FS+qv0gp3UI80RGnrS9lsMQiBb39kMsA7LgsBiRNZiDR56wpLojHsnKYm77Vj4
OjfqWlJv/VWXBmEEMgM29678wba1vDwrNejDwsLdAubRmzk+VLLsozSmeHO2bhCtqIZ8bMNorye2
DZsEHc6qCkTY3kYVfGCFIUiSoJutnWHJqNOMOV/5R112KM1Ntvopq9YadamMNvXMDrRmKDUT9P6u
S1JeTkM283ep6p0y+AvIjP57IhNHIYx14NdTVtL1lyjVe+kj4x2Z+TQLocBcoxEKkesY1+C5mSdk
ch2zR7bnRcIz44IfAwl8KvZGmXOMd8hZuX5bOv/FvkCz6nIPYbsDUJp9Bb8rW4npN2QFyx9pg+Sc
893t6QXuLstihu1qnZvfJUrSod7QkiEXb/TPLrDtvhuHPfIkG5BN08W7xrOjUijIIADBvcOGmbFJ
wjLdEwIXYtI+IDTuIfbYQfPQaCxLeu0RAo9jACcBEkqgDMFnijAu5irIe40WqytjbBMA+1Kv8bNK
D+Fu0tEJRc0zA+QBV00Xo4l0MUPqcT3sizBsaC83xrBntl74QiAPLFV/VKauUzn0ORxR8SQH80sb
BCQRHzkkFpFtqZEXSwb3iNp6wmn2Ocbmtbe9Pg5xtZn08Mlb22xbgp2cOd/HrjqSZgLX+diKyskR
ECdiH7kNB24hTabChoU2/IjnFYoAAYvqVWfBUPPXlf/hL0DcFP6TD6GbLImwzjCwQq/womF2sE1s
A+xKwTW0AckCipsUzl2Gt7CZunDNG0DyqdeVd2d2Ra6H+jXyJ9D7XNlC9gy9LUfUR0rAPhXSgIuq
wBSueByJM+LUuqIOhocFkS3vGXytyWs3gcfp4zfin9PyPhBZTLO7MV7zfQgOUdRExcLomjPCiiou
kbssLZLx4SslnBznBQq10/kRvhfgR527jUra54YNDb7STV7h71k7yN+hcVGRon4dDBIZ6Gsfzwnm
PDA33GMNSWz1a3Ai/TYhKkCDLb20LsejguGW9XoFHYagX2HgMkeEbnhlr2VbHYJ5trl2nJxKSAQK
VhQid82nRS2tw3cS1kfpZ4LJ6jDJ/smP63cjW4l6pLxOjIoNHdzftZdcwTLiaQNJ54y8R00Nzos1
9Y+R2E3SGDw6kOpwr+UPzp8mA1bQkTG6J4QHwZXlWApvMihtsZZagRj2T3YKZI4k7ZRihoQGRJag
xZtlTlf2B9ybIXVbzk89Zzliys9zvVbXu9JOe1CzuiNydSaPyLwtp3P9R8szwK4JFhvd63rpMh6O
UxoOIt6ACM7a8qUb3BcClHf2Ns3K0CG4oA7n9qNK+n07TzsVeALChcTp140H1Y8SmFDztMrAblo3
QF+CbvbrK2nhII8RObdzuPV8DCwZNU4k42LiROt6b+1Q+vnDOvIaCY2urN7U4Jfo3MRLGfljpgCY
oDnRS+rwYSo4zuoOVJ8/LZtQe7/BwZGDYevWSJYtAeu3hAIx0bFycghivs1bOshdFy9FLesg5R5K
63CyyHkN+EPdR2UgC+Hn6sEauiatEUBLRJ8LGn74HA6w8jEjxcM4jqYvvVtpRjhs0DbgiQG8wgyS
RqCyscZ7DcIB6UOoBW6ylNtGiXvZgBTjrfN7bIBg2wA0rrd6ERTidmNWp88hf7+2CwberDp8kj7d
JrrbUDTmu7LcTONtcJzlOMg+KSbedAD0IV3o8PsW/xXNO6aQIJTUghom9XWO7CNswzHZh3k3h0+f
ADSRqhXlO5uQk62bqzv15pAYCYjfaLZryvA0j+Mv6X72ESj+qsQm4ntvceSyNK7BuRGNLUKAvJAt
sF8H/rXqK3C4U3ObKr61ScV2AeIF5cGxS7ynI9AV7UeptB7D9jP8qC0Y5JPjBNDwkWfH+h/yxm3x
yY8gGHnw2jY98i9zxHfKDeNLYDvkVV0grf7isFQeeriLcXcNYIT4BDeJkmdM3kEJibieMshVDxjB
0s2kWBKghFUcPrOpOzUU7juLkzccpNiluHyLjKj3xFcQAh3U2AwSf2T7J7JgF0MuKcDZj6rVr3VQ
OJ09NgjupI4MRuzHKHFcs2ahGj+EcZyjwfqbxUS3oXXzEopLGsFeiGZ+tutUb9YgDoqBjXTTDmpG
zMsHJQB1wvfRyhsAKqD4Lv85DyeB77CLqv7fPA9HQCjPVmjA/zPzcHDqRg9i6/9pHs7iVgfBqucK
FYn9V+bh0JVs43H4A8cBSUNwRP/0PByCxAp4mcMom93/9TycVaDxEuW/ZR6ON42559J/aR4OkH90
AH83BAdGy2tDKi8dWaBSf+4/4UCUKeN1XlLrXU2MGI0Oos9GNtkQu09Aned0HlSZjiHKZVib4H56
xH8NJK3SDgpnGfuGgp8VDPXKzGh9jlT1M5ZLsMWQL8xmeDQrZARVm6DqNAMYvMl3X0zcuy+u6LYe
KmaEIS3spRj0aYmpFGBXnOUazcuhDdvyjuNj2sOtB+wd8KRgoyUZaER2oShcLrGzrgVGwphMqA5t
zJIcAZBMF58hU9+X3alyo+FCYsO30qDDIm+tUZ+lwAnkdnQ6YeOe025gyxb5JUjpQfKbcnH0+ng4
icamwwyux7qKX1Vft9ApFcp2iOpF6es/iOmObbi0e9C6kOukO1zaxqWP+VnTT2FTJCj91PFbZ1vC
G91MCZzOgUITqOp2yIfYMWfTz809wVibHlUhxupsm6kf7zAKC712BvMt2hC2tOhE7uH11n16ZKr3
Uxnqp4pK8xRP4YDUP2rWWXzMzUSvQgziXvkrxaAe/h6PpLp/XYRGVpIHaNoxwXDPw6pGVn1Rd/QH
wB4ChokAHYMjXdER8x1azIqruN0yVy03Eyv/OtdoJdzvGlTDAUMMqptclbgRFLKpndi8e3zT1E1w
IAiUXl2tVa57AdtUBeQKrcsUdJZhbns+5cSMSIwg+nNPHpdhDLAGubk4kg73pFvYEW/+vZkajCGT
DiZkNF78zKKfpULPDJMcMQ4cZyeXkiAf/KA/hYh1h2aG98DasxfZs7N6+rmpX5dY9Xf01OaZO/6Q
L2qttl9fAvDuUi+oms2SRL+6GYOwMievMVzhpabB8BLI7lMmrXOK+3F4iVsvAsfYYF7S45vl1GOK
Wbm+LL64Oz1PvhnPnSBI980uWbX/QjFcChaGs2ExSlBH+HY7+qFF6iton70StxC9CKY+lWP7HHkz
yfyFBJcmwOMiVRa+I4TefXoV8m4AG5szpxrGzkrCPBSlvSS8Kgs+8utaihEGevTh6wDhNjhcWT/E
u0EG8a0NYHJYHf5i6KgfQ9gCLJoPW/MfpXD06+BXLtiA6CZi4uZuN/Xgp4DIz8PYbh/66YnTXhyC
B6vX9N5JiUYBkPXmz2HwXiISOveYHL0K+oUuzXe1NBsfLvEp8KGUB8QcVhG/8NJvYZZSsEMzlrUd
LpGArfxIaGf4iZetmQooQMPrMJX9s0Sn5LrnuVr0t85lHUjKixPROh/cxhyWMikzt/fK44S6KWyd
8lSBHMtr+hILPyNRhwbZH8UuJNE9IbK7UMJGGGaGF5JI70xqvS9rfPT4UFjammZCHt3N+mileLbK
qtAhbKmgI4XLFPtGUW4dHNrFWUU/lQhKpPg6cpdieFkM8Q7+EEuIbq0tJl/xE+SVmxEIHDPHellc
We8M3NbNBwEkDjb5AvWi7oBgtduBijDt6NBvTU/obQnr9gnDZTa2R6i/ndt7K1V01EFyoLpFvhki
Upo8IA9vLk8zAo5Fs0z3YfkyUjzYHnHXn/y1oYces8oGTmsApE1WItd6bBL4Hq2n9cavMIDC84MW
pPL6A/sv20UyIvu5Ehq1cojMVtLc3WXqkASFh9mF7/6I8YFUAZFWExIUcV9dAIm+C4zPu3QDkgVJ
28TbFT3/dhz7q5wAqJQD/zSjG1++LsiB7qK+IQj0dQhQxr9HTG+bVgHHvY/+kJARaK2Qbm1jWLHW
C04VzqIEww0vMomLxUvKAzIStBiScJdgAFwhR/OIuuJBVSSKcpeFe78sTYZuGvhLeJWktftk8hKw
uOSkOCiYpSTNjk3QQVcrVI6hPUgzabUcIxLJzA0r9AL9A+Vldty0WMf7qom2per9n03r52rRaeOO
zrfaXZYT/EFAEMLKZ9qFGGUg4uPXpavASZPy26Cb9hY1ZXBvvZLk8fxeAmTZOLBRDpXn8p3XjT+c
LsIsi0b8CjzUEXG5hLcYRGXaJQ9hZ4VQO0bTqUUWx64jUEct81B6ziVJIMX0irB8lW17DR1wXRGd
eO7UMPjRbA0fXjL9Sp7c1ai7xKkcmBoTCDu/guwZzjBXoxoMyxDnfGmijShnIHzt8Nw0v9uy3S1y
XZ48GapXZsgv0oNVJ2K5VBZNRSzlXlUeP9VUZqVHxdkhQ6q0T9+WqaWnPsYMGkFWLNFFnVdevfoT
HD4jS/cmpxBW3OpKpJziEtV46W7bRiXnVosGO94MLRoxm8IC3QUZoW5AYVaMwJDBXceY5tcRb+89
GhSEqvi5jYLyHIFMjOu5CD1NC0wYYCfVehgEx5CnotwxucQOtU38ZbmtNtjzVUWX0o5m0431dBKC
ou6szUY8Xrd+O4CDSINRBte6g5GYjP4KbR4BM1VF2KIEUoXj0vPURVP5WqqHti4Cc1raIDrawXOR
+dduWo0B2cULW9/qwNkS7lUf2URdc3bZsuZV2XuId0UCY6AIFuW8yL3p6vb4dUFIE2JD68FSNQBg
kxnkf4wBWex1dpuoRYgUdjn286Co/4O981qOHDu39BNBsTc8biZi0ltm0psbBFkswntgwzz9+VBS
t6p7Ri3pGMWcmHNTEdXVSTKZmcC//7XWtyrDv8sj32PiYNEkZxJJFngPjd14D0X1qkPQupiTezdJ
LvH5BKNCDaWJ5xkv4+gK6xAbwQ2nec6GVRXdNrsJPT9IDXnLXkw7S9HjlZDGAb6OgaRfP02o3NvQ
5TU3HDcDoNOxdary7OSKbBdi7wHDmj1kgcyPOSuylZ92mBBNs7j4SVderI68dCCznd48hNlQH5vE
xz8rgue+tcYbPqS3ijDIl8tBtGqCVZ6Df1KTZa3+OucUvbVHRf9xT/DcUn8TXXfIkdRXtp9ZK0KQ
FpjVAIOx6LZ8NWtR27DIutotH51eqPWkeSCOjMxcVnoao3ri9zNFKa7ch1qub/nw4A0MKbUTlxtb
sw9Oy7aRz1Wyaqtq2ECs8LdZ6oxriBvNhgcExyhsnGXcts6DrfwtpoYMu40VPwXThkS8fTAK+3vq
jdtsCIs7GUKqBVZIRg3y07JptGKVdmJc1Y6dAdBK1dkf1rZy7z1AYnlhW/eGxz6qDqL3NEzZAgZ5
fap8TC+duJilDHZjLe4zaQenngFpWb/UTmRtSqeTD34uuSD6GjtYWC0HgGbLltTEIlJksk3BLpuI
s7cOAlZHuCqgEaUZuzo/BqpC+mTDLh+lQeKI8yq4kYXrV84ynUr94g1hvpja0NiZGWlnnxzgoiIA
fsX2htZftzc//qb7lVzgvXS3TZ7HhyLy301LddjPBpvdRNjt+nAqtpgDjSX71fKu8soS1/gn3tD8
QrAwP6chRMpmsk6YL/gDmWk5EbjHURKoq47R6OombgtNyroGZncnnFreAOjoH/r4QQ+F/vjjL7lx
X3qafkkD/cFiPj6XVk5agUD+6+iUew4xipVdlG4bq/JvG2vMbv/YAYnGg8HxZ3e+Q3WxqRvsCFxL
J6o1RxN+sm5XSaga5WMgijC+4J5pxK0d297Cgde5NuOyPXpzGCKSOXiDLshW+TjwIQqBCXmZuzJ8
0W24pRSLpMottqpTzxoNz0poPGVxkLKUkM5yrAkENkVpsXkpfNaLtXFkIT0bNjb47h0Xt72TtGfO
J8W1HOILmSV1/vGHNiCG5QN2mh9/FfFHGQHhy3RHHf3AXTWqaXYFBIQjppxwX0dhdPQAUO/HPK4O
WfNmKW5XXWVjNRRdHm7MuH3JyHK1sZtd1fxH2PDengxJBBfRCStLmKQbw2CzScYQv7KdP6aqtY5u
CDohKhTGVt9+GrpaEmifFqyvk93EyEEcGf8qEFmFE5F5nq9jvhqOtwPJM0tw4oiFTy4Klwxzqor2
OR/IxBdJmt+U/aRYyhXDUkv84q5jQ7xy08HZ/HjnGdHVdVrtXAXDi+4P8ROSDPmNIQ0OrfE8YKy5
+/GHazKMkazRN8WxCNP0pvDb6pSE4ap1tOK+bGE6//H75/8wDTs2rmvTcWzwH5at2zPz++e3Tx45
hVBslrluoCbWUQFwzijWHyqZtNfObi0i6Tn+DMH/E8dtf8g8Lm66zpaqJGbDCxZvnGQoyUXE1jl0
y3rBRSW6jk6dw21SILXM2r9oBlHxLh04mjhiE/oY4Er54jVFt8pb7l8NcWmVJiWwIOKjHL5ZUkvj
GpIb+HNK9G9mrczfY8x5yuBVpMSrIT3L/P1TFpXbt2XV1sSrC8UW1S5WiTeuDFXoa1/CJcgHTI6N
zvFa+vDrnBzuQ+NHl5Z7M9wIjG+FqNtDhB+u9OzmGZ6RdigqkawC5ovXDnDKIlU3WZdgiB+J2bsF
jwtC+yas35Xw36a8bG+kXqNDVg020mK4GAyOz6HZiYNfZc9uIg4yQ8ogg+IfZYaDE9UqPrITeOZE
lN3/8bvg9/ElAPHEtF1wM/xWiOn9LuETlLoexor3smZA1QWs/N3OtK9IMudX0Dd4JXAHKCtgH2/I
6O+8BX/kh35zBeO7Gy4vBPZuQxpzQcjPb0Ez95o+ikCP+aP5nmrR22Cbe5XF3qqa4nCRSO2gI6nC
KEaEBUtjDu9m6oLhaLvm72S+/2+/CBYUUP0lZZnOTHb9+UfhMqjFBUhy7rT559BAFOZEl6jQQmjr
jnYo8HqbU0fuXv/zb+Ffll3+fxO6SySWKNzfjib/0i79G4jSnx/0l3Cy8ycaMSya/QgSS3BJDgb/
X2G7NoUA1GkBQ3IR5Oc+gr9ClHhP8Si4RgJnzxzI41IydyIAUeIzzMPmxPMc7rf/mXSy+yO7+pt3
rwCRxoWTqLPNz+L9Lrk5JNY0APonfCJGugdYooGu/pB1AwgERSrMk80Y91/KYulqxP7Bicpdl/mL
0pHIjj7RnPA1Fvn53+3c5at7FABwRv0vdO5mGUhGE+cuKebfOncNrwWRbub/Uedunm0GwZH9P8W5
K4vQ2AS18c87d33Z3Q+69um7YbI0GmwAUFtGgFLcsDGqbIo09IB0yPNUi6PffOAqLh9aPfis4rbZ
mrBx11EC5MhroxUDIUTljE1LVrorK/TafYqj1cwduUgyFiZInNPS6b2dykxFSEc7xFb6romhXwMN
yjiWBQbnCHakxlrTq2ClAKUuXNhECy8aJyIq1q1hzJYNgS445F/R5FXbMSzUqgmdD4KR3JIMqEnC
ZwGQ1w2m6ksR3gkfZwUn4ImlevlV2RbBB2W3Z30K6GFwxc6NelCDZGHwTtjl0ii7W4u41doPhhG6
bzxjvKyDPjSPus6wr+ffXAVZ0JQ68CTBbyARy4Lbl0gJ5vema2+mwX0q5QjKfww+8YNfAxivV0fW
F6NO/U1k2OW2B99idnVIkKC3VrKKHsyaPokuRv2OTeebRmYP6665QAUUvczWIkdAJahl97gcKsf7
0hndRjedbjOtu08rgGFD8WknWrQapPXm6+ZbB7u1MDDmCpOzhQh5dkHHiOe73/xJ/5xqtMGyBZLj
GW/zx3qZ4bVZihDcKkFOschYfdmDdWybAlJMMz5K3Mie2UOVCYjgmXp/Cxjho5kw2sRGfKCkfN21
5l3LIhc6NNppNlM2m5NmBRHCoN0zJOEz6YvhcRjHPRl0sTYgYJ48FonL3OEF112XVg0Sky2qsW9+
tX1604hcw3PhPI862OAh0uJTPvI9hwDamVc6j7qKfJ7akCxjIFw1PrFdIMNs18MgR0P25wACNjZd
r+TWB2W69PIV3ogEb/XYgSx1+21piNu0lezDfevBi0oiBWCDV7Wmecuqr89NgBkhSMWmjvI1DmBz
GRY0VmAMU7CdsWqWkXqWk4s5pC3wHc3WYbPBeyfyGRKWuTmPrAOgsqQd3CHF+t12L5Cphj1x1EcJ
aGRfDfO+2+eo0AWXuGMxProRjqEkuymCEnc62aHWwscDk4g5DjibLxrGFsBbywidZaUMjpTh9OKU
UKe1cnwljvkUucZ5EKjy0qVcwVfRmcmLT05FGIu13aiRoiNw+tbX+bfaXOKpasneEpUqW3dh41X+
AaPgzDF918ge7Tub3A5tmz7+aCtl4AvkwQyL5z53t51f24exrS18fwgKwJ13Q8RSvm6nz6gRj1z0
vJOW+lgE0K4N1jOc9O0m/yZAWywlBo48SB16O7qzVxZX5YWf5qA8xjTenYIdc5LHwabSvJgpleO0
CaMcDulZVSSUcCEeYJBaK2s+BucVe0KW3DdqIM+oGlewFcMTZHqffZS8y2JCyJBPruZ/jP10zAGh
LZ0wuph52l2x7+grD5QdUihEI1VExS6txBfaSr1oHA4ppS2rpZFAlhsjFotpdldbVX0Kt74p7prm
9UvHvlVV8p17eYsuNpOFMYGuteClzUn9MGNjIQlCPpLNpB8ml9m563dWfAncYG87Y0/Uc8AvHutc
XSiEsJmOcZ51b1WWg3KXezMxznXRbKK86N87Q1B5wvgdR19NGibnYKZicOA9xaBJFyCbl2PV4VFM
uB5zOcoIgIuLGxUGawVhc+GlaAMGxb6qulX1iW3ixrbwKnRGgashQRQ0i2hTZ36/q9lvdIHnr8j8
KowRxl7ZXXaouaB5OEDWQyLRc2E7rmGOTYvOs+KFn9+x9yhWZqLvfb+Llzag4kMW5YsbWYzWYVJ9
ROAZpl2QDCMUVkwmtezu0iD55uq89mFm/rhQk34T2VM6ZvswikiG2VvpVtr9MPj+zgqgdTVpeQQt
/8XFreJCb+yoOJHLuiqdfRk6j6EulnXt7RN/TNdWXkW0eMibvoYjn31BDgvxwHr9seKjnblFtEjj
jnKSbFrySk9X6d4nbfymFUTFq7Gu7pumuQSpuiZeQhoZucIfo+DiDGwXAhQy8jkci6DCrdIpqVbo
JuD/nb49i5jtYteyskq9z7EK5APJ0YBV7gSF49Wt2kXjhXKbZcalMQ1gjCyA6zT1jimB7m1RuG+F
mJd1iPZ6Qqx4PNR6sBisac3Cr5XxsW5kvUEwcXdW/93hJH/QWg6xHvFkA5xtjHq30RxzWA1QXAN3
ilbN4HPEk068H6ZrV2T6rq4x6MrhlmF0i7ZTLtsse0oCaOjsLdHHNJScQkh6S/qcWKZvbQAEznzb
XTYOOHkm476SKn7k3PeiuYCBHTHVV1kA7S1lyN3Mk+EKxqB16XvDXjpZtNZqeLUlbDzwNwBk7CrZ
y3qQ68gcAEkUGsxf2lU6VC1rqFYuF76dAH7TlhLcfrNpayc5WD2JRBm82Nq7XuKDyiojuyRFp47C
mU7JmGE8tQ5R3X93w+g2bRggbHviXZ+q4zAMgFec6ZvSsCznTqDwAnJxF9DPCGp1ybvQ1V7FAIIT
IrCe+UQeCw62deN75WmIx1Otfxqx8WHzFjedYC0qgS4x2SfHniT3zpSESOSfLQygtpd8BSRrZof2
uu2PZcSaDv7+sLBEe9+O+hbdge6flutzmvXftHZLr9MHT+CaUzpwlFSmLAIKCWqqb1hR5iOfEve7
xrktoMEisQAslpUD/sEO92HvNGcX2ABat9q28QgCPcoOQNOMvZVHn2oMqSb4TMZwCXUZTmi4G1V1
cbn2PVrF+BF0/ufEKmuqoose5dHsL4AAPW0gO8TLKjCvwjGPJaavNWzMsbvSTuZf0qZfOROXlwDr
INsiAR95yvipJ9D9kCmhNE/lg2ZkdDDIWlu2XhktLOieVhq0G8iGXOgiLowBy96DwAY+2GV9UzVY
86U9LlWNp5R9g9gL4X5x72s2mRMto4vGqwv1z36TflJjtHfpJqpfOO8Qjwu1dcU1GT9bTEA0jqkr
YH/P++vFVNWXSIitydaYaBhjBvFZA+R5/k0NDxVuzTGVLNVRYEH9iV2UMGu0eXdoex9TwzDsBiqk
EJFbPpRVsdR8AmteH59jNp3rSreirZ6Nj/qEfz1qy4fIcdZljqrtsHsATOPRnzZhAvXJSyWzzVx+
6eO4G2z5rnz/dr6/YP64t32fO4+BV93UMrXh+nc1Mr/Y5xq+tMGHyGj4Kbd/78BleWGlZnRjDCRt
3ZSxMdUJE3ov3mg/DmbVL+JKHYo2o1YiJ4lsgWJZmYPzvXYH4+yFuL1LcN81xvQt9uO9X2T1RXOs
2VbcL3MzZ9DGx3yOreJZVSD3DK2+AT1QHaE0vkgRAm+3kuD049j8L1sf/FzZ87/+exX7eM588P/b
O4ZF/R68/4xLmzsUfzzm1xWDC7nLBGL2F6oyC6hfVwwsFoQlpIWxzbOx3v26YpgrO6lUFUxYUFws
Q7Ir+suKgX9i9zAvGIQ7t3aKf2rFYP5YIfy8YrBZfvADm6ZHQyjf7HdbKdbxo+WKEj9l4D2aoJFo
GduKintD095hRvePxTjlW1b3X6HMlxJteOuMzypwqDXR1l0VC3hbxR41ICBCKY9OpcimDO+4gJol
wP+nMWJOcgtaK6Lyamu9OI91eQWs9KWSEDFRVOuoK49C5RxXIANrvptsIna4rQFbMJbunQRIsMmU
TyGIxx13MrLlQP3NWk/0S9FBd0nPVALqNzV63TKtK2vZcreqJwo5ohL9qCguwEeqjecEmP6zeDcC
Ia7KoFkl0R5j7geHy2M9xMywg0FhDBdFiepygaX5kRt29pqNBwQ0KMBxnwL+xPunm3QhaDrsZiPI
tzp2mYxbqebUVAradnbB6xUTneRmVPiULOjtNjMXPrb8ouOaZdNmsza1EI1S1Musca01bOYqr5rV
2JjXqg2vpkQh7G24r7UwbzQ1vTbj+GiqiGCV5HTnKWsfd5F2qe/Nsb0UtSCUOr10rC3tACoH91nA
0an3XnU0vSX9987nrkVCvVrQDfdJIvIUzVt020Ufs/MNweSvqRKfKRn7qW23NWjbfRdHJ0L061CZ
gFzVcLaJg5Ccva851edNVays0gHfWwPT9n19Sf5KFXcpZSsLx5Vkjllb4PBa99zzOUJRXwM8QFrR
4xhsjNwb1wxg0yLpZQoiZUAWgnBv9fv/DBdrSY/mXPCYl94z/Ry7amYSd/5dUFAF6U9htiUYe+iN
2DuYhbij+AEexBxSsYnqRJn5lsTeTaEHybkoWyoRw2HXKuTNgEI9hId4VyW1hQOCa/NcVxnTWwnZ
mA4fdzN5bXmro0ybRJyPwGC/mi6tT1FeZus+AqtQ6g/6tyFLg11lMTCZTZthMMQ5Q+fKa+YMR29K
rAVxLpIa52ou23Qa8RLE+qfmcLBIuGduCIGvHMjRKZrwmXP5cDXrEJlLI0sGgMdUKU/Mt1+queqz
6Ydua9rJMnIyBsWBPg5IAJtqPk/qc1momGtDFf2hai4STQIo423jLIo4hZ49+pQgjWt9rh9N6CGN
5kJSe64mJdpUwveG9tvTW6pN7UNqUmRa0Gga0Ww6eqXOcoWyU47c1lIE2WevwASaNKKONKM2NKTO
rnLsUXVhlqsug1iKIpKu6xonWUE7TRGWO/w2aq5dZQETMKhW330+PSRBoO5Q2onniv6EsfcJ7+R8
xOVipmN5Hbw0+czRbN1RZWUjKk/dWx6DD1gJaD41sN/EO3jBXoQfTlAtNdhUsgZC17csGfYJhnuV
dnis6lVpPmfI8hVLmbB/nRK6FbSQpqnXZv5erI/ir6LZRhpNSjiFdKrBjrTtcIi9j0rORNziRVHx
nmM90zx3YuPYV70+THCKK+3Vbp8t+MD8cIFnLPTdaF8qGAmZGHk+6Jo8Kp8vytZHmNCFpdsbjwuN
p8f0Nn7DTrDlN0v1abisKUUZymYtfPh1aby1PwqBUlm+NYmzamObGhhvi+VgNbxzTVuRaW0EvUwJ
zJXuBi7KzpjcLSinBeCpRQrrYFIATtjMugGecVqqTM2h9cdbVNGmc85l1uzMbnSW0DmGBzNN4qNh
AGtrEOt3kRsTjHUVySu97ck9lISs+vxJGGl8aVyawWotv0a+loDvnnZJkEqWHgbQjeBzLAne4YQ1
6Xcxym2AMe7eMaYX6nUbjuFRuHajWz6F3qGa+ELDYMbr1GYUa/PcWzpOFC0K3b0KGl/QY32m+zTp
2C3YR7sK8wtEGX6bBRuTkaXjwpXGkx65mEALETKzlSQmHPTogCl0lTlGfAYKiBEL4c5l1qbSqdjX
pY3xq/DuQqPZQG1xlmHnvjlo1c1oNvsxaZ8wHGxNs6kXppE/1HmADkfOYw201ljQNndj5ONBOMnH
GI/YHet4FdSIoVLBhRE0cbISWuShd1PWNtfsKN+XRQ8/op9tSdr0bmAm3Gc2bE9S6sUyM/E7SzE8
NVVDI2kQBbCv8n7n4+Xc+r16NlRlwntP+2Vkkl6rQvOGHjZcP6H3YPLpH5hSFtJhFe0iti97ztTc
sSYIQQnXaRFIpk54QqTrY+AFxEPUOStbsHcZ+GuQxWvLSevlgN1MK4d9nPeQeWdD1P+Mof9YX4jJ
eYW57G+Pof9bfY/q4rdz6F8e9GtfCOOiO3dHknezdJjNP82hlCJSJeJRfW1DB52/1S8gXvknQROl
++dHoETBovtlDhXQex2GXcZXB/Qqldq/VGz+hUn6R/Xf5vz9f2M1sR0UOGC/jMLggMUP4vRPXgHK
ky06XrN6IYJb+PzpMRLDnW5r4a4rOQCORb3ijFdsZAAe3YzgNdm1sYXwaeJFctiCWFBpilrz1m5R
c54L/XFVzbU5E3bOHd7vTScrf21gCVlg5SmXrOmmxdtDinS9iNxw12bDe0vd09oMnTviXRTuELAi
NtZTBDSRtaOJOSAC27rLeuI+SYTANiuXOx+izUDaYOZSyLC7VhmEXUfPbmsPAkZGO5awuu95pXHd
GQrjthdbdxSkd1OWd3atAJAHzQ67MC2/ihaHkTWPIanMaGWPJMBOVAfYyKe/famJ0KWdpE2sdE9A
ciDQGfwI3cDiKDYMlnPcfeK932AMy+k2WySKLzQEwV2srC/cmiv6j7Y+99q10CnSxvPyLZlFGHPg
f+7YbZctwPkEx2YmgBz6WGPWYyT3gad5Rz0Z7nqA+kFku/smYaQlw+VVqD+OLo9k/Nwte4FgZdEp
LlPfXCrVF5t6YPIdagpC+7L4QFVqNwWxXRJdsc+N4uQmzTWyfIOEJP79AZM00ECnJUA8J8q0tVcS
d5qm4BtZAA+URw0UKrjNBMGBqsySBe5KbtOKjlDPX1sA42GeP2UNxA+3GONtgiX36CIwYfABadp0
eLdCXNAszIdPrGvWLZWQ7TKOUv3kNU72UAubl8YBVtsG+bquBu4AylqN9twBQvPe5CTHuNyJQQvg
gwhv6zQ1k3bTB3s5kveTGF0E0CqZgdth0cTmnvxdd6gNGUKtmcSiakBq9VlzE7T+JouFs6sU6eop
1k9YHot1F3A5TtpMLQrCmYvEZkoDSv9CFAxtr4npN+CWQighfbYKfeGNA9l7VXH378atgbcoUvqJ
iz9uNOYW+BXjOaTcKdCSdg9L+a1sam7+mfHYT+VXry7mWH2xd07WIkm+sxfdp6TSt31fcbv1ZwMU
6LGyfi/ibuON7UeqIK3HORBTPQHTO45nj8BmlJpHN+vOWt89R2kLuIrTl92M4XE2/GbuoM/mChpx
2IwRdRa3kUhPo6zvWLxeOFqggIru7Gr61gU4jFoCi1S4O9L++4w+1zWBhxfLHt/dVn3YXROdVPst
1yZynUNVHcDw7tqxKJdWKql1C3xnYVn6uJosyq7aMtwEySg2QVhTCkixZMZLdkpKmaIIYITERxXv
qMFe5CDJlzJX3Mj89KAcBrGm4B2FYf6usrgpq9y5oUKEWZ+QvpHkdwOnHhf68rqJvQnr7vTVS2II
yWDKLWCHZNF61ks3Q13A8lCordm3esUVTMX5g2d8mAWCGbvVe2GF7y1HJCzDdcOLow6DR0VRQVLZ
lIykMbAHipNOgQEyz6ZW1uyDYzdgSGOtuU5Fsva6GIoSlc+S/xiK/D4RWMl5a6f5wVXFlx/xb0pz
CeKqM6mKzRB7915pI1HRVBFPzqNXKDpEg4CS96rhENYwpRnW0rIhBNGme1R2vG/VXT+mHo3zPjyO
OadtILQ4zoZSY9TYsmPpbiSg0oYEWjLOmswgTYCttI6qZ5Ydq8GiEUAvrF1saLT40qvYehonlVpf
VoOkvHbyEAkfgzRwgK445trurJNv1/o6Hxnk+7g7Ep5Q+Jrie1fk8VKVR3hc8b2Qs6rHzqH12Ek6
eUY2yPl0at/d6k33Zvro4/xkaao4txT6B0hYhL3K8vDWYgJKoJ7kcoDonESkVppz3xgkMqzgm+f2
s/CgSwpkkv5UIljd19K576e4fCuNnOGyR3xs64FRrGNNynperaOMeFiIz3BhyLSDhzZ0SMozJTCq
2D/k/UmHJwNyYpBbPS3RBzkJtrFRHW2z7XHM4eDoxmzFL7nZpCWCPPPvhQsXRDBWv9xt4KyI0ASf
BbaL91B/tcchPXOF4Tuu+s7L7rm8cbi0DdzZ/Uk4ZJP9wHolKFC8WU+QEKYb18yP5JXBoFqhPFhG
vBzSvt4Nk1EeyeISckf/Yxhm60DojvIYy4HrUsUnEMoUxEWc7/9nyPsHh7yZgf1HQ97ie/y7VSMr
xfkhv1YteAaZKsrdCEHT7+bhS/rrqlE69twZzsIRTP5sdPrFzeT+CVK0EAJ/72ySM/EY/eJmcvgn
ZjI8Uo6OFfifqw6nkOV3Ix44VeEaTIqWjoPjR6vDzwa4cXI7A6tbir+jv4mi+JPxglnGlwe359MK
5O1ah4ZYjLR/wUvV2CH1B4NdAzC8z6Kx33WdWgL7ewLlcBPD/CRbXl07jxOMm4RnynnPc3S96Wx8
HYF2kCWTRxqzd1N2tLJJpO9UeKfHHscgfdjghAE6CoaQULeY1jTkYAIWqb1ic0XfdMoV33iWPtG1
kPToKqRTO9tOYd0ceZ4EMoX8SBPw/h5mfiLhBPQdlHOXGWKtp+MCMAIlzHXU467Ekl75PCHg+7uw
gMpnYcPtRfkeV2n0bInvZQBUVvU6qAPuBTFrA+IHBfzNBOK7hWTgW1RGpnRfUdS5D+JMYH+hMAxD
LA79zVBEahul2U0W0m/HsO6gmoQsJz3mHiuhejaNvDfOv9ySBwIg4KJLgasAYOwFhPyFaIO2AM9H
gcPMGbJNtTbVqpKpPOZlw9ruH2aj9jbisUnEAiHz77FRJaVx6DP/YjZqZE2Q0n1jJyLWeY0393z/
92Wjoh9r217pl/8KNqoxs1HN/5/YqIU3jYfoETITVjrLfu0kwMyc3XwXkdv7AzZqgsuyDF8bPJft
DJnNqKg0jHxHGdthElRP22X7pYuAxBOMlxCpN8PJ2eLobAhOLLtZtdNn/Q5zwss4K3r6rO31iHwJ
Yl8xq37FrP8FQTCgz7J2nrXBEJGwmdVCMeuGPgJiMyuJFpKiPWuL06wylrPemCA8jrMC6SNFFkiS
djbLjQwkMcpmixf5pvL4izzUJsKI1BQnEpf/Ukd6wYxYXIMmIGYOO35RCbta6sM9dW31pkMq7ZFM
9Qx4qjt+kZg3ZkXVS/EhTb6DA4MmQVLwjKoG1TMiKB84/68yXz1GxhhtlepwSljhua5pbtJp4aQ7
EIiuZ/lLOXBKpY0YEKjfHqrMueizElywEaiKHs41jpZ+eCD0/a2btWPSPit9VpOTtNXYA+ZfZmyw
A0dxzvMIHJGvVqMvvYU9Oj7BOPOuRKhuEaz1Wbm2e4OMMVp2fMkZIs1Z4ZZI3d6sefez+q0z3xH6
pjR3VsYlEnk4a+XhrJpHHfp5O1n4IgSA/Vlb72aVPTDR2/s2f4Dlywp51uK1H6p8ij7f6/gM3Vmz
58y6YsXtUy9zzYtdNWv70yzyz2L/rPoL5H8g6fNCMFoIjAECgwDy9yetyx/9IzbFaCouDVYCDUsB
DYtL/7OffQY2hgN3dh5EWBC62YtAFqXbNn29ZnvZnMM22FN+rK3wQlO7YdHrSX47ba3v6exywDfC
KIvxgSo2NIHZC4Eh6FpijnCyLQvzb93smWgIPC9DnCFMkPcw8fEMaPaE4n4Us+OiEAmr0eiLxvp9
ULrnsgKsY6S9ZOlonuTs2yBLEqyho/OafWjZZ9r2p6woThO9YDb8f5QBOgBHUa96jexT6sbl3lGc
tScjRter62PSqmSZTH19MAY6MUhIlnXd75XFRJBOmYeyXsFwpVekdyXBLPE49ZRCe753Dhgf6Bgd
b/oWqgANeh9FaqtlAYxs49e32lhd7AJvpZxXMR2CHTHGt2SYvVkE5kCekcwepb83TTjpXWpj7oyR
11w6ozlDjsa2ld7V6MpzNbJaQml4zcNMbjnq+qG5MltvQ43D3H2gXWPduuglhsDaDG+8gtGoKqN9
1sa3Q5jxKw7B/LUtFCEDESCLj5vKoKi+NSe2ttP0Vk7lczBY6CU2IwD1J+mazvNY14Y1HBpKjSpe
wC9Z8KakM0ZbaLWDybpKn0ofQC6Bz6PbTzn8iO4ld1uKb9vSX5P/jUM8jSMdQ8eoa1g/kKtnSzGl
a5FW9CxE1p6DcE8dpEFVdZyszICpqcurGDzeuEn1WDuoLMIYUbRbDtpbSOdiOyAy+ivAhWIVNRrM
VrIXeUENJD2kp7yc3pu0p70vdADx1N7WKM2PjI00KeyWsUek5UWmE2UWfMwyN+HT0FM+CPinCwFT
4DRZZUBszmbxZsZTfGB1ARAkuhb+GOBOSl/LbHxS7sheKVRYXh1VHtC8y0NcU2JAQwwff8+8TVVw
cEqefdYHAn/KwMF6Cre9jVdQKPXk60Q2RDTeYxLLiL6zNiipqiOYqm7g/V6kk7F4aGS/Drk4t5H4
SAyI9IVPIjxseohMRb8El2uQLoNB4KnceImC75mXwjrSYv3MjmxdwCggzj2ow9TuUjXSVMvKbRUO
wQrXSn3pR23kk8NOED7DQsbyrWlhJxBzqZHVwfqVSGhloZf7ofRPI/HsvaHURNrUZvnf6hcEqg0S
3wFrzs00aA+y/JAOREeveZFadlKT9t1uNRxTastQvuBMOrMIi2usADyl3sPU+MRqi1VEhC6AYcR8
/sNdZav8DazkvuB33pv6Ts1sEfJ0+JovNfurUqRvRd/TSANrEfcO52Al7Zs8MgkiD09Z9m/sncly
5Ea6pd+l95ABDsABLHoTiDkYZHBIThsYkwPmecYL9YP0i/XnWZKqpL63Suq+ZtVtpoW0yEwyIyMI
93845zvTOUSfmuv5RYr0qhPO8d7KzVsv5RxyiOosgk3u2tcd80OcPNpxMor7LIK0YKdX2WRvAwsH
45y4fhcfoyHd5DZ2t9k92hLIfGGspCzJ19SQGtyY4SHrPYAL3Xqeig1eVFCo2nZI5Vbgbib01to1
VfMslvJemapzubOa8j7X0g8kfqiI8pPp8TmV7Oma+GNJxUOWD+c5QTkxqys0gCpRWHsaoatew2fa
IbQP2k1Rlpeg7c+D0VxLmFYTIFVyzPZjQ00vBdAwEoSqdt31AKxGPL2xuR6G/WwxGOuZR5e7kfjQ
kTg62NbrumGyNY6gXMNrCHAPWJCvcda9ml23HrTh3P389rJOJYvl1CXNMzqTbc5JUZveQ2EFRzUk
+vFfOKynnoEOvz/2BULG/NXS0IYSykDnsEtk96jrxmYpsoL42WHbjIzLEh4zegDE9qW3NUtY7Z7p
NhuTraR51bvFAyid9TKE917qXGlt8q6nlAcEEZBTTFop6D0GGcMHOo8O4kOVJ9+6hASjmuRU3+LJ
pMu4M5P3ImkZ1Y7vScYxJR3HWVlDopD+pGBZHfvVbqhuvAvBDw2kHjJ/hzl/b6eOhOGb5FJ6zga6
zvTMitdIbLlqnADh7lgRndPucGaIzSi6GsD6rjdC8eRyzOteY99PbnHLeQ88U0zfcgLPNik8TZSw
66gRDHsj9733am3HUXrN0NlayUX/PMd9/NFCRfAbPOVZgNx/rvFQo6IzieYuKcxwYDMZPZvjlx1G
X/1QfeZ94zdDxMOWoQZNtXtsaTOtHRM0Wxf7CqVAhyO7NJNs27tyZ0NVQWGi1vsDSm5B/2uMLCD7
4GUekQO7xgKnUi0YXGFc+Nv5SvJjY3PYT0V5gKdK72qMYtWBW/Dzzrm44B/YE8p7t4XXARCiAYGs
7XKUFNWkZAAivsu16t0zpqesbk5zLfr7MdLeWeFsHIwMTP21F61pH9lL9euyY3SZtlWxbudG31fO
1ahO2gKp57HVxlcCpZlRp88WbtANxBMLOQ9ujSrTbqY0W/01a/ojsyaDYY8LD+qfDpuUsK34n//j
NxOnv3/hryMn6IbK6yb/t3RP5yfWeYL9IKGfzJeE/Rt1m+fyG8yibAuZm2Dh+MtWkYUjSTto5hhj
mdgkrT+zVWQN+buREy/LcngBNko5YTH64vf/YasYmdyzFg/bCvM+lWWgndjbhz7AO7FOSnOveUax
/oEgzrHacG79v4QgtqaWSh22z+7/HEGMvGsg14F09P8rBLHTM+OShQt5/9+CIDaF8RYBhGD/ysLk
vxBBHIS0SQMmxz+DIEa7Ox48K/nXCGIwVeXaYLp2/C9HEJs4yVGEE2DPkPjfhCCec3ldYwT8DYI4
Gu3q5E6Ysv4FghiWonHqbbwg/xJBzArp1FbTf4wgtiQEHmR1/zYEcWsv0s+M+P9TBHGQ7Li1/0ME
sUX1utG0P4MgDsv05ACX+XciiAmkGdhZ239HEJdDSaYTPsk/hCDWX5hi/zkE8aJPQLXD+g8hiPFq
bzMrh0UUV+V1XxTnySYjIrOrT4HQK5v05FBrw4duT2cbnw9xbTfuGBxaiy3AlF/SrKbXT4OLUWHu
gTMGGLgw+22Q6rjYLgFw/lWa2WeDTJpswKlWRx9A7ct1WMqLU5Qb/rbL3OaGP4QYA+eUYDEZO6TI
RdFtP4TfJ9lv6MA3zIPSdYwPfWWFleZr0q42iVb5o+H1FxscyV40RH71IaIExiq48eaMNMIRPLtd
++w2ldHEjbYCJC1hKrC9FzS5VbjsMmTAPq8AaTPzNmM2v8N7eu5jd+c6Ax4bBBF1ZDwkcXXNnKA9
elSrXopO+4qddY9PQhtWEVoQz+DLs3ZOd0kWXjmN3R5NYd9NNEwLV/pISQ4YCC0oLXRcKgVuCzAv
1r/KHpA3ac/2Qdb2Qz9eSABo1mAB0TV4zV1Cpq6RJe+9xRhvgWaJ8bIloJQFcxBopEKEIUJsbzt2
442JPL1OCLTLw+Ypz4Tl0++ul6zYe0Bi8IEa1cYJs9OoO8hQ2mg5dZ4Ht8wR0JL058QBBl44s7m1
mrlic8yAKXC38UPByb6boDVPqfZoh9aBsUV7wODXr/FLO1kPjZR9Daq/hhnfkK1mcx0VI5DvwMH+
w9u46MmuEHjU2gk5j0XI80qv4m8D6QjRCMG9duQWj3ixLbUmOQZecIZFkG7iNkV8E8t6M1fhaRpv
9TSodnPQkMyIaTIgfQs6CYgllgM7gww23pyROFzNa9bJoYgJv9QIDDNkejHH7q1c+neG4g135vBt
7syJhZXGJNHLwRqm9f0SfOZOC1CZFADlpCUufj4CRN0PqNP2iaPHqyqn+UY5Mkcw0DWXX5Ejgk07
n58TWPobz8v7KyQ2fgSMTHa977E5CyeIMmOOaXKIYTfl+sbukpeqgxU10T5akgDhjp8hPuKt3gXp
btLNSxKWJ3hkLxPKMq9rN/Os68iiECsQrPWOsnWlUT4ysevF2mCD75nX8VyJ+zlhHCrr6YqYM8aj
27B0wcamIfbwdmTAMDnVGtbeJjZCHmRoTm3mHAhW/PyrqfkjTY3jCuYM/3SB/hi3n/1vRZI/f82v
Zh3QHVgyUR8ibZQ/eBy/btBNmhUd/ZqNVUYYKnX37yJJoSNcpG2xWLL/TiTJYcNK/lcB5Z9qZ3Qa
o9+JJKGVILdEu+TQ2rCQ/007g8LQ0XsTyflcpN42RS4TDhj9JkeHohsb/SpsECq2FkP1VkE1Pfaw
AGdGvOg3aOsJbXLFttf061KrrtHGP3lciC4CqBQtTF0tZAdyi9nxcIRb9d550adu9e/d0iNFG6PX
6crujxF0TxEkV3kFEUCb2Gh4DKZgE60GoNjvFpHbZosXKNZq9NpOBp3U1c5LjLWxDu0Rvu3NCI6f
E9shry6s2GI/O0pmLxt47Hk5IzCf5G1YEHCMILCLBp51N6sfwuim7gvYD1Y9b2oQ70W0MWU5bkwN
BRFUrBdwBgWww7Up6VbYfAEYrTyVpx2sCBISUN1MvJCV9oooXT9MqQenAORUaayCBlmkHBCaJ3sj
TVMkZMV1EA0SgNTUrw1dSg7OKvKX1roTA0MM5KlKf9OsEhtYRE6f6Rd6YWDJbm6X8Qm2XX+yPHPn
Gs6DKTDkaOSyrx03+mrLJ1eAripVikMpWbh5CxruiLWXxpogl5NfNtHdUJk+GT4ql41pPMJsJPee
wDWrrOWCuLpmaHcTCnl9iUjlY2ppLZZzlDEX46w+dFyQm6Amm9nGFmm3HREooDIJicq+em1x2H8j
LvOYXg0GZoM+nBnSZ85l6OFzfoU2i6Ao2Yk5rA7gRdf5mMZbvglWYSc4N4jTOKpxbDrJpbUQfaJ3
KjZur72Gk/No0ZJv5wzpKssOQoey9pInfGloAKDQx+rVHY0XjlQBxhLWlSiPhCqNHa7MNDo1Hpk1
bo7PN9KwIoD8Q3qJWOtRaoa+nfLopq+tZc/RCyjM4ec+fU+0fLwZa+tQEBvvDsBM9OJRO4T59Gxn
k/vuRTDWtDm4lm3a8q4Oh6hsL4QqBocYhwKuau+QuAj0J0GWTYjGcB8uzEKDLQoK5Fqt5xLnh6Q/
Nl2ADfU1wdQHLNMLkTrFZ5Y1Bks5mJjmqGH6kePK8pjKMYxjk1m327pOTsuYy0tp6tdpZ5KWCkMR
oj8+90ja5jZyl52IMe9bWlasvRDBWAXj7ErgyMLNPFIptcCMG6NaS4uV02j3xmo04G+YKc+IwT4y
X7A0SFxhmFNmdxMZZnuE/Y3qK2OHoWo8p1jZU3fGh/isWS0SNvfao+IxMeupqNFdCYkDFg2blDJw
HkgsjO5qkQ5XMIjeEk9/qbLWACJs8iq50wV3e4jNHbChvjZ3vbr6677t/coaCj9QhUFNhaCpUiGj
ZlhU8WD8KCPG24WqIkwoLxJVaDiq5OAhPVeqCIGMcM9zVWzDvOCnPFQeDWCvRol5Lmims0hQHvep
2FCbEFrehL04CwKNWgs0BJxiiMmnBrLtoa7SBykSYH7kOGxJMQWLEGTx2bSfgyF/rIWgLk5fYnOU
fizE+1wAlg275DltaEnBKr+O9UDqzmJttDR8CuuHwcBlhDgnp5ao803LuUfC07SKleNqzDR5RWnG
6mVeNlYKQsWZ55vJDBFCF9FT4lbfQ9iJXtjnflYFz3b6FLksarUSSFzfUdGDtgOjHWjhNbuS6eS2
SFOMBxkNHurvZd6BqQT0iUsyQ+5YUpZYXjFuWORfyXG5SdgygXnPDmVJ+qFb4EfqNXDD7Fw4raye
XQd1amkQUbo40O4FMGEHysBcOeE2WkJUWBhlsJUMWLnxe+UDXUE+svIN+qHZAbDvy8wvOpgNuZTH
LoKIXOfmuKqyxNssOtKGNgazMnbNlm11NpooDiIqW2PcwS9yuXiabx6kKpS2JedqRpnUDBtyR15H
TfvuslwClF9+Jk33wo63lglnZJcjJO49EMftViBCZoOycIyEt2HV+KnSKQOUP7ht9NkpBXNpF1/D
cEM2+RcirW+kNhHdh+RZC9A+h4igE8TQrlJFe0ofHSGUFgim0a2SkB3htZramXUcSTyyeOrDDqCA
iY6be4OpUzU/u5qHvGkcUGU7yLsArXKwL1pBs6RfVUrF3Wets9faYDsg8KazyNa1O/CHGONvO009
kzYNSb5BRMn3VUrxEcm4PpNWioJcs8m3sVOcWmzgwj1oB6H05iilZn+SnFyVvTan4VwtMt90KYjX
wbb9QOnWU6Vg71yXK3NO7NsWeXusdO6dUrwbSvue4sEl7ixrTo5SxgMLiA5m8GgpzXyKnleK2m9t
audK6eqD0oX7aVyEBMvR2uhkCTL/XtU46ej0WCUXKx2Zfota3zwaQlcaYWmiHGgvkQsNG+5RmZF6
7blztw1F9j2TluTlxtbK0apyi5qNxEKsAovyDJgN7oEC8idY8ogBX+I3POZahNNgwHJgYD2wJuGd
ZvTgnnIlZMqf8IMtXWJZ6LAumMrDkCg3A0bA9zTAsZl39FM5emxrttcpFgi6tju94NgAtVWtRGh2
vCF7XXyPlXuiUz6KSTkqtII9qqFcFil2C3RzV643PBvKh5EpR0atvBkCb8WPZUqCbWNR/o2+sRry
hyGiKm9Hmo4ICLodMeni1lHW6jYidYQf6SGM4G2J9HbWCArUMY04mEdGTCTMsECAKV9Jrxwm9fIl
ksr1S5ddus6lsVpmgN9NGiykhKplT2DdRSkL+kjv3yJsLKnys9xfN5LbRIuw7SUxPBpAYkSwhgfR
1OhIonCGTsNA/Ecuuvm5BIKN7DiUMMXJgJ2MiQMBpBg41CYBEp/BCdXcwP+rU/ljnQrthfinnYpf
xvn35je7F8ACf/uqX3sVxxRqRWKDCXD5UOkFfu1VPLoY6Un9b62Kg2vrl15F/wmkgGlRddpA9H9o
cH9R+3o/eQK7o8v3RfBq2H8KLCCF6kV+CxbAagZ00wJhSHOmXsQ/rl48SDxGrGs8ZQ5WyqLMHyeh
QYyREoNMVeIvvvXa9jPwHBbxwW0ydoe0TiiIen4YF3daaykxfXpbfwEtvWsZbyGOOfRF+t54wcl0
i7uxT0hmJnZ+bN21E9557Y0kSxghyBatA9t5UEIl3J1MvyZn+cg05UXDG9FznsWT+W0y3Te5FOtm
gBGjS+jDAWFv0xIzC8uzLeOTewl0vk1NhfmwqLUwY+Y5PHgP27FVGu2aUInbBJvQlfVq4wnyNE56
hRQGRTKRLDXgScYWuiKi+LO0jFcJvoiZiTvBbHcGTN0MjMsEMI8bzAcr1t9Q0qyczvzo0/pbQ8rI
VtDipfrwHHY2TjN6ka1FWl+HD8h2a5J5WQG73xICP6ZuU9fVt9Ar74hpWQ8ckwaVVVnihgkMwrmh
3oOlIan6YBs2nuUo8Ntg3HhW3YEC7Nmp2zQfEVnogf7euBdrLGc/ybN8mwecS1nIHK1IklvSphqv
2SPGmQ45a9pVKQNz7cDUK/OJWEWRHbuYbIugHbYorvi2OKFzbB5To0fkTKBUcgiC4WTL2pVtaAYz
0P4iHAH+LqoSOsZhm5bM9Cysx5NFhOdEyaDXmJ292fTLVChUqvTRwqfXS+KAYihnsdFD+Fjm0n+O
vbWqxVMOkH49E2PrR3p4yqzomGtPokXCYgiO1VA3YerV+tpwsZDYxRhu+6ygRCLH9aBbr7OJ0Aoe
VeyXd241B8cBBcAhi+qbysrIslvQg8Am28f0WGUGMDzgHWwNmu/GmIiBcNpNlLfcdAxr6zESsLvs
c5nO29mEt17F5JagpCQlb0skWHtklpg5JKaAG/A96x34b7kt1MxqHO1NZ/dXJTKhlROHxl7vuGZc
is46hsFAUT+dmd8NwLW1lybWiHJJ7H0uuvsgKXYUbLh8D11Bzq1ISjSMpvvaRTpd8IBAjABe+gKi
7hcNayMThwSfEYoH4yuw9Zclghm5MFvmblvHjkZuYjpvGtWCR9ENnrjqYUqoAZGL+iE1fzxkEl8e
Ms+OYAczBS7m1s+9avFbM0TUwrd3S1jFA0MANQ5wADOpAdmmXnLyaKc8pG/CfuhlxntQV9RiTBMJ
ylmhA8uIwE2ujMw9ZvnRO5Yh/Gg1ljCYT/TMKQrmFVLNLdQAo/bGp7lPBGmaPj9ip45JR8XEY2Dy
MTIBySP0WvaZp2jJlYMf4z5RPRjraKpS7lhUVpTx4wS4OgQY7YKzmBvP3WbqEuzVdWiri5EPwNvO
6rJEaZfAhucCLYrFJFzkEwkdgBDuWENdtuC9Ej8O8WxzDeeECGx6DKmzcqbGeURqp2HNvEkFcX7K
wQqo01xVKdnDDMmtdTmkJmKzaieU95XHmGhmJUWtQ8BIyiEbYZVNszk7tcYlVp6cUblzjB8+HQw7
lnLuhFkQ+Yly80zK15OJEC0loLK9xPRTK/ePpXxAaDNOTqAv19lLqXxCGoYhQzmHeixE5TyZJIhS
lrdTft+M5LfMq9gssnMp+wuQq3plKEeSp7xJmnIpkZJtHQHhoXbGwZQqLxMaHOADuJsc5XPqleNp
oS7N47jetQD8dobyRU3KIWVilUIOzFxbNv2G2N4e2gOOqkR5qyzlsiK0kXdXOa8C5cGqlRtrUr6s
FoNWrZxaqfJsdcq95VnefEc2IjY9EwhUq1qRJXSdgy57/Zan/B4YFT4PGwhY6tBu9bKHmO4K6xLq
dXbWatpasfM4oe4Amro+0dLIX6OI47WSyQbbO6ptiF7EHsfWLZZZv8lMYjy1ojolpFM9LI9FjuWB
JNALBe26rfRdHkXEZGlO5BeYhSX7F5QxM6kcy7NohoxYvG2e8kfwPxe+N+0N8izXJUmum6Aj32Qx
weCB/uI0iHW/Ff1+ccdqa8dTuyvijt2NG2HP16yNPWn1Oa3UyesE4crQOWLHvk18HI+BuRDqXKUf
YtGb+yU30C4aKieZrCtus3wNDkRETAlqABcWvfU6QG5BcJFjcoTld2xs5CqdIsYUiXvNjGRbVBAP
6T6hw6JsP6XWuF7C2N47hWKiCtR1FrQANxC0Pxl5AH3xgmk580eUXL7UiO7EvJIGH3nmbnK9h3pZ
TNphNM7uiIzVNUS6KTJ4f5PZIcclpBXn8YuH1+0q90LwfXM5HGzclMLNU57J7pZLhmegesaV82PW
dQEvVm84qVw+VLLh3L7iUm7xMgpznVrWiIcngajjmjF8OhbPZca9ETcQJWNLX0N2cc+kCbC30x8j
yWKI54+JUYEa37O4WZuGY5BeEWD/ezjMXyi8ON/H/oUAtfCEPz9iGkcAtzSzR5cYhEcl0S3iCkZi
RA1Qu3iayLhgIFSZW1rN597usfIs+lukRXdjMLy01U2K5J22FXndmOQHKfLyWhSOhjQZumPXF6dF
seKyvDvNBvHVGjraVWGzNYy5g2DzYLkNk1PSK5wQOkEmVi+wnmb0xOPRsi2xZjd3ppjUVlVAt90b
ciUjLls6oCcvfnAKdAd4gK/0JqmPOAgwdQ/yWwwjgwEJ/XkdG5VfLNvEMluc17yzNDao8OgzgeWN
iA8Joa9s+4koOGfX9bEiznBg9IsLc8NCA1hkbz0THl+v5V2nofK2dQhRZd5mJ8NjlknHw7ebW59s
qQmcm1usR7KaZIbBv56iTxtR4EaMBZibQLfuSW1+15XXyyk+yTFlnJKVJ8/r3kyrfUzOkzd9FAOy
VrR6X7p2Ljsb2z9nWbHIaBMK75oJygey5r8Aa3+Drj/M1ed//29vH4BFkW+zSnvvfrt/IVJEEAjw
n5Mttm+/51r8/CW/tkGWLmBGuBgAHFtYKpDh722QJ11FeCed0KBB4bd+MT06P/FnBQI0iz9gOzqv
4Zc2SP5E4+SCXcd28GOd82dWNo761/ymDcL0KGmDOJLwT6JBo+/7xzYI1e8yRx4LXhNGIE0XRcDE
ipOarV9JgwSvok2CddhSSTtjAFogdW4BoBFkL1UNqYFXJFxlGUFRwD5+zTTPOmj3bnkxJOVW0/bX
3hIE50KG30V5oWHUdnYJd9KUvbZLvf7QzG3jkx+WXGCDkiED/iw2WqzAhbjLhhED4CxDJsO1CmVf
abX+UEcxAX/55K7ZrVs7wmauIgvCEDCy5UrTk+c+EMm5cPtb19r2ItJP3jgSVOEEoMewJdRUrAfZ
D/e6SyrYNOk3UVfO5GBp21yvm0MntBe0xiwI5idmaWR6zJj2Q8Cru+id/IyIc3RgWzOiA9eWjdTb
d46uHTE9r2V6fQAG9+GmeDc1ytEl9V5Zoub0EwypupfZ9J7bvGF88snY5YsyCzF1WfqEn7WrKJ1f
JzP6Jkx+JStxWOQLdukinN/qkX+zbpY7R1KDT3xYPsrBnVeGArRBT2mRcWHWo3vjHmSwvHpYqtnC
xdcGQuguL4gHGl6Sxmb+kr65tbnDZUEmoM0VXuJU9csEN5Zp5sZ2GN3rxs27nR1ob2j6b+MfUxhO
ljMUJoobGoFIoxStyvTeUEOlwWt2TlrhIetcIn7rta0MmmbEJE7Ds0k4oXKWGjeZg9WgnvCFhBZk
A+xMFVpHe5SvnclukHpiJj0qyFZ2NTooHWhnSV6+npV51HPzbTvkCr+yjpS9NIzEoTX19GoU03Do
y/5YuQFRKktSbnBO1CsvvU9KsrmB3DGwyz610Iqexrh4M6S+9bhncYB1exkw1U08dlZEgwx+GEG1
ENMEUUVtzZRhtqEiiEp6gykbEIyHy3e3GElF9KL2FGiEkSMw4EVVnZRYC4ynIE3uUp1oM2XVbeqA
PB1AWZtGGXkNZemlY5m2PYhux7jlJz3cE0QfU2KY/JAzfOxwBjfKIgxwcOvgGXbwDufxENITV5dU
2Yr1PA6382B+muKtwncs8/BDKLEzfmRrUGPqqboqOlAexNBf2gHDUNDqx9wBYyUbEPR2fz0jVxZK
txwRPB2ZRN5bmdduvPTZVhrnDrFzqVTPtMUkwTtXndJDZ0oZXfZw6TF595wK7eNoR6+u0lHz3TcT
wupFKaxzpNYBkusC6bWDBLtWWuy+du9EEbBJQqXtKb12ooTbfYUDuvUuwLoywDKouwul854RfOtK
+V32IY0G6hok4T/gM+2Ei0q2JPYNgfMy1dkDHQRkBiUpr0Z+S6nMCVWC4Y7uvCqQ6XON9kEr9gnT
Y1bQ89oO3Hueep8w9YZBaU3blH9ayNrF+DWKqx6YA+ofVO+EWDBO1ZC150oT3yKObzO4jxFy+U3t
TJ+Mrq2VQEo/KE39jLg+Vir7Qunts2gLnJWEu374BnrBgc9f3BpKo4/jb6t69qeFrMqphFzQ8edi
hP2pUvijXFphVZMrM1+79jI+h1JuiuvsplPugBGbQKn8AqVyDgQXpPg3zALgh/9wFqDygV5j4cRQ
vgMDEMlSN1hv3idsCTYfZ1wwAup/OBawLkxifF1idPwfGraGNM159pTTIdUbULRR/h657pXZBDB6
BE9l/TBHZwtbmHJMWMo7UUXu1m7CaNcqX0WLwSLFaKErxwVzPLLXu03YH3SjkmvZ0SN1AcYGWlMN
8m/Nqh5Ein2KjJofLx5+d1guOWH0mehJ/hbObcTdwbYmuwYQeDU631WTCyAz5yPApRpMn73BFC9m
0rJ0wTl1wR4GhnPjlO5LZ7BvZOq1r7LuNmGk4LtN8TCN9QYP4Lhqv0c6FFzpEkppOcQQTQ9RtjwE
3vDNo/0HAjwqxo/+ihX77IxvQexc8Foxi0q0d8PqKDLru2yMHkwMYn6Zy5nHGMOrM37vS16PPQWD
78w5wcZLDMJSrIfa7MgA/uwlGLi55XUTHKXjzaq/kylXMHJYPpdOHLPiyQ2ikfU7aiuDJEaunxZF
ePZlU2X4dak91dL5wLj7Q3HkF1HbblwzgMU06Cd4HUwCIzySVuK8dyI621W3M5v5QZoEP+a27g9N
d9OOzjsozFeRBPQXwbEBEC17fm4k45yVPjnvIAde4UZ/r4MtOMVtbaU9YxLjGhfLc1kT0ycNjVNc
UYuBLIXjY+yc0mpfjMXH4JJBMBb3dcnsc3B2Q4O3N56057j0bmsnAYx9TxLZyoifi7z4Hoec6xVJ
S8RkHMYofAkbl8lV+CIbsTUAlopwfMJNdW01y2dWFtdFkB4mk/aslXdhkF1ze5N/ee6upmKY6ECb
m1am5ykzHqbCeZ9M73EMnlBZoBYxj7adr3tNMdb9IGoPNvQWndnE0Gq3VWEf6vSpHfqnfjQuhcOW
TzfjE68F/GV1F10w4pm2elaNDVTH9QwJNk2BIhfWc9AsW1nzaZnvfTwBXrYeK6tf1o2ELT0hbhsd
+HVMDgEqVhPV6XuSim3TFe1Gy7snBRHLmRVnlfhoU0kmAFOMqr0pVaPaKSq/mzDqyWPTp3m7sSX9
UtmxqkmBtqBmBooEuGFF+jqCjGlOfG2eMfRW+Kjm6MYOW5oES/8UkMX5LpxGog1XpKIyypKBvioN
BC5B8DSxJLKTuNx2Nqt3N7W+d03HwKRm0qEN+TcKIci0S3S7uPqdWTfjhkDBrwFlwDwZr1buvTNs
Ttej81IVMSvn/FpIBkZE6F4Jg9kr7ZCdVleyjR5VsBdDt2g/9CFpZOX9PBf7jN3cWifGru5ndHwo
dVlXPwshC5/NcOgXk/vRMqTDE3ctJcOCNhjg9bc3HhN3vwmY3XD2XI8AuoOOCcKwyI2U8YdWOLdF
U93TXWEBTcYHLxCf3gTio8JmPqX8PVKzT3E1caYRQOCH1fIICmfDoiODf0O07ETjF+TDw1xqjLVT
bMe6/sB08kB0thIG8X6mmt3xXh2cikfXIyYOfGHJDPdDOrwWWeqfzswhCCJqjVWebLz83unnV3MG
xa/rO+SAICFjcXBivr3HZMuFdZNkuFZpBJmlRd5zhnPz2GXm/Y/X7KQ4qyln1zkaz3NQIWzQ3OSa
Ikop3AuEUE50n8wSFus0PQxu/xoXffUU0OfbhZtsUq/Nd1KGRMWi59wm2XxMjRGxQzaf+qn/5o2N
fZzdSdskKaflX0u2P7hkY/eEfu4/by13/Vvz8fa7fvRvX/SrvYnsQu55abNNM6VussP6ubl0fsKb
RJqbB9vLIgpEx031y47N+Mlg8oWU0HB0wgBVy/dzc2kBTTR1W/2a5+i0ncafaS7Z5/2uuSTVg2cD
HLgLMhGyD8Sff2wu4zSK+0EgvZtCJvPtsxV2pJq3c8cexmNLkSPlLRCW6ZNlreDrVBcx5xuvtZzN
MjXdtiuXHApdra2rnlU93RtH62yV30vDvoE4+V7bI2A11LSaNzLWBIw6Zy0jM4MaoejIXNfNb3lt
MGkXE2PayHvJMuWoxSnk62l3FYWBD330wPw7RlbQiMPE1mlFSriEF0BEaG91uyxAUBUDFZNZmWyG
DCT00ufhOhnzbs88PGJX6HHbt8grxAzjx5HHyMNiaHU37J9Ss9rHS7OD8IxeLdTvk3Y6Rvoys1mi
73YY4bMUkTEhAgHYMTJ497FtfFnS/kxlLHd17S3cnJG9tsb4BiAP7NiSf96UZafgqfS6Y2MAMytn
dx3qkFFrfTmx9STHr0VYUuEfCgpCbp1oORZd490YmrNB20ulVSuwL1wF5nDoYILcvMyTfEqEwGcb
DG8s+IcduRaU1kEJMm1YtnOPIXpGFz1aJrb9xF3oBc1kK0rgX64s9i2D0bxrw5uK9LAsaVBUmEz3
x+4rMRAqWkK/4iLDi108GLk7HGth7maP+witCJXYIF8tMG8rE7I3Abno+qKMbeDUt+ZexWDDRGIs
YVp+z223H1iOrX68Pe2APgbw+hqKJZ1pOFdnTesoCNnmMhlF4lcgfTNMpAoj8jQnJ03HTrINC4vU
Z5j5CDidC8jQg8eBmZ9lnZIpiU+R+l+Y1/sRsNhhBsHGxo7thg5TMqgMvKoV95PZb9JekEfkwq5+
INZs3GceYffLhDCoMbWECS9+aYNB3bCAWtKp6nwvQ81DANSKn07YFMGQbGfXvmEa46m912mcu8sy
dXjNwRKyYZJbImgJx17qJyAhV1Qy+yQmzzyPod72Jh1N63GCe+idiKe5STXVWmzKtucuHyLA59aO
9lDhznHUhnp4YDswHGVkh+RhEK6DcscnDIqPSKtfSQRWsOaO1D47D/3askgGKw+zw+S9Zvuy1wKW
P7MevUeVeRckOdI9bOK+VZVvlYF0kIJ2WiNoTzYsLOVRT4vtAmRjSzg00pi5+TCjMl0bvLpVeiLv
GmydZl0vHFh+QkDtWky1OMtw8SdylVcyNQoGHCR2DXp9aap1wYvcUI9A2AoUEMrIa39k0UFVMgH3
h0VoLu3N5IYELOvxBlI5ac8zs5aeFBdEq2+5QZdihP25tnkYaMaIdaFNka3Doq9m7h0ty7GBKsx6
3XmZ/xd7Z7LcOJJ16XfpPdIww7HoDedBpCRSooYNTCEpMAOOeXijfo5+sf48sobM/K2sq/ZVZpVl
WZmKkBikw++53zlngjvr/TufOJW+m6mKTQTvK1lT3EHE/dJ3elp6bXYUffOMt2WtTTERL2FFCldt
EH4ZE1OQ6u+GNmQHrc4tjqrqvSj7eDuaOnXQJlmGuW/fB9ObV+L9roi8SQikXqV4QB1lBvULlgCc
6dqx6Jy1BpZfKT6/dSgTgdeXgPuJIvgnxfKPiuqnC4cgTkB/XiChuP8ZAwBOS/MaWGeTFRYklTKZ
+hayBWESXvvpU6i8cjPGA+5NRNraJLj7bymGgwnjAWBoukVn25DWGC8czAltk3+2AwvqVmRvdCus
c5njYyi6fhdhbcDts3L1dulP4aHw4cagcu/IGsM57fSvAMrMDAFMdDwG0YFYSPZHMEGC/2c2MFeE
mdghWE6cEZAMWC8K5cHQg+9IeTIkh5DRYKmvbOSUcWifK+XgkFg50oETGmXMuFjt9Aag/eEmHjvq
ygkvPEGeUPOpZZld5kTT25qKLxWAphXAaQB4Ckb/agOijopI1UFT085LN1X0ECtmlT4KsZ5SNjGZ
IlqdlMplG7isV7Rrr7hXRxGwILe0AgPFeoqONRQnm0VTfSeBqRaWomgBlvkup2mbRTMrlDkCLUm9
kkYzUjckIK6uiFx4qGOoJQ3V4qw4QtXAB8W76BXJa4L0portHYF8haJ9bbDfMZFnm4cB31G5Bd7l
GVbW1a4afODR9ZBiN8kKqiy0YK75W7GPp6llLlasMdBxDXzM68zHQPHIgQKTFaEcgSqHB919FhN7
wJIhbazsfaq45h7AOaDcaFFhTxpgo5Eczy70+CbPXeMmegxYbe7AyXJZIWNBzjtv1A4Yb/IlfQad
PMRA1o2irb3BeJvBrzUdDjtTRLYHms0WH+xN0doDMa2bMnduAM/vLnPTulZst/SjB7xpKzrPAUsV
/q048EwR4T6PEEMx4lqYbDU73sdfHPUPY+Y8mBVB9VSZTUvZExChaHOT2vkd8eI/q1Awd1dZum9p
l8wlHWRD2FPuSGJNrMPGAI96hxmonaAVd9X25bbLCdmfQkH/m0mcnmLhfaD4nrQUBBf0I+QTzgzt
sVME/WCY2w6RfdmDFA2lfhiUKclX3H1bvliJ9j0XFh0hscdU0DlPpW5upWm1xyJ5kZF8LBXLT3Oa
u+wZydZpj+fCYEgzB8S5QpqXBoJwaSpfQKkcAsGA+kI6z3lMFfLaxjsXDqNSQMYImdErRCNRsIZU
2EZQN3wmeNIRFaPvwgkdTCbt3UBlWG1AYU8R06GDtDeJZBnxENO0ha9AkcTY6AocKSFIYG+DbQFT
UsCWTLEwVi60SaiwE6EAlMoYVwD5ZJygKg9DTtoItIqhsBUdfqVUIIvj1/d1KJF6GxkcygeRQwnM
Cn4BmjUbW99DdUD/+DLcMF+zLZ45dGJSXxdTN8N2zeLbHF9S+BqeecdRATeZQm+k+UKs16JQSM4M
m/PfqebfnGpMQ8Ul/Oup5o4k+PivU83vX/S3qYaOYqg8MiAI+9Q96Od/th77vznggcCDjCeszlyX
gePvU41OWTI7LLZpnuEyEzHw/H1l5v/Gco1JR+hw0Dqr4v9kqvmfkQ2Gigh1GZMIpYcr/vNMo8ug
KULTVGsk90JgGu++Lv2qh+5iyehp7obg9xH5X3a2/4+OcNczPMtgHwg2qV4S/c+/I5cGocURexN/
VM6fCSBG1nLtuzNZ0PqPQSOJPCq2YRetTeF9EG1xavL5zZj634nYf/mduL9+qz9Ck55uCJJRGeWg
YwQutD9/K6nFxojHG1WhspwJG3VZ5rBNT+Nu4zahufUyVOm2bwoeL/5Nx/7IRdfZ+60/LAeSXJFU
6JgvkY+7kqYkWquXPKL6BXFY5a62L3HENFgXZUZ89vQ615y79iSoGVEDylDskmkcFmFul+usxJ/r
jH2+iEht27QtT1OK9qJV6BPXpzse3lpPki9Ghwz2cW24Z29epqh7LJzQaS1a5LA0aLEuXmU/0nsf
x2RHobfLRNuns9i4XviiuwEOrG5+qROJhlnNe1SZeaknkw2NMNZ3Y6ovouCU1Zr26OTQ9FqXFOt2
Eu0qttqEnsdxPltmWe8S4dE4Wxvdg9CXyMDOcvDIe+68dth1WdAum+zgemzR9KZrn4PIe/PTud0b
VP5mI5cJLbvw2I6Wktluk3r8kFVTfnGhTZYn2nenG7LWU20W9cp32nxHtuxNRCwafdFRxNjG1pbp
hkcRau9dVYSPyFQrvouV0+OSaXPzyvrHuk16oAy3eILj8RSlggcUWeXYevFUtwiBJb8EhT/fetc1
x27orlVVuFAkqb8KKHJqHHdv69jPaqZQ+Bk8CL4aYrQiGbdTmnzVs88fcKfFVAqS3ZpluxJ4r/Af
O5/bCr3KfcL4F40YoevWoW1mBsviUF/OBt2/TFCyNdJDW3XXolHB016e8/1QV1wASxLbT1FOb6su
mJAmYHPg4Q+hi4CLSaIpoGV1aKJWP9uezn02fa6q+Mv26PNL8nIzsNtLG4RKl7VhKU3SuGKWp4Ns
Nmy5MCdm7vhEPU+blXeuONidfcM4o+2CH3buWmvXMa6mZrf72iJOT4QWkqwmXzwtehaNbp2wFWPz
SDc0nlA4nMIE1txTXfZcZwfxXaNl1mSqAgS5kmSOLdHxGJ7jmwvtGrb2hMUxQwdxl45gQElj6xaq
LuTMfihiPDFOYWP9MH3oEPTMRS16a2+P5Fm27cET+WU2w0+H7WaQ596hDreEtF97x+3Xjgh/aJzG
i25kQeHNF7L6m02Bp8WhErfKuZvl/tE25Q8TeAlklNojy4lfOgbbkW9hNXqZht0vGvEEaGI5Ovi/
jQRThEmYd98Q+9in2i7UTHI8J61b4mrZ47fkiR2H5yiP3hhCIUj5kxi1M9armCxGfGpqnBbyDGPz
sx4JDJugX9ITrTW3ACIGK9XRVYhMCSuj8pF72Bn6be2rpXAaji7CwWX6HfcwPoOlfbdZVK5IABtX
gwJyHIXmmFzApIJ1XIXt8AMh/RT2Jae/eUn6xwe79lNucKiUJbnmnQKAOoUC8Ul5kbPIF4bBhicJ
5LLkubQkIYrYM8Cl00wNr4MvJPBSrO8dIjBezWd60aPFrGAkAyrJVXiSiJ+42L5MvlpBzKMK3auX
pkKawqE+Yfk1V7U1HGaFPcnwjaUbzJYCokJDLSUUJKVDS9WOeJjR0Xk7cUOtIr85YvZZSnpKKq1W
sTQ6NZetKM62ke5LhWTpUVltU/3eZkbidL20ufVBRxwOHGguR2FdvgK8hEK9XAV99cQTrCOqqxQO
5sGFJQoQsxQq5uYBEfXQY6xMsYlR0ZbK/DMuCdxsFWqG7GRzrO8zBaH5vPMWBATe8O6fbLcRp8mZ
V9VMX3wYTBzbdstI7A/xNvBZkCUKdmPTwwhcOgs6Vjb0CYU097FBrxUk14fTQ6SwuUi+soiqmGn7
R0uBdS6EXapQu0JBd8x2oGD5m7CcepuRqbxMEhrrdX+gWaJ3xjUvuGuV2r5QQF8B2Ydv6WtiJUln
6qjAP5O/IUW1eBthAlkeQCgrTDCCFxQKHNQVQpi6FNB7nnYI4D4XpQINE4jDFvIwpb8aeyowYgaV
CNppLYNQp9PUnJJVnua0c4GcZvNydsp8ZSc5B0/TP+sKeLR+oY8wkLlRZ3uepGhiCRd81pjkwhFn
p9BJV0GUXjsf8W+eKTwol07Li8b7siKclvi8RDdpqa+dbZkpljBUxbda8u50uXFq7afcFv0WPblb
FdnwmlQzX+V/W3bwWovyKzRovhqJUj2aDXoWjkCaKbiMkNFhciyAK/O/lC7P69ZNCi4q7VuW8ANh
d/KQTPT7aSU1nu+ZbIBOawG1J67s7j7T6fjr7yt7/B6mgVApgaIUzfxQLqSASD7SAoB5sLFZdkjA
JVmXa5imThmN1sIdUkLEvV0xk/gJv/g0ATY23r32c3RrGmCcgPzM2d/UfYVP3CGJp9WH96z28HEY
3cvshs7CSYara6OH9jHyB5oCj3V6t6WM5RJ5ne5hK/qSU/jEYpzWjOaJagf8cT4Ni2FZgVJLJChf
LJ2wxoDQxmxudWymPf6GMZXPg5KEeTAi9eCnSgjArDTQ97bur5VgV2rdgcLwm1vmW+DXQDYDr5Wj
/SSVd09fFgUzLubupGlvclq3WNjdjtOlbHmA6GheSHGtjc/9izKXB6ovrnHHnNRrvB61MzM3F8Rx
Uoy75LgiF7GdgoWv49PSdH4WM8yZETPubclIep4HHK/51xxeFxOPBZVZMRqWoY/dPcyWQa7RRl5S
PNSzC6MARj3l8MZIQ99nCaauCYl/rjDQ1PBfer9T5eg895ju8sBfzh+RqnTDZfAByc4tIJXfpXqu
x3emalfOWo5lJ/PfmUBHqj47VCNt07HxjET5kTYp9TtS9XN/M5NPIDE6MYdp/aC50WmcJ8WwGjfX
9K+DFvOyhEBG8YjQajwGnb1KrOCqteJrlJe+iK8IcKxHO0H3DK7dNZQ26A+7tFYprlPwjKZw7xs5
B6F3K2a2bLatf4ZNdm3MZ2LGbgksP4m+D2NbOKc8PSSxs7XgbhZW8RwNHcIsBxrMh4Q56pLzrFmk
aUaUGFGV5MnE2TRjZC9F/4Az4H6wqpKfJzE3mk4fHgkcVXecgmpca3H6M8KKedekJHibSXsekrlm
w+txuwa73SSjvGWlPBleiF03KA//nWb/vWnW9HST6fNfT7MPZd1+ZN9h/f3nPd3fvvAfezo6w9RI
6xDSIQBE/9h8YdnMkrqBtY2ESf76j4nW8n9zFc3hMdbyVSzl/jnRit9I1/Bsna/ktvcfTrTwnoxt
fx7rGKVZCpoqg5Bv8S8zbUA7qBFrTQ5vx/arkTFlr6Y2Ey3KGaN1j8OoLegbVTnscisnslc9lyd1
aMoPF4Zz53TAR0AeXeXU6IXb3sNq0aX8MrkXvIa625LxV21yyfNTRjoCPvZwym3a5yZI3F1qyopf
jJQIS37L5uRG13hyfybcC0mSLSzsYd28MCoDPCTIT7Wc540dTC+tRKaazcFY2bFaxgRVtfZqblwG
xabLPm4pnxmCLwO0q2Zb8+oVGsuHkEdTPFOabj04TfHM2vFSm261DdMzgu1j3NKCZT0VpRmvAhlf
vda+G5x+I7ks7HtzbrZOmuGGrqn8HcdhhWUvvA+8EWd5Y38H5NvSsVHgkxLXTgzTTpgBMQEyiy8F
M2nmOKQDmOOxarlM+gmcF8/JZokQhW8N0xYVip1lXJDBe8zyNVaUCbqcnKzKfjLsqkBG1HLCHrLH
ZNKNfQwjpaUpaT0YC8lyLkgh3xV56a07PIVbUyNjJP4yxVztowxnzDDHGAQrCky6wF3mY6mved6U
nEQrWfWfPs6ZVdZn3rb0xx95WDT3dJ6vk6DonkBRb1WvkvN7zzq5pX/KFUQo9eCxN73hbBdxvu6S
9FtGUb/xoR+GrEZHth2VEcLzW5/GZ5GaNJlb5afVIZU2tXxOJ/sxsK5JMIfQEc3NsapkPQiP518z
nzpTW/NHjX9YK7plx319qEAJCaNeWU4BS2V3PBp83rle6S40eIsjVNXrMIxU6zb+D73qdnWST4sg
xX8zlM0nHse7jrqkBY5ubD1j761DMhaW4Br5r448WfCHMicJrkuMkSsSeJ0dGy3aJec+n06dIL2A
1Nlh57ZhyoIYl7ozGqd0DvSlVreELDOA8qKyRI0igb0RtMkiqYUwARCRnHd/XVDe18MvT2Q8NJUa
WotBv8vm+4KnMXBhYVCWyhIIM3fzGjolnXX26O91FHPippeeyVBRM5tnRWPwu6x0HhtH35l2Cfov
InXXUSFTrAdIJD5fFRvBbHyUYWkTVMI1O3EdGiNMv+ShaKY8g8VbNSQq5C2nmMpxVw7q/VKT5HfV
q7nUphW+H5J1rGmXJQgjtgOcKraxjSysjd4r/q5pWZpes2sMdJbIYjfR0A6QyOxm5SCjtR6wt+9/
dOYgFi7IGwW6qLuzpz23WBRX0TwlR8Kp+lUathu7wcw/9yRa4aTf2Q4rhTR/9+uhWmgZRHM9HTwv
u3NEyzzgFke7rU5u24x89pu3wSbNe9Y0arg/655xWzeNb9+x4yWBf91O1L2zZM9xzc2OCzt2DqTx
Pr9LzPZGKW67J8bbX3Y4gxeVKEmOK6xvbM7H1GUkbHomB5p330rdvozWxG04TpxlVdjRXciNd0hC
qGL3tU7IH8fnFq804D7DQUmwnbam+pbwORu6lQCcglZcDC7SjE5cMjGOVdZLWBNmLJSvkrXGdKsR
ivxANFCr3JrLzNnOzkRLV5zjxs3Yt+TK0WLyjc2eeSm6Zi/Bgw9WNXvHcKgx1rUHDvz4zExIZkZG
5HxWyO+qcmeu3vMZUSPcGIMLKNoMGksMxKc5TUHduwTPoO38HMb6LLiDbNkOyoOgZGShtz3lgB4T
GGEo3spgL7ozymer2NRd1u/Dmmi/OCOlyFCFZfBLK98nDKCI2gGfUHLSZJ8czEy+mzZvb4P0ZC8f
I/hz50wnEo2Qvn1opyhae4DQzKJKJ5tNmrgzR+z1ZvzgzP50Knw5lgkOzGyG+yyVun/n6uZzn5pf
fjBpy75yqx1c6Wps2dLlru4e+kJsWTsTahIaB5MykSWR1MEiVz7GmZLmfTGY35BTpO9pM3n3LUZN
AwZ/1Pp2zfFMIdtnLu33UYNTrgsPDL8CVNCrrcGLfJL1gHWCKKtEWCfP7m41HlVr8JpVPL/Sz80G
e2B6jj34FC7fOYtu+ZP9e7lqlLhEEcFjEUp2hX2an6tJ0PLdGfucP4p7soqp6YZkrMpqP9Xmc9eJ
cd+23as3ZlSbW9l8YA3EIoyQno1oSXIoiYjfUJpNayZN1AtVZrGAo4cq9VquxehFYUn7Wjb2NjYo
9mhhpm/4y7tkCq40DReUH5crolBwelrW00iXE2ZW8xEP07BNp+7S9nmKQEMcUEatCPFMxnaMWNEb
c0BVlEcMrk2hOIxGLcgb0cj/5xEdVEWwjGb/OROYOvIJ3+zAAHo3mjkdDqX3wkSPWaAi3Aohge3P
LgrJyxICRdEhVI9hIKAR3Cfu32FFOEzTvi/HZzNCY9QHl2wkOLZlejYTTPHCShGqydQkmc+9MGyu
+wL396zMur7zwza6R54V9M8UOkN8RxU2FX2jGoyHxHOOHX7KmSFpjoCBsr5VyA2xm1PnvvsJSo2V
9su8dr7y5otUnmCX1uhARB1VvGA8QHPP+fZNrNqG8x6naUIQ3xdeEw5trbuOIpsfc4Rv10Co5Ecp
6bFhTx8Oy6aioItYHItjBX1BHIrY+WxRNhd2xTerV/FTOmFnt7qaigeiDZFIsd7WWbBxDWoWgjx7
8F3voSqTL4jOGChT3HrE/A2OduoRIu0Ypam+rF19PVWDuWLPskzM4tMwQ/psmmcztg+6TlmNH47T
yqaFem3K7tFWySV8VOONF/PSB4XQd8YcbkO8pifpsjXkcvjTbiX+1W5GpW8vZnyf1817GtMSSozV
SFEfiTDC8H9QCtYjkKf1Nq+rn4lELObkeW1HzEUxTlxiPTmLGv7EE5339WitHX16DEYOJy808mUA
CIS/OfuwiuiYGCxkyWfaeVwTl2kJylX6gYGUR0lS5Ld7O5eCdEQfIgF/pIMMt6om/WBX/rRmr9ls
ZRgoWks+5cFHb01Hv55P9NP6JAOwWnBL1RZG+7TZADX5IkrZZWhfvtFd/zto/ZuDlstu6/83aP2l
QNr8/Wv+YbQTBACwkGO+shymoj/OWB5eOQhJzmFPBRQy/vx9a2j8ZqP3qVwREhx+AY9/3xrCQvoY
81ziRvhychX/swJpobZ0f5yx+IV0Nc9x1+A/RJj8eXXW1PQukypAu3NopYsZmwj5I3d+2/9wqY21
qI/NfSdDrjDg34PdWDkXr6N+x6Nytte7U6c6aGvKaCu7vUSU0xah/tiDh9I4gcOpm6Ac6Zt5QJ+O
jhMSKvG09o6KwpeGSo1I1d9Sg4tockJ8/hmrflxJQQ0RpcOPWIc6o75rFxeg6WJYFW7/5gz1d4Oi
uACh+jRKVMKRmWRGD237iq4G7OktiVncc8QGnorTn7JjuIhDChCkQrZAnOnJsTOkQumvY9NV18WO
0qlGUGCDzERuLikW9HQQ35WpIK9MRXrRWjOtzZLDUdj0tWYEpkKaRRst5V5dUAFb9llOmCDNg3MR
b3DcMNa0FjOWTl9pyzqyUAFj8JF7zWrqdepq1qYqt7nh82ifLeIciNSy2T/aoc/uyvQkj5QUc0r5
k5Au/S4BmndN1XhsMUFa8h6YUjx1BpkL8xyvo7mrVzxCS4xGWsrwkI7rmPME79lEoqoFMxal0W6Q
Pn0cGIc2KF5bmUhrV4bMS7kBD1mkxFNFCKhurTMxRPIYBwS9oi15hDDhniBtLvKS+qmnQxlL9DYj
sC9325/lQFpUTZH6UY8uKYIzSQnbwbfJUrHcZ92k1R6AqCE5d9xPaNMkxLBPcES35pq1KmSLeW/w
u1Ohkw/HSFPGRKnoIYdln4Ybq51v4wRDCg03LRnqUK90rrAOvh4YuqfBF8bCqiL7nNjtuWsJTGZZ
RP7c0L9ozpBtQ7MYdiaK5RHkj9oS0rJugTvfW6rDhij1aO9VsO1hO37UA6NuWRInbcbFno0K2Ffm
nSefGuOWkvWxgzmduYKXdp1QPj09Gl76wy6mQ+LLc8QbZFFUIExs41mWBPLJsZuayOVyO7nVjRtt
s7e4S7LPfofU84DL6g1D66WRLm4hPOD7UqgGs9DewP6sci69pH1gFM5LVNXQl3Jtql7krta7nW9Y
t5knoco5IM9MD0twGzO/h1rEnx2oZS/JPbooyLU03Yc+0PjCokClt1jIMZkl63rGmhFpvX/w48dS
E/zWDC1LYc2v9LkkV+AFuR0az2a+IkxlypMv8kAJtsG0V9fzjnKIdNdoxUMr+IUMMvaI3C5usy2d
MzlhAxHHvXZIRBKuWtfydrZF1ImTpcnRqerxCZ3QW5IUsCka+8Mfx32QZnciLJ4I+LjSD4aTqQ4m
2uSSm/onvaDHl/81brMmXkZN29pNdAXfPWaDvSMV5ayT482/kBnNzrW757mYafd0D6p8J/eKY+rX
lOocmIr3scP/JVFiB/pmfP1u4r+Glt0lWXPouSyGmjhM3kzQGvpI6RySQj75efaOOrAl+eccJoTC
JJJPYnhIy4r6r+zmucVjO8d7rr5Y/OVWK7gFejOh0+naCcUhKq1bo1nHuEpfqSg+2rtaTpu0N65l
iRCVWcc2iq9ulZ9ajYgc9uq217IWFk9sifeG6F5sP7mnu5XT8maL6k7v87NeWvehpz1m5nxqebHm
zNhCZNPPvsDdRzBov7Hq58Rlv1okt9Rk8RroW8978RiNB4cdpkRnYpvwTUzUFQeLnddPMeFSre/d
OnqF8ni69F2ziwbjQNx1m35amvnpD82SAlq4Ls/f1674DGPv1ZXzs99UkILTuo85q9JtGleP6vvo
7InPRoIOneC50u12U3h9T4pQsyME4VTGOBitiyiKO08bVsE8PFs8BzJDnrWwe+uZDJ05vzMQvIi+
5M7XOztduHhVq0cycO/YkALKkp6edI9d0e2YHTcyGp95VOytyKImEmMxKQ8oUo8CqrdvSxL3wstg
I6Tpqz50T0ETPOETxNM5t08efZGFw0BnYiJLIutsJBnzW5AubMe5BqK496rq1dUIs2Bs6aV44Bb3
TnJkQwqLXx6bOv0og/lqqa5yYf0AwHgyVIc5UXWP7uDNp7zkATnW4hULD88oT6PXzpqLbUIdeq16
0XEjMExQlR6oznTNXhnGLB+TxD/XqlW9oV69VT3rdBQRaaxlB1N1sNdzFCwJ0VhI1c/uOsR/NzXO
5qxBq9d6OAYtrJcaOh1dW0m0mZwWNYPW91T1v9uqCX6UqVxmerzrVEv8f2+T/+ZtEhWb69e/lu2v
H0X7Uf/f/5P/RbX//ev+eaOEGqM8iMRZS8XD/c1a4/9GzLbjE+lgcKHUuU/+4zqJZM/10/Z9i0If
FpAKDmuAmKL//b8sJHvLMHzPcsC58N/8R81B1A395TrJZsKyeGz6jKougRB8E3+01tCVbHudV0qY
JvXuIbF6aALyFnvrBX1owdloLWK3GvjoaimSrkmeU+tMWxSKt94d3mDnc0nfmkyz8cEBjXcVn2p3
wZ7hnkuIA4XRRGTmO5mx9sp424wYKtzSse+ENDIuQCzJ8VGSKxVD7Sb9vB87Wi5NIz0VUVHAbzjo
dgm4v2+/d3SxHXrOMcedvuvJvJMJ5Z6BI2IA4Bgq27tMaXGdiLRcTZH9IgcepzOL74Uc41vfU7DA
vowOUoLmljmbVFTEHndAM4MJZ885LtFlUtrlasZHFCg22gvybamggaVpOphry/leDoBNaQbWOjnd
0pvM/MG2ugsGb+1qOFAdXnKOwnJflFFxEyb2eWMiEshk6E/D9LMyugtiLo16GWeux11+1SMUrqC2
ncN7wIUuzpvm0MUzKXG6tc8LHOp+cWl9jJ9k0mHi0XjWtEEQnoKI/M0eRiZprfyQhdaef7nftaEf
wM1CQ+TBsNOSPt70kHM5ivwGqiY8zL175noWMz0HHutwS4/u6wJnqBeX1rbw9HuS/XJwJcZffORY
cLGasNlpmL8D/a70+oMe1umpEunPqaD8wtJ3oHcDveUg5rVxspu9O8bwSW737rhWQI4gdAO1BHgf
jXHnwhts7U7b2ck93NokJki/ejYPNMLJpZBgVljniXHoXqlNVL5N1vVNDvNeV8YHAYVL3JruWy7M
C+8oLiZ3LFMubs5BW4REP7k48Vu1Mc7JKV/klf5zKOMS+1QFb9mjRTVs0lZ4t6Hoovi+bNAk2Esc
fS1giDFuZjlfEeQ/mghyw4yOQyM42MciWyWVSWxxZR/4VMtLjacOi+l88GRHelDCP+rrq85Pt69Y
t670EaBYzObSlbzNy34mKNCPvgJZPpiiP9Ve6WHSnIj1g8RItfkDdVaAWxFLrE/cWYUSLzslY6Y1
b3wlbPL+PQsldQJwOCsazWEB6nfPzpNDgaOeS8Sw4c2uwlOLdmUq+TRBR42UoNooadUusFk9m0pw
JY7FW6nMVXzb9KxTg4z7rTeRaM2s3vaotpxcPwebH6JXZlcHvxXikqkB6CP3hikF9a1jcNnGWkaq
9TfZ0rh3e3C9PEyT82AeQjI4aJwU3tE3pvQwi3aP6edSJaQdSSU8o3Et9Lqb9hyI9LP27lbTqUYO
lGDNabPUBO5Z3hHuIkxIeIjQt0sldPdK8haqzwX4MPTQhkmAQBY3ucuPvPhQ9bx3a9zTPRHOC6d8
C6uEmCPcvJUexXeTktwnJb7blntJveZNzORrMQaQrNk4xzx0v6eZY6JVIn6m5Pwa5X9fYE8PNJuL
jRL9CyX/J+wBfLUQIMqz2wVqSWCwLWjU2qCdPwu1RhjZJzC1v7nUsayB109NK4+uWj2QVHxnql2E
lpwRsJTU+D7MJL8DreyKFisNKYD+qsm6DWZjem0nLzlKJnaVHHqr1ALEUauQVi1FTLYjFRcnU61L
YvYmhlqgjGqVUrNTKdRyJfy1Zvm1cGHzMrOBcdjERJVPnDUdOpbsDgXvaQp0R1rRu+WkORej8OjG
kSFZPWMXLetmuNigVaxeeEjEpRgXpp2shoIDHgFsp6v9Hink4caWI6TkGO5oODZWo+QaNNgRZ+hU
P+bjgbqCZaecf/1Upijn8XubxtzpElJNRj4IfFz5dG8KJD/+zRqX2qrrTqSAkO49NV8xZQIhh4Xg
+Us7ZbHRLGrgWnGeanFwx/ZZk/bGpEDiLpgPZWcld5LFzNrFR7GJOZ27SNubmn6iyOdTxD70lG1/
J3p3MXAqhmXrLfLm5pErbIUcpjqxp5VJ4mD1GTl9ta6GOl43dnV2CdKCYeKNDEi9MFmjbXUt2eno
7Csm83vP5BSyOR54qSoSVzySmgsWeA221q2pswkRSNuboGmubhp96UT6LJAnY0I85j14sXUI4nFX
+SwX8tHN7uBanyKfAlRxyzN+FMRwaU+Ek7eEnRM66z3oDkpPNoS7BhuOUd34PXVuiSYH8dRheZ3X
jj17S/xEBFvYFCT5E7iQ72UkOeti0dkWF9QkS9n/ZdvRqe9TQQEH83RKojLuqgqvBe4IfZ3m5pMf
z9RWdm9kzWUbtcwcLFR+juxo5UfVXi+ax6KEiaw0/5fjZWkObyww9wFp5Qeb0Vsxpi5xRkhEbobe
D4GaKxaVPdYDSM1Zt3SGJyjBEmy1ABXVGjhWB6B1AGxF8VnRURyvwTavmWJf+7B98I1DJf3iXNuU
/8qWjD1Rgcix5N4k9UbIyjph/3vS5+KlsfnU9U1tbQMbBAnt7+ooElf7MSgu1wHQ9cTBULwuOytF
746/Vi2K6G0Df61Iw0OMp3VJyCj3p+EHOXXlxs6zTwkY3GTx8yCmh2CazoLQvFzP2P6BfY0NvAKL
EpIOs+DnzEqXa5KAOnYxn7CneJewe4RQ8kztIJUJ404PEVmmvWf81C3CayqeKEtSkHZkFdL4pJBn
F9W9Mwpcwt6jbUAq+emuqI6VQqUrBU0Tn/AVKIxaKKBakBOwaBRkjfmRxYEEsoe/JivBX0mFZLew
2fMvSBtau1HYdukYPyarkMuO6SNUaDfx9MOJnhmYLX8jGTVvwBnX1oypTYCWCiDEJaR4pJBxXcHj
QAuQzQoo9xRaXirG3AE2t4aYKFSDIJ7YHG/rzsTl6hrZl26UYOoKWC8Vuh7ml3wEZR+ZT2VQtXsf
yn1WuDt5tqpDZN8qEL5XSPyo4Pg4xJWKc9CqweZTBdDXUVST5oLYQF1YsuoUaB/2CrnPeBBG5qw9
+vMpG/4fe2eyXLeRpeFXcdQeagCJMaKrFnceSF5SEimKGwRpUZhnIDE8Wm/7xfpLUbJlSnbY1qIY
HXW9cpAiefMmMs/5zz/MVMJFc5Z2HfOtyZ8YkY6wNyLmMvH4ro3N6eAMwU3bupz0hGuMuH6WSgIA
x3Ezl7l3GzofM42A3wzrodAKrP1EypPSEdhKUSCVtmD+pDIQvEdNMWoh6d40IQqjghnxWVJnRLiH
g3nRG9YAztN1e8fBTgHio1CUDSHbHvd5853K/kIZwDtvQiRXMZ/sUIp1r5HwGzkDZbZzHbRIfEMm
LKxSKHc5diwLE5r0vu0ukxa/1MrV3kfFQyo9QBEdLqFREGsTZt1tP7Vcj/YEt6Bi/DT7/QADQM1R
PmbSfpx1+JyV8oGQ3W1OqNwJv4ecTfK+riOBJ8Sor3v9oc+r7Wz53dJwlcd/i5tEWYSnbtQufZWF
g03WbdtO5OmaVCDo6ndDacCtByWdOCfHFirJ2LGnA+KnUxMSjlv37xKcKDezHtyCXWD1OvnXZgvp
JS5IuCD8otwihT6b3GLjld2xRTgNv485UgslwE09gajL3JJ7hnR6wHoZgMVFrLERtjyas4OJcVGd
lcLv91M3ru1aXjAIPuQmfLv2xIdsHKfRPelFcx2lRrhTHPMORTKO0cVuNq9qfbwPtfoCsLA+08ip
tlrMWaA6u0oKADRKGE+AVuadQJ6M18EJzx9K6mEC0ChvUVsfsrTwNnqXEsVW4O9l5YTCxyUnCmcS
AdRA5XGernAIOqvhT+f2Fue0k2yjZmN11E3NTKqDSmXHB+s/vht/0tLRZJ4Dk+4PwIHH7n//5+E+
e4YNPP2zXzVqJl031o62rUOq9RFC/QIPALKTtsWox9aVh/2v0yYwAM8C4dQtE+jAtF2a+i/wgKsY
fcoq33A9JVL7S/AA3vvfwAPKPx8+H3+HazruM+cNb/DLxEjgpJSp1W8JxcFNKNYfwlGcgzHjHuvi
wZanxmkYo+GibhBKofVkh8r8oBf6G8LezYVnjzdIUczlNEfbshj9FUbkSAKgX9M1RIdKc648rsFN
rEzizKKoDoxiqwOSa8JlpEWgzqDftHX5viAZ8NjEl5jbQNFN5uQgyrvMD2rILz7X6Ej7IQL6hsFf
Zh4kXyXR1rN5NzDSIi6F56bgVENq4TwY3uRvuaMBKcrpdVnN91iKn83YGC74LT0saW2ZRj5IY4DD
wN4YO31bWt42xANryDFMi/RWO4zavJFFneztkOgKN8WOoCGOnI96OE+H2N4bWX2ZoujC34rLnFij
kLpRN49pxLs3o12eJsEajX1Ed9bf0pbigTDpx5ohNTV5dhO2LvbXXgIWUZLOGOJO7MVH25MSVU82
KSXFVPbZuvdxhxyokhd+0LxjwnRHWYMtk8CJnhsTXhSqdoHQDuK9v8TpAN5Kl12RHIQEu8ogKicX
RgVPRczuiUz7K2FCCEcuvvEjayUTLJxzY6s38/uKsKsFfc95a/iX7WxjAqkHTMsSrJvzBmqmbVEi
zkawjwApFvg8OFCLQSOiAD5278HaMggYQZtA89GeenFlJdhWlDoamC5vH0KZZwtIYhcatoW70dLO
tXjKdgxDr8tZnGm2hhqaCT2KG58yiUoULsawt1P/whrL62wemkMGn3pZNs1Rp2eip9Xxo/aSak/2
Jb3pRO6OV9j1EfDmpk7BlBNGFojec79P741cc4isgeBSKir5oGH2ELnzz9M4JttpxGV46jFyaAFP
/Ci+SprhcbYPZCFyDmfg2kkmj70WFaeeYCT0ww9Vf+uTC7mr/CQ7TFq3sSdza+Tp1sdcYQdeXK8C
713vAuqUWrpMrJF2rGyMtWEhzQ8STLlKBwlk2E4bL4+x4cY2AvqBfep8I1rVRiSXzLHgfOlzcxn6
M7d23d42GKFeM6h8U0wj+pdKUQSpjWtB2YXWOxy6cs/gKVzmVlVDlfDJmfSSm5j+HSxZbM3xqm2Q
zPddYOwA31nlZN+NfNTkeMVg2+O+GedxlVaET1CpntU+gFrSiLUMKP2s4THuLW9Xt0azaY3k2CBX
tzElxv8+3pte6FxOFQbNem6vqtK7y/U52LZZ5h9TJnqdJbAaz8XJmx196wn0Sf37Mgf8cmS4DSJH
f9tm/gfRdxMiMah07tCdh7n0VhHvZlV5VBBdjfebLue1Jjobo+suPM0NVt55N+3DdLxMq/7kGKJ+
09hIbFo/u4uqtzpqiEsZYv4P2eossBmnYkMKmTYfjwlQAi3/RzyFliTnXDhFHR9TYWVr7LD3sakv
u9q/FmJ0915Dsk4sxQ5so15gzPHR4W86ogRbTGMQ4MbRv/YUdDiDIeqG8rpXsGKmAEayFh8CXJ9d
9FYZglwNIFLHDVEBk0E/mEjli2sf/UlsIWvscTshxQi0yCgNZ5E4TXvwixBPtBhliGaO0M+Md7OC
ROswexOBkUqwUk2BprWCT1twVLgDjwO4Kg+WICrQustAXBnzMS/0Of1dB7DPd6TykN3nUWy89x3G
OrVbYVej9IRkzVlneuV0iuK5jeip19UT7MtkWQHBNohwLOnAHDDiWoHFDJHpC4ADQJH9UBBFjInF
KKSxgaGBo3ucIGj9BD8TYBsmxjupgGmyi9RAh8woVczAF1iTl45ZBnXOoAoeh8on8sdLWVOIQbZd
6cn4sx/bB1vwScKrD+E5DO+w2hCbWeNn9Wa/Jb2ELs6W771C3NoQdCqzX3pJKteZVV4lxszo1IxC
RuIbDHm9JTrNdtWlAHGBcXLnVlXTlVwJRD4W+kkCluSmMwaxw5kKJzWIyMKuaNd06yNY+vvAgUI5
mzbyScw9x9DT1mHaWMQWuIQNzi0fMlktqaezjyfzxIzSBxuAxmUlxQN/G54Ubn0WpvDJAqd9LUlR
mYlAWbhZ+ZAXuHYWSIlBqc+K2fdXSJKSRZ9bKlMQzq/L2FrC627bfIBJ2uSbyLca1ecvPKPUl7oH
29HDvgGJCfZ5TrQjQDS97kfvYZ5hCA/hEsNTsZ91iNY9YGja3HlesdWjsQUA60mnRI9ohzF+Ujlc
uG5uACCRWzc5sb2THwRLK4UVwJCjWggvqohBUdpFbBGju0nvxbokzWqRdpTH2OiDbMbKgQenO+aH
9ajTAlW9zmgfTiJ6gxZ61tStPfgAhwD2b2+HNSLsMNqFgQi3Zhddpxp+MKzPtVF68gIvFRnJdNv5
mE5VAwlgBXfNMvBiB6915xyr0WpZaYmykFeMEDlqUEvLZh8Q3gGrjxM9j46jazt42BMojJyZDx2u
LUB/s1NGe0jbMduYy55WIkFIQ/JD0wlvga0oLqatOz0UZzpmR+skek0IAxLVgLcXm51YZln4uiF4
Y9PjAoylZL9yNdrToaW17euUC4HsDB2LJMyr4go+Be1uI5O7eXDT9dToM1SJ5qGek/d1alyKXqNr
BRrjsML3F7svKMlee9lYrUHSh4uFFGSUuS4hz7rhg913mAxXfbopML8OCW3EGm6bRKMF3Gs81jgS
ZJ3TbuuunWlPwA5tkxsxFjYGgRQOJpET88j4oXUQEWApu5ywj1q4EwoFZCk7ByeeVTTgfCglYt5O
YxNkGdRyq/s5N9J7MaJySlPMrorA+djGo7fM5xERE3DpQlpJi5/ZhFkyhA494+OZcrF0CWxZFoEm
D0NBCopowlu782+thCQep0Bx08dcrkF8Rl+7FH7hbixpGuQ67FtpxBuPh2GWOIMlrYEdj32fTC2o
8EQ4tqvsTSu63NXYJDh6l/ukkjsgrnwNzQI9+2i9yaMAXFXNE9KMVAekd3jeUnAOJqSCbtNr2Gun
CfgVHNh1HPNTw0k/D6XhLQJXxjya5XqSkDB7tWL4a8kFyMdOMk9ftGPicZCEBKrMLvRixjbs8qSk
1ccP0sXHaMAoeC3R1SFihf5g9PaDSQGwQkWxGJ0eFIQyc6o6k22DddmQV+EawxUsfBWL2QC7p63H
Iw2Jbtzb0It1WkUu0GQim8XK/XuwhDvBBxum2EjHon9oa/EhxX4bvKpAyaaAe5dUEPV+SoYj+Kup
EA6bE8WDQZN9/BT+V7a4qxVclbsmdQ6cZfdmpEGHxDUVQcGVFA0agTEmtjzQVn7cBtz9UCaw3SG1
jzxSF20upyKBLqjCkclQOnswecKBrchMDY0HLbHhY3eJNqPeJXJYQW9LVrHv4I9tTPgakTG16qoR
vwumiUv2LErY8jCkQ7hGZHI+muYZpzimXGoyFAKehKMFMlfZA6UlR4kdzsc8mMi6sJvhQLnzkNod
9Tg5tlhTAJdWybSOe7Kd/Io4CqOTnPrDuPM4uMjlA5dHnKHvpR1vjK5Kzmw3ujT1wd47PlT4Khos
ctUp2tz5QzzFzWF27RDB9fAQ5L08azhmbNJOkjaRr0Vgn3qvCU44uW81JYGeSPY9NHJ0tzq+pcg4
kJPHXv+2CsojDlGoWUaiLKtEEtWaF/46SxHwx82DN5GcFdQapxokWDqQC8+2sVztsbsRDk7jznzV
Couo8rzJNq4WbxmHYOnp3g1Ty1SL6n+R+MTPmx3jDUO/CiFUHqLJ3nA9u0vI9whG4vpgzSaUZ0Zm
PGnlVe0MgC99AB86hh81zq22RyB+noFJ7XvyzOj/3H1M9Dry1xq2iS7uNELOREI9JSfODGOampPf
RnhvIyux9Z53mO0yY5SHAp/5hZu2a4B187x3K9yvw0dPcqszQ0NQoHxvdb+E390Oy//QJP4kTUI3
LXCL30dCbuLs/qfXj99AIU//7heahOFYjoHU2YRWpugIv0AhOPnAq+VLlg7NTpmU/sKUsAzS/Gyy
AdEbGgKHm1+ZEnzJMBSDF8cevsdFEvmv//6NR0377P9/Kvr8soyLrv3nP2znW8MeiL/wJIQF+0Jn
KPhbpkTJb3eDktwH9BSn2IvPQlT2HMmWvqQMfpPNlCaTc0T2Pm3xmmFcGF97kAULlXE7q7RbLaJk
7dC7L1wiLledzVVHNgTRuTgcT/lSs322aPXQE6M7qDxdh2BdmERU/ypr17OZeqr03Ujl8FYzZTH5
CjAO0WoVbYd2bTQCKOVvkyF+V3u2tZYE+yJkuEtU0m/oZLdT3LmbiBDgSAwOk5z0PfOCnWmXN3Px
vrdlfD5J4haqcLQ3TlOPm6pK39ZMF/YJccM1k+GUE8ec4o0WW+Z5PBINep6jrAwQuG7NdD6vlLtz
Ctlh3xsWUhFQ6pl2ZQPD4E3BwHhjpbG7maxZgMGv2jG9Fr3iNYzEnOaAtsvCS7eu1FYONySGd2ay
if2VU+G607RNQ0IoEQqyHd46wZraCUcyq2z3sH73FBs30xRu3Ti0tzVwUeaTSE2aoFXhV0D6tOYa
6QJX0tsydBHK+P6j0UbzcdRd5iAh6LVnVOtAmBn852IX9AHcCMeidmqw7eEmt9AsDPV00r1gMxNl
pwUamyHqlrUrEVRUoDO8g5i7N/tZZP2qD/vXQl36E6jDSg6X8eS+rePS2YeaQZoyvurYz8frKaIb
d6a6XQs4Aib0Ga3Dhs2mVjHt115jtweC7c7G1k63gYFRg8EAQ1rcHJEV9Mtbu43MI1rWFbRDmJBe
fVGX4q2sk5UnjWDVt2Rez/2tOYkH5FxcablxkRvYHnUEc5H9hZXNBAO3Jxk2ipJ4k9o26hKJSrLO
3+YJQ/WCSfOWVgFWBlELiMlaYHm7lJdS1KgItWod+p22jKkkF65XAEVLa915cm3GycMcJVfOHKCi
l3a7cNn1i5pE7aUTh5deUa6j0rlMmcKsUNh8yKW+M1GptoGDxIsj2wnhIhpb9li/maqcIAUQLTQz
wSUSP3S8WMF1FiHlQ7D3AZO6zN2003zeaPJDNHvJnjhu+OntY1Y14QGXuHO7mcuL3Mp7kgyCTWFY
K3ozbqrUYrcbaq8Y0QV5a1tTkKlBroO7HAy/OhSGeVM0IS2M2x3NPC3XZRjfVI0I132UvA1d0S4r
wzMhcqPPJNm7W9MLiLKujthHbhxpPo5drB2GYN4O5BJMFno4ja50IT2ixSknBMRqu0l3pTdxSSPh
04wEl1xYZVQw/KPyPh6gDfF3oXgbCebNyJ30E4xKbOdewAQC7FOYYgaiU4fmVUg/3xEEtzMxa1y2
BRHBCS6s42BeW07zrhyRZRuYam7zKnkd5jb3vmY+FjoNMGHVMw2N6SIjKzBUpxNlEHiNmQFeJdI5
Mdvd+hLvPhTQuzDcBOIq4Fcdm7T2CWrIVdyBh7jTeb+N2/IWgvmD4xXUmlp2GVElMwHDwD4PzCs9
6j5mJjnIUxLeBh2hgFl+aXT1cMBPBeBkkMEOKoaS2n5IjY+1i8tEHBb3mjBvAMCDBZZesJLkkG0S
shdpBteWPtHZ1TEZjl1+hVfOdvTjYGctEphPcB+8vU1WiS4FgsWR2kTOzV024lnPcNI6p/QrIV/n
WOgbUF7GtvWXkXVd5LVNfetGO+I0PAU0MnQz0MQKrK4W6aHuyJYpL6252gmND8mGCxaP2N3GmWrF
7zpMkPGzCNaTP1Owe84bEjHPwIVLFcL8LvX5XVqU3rhDovQG1SWtcL/WEOZhiVKftIkDE28xpvKf
mrrGwHmnHI+5gS2rnlrtMqkTkn1qjG+9/j4ZdP0oarnPCCQK4mHVdl22b2ZG4a5inRHYGE3htQar
yZ+RJVk1zrJBw/Sz2XJ0gbrWuJqUmGi9PtiVo1CbhBpbR7RVEmqu4RCkl9mb2MlvXFPS0VAuDwBt
XRKfybiByQGqUiXWx6nWP3RW+dEuUJVJF43gAIadJ2daZH6YHfxpaYqZ66fDIwypLfYhmHOAQoBp
Al5BYe7m26LR1TJ3p/qNJkVwGkNrPxvo86wOdxKvGq4DOUM+gCJMdNOCBEh7VUvtNLbWZVXUIDUa
XFpgZ4vHC9/T5GAXslgXvYHlbsYAjdwYoP2cU6BNdKyWR8IECoewiMDl9DCJQIDPvulEWGyLxCGx
jw2MTII2klEhs2OtW2J2nwsnf2956YOeheapIl5hMYMyITWJICWSNETmSOrs4sRF9sGULyehyiPs
AuAxqTdRm5+moV4KNuKyghuCNAdCkUGOdYm69wLuyrmVEiijo6TX9bXXzvlyDnzwVEmVG7nRRo7O
67FBKu8IkrRGM90wR6SfIYHOQd6cIzFd92m0JjnjMe6KyzjIdcIPTrogE2tEskNBAJtiLlXMnLzX
KuIEK+NoBRhzjrLc94kzHwlqTRIzhHGFqgSLmPMGmUk4RsiIUZ0uvK44Ovi40Ddpi1nDsxQnAnQq
SrFSKu0KMpftrNQsUulaWhqknUTq0ijNS6TULzwEzFiVIqa2YFSESiWjK71MDumrLB33baJdaJiM
b2ylrcFlFwadNp/F9mMw8sknSodTlpYD152NTt7QCnXiOg8EAazRNlEqnv9flf9/PRW9q/vufv2p
or/q4ca+foTt1/1SAquvfqp935Z/75u+1NLf/0E//dmpKhYmz6eqn/6sT3/zH/2U7L6Lu/4DOXwo
7uA543qFfOnTi0pekQg+f1kj08Blegp5+vPXqeRpXr5apt9biD9+j08r+sff80fv4GmJ9h/++Q/X
swyGu896qr+zDqZwHdNGI/j1AnivLMf1bGEzKf70evpNL2oBzO80lX95AQx8Xpmru7oB1Z4XI/Sv
18F95WA0ijDz6atsvX/TRvi57IlM4JEM47L4mi9g+PzJv2msf2cNnv2EXx8G5f7jmXSs9jdPgc8X
PNVpP72eWvgXtAn40Pj7rOd63t9ZgWfpm7+uADiAjVmvhabwlzf69S5wXqGvUDklzueFeHJqekEL
wXGgw37+czvhd9dBcO5BMOFc8Z72+7NTwX3lWxyZoBifH4enrfei1gGMxfzRdVDhNMA3Ju38d9fB
eyXQ1jickJ/3wws8HQWe0T+8Dup0VF7Q3pdr4LenI+ugExGreyT8fHq9wOdCuJb7o9ckJ6RvkSsA
2+rpffIDvz4fyNDVDccWOH9/fv2bbolnT/bX5YKwdUXN+jM3xbOf8us5CavM0ZEyowV7Wodvzgeq
Ep/L9Mt2eYH7gSACpWD7oXXgvvCYgpto8p4+72cXp8d+cMg4Nr5cnC/xfPhO3vRfvTe5L8D1+Q/7
9k+vZ9UTqDymvK4Dle3p9QLLaJJsxI+eD9wXDmNB14Zy+en1bD+wTDA3UWN+/rKSWL60dkJ8J07h
L+8H/xWKU/b+l3WgMPv6nESYym7hAcQn5Mt+eWnr8D0jzr+xDiBduk5f9Tv7wTF12zEQ6T69XuJz
QXv1w/eFEjBzCJri++vgvzIoojgmv9STTwXLi6onP3v//Oh9AT/aNbkyvrsfqKNsky70S/vxEs8H
LrtvlO5/47kwEayjw+IA/O3BYHEyQEr/XG/rL67TdL3vsfn/8gKozsGBbfnlwf9mHSitDBuPwM8H
w19Yhz/x1ADlqe/6OXu8b/71fwAAAP//</cx:binary>
              </cx:geoCache>
            </cx:geography>
          </cx:layoutPr>
        </cx:series>
      </cx:plotAreaRegion>
    </cx:plotArea>
    <cx:legend pos="r" align="ctr"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_xlchart.v5.22</cx:f>
        <cx:nf>_xlchart.v5.21</cx:nf>
      </cx:strDim>
      <cx:numDim type="colorVal">
        <cx:f>_xlchart.v5.24</cx:f>
        <cx:nf>_xlchart.v5.20</cx:nf>
      </cx:numDim>
    </cx:data>
  </cx:chartData>
  <cx:chart>
    <cx:plotArea>
      <cx:plotAreaRegion>
        <cx:plotSurface>
          <cx:spPr>
            <a:noFill/>
          </cx:spPr>
        </cx:plotSurface>
        <cx:series layoutId="regionMap" uniqueId="{7D85024E-A40A-4138-AA05-C850460FF396}">
          <cx:tx>
            <cx:txData>
              <cx:f>_xlchart.v5.23</cx:f>
              <cx:v>TCO</cx:v>
            </cx:txData>
          </cx:tx>
          <cx:dataId val="0"/>
          <cx:layoutPr>
            <cx:regionLabelLayout val="none"/>
            <cx:geography viewedRegionType="dataOnly" cultureLanguage="pt-PT" cultureRegion="PT" attribution="Com tecnologia Bing">
              <cx:geoCache provider="{E9337A44-BEBE-4D9F-B70C-5C5E7DAFC167}">
                <cx:binary>7HzZct24suWvOPzcVGEiCJw4dSMaJPegrdmSLfuFIcsSCU4gCXD8g/slHf0L/Xp+rHPbkktSqaY+
FR3XEVflsEPEBjeIhcxcKzNZ/7yd/nFb3t10b6aqrO0/bqef32bONf/46Sd7m91VN/ag0redsebe
Hdya6idzf69v73760t2Muk5/Igizn26zm87dTW//459wt/TOHJnbG6dNfd7fdfPFne1LZ39n7NWh
NzdfKl1H2rpO3zr889vVTWfevrmrnXbz5dzc/fz22Sfevvnp5X1+9Z1vSliW67/AXBocEBbAfzxA
X3/o2zelqdOHYU8cYOrTgEsiv/3wx+8+ualg/h+t5utabr586e6shUf5+u/jrGfrfrx4a/ra7Xcr
hY37+e2Z6Vyf3pRv32hrwm9jodmv/Ozy66P+9Hyr/+OfLy7Aw7+48gSNlzv1R0O/AuO9tnf94478
+2gwdBBIIQIqHnY7eI5GcCACJFEQBK+j8YfLeR2Oh2kv8Hi4+mMB8j+HO/132sceEQLnn/j4ORTi
AExG+NRnD1CQx2PwzTD+eCGvY/E47wUYj5d/LDT+9Z+D6W4eN+bftw8qDjiiknEuv3mrF6CAfTAs
SYAeQRGP3/0NlD9ez+ugPM57Acrj5R8LlL1L/RsjCMMHBEIIARv5ZgkvfJY4oD7xERH4wVBeYPKH
y3kdkodpLxB5uPpjAaLu8r/TRsAIiAQTIOI3bEQyiC88eAj4CCL+NzbxzUb+aDWvw/Ft1gs0vl38
wcDobtKb+l//629EBCzER5Iy+WgCLyyEHwhfMoCMv24h6s8s6Tdg+WXqS2x+GfkBAXo8sv9+SNmD
4xOJpHiMGS/jPEWSIyToN2tCL9zXV3B+bzm/A8zb53zy57cPN/uxAHl3U7ub7l//u/q9XfiLqkQe
EAnUSviw28/lCAsCAArhBzTAlJ46rz+1ltcReTL1hak8GfmxkAlvrLsrzRs4VvXt3xjyqTwADsYC
Xz6EGOC+T1EKwN9h7lP8KGPkc5T+/Lpeh+rl/Bd4vRz+rw3ab67uqcR/9qG/KvHlARcEy8B/EXeC
AwkDIpD0Ie68MKY9mfqmvX97Ka8D9MvMZwv/Ly/nQ6Orz3+nYAH5SBCjBNjvq2QMyDH1Aw5K8gGC
FyryTyzodQS+T3xpG49P+GMBs+5vui9/JyVDB5whP/AZ+rbxvzINQiTxA/wwLF9E/T9ez+uwPM57
gcrj5R8LlCNtP5u/ERQIKwhhKgn1XwVFHmCwFIbpo3Jhz8PKH6/ndVAe570A5fHyDwYK5L/03wtK
gAMfgbk8uKjnsV4cACED6SLYAyN7ISeP/nA9vwHKw7yXoDxc/rFA2cfDm/Iu7e4eT+y/L1zAWvA+
CwapyVetJTjgBPkc48e8y4vM/Z9b0+vgPJ37AqCnQz8WSO91efPm4m5fa3jKd54931+kXl/FJeS+
gke98qK6AhhR7AeUPNgOwo/f/S0X86eW9DpET6Y+e4Kf3z4Z+bEAenfn/vV/Pv+d+EA+mVKOAZ4H
3/YruQmZZuzz75mZFwz5z6zodXh+mfkCnV8Gfixw3uub+ubNF/PmQX09HuR/39GBEYkAsssMkmhf
f15wNQFqE1ACXvAA4gsO/VdW9jpYv77DC9B+/YH/z+D9donze/E3unE38deq8ZMq5++Pft0NqGO/
mPp77vGb59x++fltIAiwAv+Jx9zf5lm25tfb9sr0O0hi/PwWCtFQ9qQCYYGoL4TgcArGu4chIZBA
MhAUkkY+45BuqCHiZj+/ZeQAM5/TwMeEoABRcLDW9F+HMNSS9soLQUWVggum3+v2Z6acU1N/35yH
39/UfXVmdO3sz28x3Kj59rH9w/qcc0HFXskFkF0HrwHctLm9uYDegP2n/4dNm6VsCt4r3M5h5fGj
3I+lbOLR0o1M61WdL/HoD5FB42bePdm1V74caly//nbfp0AFIOmPBWPo+bcHXoJGz9Tw7Q4noU5m
p0qiVZ50bpWMJhZ5e4fzIQ37IiGqbW9H225Gr87jtuPXXuqVMZm5U56VTeSjLCT+uiuXd1ONL2jS
H6fOS6OCmi++Rn6oWa7DeXFEZTV/X3t+VLCmjlPkLqfR3ovO1KGE5grlJ20eZTzpojxfjnBSJ2oa
55j63spMLYkaLVQBmcCwn9NR9a66X7qijrGeUqVbWYYTzlcYsyLkWdsoM5ehJaxfd1Lb2E/4NbO9
PKzrLIjyxAvHRO+Y6KazbBryY2HZYSOmCGXMWwVJokPD2RfYxOtmaAOVD8eVS8MsSH1VBtMu4ONH
hudgl45jpXS3zLCFNt3091JfjSVC8ZwOVWy9vjvieXtvPE/vcLmoWbrmvBKr0S10q2lznrgmOLQj
386y95VLSb5J5Rg1fZWrdGymDaP9dpza4lgkyUlL+afKH3QkSxvixmGVWnIxIisP07k6rLCp1l7d
COWSC43ZGHaJvwmw9yFIfBkae+/liQmLrtTKDnm6SZm9NaVNtqlth3DZeCl+R5cu1LzD267MV7Yt
ZeTKsovIVGwwqagyZJjDtF3ukIAzxJncUL9u4mJk3TaH+KgqrxlUPU03Ohu2rUFLOJYK7C49LQnZ
9LPzjjQrPpQkC/uhTN8hNsETLvlWMz9RGWo/jl4ybd072rH2OIsmLXXImTesxUiadS/nkwzjM4lJ
rwqU3rURl/kQF6jnYTppsS3xcFd1QpGiOuoJtcpD5aBIKexaymrtKs0OUXeDFw1fTG20BORwrsRp
V2aHmqfvCoyjQcxZBEfSqtGVaVh22Is63Meilmaz1MOkqmJQeNA70gm6bSf/o4c6qpZpCTZzk6yX
tP/skslTQVr4ocFeaK046kwv167v7p233DUWJVFO+xuMTaMqnaMwyc7GRTaHbqg3pTS5qv3UqSxw
Tk1M0DXS4rgc/WVVuuE6cItKTX68yJGss2VbVL1USXMMxdf3lZHBRhp/R3I7qbELbqag1JGWqY5w
aUg4MV8fyqUM3VzkapCpXaeEKCIys0rzHow9A3sqErC+BAWn3dhFmItalV7cIL28S2R/1iy1apOp
uijxeZ6O5Vmgt12woDjQlVZBl9YnaaNmZ+8K6/dx2o2nQU/jgPexTqcd7Ol6EPbc5QuYtnRk82GQ
Q7Mq5t6qSZqrpm5WYxniaV4ZMEU2JqOyWfbZ9+0JyrNTKYbrtlwF7XIc9GksvCHq0n6V2vlkFvS0
R/kJmbOjJSnXTesORb/NbHk1FPp84UHMm+yUlJ+mkr5v+uWYTfdNN23Bxs/aoV5z32x6I1eEFYuS
WMdWwHl1Pph7EsEOr6e+jZO5/uAF+H03LdcdS09M2cUpLnau90561J9kOb0EYXZGDKsVF5Va/PmY
6ukISrLnqa7XTLhOVYEXakE289yfVPm4TfCyq9LlE+uWM38aTnq5KvN5VzV62wSwuSxYde10WqfJ
RYD0UdKg4zRaxuKsYvmZQPpE8Gq3+PKiMfq0bvhRh8yWMhR3fhuhyUXZmF7TYl6Rlpy1dihUj6nq
vPRdw/lhmnebJF9WCbOHJkVHbso/IYl3AuPTustPLDc7IUjY2x1qj3HJNqQudjMtjpCp16LNz1xQ
R2kNPhyePOD2wnTTCpzF2sg65OZqv7ui/1AQetj5y1kmssirliMrplbpmn7KZnTW0kjU3sf9DniN
3O4fjsj8dCzns1DDBu+ftGqLoz4hO72QT+VCNwk8dcdPAlRGM0nAKx9mpT0MWnsm/CD8GkUfqNGz
mH5rmrnTafbQjvf91/+4NBX8+dox9svFfTffL78dP7YB/u6n1ndmL+Hsyw/tV/P9Xr/0pu2p0fdG
tRd061vj4G9wsd8d/LNEjcLxAtL8vXHwV0TtZUXlKU17mPxA06CWzamA9gLJCAYitL/vd5pGBKSJ
JBQifCh4Ayf7haahA4agEAFlCuhto8CgvtM0SHP4hO9FcgBKDJp/8F+hadAn9JIpBRzt0/HwB1gj
2tPIpzytIhCe5oQZxUawr/FSgm8La+ASkZvgKFtXH9co+ZgMfqFI3jTnni891edeHmNiWUjJOJ0T
K1uVllxp38S8n/uQDqSKswptUGPJrq0iv51xPC+pCTnpwrKawsVVIWOT3HrMAJmq7HXjtWGFcaaI
XWwYqCw5hZYzdFSgsg11zjadpiKquVW89ZuolfMMtCWIsqBMoybLhBJdXsZIyybMPafyJUEh8pOL
ZaovCzSvcVqrhHc8bsfMV0XanZrJE+Gs889iFmd9VouNnMskrvjoK79mO2nbZSerm7IiJEzzJldm
IjtXiOXbX3ju0W5A3qapgvKIB2DMGS3WMu+ro7Z5N1ZZvUuLodrVJat22CFf8UncB4hYJWlEUSpX
Zugz5bIArbgIelV73IXNPNuoiea6Y6onvF8nN2RIUuUP86LqQTrV0+E6L+froKTdymO63Cx4uOrd
+Clhea7YUG0Hw8uIWi+NtefXYZcX7UqXnYJOWlVmnrISu7CbxLVt7KwqeqjLge/8zEGw/KKTsVXU
d8umt12q2jwlaugbdNiZxVeyPecG6PIgRR267rJCwJZJoF3cOS+uYMlqaMZA2Xz5jEfEI8aSbtXN
QRK1RaLjqh7qsCiSJLJCY0WS4gO9ZksRbJjFZQQZpHXL2Rhzj9iIe42SSTOeNbkfyqE7bGxfqd5H
Reib7GM625O2KKIuW8bV0FTHCFjA3KWfMl6pfExO8yBTAWlXdIQPzKOfh7Mf7CTKtkkNzCOfvuiU
bzzL1nw2l4vTl5iSKdIYX7V2CqfJpuE8yThP5b3XsjRigRePeCqjEQdEBc0QyxSkTZsd1YtrwsLV
WGG6rWm3bPDkbpNJHGU6Y2FC+usJiW47L4euh4CZEhuWdtAqm5etXw5XyxI1shQqd23YMOpWZdvP
ALvyxTBFgc/9uF2SSFdJzI1HQzy34xoncNhZuYStJrWyi2OrohG7PiBd1Lqljvm9qKrthFHyvhjL
dNWJ9H1mkiJcfDCYKajG9bREhDYiDOrRU6yduUKO87DTLpLaNMdzW2Jl7EIjW01rTf1FjaKGk1J0
bAM+DCjM2CtpxYmcC7pxAreqKayNuinVikozqDmhn3JSlGrO0kxxS9b+sAyHQ1Ve9ohf+gRMHU99
NLn7kbZtVOUdh+MyhT3P0lORlEoM1aaftD3VHs1XSS5gEd5UxoustktvCNjssKyGxMRtkTK1dM2w
7pLhpiCkjHUiPvSVf0bLolA087ydoH2vRA03znIZBy2Rp8OCQGO0OFo6IO9Vwj8xFlSqQ8suQzpV
HYjyyMNl3Eh36H0wU1nusGeSEATHGUPpqc4Ei75uj3CBv041vdPefD8Y3Gz8ivgbkXMdi9QMcaXn
QmENWoPy4ZAE07u5dPk6X7p1U9BmY1XF3Kms5K2/zPyQmGNuex31YLfRIP0spH5iN3TKgBrNAyiv
XufxvrVn7efNSTLYddFkIsqbgIdY8BEkkyZbU3hZuGTNFhcyRKDeglokIbwFgNWSyY+gMUqVLBNY
O6JXxo3wtDDOu1qEYu99shHulIFDNk2+0aS8ZZSe5rwxn9saPIObZapGVnjR5JnqxEsKt2rKOYgT
wAlUqTkrfMRU64HjIEtVxNC9p1I3uwhSEGVMkw8uGeO+sCT2IJkf+YMrTuZmAOEzol0gZxourb2V
Fk46zmAPujrKTTcqjw+rMmvyMBk4UoXuzxj2cKgbDfGic1oNOctWY4ey8x6eVg2+r+ZKqiKxw6rX
aSRIeTjmto7oxCDKJDTq/TRXRONp603tJh3CPM/Op64iIRl9UGZVWa380cyhFWeQcrjts+owBaFS
B32hGls5GBhiWsqwdKRV4zRvC5NvwVkfFwmOvamgairVUsxbZkzkCXPR6voK1zFty3sziat+w4Bu
qoIhrPz+fqrdtMqcL0JUuesejrgNZLEaivZKOPoFl60y43RTLGTecj/pIZIPgAgFsdr70yqw1ipT
L5+Wjt/NwcDVgoYkTJLpCGvqwsxapDCrN+bak6Q6GrAFCj/ayKS5Vj0rtnmrldw7XpEikAmoWJdO
vguqcjUvsM8OyU6lUNFUw0jACqpopuImn+hVQjOVTiApKfuYanToNydmyFaT7+2CAUJ+LVYBavsw
sac1Pk9dEDX1EA1DlqiOlxdWJruhLm67eutq2iuvrS6Kpb5ftKyiIRkjTGaqyjZfQprZLePJORCv
Qx81d1l2nuSlCfsO3JkbktWS5O8rH14ywTS5liY5phSnK+mhbVMEfTiSpVXzIJLN0jQGUjr049SZ
sJxQH1WMi7AKxBg6AQHUeW0ZVSYPlz79QLnQcdJyCNKk+ewquYPdsIcpmt51vmIyt6uOTRdkBt8C
p1jhJrnpfT7EvMzeDf4qaSU/dAs8W5Z8BiF10VRoi8ePAx3CxpMDMLRsVEttz0XWbnPqZ1HqBZBU
EkWkdV+uxqL/KPRymlfk0owUwWJkrqZ2gSSTyEPkzBCOfneasXLtpXkROkaZqhHQpqAcQjF3uWpK
jUPhZlgwWwKQMnMMIepUtnOi2oAixXH7vhu2rhzTzeL3x21jgrPZkSY0bJZxlYRl2c+rRryXfIgc
7S4TL6+OdMHcNunnjSkaepjzZeuhSq9Rm0ulg/yLZ+076VlvlWDQNsLgYW0scDw+abPOTbvymzxV
gmTAXhpyigbXRpC42VTI5GuMa6Q6Gai2nDU8hz3R9aRjh3Eb+/4tpzZuzQI+gaZLBOyx8q6YbQKF
IE5o1F+UjN0JrYtoXMwtYeS4n9JD3jbv/RoexVSoiuue5kdyOcQFZqBG2WpuuqvW54faiZOEDlsk
ypVYiIxHpIFTmLCe7Zcx6ZbIwSZVmkRGZBRILW+nDqCyihbLthvz0Bb6shr1p342xdbt41ohCRy3
QzPO3fnAstOxwZC/NAZH0k3phjZTKBOI4sswzeAa3GaojV5jBrlFIyY1B9UMAXcEj9f0F3hos3C0
vIuznvpq8vwLWvShaKeT/9aLv/1W2TPJRxCBavJv68XH1olXJn1P50N9AN5iCiArzxkGTfZdJ4Lg
21e1QUBCXISsg4BU+0M6H8QghYyUFJRBx3RAOKziIZ2/fzUE2hQo0BH219P50MHwQieCIoHqOWNQ
TcAB9NLD+p7qRFPInlS13OewyXVdE5B4o7ySvDrxhRlVmtjzSmepyvu14ODT02yDq1qoufQKNTY0
hjgcpdSzkfb0Z3irRXk5vxzyvlaBHiVk2vehVF4QD2+6Jbtv6Nwqgs7ZdFpO8r3VoggbkVZKLt3G
RzUkLVt3a6zUipf3OneFgjbZY8Tt2Ty119lYh6I0EyRpua9qSj+1mFyBMal+Oa2TCf7NYFpS+6rn
wXsM/lAJtElqlipXm3uQDbs+G1w4VWjdBy0Ns2XOVLfsQGd+WaYiVQgXl0EyFsp3sSNVs/ZL66tx
AWWygDrOadWqornndAAnzIkqPAskZc5Q2Bv+qSvZBT+HYg0NzZJNKnCaq96O90tOz2peelGDlm09
zieumkU8MDOrLtNtOAgeJxWdlKt6T+XNqdV+dYSbNFVyCq4EbVeQEL4uxqRXne8jNZTuMMj8z4g3
ftjki1TG6zYCgbcfCgfhRiefhvyENtaFgYibjl8l+UxUQwKQkbrUwHq0aozhYV6BNhDgcaJuAfKe
eulHneanS21UVWv+od2rUCpBS/JcwNdMQD5zczkXtj0aIaHJK3RT64u0r8xG06lTvgE8RboRg4Oc
mTytxwHvZs+d9hC0OwJOeDhZ3BQ3VPZbUjdHfZaSCK7saomW1VixUmkyhW3Wr0ZJ14NXsEM3Lhs2
OtghZLiSxu2WoF55iXc0t4VZ9865kMwgjbTwrhAsY+Pp7KMnC7uCbMaHgue1MkkNJMAVm9nWoDYQ
BCU/MOFk8JcxS5PNRLq1s7OJLG+uk7QGejF5ZxW8SXrKoM5CgsaP4K0sFw5wMAb0OWUT5CbbDJaY
AJ3wq7Auk+kUQXYXNyKPaV3vwHnfiRTfe2ANEo1xNTHQyAmugcFZux7n4Trrq/Sky4peobGAakL9
uWoC72Nhg9i5M2qQt62hxqSkSIdN5pIG7IrOEDauMLIlMJeWxKwk8YL0oGhQrXCXuFB3mVWJIB/Y
YHvFvKI4TqC2ADnsK0md25ISjVB2KMlJ7fUYEru4PbLpaEK01O9T3bF4KaGUAGnlRYGk0Ss+DZWq
jK/DrGImLuZpVFO9EWUC+ZOULaHXdHMceMO1x5LiqPVBCwz2gjiv3rQdGhQKGhdW1RyzUa8947PV
CG3wYZZAvWcidIuMnsMcBe/hWO4NPZAh1z5eC2FXwVgrqG92SqTZsk49A2ikUjVpd+zx7n3iQ0wH
S5nDCYSWElnvTsScf9SyQ0fAiu6XpJ3irt/1ufWPlyGCWhNeTbQ14KiGUzmcuQmUfD0KtpK6uy7b
MqzdsoCDKPKTua1vPMdnpccetrq+YjCmBkbXJNjKRrLjwqOH2Msa5UR7miMdNQadaC6vltI7tNJQ
FRdFcE6m0Q/zKRgVJGg+OkN2oJUh2lf4M7MLlFKgvjdY1kZQK/LDBGhdA3TZLypl2PsSZFlokyaP
JnqOfVAZM+wOnEW4w9Smq76rQVJ5H1JWjBGUl8/1OO0mITdt3R/Xk1kUQuMllG/3aR+hgBrVofZu
TMVbkE2DD8XIBUoaYxrWNA3bnJ/xVt7xFNzroId3pg1WPbWnk1cXUEqAVJlj77DHPpviYhH6Y1/k
H0a/3ZUTjVHFTuf+XV7aE5zna0/OYeBVVYRtf2FysZamdKoqCVILz267sQn3d1g4pJsGyJEB2cGh
KabPiddwqNRu9eITtXj4NKmbUtWFtlHJq6Pa9p+JcSyEc3QyiQrULXB6h09B5t9XaPGjupULsK4I
Zy0kCQdvz4rdoCyhUdvWJ7hvJSR2wBehueuVFZu0CkDtJlWIPPgcFvtg0za7mvD1QrPb/RexoT7J
kEmUP62hBl6AOBv2OZwJStJZHc5Vr9XUuXNd2QsdyAz2te7U0nefaEl2U+M2FbB71VfwLngqZwYV
JApuKQ3uaj/LlF8IFNJ2k3UgqE0/He3pfgo5hWTpb1taqbJjkI3C+igd+ca01c54UO3zRZ+qIgsF
Gu6pW4qo4lDnC8iopAcVaY+ezEk+hRj19423YZmVIZtAP4uuvAmGcmsFfW8R89UTSvRK1X5PmZ61
DADFIHtq4UODuJTQ1PCcYujanxE3tFFwAKDWDNoxGzLFsimCNodNr6tRNRTf4LS4YF29Qa0+tmMX
NlN7JlN4WjqO92m6q7J+N1dgE0l2NFt+OAVD2MqgUEsbJlAFnC87iTb/T2sH+sYJ9OZQ8qLdAeE0
WOaKNKrgkLgTtgEtAbWwr1vNmuyiIHzbd8FJMLEj048RuBRZnBtaXxFkbwNiP+mAHPVSH5qluprb
7vM8rxIEfhnOJlT6IQNpe+oUS/ghZFPWv798+srWw/tcsPkM+u+g4xhKEc/YnZ25rvZb3/mDDYeg
PRlxcTXOPApIplc4GZBK53SLIMccWpcfJTMIQm9vJaMgi6JmOUclUR0FZTrSu9HBYQZHfTKM7UbU
pgizGQqrrCM6rJALay2nME878FZDmKSohZorSKJlkJA3rtxZCxlQSIxUMn0XzCVSlJTbr4/839Wt
bw1mt0//txGPvWf7zhwsoefyt5XKvl316Tsu36d8r2dhQUBxQH9PwAT62lv0UM+i8OJzgCkT0ofz
HyCoJD3vOtqPgI7ZS5hfZAo6QPBCIYERnxF4/0b8lXIW3lernnYdUQzLQwJeVoCXeDi8Y/L8HI+Q
QVwYygPwlrne9s2XiXZqNAs7tcTxuGTyUmTWi4PensjKQG+K6f1tXxXrwTaXdSrlIeZmy4WdVg0P
5ujJXr7i4tjejp6tj32tsknuI9B7UBF8sb4GCuIZSLrQm3ixSvu8W1k0QWoFyukEcjFDKVaZFJuh
A/Hga5Ofdylmse/p86Zx5DBYsi2vNBSYgfR2GHQ8b3seE9lfFoLUIRJVe+rX2yWdst1iq9NW1PMJ
l91NayiPkjzNtlXHXDyks1shU7EI1W1/mLb6Bs14Oqlpmb5vy/w8pTyFikphIgM+N+Ut20q6pGfD
SOlJVwcxJN0uqB6rP9qi/RY83yKBwQvBEYM2e4bx3lU9aRxroQQT+OT/cncmS47zWJZ+IphxAoct
B82SS/IhPGID8z8inCDAAZwAkE9fR57dXZl/lmVld1rWoje0cHkMLpEA7j3nOzegqQrc7M2iZXz8
utThFB970817ClcN7sHgZjJg9TcnLMOCeqaHezPYrANEdZQoJcrStUe+AGpxZV0e7axhZFTkpix5
H2m9HOXssVtE5qd1NvVLF7ogOUiwHW0ZoWNV7MzbNlzTWHQQl/gCiXSCRsy3EcAb1C+mgS/hR0dR
m+jbig1ynXl1gN4Zos/1nZyUvrovlIR/8eX/Mrflv3iIoj9v1lhij4CuD+4IgBvyUn/6hFD2NCX3
TQbTjls772UN2bbkxtxF7bOLnvx8nak4atZPXapWyIY9zJyczK04BrMRR5T150nTi7KB3LjzIAom
bXmuh/BpAQ1yDqexPvMG0IGw3vbrpamCxZZoy4uOWufmzYnM64Cozdonzs0+Lg2lUQq3b9iB71lT
Gmh5SxYo6KIMP5d6vMKdUbdhdU5mLdVRWb/7y4W66n99GTJVtMoNjgyK4WVYqQ8Kpqt2Zhp2kqvu
LKO4OxM2OZks/WQzof4UcSd/0JpGm6CRZYZPzN1ZR9nTUvG9jqtxrx9ffb0EicKeFHySA0zjwodk
eiTtMh0n1bdH2BwUrW+2wDu6qIgNJ9aN/90e4P2ZTQRRB8IdoKWLpAKKhT894EQmY43li6Y1Jk7u
dV594Ty64mNZ0mT2h23pdBO4yFi8Gn+iKDX7+qUZnU3PnbFg1MK+Qwf5XJvp0E5TfO9XqNtBtVzq
FiKl8pW8jBJGTXypte7f1OK0qezC7tx6sMihgTbbvo3NWQVG/DeFRPyoc/5m9aL2SXAw+AEwU7zF
P21wehUydNEZZNaYP4KEm8K23J5ZsFT7ssSScmyqXUufuWHfg6V9G123upGQ/eRV3B8cwvjt66VV
RyRNwhk82OO1r0sTRiYPNWgBtjjbmvjVGxtnvtNCBnnMpHgjYxduSFIVMpiDLNDU3r8ukV72imh9
MY1d7nOnw0PvrQ+XHL+DD/Vy9yM+ZxNOgK1fpuBZxyvwJOcaDozkU2LC/OvLr0s0iGjTRXF51P1C
LsyMVcZCP/wIE3qVS8xfvQC+YwvsbqhD2FgJOpZ4kd9dWOo3x527qwt3z7J+UwYhpCI7JGOORybB
P6KKBnLKa93VohhL39u3rhPu3Rrm6+qsYJ58mA8DTquNE833sPWCJ1AR5VsZegfYVd1tFn35pnhX
KLeldxOoX//4DKP/xS0O/SD08Pji/kbh4/t/tUHHSRVWDjoMKFFUw/uPbmUTyJduQQO0ju9lG9Hv
JVr8kYsU+3V0+MsFQkLqxOVFerQ+2GBQ8HOAYBG78gzH2g3+dnz6uoBpjE9+HXS7ZkjuENjLPte1
90ODLAVZEQWnRg/tYYmmYzXYEXgsqs5w9N13vj6pOUEdHT7AB5QjRyeY2K6M5reytpBPlvgPyBLB
L9ntpwEmterac0mF5lmvCi5G58DJngh3OMg6gT2/OCs7cL//35eoD/N//HG67t/VBICCQkQvodM+
MO4/tz2WwLoaOq/LjC14GMwHqGxRnRrD9aEBiFNDNNTTnvthKlpK7/XjErsv6Eydm9BReZnjfgcV
E4b//7n0ZsqVZXrTTyHMWxQ1r700206E7jfaw7aPG7Ps26GDh8fpYak7vcXmCS+e48CH6UM7cHZJ
t94bFzQx8RkpQABGZzdQpw59xG2Qcw97MbZZ7QffEhdLhCRmyZjonVPv/1rCKNyhhLJp3wbDbXxc
qKcNoDow1ZB8in6K0Ve7aCvidbg5ieyP8xw4EFaZs8EntaYKYFze2ebN4/ZI3DG8CsOnpzCaD1Xv
0uPXZV0ZPdaE/6A2SbaKjeQ8S5+cgSrA5vd2ZKrZdVmC6jYs63YBg3OmFCjBuLi7hAAPjB4XgB5u
tky+vED+mDZWt/SpATddiETNN8fRTp4o0lyCgeg9KwWsxBn98OTWT5RXMM7oVJ86HZiH2FjnY912
P0xl32dlh7stVXvmidNnKwvaH6qeXhqvM6eRL+L2denWBeBr7x2aYW1tyiJ6NItPz0aQnzGgw5//
+Knz/24RI8QYJTh/PB++AzLZf7uIo7X22mWO6owPuaVa3Ru9qt2gmJMK3PAznb32WCeQASbPkSlv
Zo2iUu71Mqqjb+tx10ztJ3RM68DsSqadrKJvDKLsyQz8l6wSsuUkuLXLrZNlkst2lJtRueQeLMbs
JqAfVbUkp69L03OzAZkA3JuH+lX5fjaYav32j98ynv4/dweYFRei8sLu9RhxgjLqb990n0xmjgPo
I87jrAfq83Wp4UwLHnp34wXuuYTaNtZ0BJLAQb/Ah927FepNCqT2jRqnPRGWGLSttnqLoXkfjI5E
9vXdkIV6XwcRzUbj8zfLONu6c0bXqoNd6NavsYBBEo3FzPryrp16uhPfqfEvdfbw9eXYAy2YOE9w
SDr008KfPdsO590yxddBxUC22jEAoL1sWzbZrB37zNXW7NXavwk9vECuK0GU9L8EQz6g5P2PTl72
I69+xdJADJZLscrkB3vohPCFRzp9X/zkfURFm82/JxJ/thrymZKQugmcUi6XH9bHgeZ3cMA7nJjN
agCglctHbyqeOX63jcJSZtYHrb+GAfS60suqelYwYwFl9CZ+ivchW38kU2vSpa0ubk+KqWmvYtDf
xUB3MpIfce9vkz5mqUt1nXW9nLJOrNjD/cbdaBNfhriZtpSRj7XtoVauIfRkXp1JA8lLRGXKCYIC
qpPPLlWbWSeooih7E5V4H8hLGPbPeomCvQAQng7t9GMaGpnr0HwjLXoHMteZ6CfwJJY8iRiJkdkZ
6jRo7KsICIiAcFONZuvp9RnuWCrIK08AMPE2ObNF3WQ0qcKWeuu4KkhRDeQ4jLuiqyBE97ZrNs3Q
k3Rw2Xbw2m+9P/q5B7w8g8YHeQdg5K4O1noHWEBmM853wJNp7w/Vtnf9jSthB6wcsDrp6S4R8Kn0
nIBlU+VPZ0gJieJffQjdc5nFxgNjtnGnBmGHO0uCcRPUxF6oLoe0prNTuN0Teh7sTk0eRyJ+bT1b
NIlTzAGYuHhu6b4eNO58NW/doTb5AHA182bgjZ4G0qErAFvkFLCSH1oK3m8G02+4I9BPZ24d6e1s
Z7B8UZdSZcsTUfKIdwZvIqi7lHmsSvvZA1w2kG29OE+Ocj85UQAovbLacC6HjKztfZidF0G2s9aQ
52O1Cz2VexAme6vXvafogSe1SoUNrzEwyRSfJ0lVjwCGAHxCF8+9eHJ9WwfdFmNA50zOeB0HYrQJ
sevtqDd2qQX2FqDZ3WlLbaF1Rqr2LZniD4QKTF7tWOefQx/+1TQ509ba4YE4Rp/1wI6GwpK3kA2W
AQWGCXA7+zA8l7z24ZlxcnXX5562f4xluBUcuumKLWSsVMrKJNgtq9jMc58CFz4rm1xnT3TFOHvb
ibswDmEmWCHfiON8kMDgLCq/1R0HMOfsdKhT+VJxd0zrqU/SuYueJls9WTdeDtO3OVFYhir5DrZn
mzQLAVakc/U4qEDd2fknj767ZJzzyiwK4Rb3oO1vOdfd9wY/uLEl9LxORzcQTP7gPDULskjGYaB+
eyzmhXZ3TyYfoVzhz5o+yaFjiDQsuyAtSVzmdRzoTVQR96wd+9l2tksd2y6vtBK7sezKbEhwEPrz
aPPOOB7CKSXPXF/+UpIHBwPOtVibHjEOhtiCWfpb0pkWsIbeIV31x2jqdiuEPfoL38SsnQsAb+jy
SuSN6qT94VdLvxOqfltVeG0O7ABVsisGY3dNj5XWxr5XuFAsUt0ncDnKTVjJ3zEgzhp2qV6ntmAt
jF4a3pcYnOpE6zBblnDZrXmnqyAdeuMdVMueu1sjESiBhxVnY8N+zEG3n2u2Zp0JPUSz6BtKD3JO
jEvONqK7UEdxinMf+Z4kRRYmOLC4f2fREJ8gwVxwwz9F/Yh8qIqkvUfWfOmzbiLzzVjwRSHtU6cB
Dri0+hyFC/Z0T+EmJPOOzuBMdLSdezocwnqrIxjms8Rf00TsvQSPuxdLv2kUqzPFHZW3TufAYJhe
RybCnfQUkG0vzB1f/Z6rc+LeqyX8FJyWmwoRBSRZ5hXhPRfnCWvOg1rXTcCWb5NC1mb1jJsreN/Z
GJq+iAasXJdA29XV5G9Gw365fvM7jqv6vZGsQLoQoZpqba6tf6Vj+0pIfx+8sN+W8jKM862aNr3x
X9rOq3KmqudoCuAX641CTG6vvXXcUln/nsah2jTWgkgMbfnEIgtrZAx+sxoxw3hsZZbEz3Nsll3s
sThtwDLdWwBSNaXTdvbssZ+qKE2EZGmNwA68qxVP5carQarOvnsnMcq9zqIgskvm9G781AcvbtCD
L9SkAbRV38TiuPtK5F8eqRrBq9UStF7U7tqmiwoIQM7WIxw81i8vXvs9r7EhmrVq9kHfQ/hnYdbY
zimSQXQbLAXV659Jh1/Uuo62yjp/cBUPTxMrgUq28wsO27f+QfkkOvLPQ0XO1PA6VQ67aS8yl6Ct
mmIW8jeoBA07skEObQA6H9AlFxUaMGexrzFark3jdz/9GWbeJNpX33g35j8LtpZAvMY36veiMDGY
Ozqu59kjBW41Kzhp52xGosX0iCz2gOwRg5syGszAIRKw1RH8dYKy+DgS9W6MTVCRJH8A49sNAgwS
ky3Oh278qav5pKF0pMMQAw6wOirAxZpMVU0DB5ZtVIubsgrh50bLJDfc0h3sZQKnWjfLeUb3nHl1
YHbhVMp8Bgm3p9Y9/5Nsv1jD6yAIwmL/k2x/GFAwjQNQk3+N7Y+bSO4qZv9Ftn+I6vAIkRD1w1+x
/bqFF5gE4v9Dtp9HUyrH+W/YfrPKFzlZgPSJ/5osJmMWJnY9x4UJyac3rWXOA1ZEwMX/k+2XFTBC
Uv0V21+VB0S1/h1s/7omuatIQZiAfjWIf5rtxw4FZPMorKiO/HEpGySaZxrtl9HLGtN1m95BzoQp
V2YonxRCmQUU8BqegUr5i2cHs5OtJsVqEbEcfCIyYF6bxE1gmq5ICztdWGVJDTi2euRB3C/EQIvN
EtMntK+oUlsUR8t0XS3yJRrEC3D9aEOkcAux9t8qpk+mTnaiYtcGQGQhZqApFAQXXH8fZGuzPkni
fVv7ohtnQF6aP3UtMhmxGbcxEQCLHUgFs9CHEKdUMTrhFkuDZn3jztiR+x8mDuE6KhTyPm3AJQTB
DGJnL0jQpK5EkoWwYICmw39y5d/rTrVIvoZjFqjuA70pNpyqt7nXoKD1Sjc8OLLdrEDWNqtAm1Av
wy+fd/KBJgwpApChNicm/MuKgRqZkMhMeghxn9cQ1UA7gPTE0YAuCLlz7fRo3/IWPyTK+G5KfWR0
0sBt+sxw7uZytTdB2/Xgr6Am4tLsOwcsseBJNiwh6kJaHftl/WhcE6RuCaCURsWYjCE8eT4V4Rhh
z+/R2/B1PYSOireuE3xfFgDLOjklTXjT8wrOW8Qh/JEhyAEekCwBWn+ag3q/6PFV8bogS7VuZAnY
TcFciYJqzkfp/HCJqQ9kQC46rvofY+tVkKgNjFwvAUubBE9s+R518kn0pE/JyqOMoC8I3fUDKfGy
GDxvs5brCZxWdawFjiJPYb1N/DKUmA0QrqvJLZJyGYCKtWhKhEeHX9XSpLYJk43j87JQNoqBmfAM
pkv1hlQZ6vonSf3yWk72NUBgSNm2KYYWfyqOoKKxm7Uklw6/N1VGxeLfdaUeEQEebEE7LOkyoAOO
ZGLutCV7nUBql+PJdb0Pr9R7lzYhTj9duFMrdk7Q5hGyQ7sBWQ30ssDH5h4RYwsYjyHX6sT0NhD+
HRV4ruLgB4Ppk2FS+qv0gp3UI80RGnrS9lsMQiBb39kMsA7LgsBiRNZiDR56wpLojHsnKYm77Vj4
OjfqWlJv/VWXBmEEMgM29678wba1vDwrNejDwsLdAubRmzk+VLLsozSmeHO2bhCtqIZ8bMNorye2
DZsEHc6qCkTY3kYVfGCFIUiSoJutnWHJqNOMOV/5R112KM1Ntvopq9YadamMNvXMDrRmKDUT9P6u
S1JeTkM283ep6p0y+AvIjP57IhNHIYx14NdTVtL1lyjVe+kj4x2Z+TQLocBcoxEKkesY1+C5mSdk
ch2zR7bnRcIz44IfAwl8KvZGmXOMd8hZuX5bOv/FvkCz6nIPYbsDUJp9Bb8rW4npN2QFyx9pg+Sc
893t6QXuLstihu1qnZvfJUrSod7QkiEXb/TPLrDtvhuHPfIkG5BN08W7xrOjUijIIADBvcOGmbFJ
wjLdEwIXYtI+IDTuIfbYQfPQaCxLeu0RAo9jACcBEkqgDMFnijAu5irIe40WqytjbBMA+1Kv8bNK
D+Fu0tEJRc0zA+QBV00Xo4l0MUPqcT3sizBsaC83xrBntl74QiAPLFV/VKauUzn0ORxR8SQH80sb
BCQRHzkkFpFtqZEXSwb3iNp6wmn2Ocbmtbe9Pg5xtZn08Mlb22xbgp2cOd/HrjqSZgLX+diKyskR
ECdiH7kNB24hTabChoU2/IjnFYoAAYvqVWfBUPPXlf/hL0DcFP6TD6GbLImwzjCwQq/womF2sE1s
A+xKwTW0AckCipsUzl2Gt7CZunDNG0DyqdeVd2d2Ra6H+jXyJ9D7XNlC9gy9LUfUR0rAPhXSgIuq
wBSueByJM+LUuqIOhocFkS3vGXytyWs3gcfp4zfin9PyPhBZTLO7MV7zfQgOUdRExcLomjPCiiou
kbssLZLx4SslnBznBQq10/kRvhfgR527jUra54YNDb7STV7h71k7yN+hcVGRon4dDBIZ6Gsfzwnm
PDA33GMNSWz1a3Ai/TYhKkCDLb20LsejguGW9XoFHYagX2HgMkeEbnhlr2VbHYJ5trl2nJxKSAQK
VhQid82nRS2tw3cS1kfpZ4LJ6jDJ/smP63cjW4l6pLxOjIoNHdzftZdcwTLiaQNJ54y8R00Nzos1
9Y+R2E3SGDw6kOpwr+UPzp8mA1bQkTG6J4QHwZXlWApvMihtsZZagRj2T3YKZI4k7ZRihoQGRJag
xZtlTlf2B9ybIXVbzk89Zzliys9zvVbXu9JOe1CzuiNydSaPyLwtp3P9R8szwK4JFhvd63rpMh6O
UxoOIt6ACM7a8qUb3BcClHf2Ns3K0CG4oA7n9qNK+n07TzsVeALChcTp140H1Y8SmFDztMrAblo3
QF+CbvbrK2nhII8RObdzuPV8DCwZNU4k42LiROt6b+1Q+vnDOvIaCY2urN7U4Jfo3MRLGfljpgCY
oDnRS+rwYSo4zuoOVJ8/LZtQe7/BwZGDYevWSJYtAeu3hAIx0bFycghivs1bOshdFy9FLesg5R5K
63CyyHkN+EPdR2UgC+Hn6sEauiatEUBLRJ8LGn74HA6w8jEjxcM4jqYvvVtpRjhs0DbgiQG8wgyS
RqCyscZ7DcIB6UOoBW6ylNtGiXvZgBTjrfN7bIBg2wA0rrd6ERTidmNWp88hf7+2CwberDp8kj7d
JrrbUDTmu7LcTONtcJzlOMg+KSbedAD0IV3o8PsW/xXNO6aQIJTUghom9XWO7CNswzHZh3k3h0+f
ADSRqhXlO5uQk62bqzv15pAYCYjfaLZryvA0j+Mv6X72ESj+qsQm4ntvceSyNK7BuRGNLUKAvJAt
sF8H/rXqK3C4U3ObKr61ScV2AeIF5cGxS7ynI9AV7UeptB7D9jP8qC0Y5JPjBNDwkWfH+h/yxm3x
yY8gGHnw2jY98i9zxHfKDeNLYDvkVV0grf7isFQeeriLcXcNYIT4BDeJkmdM3kEJibieMshVDxjB
0s2kWBKghFUcPrOpOzUU7juLkzccpNiluHyLjKj3xFcQAh3U2AwSf2T7J7JgF0MuKcDZj6rVr3VQ
OJ09NgjupI4MRuzHKHFcs2ahGj+EcZyjwfqbxUS3oXXzEopLGsFeiGZ+tutUb9YgDoqBjXTTDmpG
zMsHJQB1wvfRyhsAKqD4Lv85DyeB77CLqv7fPA9HQCjPVmjA/zPzcHDqRg9i6/9pHs7iVgfBqucK
FYn9V+bh0JVs43H4A8cBSUNwRP/0PByCxAp4mcMom93/9TycVaDxEuW/ZR6ON42559J/aR4OkH90
AH83BAdGy2tDKi8dWaBSf+4/4UCUKeN1XlLrXU2MGI0Oos9GNtkQu09Aned0HlSZjiHKZVib4H56
xH8NJK3SDgpnGfuGgp8VDPXKzGh9jlT1M5ZLsMWQL8xmeDQrZARVm6DqNAMYvMl3X0zcuy+u6LYe
KmaEIS3spRj0aYmpFGBXnOUazcuhDdvyjuNj2sOtB+wd8KRgoyUZaER2oShcLrGzrgVGwphMqA5t
zJIcAZBMF58hU9+X3alyo+FCYsO30qDDIm+tUZ+lwAnkdnQ6YeOe025gyxb5JUjpQfKbcnH0+ng4
icamwwyux7qKX1Vft9ApFcp2iOpF6es/iOmObbi0e9C6kOukO1zaxqWP+VnTT2FTJCj91PFbZ1vC
G91MCZzOgUITqOp2yIfYMWfTz809wVibHlUhxupsm6kf7zAKC712BvMt2hC2tOhE7uH11n16ZKr3
Uxnqp4pK8xRP4YDUP2rWWXzMzUSvQgziXvkrxaAe/h6PpLp/XYRGVpIHaNoxwXDPw6pGVn1Rd/QH
wB4ChokAHYMjXdER8x1azIqruN0yVy03Eyv/OtdoJdzvGlTDAUMMqptclbgRFLKpndi8e3zT1E1w
IAiUXl2tVa57AdtUBeQKrcsUdJZhbns+5cSMSIwg+nNPHpdhDLAGubk4kg73pFvYEW/+vZkajCGT
DiZkNF78zKKfpULPDJMcMQ4cZyeXkiAf/KA/hYh1h2aG98DasxfZs7N6+rmpX5dY9Xf01OaZO/6Q
L2qttl9fAvDuUi+oms2SRL+6GYOwMievMVzhpabB8BLI7lMmrXOK+3F4iVsvAsfYYF7S45vl1GOK
Wbm+LL64Oz1PvhnPnSBI980uWbX/QjFcChaGs2ExSlBH+HY7+qFF6iton70StxC9CKY+lWP7HHkz
yfyFBJcmwOMiVRa+I4TefXoV8m4AG5szpxrGzkrCPBSlvSS8Kgs+8utaihEGevTh6wDhNjhcWT/E
u0EG8a0NYHJYHf5i6KgfQ9gCLJoPW/MfpXD06+BXLtiA6CZi4uZuN/Xgp4DIz8PYbh/66YnTXhyC
B6vX9N5JiUYBkPXmz2HwXiISOveYHL0K+oUuzXe1NBsfLvEp8KGUB8QcVhG/8NJvYZZSsEMzlrUd
LpGArfxIaGf4iZetmQooQMPrMJX9s0Sn5LrnuVr0t85lHUjKixPROh/cxhyWMikzt/fK44S6KWyd
8lSBHMtr+hILPyNRhwbZH8UuJNE9IbK7UMJGGGaGF5JI70xqvS9rfPT4UFjammZCHt3N+mileLbK
qtAhbKmgI4XLFPtGUW4dHNrFWUU/lQhKpPg6cpdieFkM8Q7+EEuIbq0tJl/xE+SVmxEIHDPHellc
We8M3NbNBwEkDjb5AvWi7oBgtduBijDt6NBvTU/obQnr9gnDZTa2R6i/ndt7K1V01EFyoLpFvhki
Upo8IA9vLk8zAo5Fs0z3YfkyUjzYHnHXn/y1oYces8oGTmsApE1WItd6bBL4Hq2n9cavMIDC84MW
pPL6A/sv20UyIvu5Ehq1cojMVtLc3WXqkASFh9mF7/6I8YFUAZFWExIUcV9dAIm+C4zPu3QDkgVJ
28TbFT3/dhz7q5wAqJQD/zSjG1++LsiB7qK+IQj0dQhQxr9HTG+bVgHHvY/+kJARaK2Qbm1jWLHW
C04VzqIEww0vMomLxUvKAzIStBiScJdgAFwhR/OIuuJBVSSKcpeFe78sTYZuGvhLeJWktftk8hKw
uOSkOCiYpSTNjk3QQVcrVI6hPUgzabUcIxLJzA0r9AL9A+Vldty0WMf7qom2per9n03r52rRaeOO
zrfaXZYT/EFAEMLKZ9qFGGUg4uPXpavASZPy26Cb9hY1ZXBvvZLk8fxeAmTZOLBRDpXn8p3XjT+c
LsIsi0b8CjzUEXG5hLcYRGXaJQ9hZ4VQO0bTqUUWx64jUEct81B6ziVJIMX0irB8lW17DR1wXRGd
eO7UMPjRbA0fXjL9Sp7c1ai7xKkcmBoTCDu/guwZzjBXoxoMyxDnfGmijShnIHzt8Nw0v9uy3S1y
XZ48GapXZsgv0oNVJ2K5VBZNRSzlXlUeP9VUZqVHxdkhQ6q0T9+WqaWnPsYMGkFWLNFFnVdevfoT
HD4jS/cmpxBW3OpKpJziEtV46W7bRiXnVosGO94MLRoxm8IC3QUZoW5AYVaMwJDBXceY5tcRb+89
GhSEqvi5jYLyHIFMjOu5CD1NC0wYYCfVehgEx5CnotwxucQOtU38ZbmtNtjzVUWX0o5m0431dBKC
ou6szUY8Xrd+O4CDSINRBte6g5GYjP4KbR4BM1VF2KIEUoXj0vPURVP5WqqHti4Cc1raIDrawXOR
+dduWo0B2cULW9/qwNkS7lUf2URdc3bZsuZV2XuId0UCY6AIFuW8yL3p6vb4dUFIE2JD68FSNQBg
kxnkf4wBWex1dpuoRYgUdjn286Co/4O981qOHDu39BNBsTc8biZi0ltm0psbBFkswntgwzz9+VBS
t6p7Ri3pGMWcmHNTEdXVSTKZmcC//7XWtyrDv8sj32PiYNEkZxJJFngPjd14D0X1qkPQupiTezdJ
LvH5BKNCDaWJ5xkv4+gK6xAbwQ2nec6GVRXdNrsJPT9IDXnLXkw7S9HjlZDGAb6OgaRfP02o3NvQ
5TU3HDcDoNOxdary7OSKbBdi7wHDmj1kgcyPOSuylZ92mBBNs7j4SVderI68dCCznd48hNlQH5vE
xz8rgue+tcYbPqS3ijDIl8tBtGqCVZ6Df1KTZa3+OucUvbVHRf9xT/DcUn8TXXfIkdRXtp9ZK0KQ
FpjVAIOx6LZ8NWtR27DIutotH51eqPWkeSCOjMxcVnoao3ri9zNFKa7ch1qub/nw4A0MKbUTlxtb
sw9Oy7aRz1Wyaqtq2ECs8LdZ6oxriBvNhgcExyhsnGXcts6DrfwtpoYMu40VPwXThkS8fTAK+3vq
jdtsCIs7GUKqBVZIRg3y07JptGKVdmJc1Y6dAdBK1dkf1rZy7z1AYnlhW/eGxz6qDqL3NEzZAgZ5
fap8TC+duJilDHZjLe4zaQenngFpWb/UTmRtSqeTD34uuSD6GjtYWC0HgGbLltTEIlJksk3BLpuI
s7cOAlZHuCqgEaUZuzo/BqpC+mTDLh+lQeKI8yq4kYXrV84ynUr94g1hvpja0NiZGWlnnxzgoiIA
fsX2htZftzc//qb7lVzgvXS3TZ7HhyLy301LddjPBpvdRNjt+nAqtpgDjSX71fKu8soS1/gn3tD8
QrAwP6chRMpmsk6YL/gDmWk5EbjHURKoq47R6OombgtNyroGZncnnFreAOjoH/r4QQ+F/vjjL7lx
X3qafkkD/cFiPj6XVk5agUD+6+iUew4xipVdlG4bq/JvG2vMbv/YAYnGg8HxZ3e+Q3WxqRvsCFxL
J6o1RxN+sm5XSaga5WMgijC+4J5pxK0d297Cgde5NuOyPXpzGCKSOXiDLshW+TjwIQqBCXmZuzJ8
0W24pRSLpMottqpTzxoNz0poPGVxkLKUkM5yrAkENkVpsXkpfNaLtXFkIT0bNjb47h0Xt72TtGfO
J8W1HOILmSV1/vGHNiCG5QN2mh9/FfFHGQHhy3RHHf3AXTWqaXYFBIQjppxwX0dhdPQAUO/HPK4O
WfNmKW5XXWVjNRRdHm7MuH3JyHK1sZtd1fxH2PDengxJBBfRCStLmKQbw2CzScYQv7KdP6aqtY5u
CDohKhTGVt9+GrpaEmifFqyvk93EyEEcGf8qEFmFE5F5nq9jvhqOtwPJM0tw4oiFTy4Klwxzqor2
OR/IxBdJmt+U/aRYyhXDUkv84q5jQ7xy08HZ/HjnGdHVdVrtXAXDi+4P8ROSDPmNIQ0OrfE8YKy5
+/GHazKMkazRN8WxCNP0pvDb6pSE4ap1tOK+bGE6//H75/8wDTs2rmvTcWzwH5at2zPz++e3Tx45
hVBslrluoCbWUQFwzijWHyqZtNfObi0i6Tn+DMH/E8dtf8g8Lm66zpaqJGbDCxZvnGQoyUXE1jl0
y3rBRSW6jk6dw21SILXM2r9oBlHxLh04mjhiE/oY4Er54jVFt8pb7l8NcWmVJiWwIOKjHL5ZUkvj
GpIb+HNK9G9mrczfY8x5yuBVpMSrIT3L/P1TFpXbt2XV1sSrC8UW1S5WiTeuDFXoa1/CJcgHTI6N
zvFa+vDrnBzuQ+NHl5Z7M9wIjG+FqNtDhB+u9OzmGZ6RdigqkawC5ovXDnDKIlU3WZdgiB+J2bsF
jwtC+yas35Xw36a8bG+kXqNDVg020mK4GAyOz6HZiYNfZc9uIg4yQ8ogg+IfZYaDE9UqPrITeOZE
lN3/8bvg9/ElAPHEtF1wM/xWiOn9LuETlLoexor3smZA1QWs/N3OtK9IMudX0Dd4JXAHKCtgH2/I
6O+8BX/kh35zBeO7Gy4vBPZuQxpzQcjPb0Ez95o+ikCP+aP5nmrR22Cbe5XF3qqa4nCRSO2gI6nC
KEaEBUtjDu9m6oLhaLvm72S+/2+/CBYUUP0lZZnOTHb9+UfhMqjFBUhy7rT559BAFOZEl6jQQmjr
jnYo8HqbU0fuXv/zb+Ffll3+fxO6SySWKNzfjib/0i79G4jSnx/0l3Cy8ycaMSya/QgSS3BJDgb/
X2G7NoUA1GkBQ3IR5Oc+gr9ClHhP8Si4RgJnzxzI41IydyIAUeIzzMPmxPMc7rf/mXSy+yO7+pt3
rwCRxoWTqLPNz+L9Lrk5JNY0APonfCJGugdYooGu/pB1AwgERSrMk80Y91/KYulqxP7Bicpdl/mL
0pHIjj7RnPA1Fvn53+3c5at7FABwRv0vdO5mGUhGE+cuKebfOncNrwWRbub/Uedunm0GwZH9P8W5
K4vQ2AS18c87d33Z3Q+69um7YbI0GmwAUFtGgFLcsDGqbIo09IB0yPNUi6PffOAqLh9aPfis4rbZ
mrBx11EC5MhroxUDIUTljE1LVrorK/TafYqj1cwduUgyFiZInNPS6b2dykxFSEc7xFb6romhXwMN
yjiWBQbnCHakxlrTq2ClAKUuXNhECy8aJyIq1q1hzJYNgS445F/R5FXbMSzUqgmdD4KR3JIMqEnC
ZwGQ1w2m6ksR3gkfZwUn4ImlevlV2RbBB2W3Z30K6GFwxc6NelCDZGHwTtjl0ii7W4u41doPhhG6
bzxjvKyDPjSPus6wr+ffXAVZ0JQ68CTBbyARy4Lbl0gJ5vema2+mwX0q5QjKfww+8YNfAxivV0fW
F6NO/U1k2OW2B99idnVIkKC3VrKKHsyaPokuRv2OTeebRmYP6665QAUUvczWIkdAJahl97gcKsf7
0hndRjedbjOtu08rgGFD8WknWrQapPXm6+ZbB7u1MDDmCpOzhQh5dkHHiOe73/xJ/5xqtMGyBZLj
GW/zx3qZ4bVZihDcKkFOschYfdmDdWybAlJMMz5K3Mie2UOVCYjgmXp/Cxjho5kw2sRGfKCkfN21
5l3LIhc6NNppNlM2m5NmBRHCoN0zJOEz6YvhcRjHPRl0sTYgYJ48FonL3OEF112XVg0Sky2qsW9+
tX1604hcw3PhPI862OAh0uJTPvI9hwDamVc6j7qKfJ7akCxjIFw1PrFdIMNs18MgR0P25wACNjZd
r+TWB2W69PIV3ogEb/XYgSx1+21piNu0lezDfevBi0oiBWCDV7Wmecuqr89NgBkhSMWmjvI1DmBz
GRY0VmAMU7CdsWqWkXqWk4s5pC3wHc3WYbPBeyfyGRKWuTmPrAOgsqQd3CHF+t12L5Cphj1x1EcJ
aGRfDfO+2+eo0AWXuGMxProRjqEkuymCEnc62aHWwscDk4g5DjibLxrGFsBbywidZaUMjpTh9OKU
UKe1cnwljvkUucZ5EKjy0qVcwVfRmcmLT05FGIu13aiRoiNw+tbX+bfaXOKpasneEpUqW3dh41X+
AaPgzDF918ge7Tub3A5tmz7+aCtl4AvkwQyL5z53t51f24exrS18fwgKwJ13Q8RSvm6nz6gRj1z0
vJOW+lgE0K4N1jOc9O0m/yZAWywlBo48SB16O7qzVxZX5YWf5qA8xjTenYIdc5LHwabSvJgpleO0
CaMcDulZVSSUcCEeYJBaK2s+BucVe0KW3DdqIM+oGlewFcMTZHqffZS8y2JCyJBPruZ/jP10zAGh
LZ0wuph52l2x7+grD5QdUihEI1VExS6txBfaSr1oHA4ppS2rpZFAlhsjFotpdldbVX0Kt74p7prm
9UvHvlVV8p17eYsuNpOFMYGuteClzUn9MGNjIQlCPpLNpB8ml9m563dWfAncYG87Y0/Uc8AvHutc
XSiEsJmOcZ51b1WWg3KXezMxznXRbKK86N87Q1B5wvgdR19NGibnYKZicOA9xaBJFyCbl2PV4VFM
uB5zOcoIgIuLGxUGawVhc+GlaAMGxb6qulX1iW3ixrbwKnRGgashQRQ0i2hTZ36/q9lvdIHnr8j8
KowRxl7ZXXaouaB5OEDWQyLRc2E7rmGOTYvOs+KFn9+x9yhWZqLvfb+Llzag4kMW5YsbWYzWYVJ9
ROAZpl2QDCMUVkwmtezu0iD55uq89mFm/rhQk34T2VM6ZvswikiG2VvpVtr9MPj+zgqgdTVpeQQt
/8XFreJCb+yoOJHLuiqdfRk6j6EulnXt7RN/TNdWXkW0eMibvoYjn31BDgvxwHr9seKjnblFtEjj
jnKSbFrySk9X6d4nbfymFUTFq7Gu7pumuQSpuiZeQhoZucIfo+DiDGwXAhQy8jkci6DCrdIpqVbo
JuD/nb49i5jtYteyskq9z7EK5APJ0YBV7gSF49Wt2kXjhXKbZcalMQ1gjCyA6zT1jimB7m1RuG+F
mJd1iPZ6Qqx4PNR6sBisac3Cr5XxsW5kvUEwcXdW/93hJH/QWg6xHvFkA5xtjHq30RxzWA1QXAN3
ilbN4HPEk068H6ZrV2T6rq4x6MrhlmF0i7ZTLtsse0oCaOjsLdHHNJScQkh6S/qcWKZvbQAEznzb
XTYOOHkm476SKn7k3PeiuYCBHTHVV1kA7S1lyN3Mk+EKxqB16XvDXjpZtNZqeLUlbDzwNwBk7CrZ
y3qQ68gcAEkUGsxf2lU6VC1rqFYuF76dAH7TlhLcfrNpayc5WD2JRBm82Nq7XuKDyiojuyRFp47C
mU7JmGE8tQ5R3X93w+g2bRggbHviXZ+q4zAMgFec6ZvSsCznTqDwAnJxF9DPCGp1ybvQ1V7FAIIT
IrCe+UQeCw62deN75WmIx1Otfxqx8WHzFjedYC0qgS4x2SfHniT3zpSESOSfLQygtpd8BSRrZof2
uu2PZcSaDv7+sLBEe9+O+hbdge6flutzmvXftHZLr9MHT+CaUzpwlFSmLAIKCWqqb1hR5iOfEve7
xrktoMEisQAslpUD/sEO92HvNGcX2ABat9q28QgCPcoOQNOMvZVHn2oMqSb4TMZwCXUZTmi4G1V1
cbn2PVrF+BF0/ufEKmuqoose5dHsL4AAPW0gO8TLKjCvwjGPJaavNWzMsbvSTuZf0qZfOROXlwDr
INsiAR95yvipJ9D9kCmhNE/lg2ZkdDDIWlu2XhktLOieVhq0G8iGXOgiLowBy96DwAY+2GV9UzVY
86U9LlWNp5R9g9gL4X5x72s2mRMto4vGqwv1z36TflJjtHfpJqpfOO8Qjwu1dcU1GT9bTEA0jqkr
YH/P++vFVNWXSIitydaYaBhjBvFZA+R5/k0NDxVuzTGVLNVRYEH9iV2UMGu0eXdoex9TwzDsBiqk
EJFbPpRVsdR8AmteH59jNp3rSreirZ6Nj/qEfz1qy4fIcdZljqrtsHsATOPRnzZhAvXJSyWzzVx+
6eO4G2z5rnz/dr6/YP64t32fO4+BV93UMrXh+nc1Mr/Y5xq+tMGHyGj4Kbd/78BleWGlZnRjDCRt
3ZSxMdUJE3ov3mg/DmbVL+JKHYo2o1YiJ4lsgWJZmYPzvXYH4+yFuL1LcN81xvQt9uO9X2T1RXOs
2VbcL3MzZ9DGx3yOreJZVSD3DK2+AT1QHaE0vkgRAm+3kuD049j8L1sf/FzZ87/+exX7eM588P/b
O4ZF/R68/4xLmzsUfzzm1xWDC7nLBGL2F6oyC6hfVwwsFoQlpIWxzbOx3v26YpgrO6lUFUxYUFws
Q7Ir+suKgX9i9zAvGIQ7t3aKf2rFYP5YIfy8YrBZfvADm6ZHQyjf7HdbKdbxo+WKEj9l4D2aoJFo
GduKintD095hRvePxTjlW1b3X6HMlxJteOuMzypwqDXR1l0VC3hbxR41ICBCKY9OpcimDO+4gJol
wP+nMWJOcgtaK6Lyamu9OI91eQWs9KWSEDFRVOuoK49C5RxXIANrvptsIna4rQFbMJbunQRIsMmU
TyGIxx13MrLlQP3NWk/0S9FBd0nPVALqNzV63TKtK2vZcreqJwo5ohL9qCguwEeqjecEmP6zeDcC
Ia7KoFkl0R5j7geHy2M9xMywg0FhDBdFiepygaX5kRt29pqNBwQ0KMBxnwL+xPunm3QhaDrsZiPI
tzp2mYxbqebUVAradnbB6xUTneRmVPiULOjtNjMXPrb8ouOaZdNmsza1EI1S1Musca01bOYqr5rV
2JjXqg2vpkQh7G24r7UwbzQ1vTbj+GiqiGCV5HTnKWsfd5F2qe/Nsb0UtSCUOr10rC3tACoH91nA
0an3XnU0vSX9987nrkVCvVrQDfdJIvIUzVt020Ufs/MNweSvqRKfKRn7qW23NWjbfRdHJ0L061CZ
gFzVcLaJg5Ccva851edNVays0gHfWwPT9n19Sf5KFXcpZSsLx5Vkjllb4PBa99zzOUJRXwM8QFrR
4xhsjNwb1wxg0yLpZQoiZUAWgnBv9fv/DBdrSY/mXPCYl94z/Ry7amYSd/5dUFAF6U9htiUYe+iN
2DuYhbij+AEexBxSsYnqRJn5lsTeTaEHybkoWyoRw2HXKuTNgEI9hId4VyW1hQOCa/NcVxnTWwnZ
mA4fdzN5bXmro0ybRJyPwGC/mi6tT1FeZus+AqtQ6g/6tyFLg11lMTCZTZthMMQ5Q+fKa+YMR29K
rAVxLpIa52ou23Qa8RLE+qfmcLBIuGduCIGvHMjRKZrwmXP5cDXrEJlLI0sGgMdUKU/Mt1+queqz
6Ydua9rJMnIyBsWBPg5IAJtqPk/qc1momGtDFf2hai4STQIo423jLIo4hZ49+pQgjWt9rh9N6CGN
5kJSe64mJdpUwveG9tvTW6pN7UNqUmRa0Gga0Ww6eqXOcoWyU47c1lIE2WevwASaNKKONKM2NKTO
rnLsUXVhlqsug1iKIpKu6xonWUE7TRGWO/w2aq5dZQETMKhW330+PSRBoO5Q2onniv6EsfcJ7+R8
xOVipmN5Hbw0+czRbN1RZWUjKk/dWx6DD1gJaD41sN/EO3jBXoQfTlAtNdhUsgZC17csGfYJhnuV
dnis6lVpPmfI8hVLmbB/nRK6FbSQpqnXZv5erI/ir6LZRhpNSjiFdKrBjrTtcIi9j0rORNziRVHx
nmM90zx3YuPYV70+THCKK+3Vbp8t+MD8cIFnLPTdaF8qGAmZGHk+6Jo8Kp8vytZHmNCFpdsbjwuN
p8f0Nn7DTrDlN0v1abisKUUZymYtfPh1aby1PwqBUlm+NYmzamObGhhvi+VgNbxzTVuRaW0EvUwJ
zJXuBi7KzpjcLSinBeCpRQrrYFIATtjMugGecVqqTM2h9cdbVNGmc85l1uzMbnSW0DmGBzNN4qNh
AGtrEOt3kRsTjHUVySu97ck9lISs+vxJGGl8aVyawWotv0a+loDvnnZJkEqWHgbQjeBzLAne4YQ1
6Xcxym2AMe7eMaYX6nUbjuFRuHajWz6F3qGa+ELDYMbr1GYUa/PcWzpOFC0K3b0KGl/QY32m+zTp
2C3YR7sK8wtEGX6bBRuTkaXjwpXGkx65mEALETKzlSQmHPTogCl0lTlGfAYKiBEL4c5l1qbSqdjX
pY3xq/DuQqPZQG1xlmHnvjlo1c1oNvsxaZ8wHGxNs6kXppE/1HmADkfOYw201ljQNndj5ONBOMnH
GI/YHet4FdSIoVLBhRE0cbISWuShd1PWNtfsKN+XRQ8/op9tSdr0bmAm3Gc2bE9S6sUyM/E7SzE8
NVVDI2kQBbCv8n7n4+Xc+r16NlRlwntP+2Vkkl6rQvOGHjZcP6H3YPLpH5hSFtJhFe0iti97ztTc
sSYIQQnXaRFIpk54QqTrY+AFxEPUOStbsHcZ+GuQxWvLSevlgN1MK4d9nPeQeWdD1P+Mof9YX4jJ
eYW57G+Pof9bfY/q4rdz6F8e9GtfCOOiO3dHknezdJjNP82hlCJSJeJRfW1DB52/1S8gXvknQROl
++dHoETBovtlDhXQex2GXcZXB/Qqldq/VGz+hUn6R/Xf5vz9f2M1sR0UOGC/jMLggMUP4vRPXgHK
ky06XrN6IYJb+PzpMRLDnW5r4a4rOQCORb3ijFdsZAAe3YzgNdm1sYXwaeJFctiCWFBpilrz1m5R
c54L/XFVzbU5E3bOHd7vTScrf21gCVlg5SmXrOmmxdtDinS9iNxw12bDe0vd09oMnTviXRTuELAi
NtZTBDSRtaOJOSAC27rLeuI+SYTANiuXOx+izUDaYOZSyLC7VhmEXUfPbmsPAkZGO5awuu95pXHd
GQrjthdbdxSkd1OWd3atAJAHzQ67MC2/ihaHkTWPIanMaGWPJMBOVAfYyKe/famJ0KWdpE2sdE9A
ciDQGfwI3cDiKDYMlnPcfeK932AMy+k2WySKLzQEwV2srC/cmiv6j7Y+99q10CnSxvPyLZlFGHPg
f+7YbZctwPkEx2YmgBz6WGPWYyT3gad5Rz0Z7nqA+kFku/smYaQlw+VVqD+OLo9k/Nwte4FgZdEp
LlPfXCrVF5t6YPIdagpC+7L4QFVqNwWxXRJdsc+N4uQmzTWyfIOEJP79AZM00ECnJUA8J8q0tVcS
d5qm4BtZAA+URw0UKrjNBMGBqsySBe5KbtOKjlDPX1sA42GeP2UNxA+3GONtgiX36CIwYfABadp0
eLdCXNAszIdPrGvWLZWQ7TKOUv3kNU72UAubl8YBVtsG+bquBu4AylqN9twBQvPe5CTHuNyJQQvg
gwhv6zQ1k3bTB3s5kveTGF0E0CqZgdth0cTmnvxdd6gNGUKtmcSiakBq9VlzE7T+JouFs6sU6eop
1k9YHot1F3A5TtpMLQrCmYvEZkoDSv9CFAxtr4npN+CWQighfbYKfeGNA9l7VXH378atgbcoUvqJ
iz9uNOYW+BXjOaTcKdCSdg9L+a1sam7+mfHYT+VXry7mWH2xd07WIkm+sxfdp6TSt31fcbv1ZwMU
6LGyfi/ibuON7UeqIK3HORBTPQHTO45nj8BmlJpHN+vOWt89R2kLuIrTl92M4XE2/GbuoM/mChpx
2IwRdRa3kUhPo6zvWLxeOFqggIru7Gr61gU4jFoCi1S4O9L++4w+1zWBhxfLHt/dVn3YXROdVPst
1yZynUNVHcDw7tqxKJdWKql1C3xnYVn6uJosyq7aMtwEySg2QVhTCkixZMZLdkpKmaIIYITERxXv
qMFe5CDJlzJX3Mj89KAcBrGm4B2FYf6usrgpq9y5oUKEWZ+QvpHkdwOnHhf68rqJvQnr7vTVS2II
yWDKLWCHZNF61ks3Q13A8lCordm3esUVTMX5g2d8mAWCGbvVe2GF7y1HJCzDdcOLow6DR0VRQVLZ
lIykMbAHipNOgQEyz6ZW1uyDYzdgSGOtuU5Fsva6GIoSlc+S/xiK/D4RWMl5a6f5wVXFlx/xb0pz
CeKqM6mKzRB7915pI1HRVBFPzqNXKDpEg4CS96rhENYwpRnW0rIhBNGme1R2vG/VXT+mHo3zPjyO
OadtILQ4zoZSY9TYsmPpbiSg0oYEWjLOmswgTYCttI6qZ5Ydq8GiEUAvrF1saLT40qvYehonlVpf
VoOkvHbyEAkfgzRwgK445trurJNv1/o6Hxnk+7g7Ep5Q+Jrie1fk8VKVR3hc8b2Qs6rHzqH12Ek6
eUY2yPl0at/d6k33Zvro4/xkaao4txT6B0hYhL3K8vDWYgJKoJ7kcoDonESkVppz3xgkMqzgm+f2
s/CgSwpkkv5UIljd19K576e4fCuNnOGyR3xs64FRrGNNynperaOMeFiIz3BhyLSDhzZ0SMozJTCq
2D/k/UmHJwNyYpBbPS3RBzkJtrFRHW2z7XHM4eDoxmzFL7nZpCWCPPPvhQsXRDBWv9xt4KyI0ASf
BbaL91B/tcchPXOF4Tuu+s7L7rm8cbi0DdzZ/Uk4ZJP9wHolKFC8WU+QEKYb18yP5JXBoFqhPFhG
vBzSvt4Nk1EeyeISckf/Yxhm60DojvIYy4HrUsUnEMoUxEWc7/9nyPsHh7yZgf1HQ97ie/y7VSMr
xfkhv1YteAaZKsrdCEHT7+bhS/rrqlE69twZzsIRTP5sdPrFzeT+CVK0EAJ/72ySM/EY/eJmcvgn
ZjI8Uo6OFfifqw6nkOV3Ix44VeEaTIqWjoPjR6vDzwa4cXI7A6tbir+jv4mi+JPxglnGlwe359MK
5O1ah4ZYjLR/wUvV2CH1B4NdAzC8z6Kx33WdWgL7ewLlcBPD/CRbXl07jxOMm4RnynnPc3S96Wx8
HYF2kCWTRxqzd1N2tLJJpO9UeKfHHscgfdjghAE6CoaQULeY1jTkYAIWqb1ic0XfdMoV33iWPtG1
kPToKqRTO9tOYd0ceZ4EMoX8SBPw/h5mfiLhBPQdlHOXGWKtp+MCMAIlzHXU467Ekl75PCHg+7uw
gMpnYcPtRfkeV2n0bInvZQBUVvU6qAPuBTFrA+IHBfzNBOK7hWTgW1RGpnRfUdS5D+JMYH+hMAxD
LA79zVBEahul2U0W0m/HsO6gmoQsJz3mHiuhejaNvDfOv9ySBwIg4KJLgasAYOwFhPyFaIO2AM9H
gcPMGbJNtTbVqpKpPOZlw9ruH2aj9jbisUnEAiHz77FRJaVx6DP/YjZqZE2Q0n1jJyLWeY0393z/
92Wjoh9r217pl/8KNqoxs1HN/5/YqIU3jYfoETITVjrLfu0kwMyc3XwXkdv7AzZqgsuyDF8bPJft
DJnNqKg0jHxHGdthElRP22X7pYuAxBOMlxCpN8PJ2eLobAhOLLtZtdNn/Q5zwss4K3r6rO31iHwJ
Yl8xq37FrP8FQTCgz7J2nrXBEJGwmdVCMeuGPgJiMyuJFpKiPWuL06wylrPemCA8jrMC6SNFFkiS
djbLjQwkMcpmixf5pvL4izzUJsKI1BQnEpf/Ukd6wYxYXIMmIGYOO35RCbta6sM9dW31pkMq7ZFM
9Qx4qjt+kZg3ZkXVS/EhTb6DA4MmQVLwjKoG1TMiKB84/68yXz1GxhhtlepwSljhua5pbtJp4aQ7
EIiuZ/lLOXBKpY0YEKjfHqrMueizElywEaiKHs41jpZ+eCD0/a2btWPSPit9VpOTtNXYA+ZfZmyw
A0dxzvMIHJGvVqMvvYU9Oj7BOPOuRKhuEaz1Wbm2e4OMMVp2fMkZIs1Z4ZZI3d6sefez+q0z3xH6
pjR3VsYlEnk4a+XhrJpHHfp5O1n4IgSA/Vlb72aVPTDR2/s2f4Dlywp51uK1H6p8ij7f6/gM3Vmz
58y6YsXtUy9zzYtdNWv70yzyz2L/rPoL5H8g6fNCMFoIjAECgwDy9yetyx/9IzbFaCouDVYCDUsB
DYtL/7OffQY2hgN3dh5EWBC62YtAFqXbNn29ZnvZnMM22FN+rK3wQlO7YdHrSX47ba3v6exywDfC
KIvxgSo2NIHZC4Eh6FpijnCyLQvzb93smWgIPC9DnCFMkPcw8fEMaPaE4n4Us+OiEAmr0eiLxvp9
ULrnsgKsY6S9ZOlonuTs2yBLEqyho/OafWjZZ9r2p6woThO9YDb8f5QBOgBHUa96jexT6sbl3lGc
tScjRter62PSqmSZTH19MAY6MUhIlnXd75XFRJBOmYeyXsFwpVekdyXBLPE49ZRCe753Dhgf6Bgd
b/oWqgANeh9FaqtlAYxs49e32lhd7AJvpZxXMR2CHTHGt2SYvVkE5kCekcwepb83TTjpXWpj7oyR
11w6ozlDjsa2ld7V6MpzNbJaQml4zcNMbjnq+qG5MltvQ43D3H2gXWPduuglhsDaDG+8gtGoKqN9
1sa3Q5jxKw7B/LUtFCEDESCLj5vKoKi+NSe2ttP0Vk7lczBY6CU2IwD1J+mazvNY14Y1HBpKjSpe
wC9Z8KakM0ZbaLWDybpKn0ofQC6Bz6PbTzn8iO4ld1uKb9vSX5P/jUM8jSMdQ8eoa1g/kKtnSzGl
a5FW9CxE1p6DcE8dpEFVdZyszICpqcurGDzeuEn1WDuoLMIYUbRbDtpbSOdiOyAy+ivAhWIVNRrM
VrIXeUENJD2kp7yc3pu0p70vdADx1N7WKM2PjI00KeyWsUek5UWmE2UWfMwyN+HT0FM+CPinCwFT
4DRZZUBszmbxZsZTfGB1ARAkuhb+GOBOSl/LbHxS7sheKVRYXh1VHtC8y0NcU2JAQwwff8+8TVVw
cEqefdYHAn/KwMF6Cre9jVdQKPXk60Q2RDTeYxLLiL6zNiipqiOYqm7g/V6kk7F4aGS/Drk4t5H4
SAyI9IVPIjxseohMRb8El2uQLoNB4KnceImC75mXwjrSYv3MjmxdwCggzj2ow9TuUjXSVMvKbRUO
wQrXSn3pR23kk8NOED7DQsbyrWlhJxBzqZHVwfqVSGhloZf7ofRPI/HsvaHURNrUZvnf6hcEqg0S
3wFrzs00aA+y/JAOREeveZFadlKT9t1uNRxTastQvuBMOrMIi2usADyl3sPU+MRqi1VEhC6AYcR8
/sNdZav8DazkvuB33pv6Ts1sEfJ0+JovNfurUqRvRd/TSANrEfcO52Al7Zs8MgkiD09Z9m/sncly
5Ea6pd+l95ABDsABLHoTiDkYZHBIThsYkwPmecYL9YP0i/XnWZKqpL63Suq+ZtVtpoW0yEwyIyMI
93845zvTOUSfmuv5RYr0qhPO8d7KzVsv5RxyiOosgk3u2tcd80OcPNpxMor7LIK0YKdX2WRvAwsH
45y4fhcfoyHd5DZ2t9k92hLIfGGspCzJ19SQGtyY4SHrPYAL3Xqeig1eVFCo2nZI5Vbgbib01to1
VfMslvJemapzubOa8j7X0g8kfqiI8pPp8TmV7Oma+GNJxUOWD+c5QTkxqys0gCpRWHsaoatew2fa
IbQP2k1Rlpeg7c+D0VxLmFYTIFVyzPZjQ00vBdAwEoSqdt31AKxGPL2xuR6G/WwxGOuZR5e7kfjQ
kTg62NbrumGyNY6gXMNrCHAPWJCvcda9ml23HrTh3P389rJOJYvl1CXNMzqTbc5JUZveQ2EFRzUk
+vFfOKynnoEOvz/2BULG/NXS0IYSykDnsEtk96jrxmYpsoL42WHbjIzLEh4zegDE9qW3NUtY7Z7p
NhuTraR51bvFAyid9TKE917qXGlt8q6nlAcEEZBTTFop6D0GGcMHOo8O4kOVJ9+6hASjmuRU3+LJ
pMu4M5P3ImkZ1Y7vScYxJR3HWVlDopD+pGBZHfvVbqhuvAvBDw2kHjJ/hzl/b6eOhOGb5FJ6zga6
zvTMitdIbLlqnADh7lgRndPucGaIzSi6GsD6rjdC8eRyzOteY99PbnHLeQ88U0zfcgLPNik8TZSw
66gRDHsj9733am3HUXrN0NlayUX/PMd9/NFCRfAbPOVZgNx/rvFQo6IzieYuKcxwYDMZPZvjlx1G
X/1QfeZ94zdDxMOWoQZNtXtsaTOtHRM0Wxf7CqVAhyO7NJNs27tyZ0NVQWGi1vsDSm5B/2uMLCD7
4GUekQO7xgKnUi0YXGFc+Nv5SvJjY3PYT0V5gKdK72qMYtWBW/Dzzrm44B/YE8p7t4XXARCiAYGs
7XKUFNWkZAAivsu16t0zpqesbk5zLfr7MdLeWeFsHIwMTP21F61pH9lL9euyY3SZtlWxbudG31fO
1ahO2gKp57HVxlcCpZlRp88WbtANxBMLOQ9ujSrTbqY0W/01a/ojsyaDYY8LD+qfDpuUsK34n//j
NxOnv3/hryMn6IbK6yb/t3RP5yfWeYL9IKGfzJeE/Rt1m+fyG8yibAuZm2Dh+MtWkYUjSTto5hhj
mdgkrT+zVWQN+buREy/LcngBNko5YTH64vf/YasYmdyzFg/bCvM+lWWgndjbhz7AO7FOSnOveUax
/oEgzrHacG79v4QgtqaWSh22z+7/HEGMvGsg14F09P8rBLHTM+OShQt5/9+CIDaF8RYBhGD/ysLk
vxBBHIS0SQMmxz+DIEa7Ox48K/nXCGIwVeXaYLp2/C9HEJs4yVGEE2DPkPjfhCCec3ldYwT8DYI4
Gu3q5E6Ysv4FghiWonHqbbwg/xJBzArp1FbTf4wgtiQEHmR1/zYEcWsv0s+M+P9TBHGQ7Li1/0ME
sUX1utG0P4MgDsv05ACX+XciiAmkGdhZ239HEJdDSaYTPsk/hCDWX5hi/zkE8aJPQLXD+g8hiPFq
bzMrh0UUV+V1XxTnySYjIrOrT4HQK5v05FBrw4duT2cbnw9xbTfuGBxaiy3AlF/SrKbXT4OLUWHu
gTMGGLgw+22Q6rjYLgFw/lWa2WeDTJpswKlWRx9A7ct1WMqLU5Qb/rbL3OaGP4QYA+eUYDEZO6TI
RdFtP4TfJ9lv6MA3zIPSdYwPfWWFleZr0q42iVb5o+H1FxscyV40RH71IaIExiq48eaMNMIRPLtd
++w2ldHEjbYCJC1hKrC9FzS5VbjsMmTAPq8AaTPzNmM2v8N7eu5jd+c6Ax4bBBF1ZDwkcXXNnKA9
elSrXopO+4qddY9PQhtWEVoQz+DLs3ZOd0kWXjmN3R5NYd9NNEwLV/pISQ4YCC0oLXRcKgVuCzAv
1r/KHpA3ac/2Qdb2Qz9eSABo1mAB0TV4zV1Cpq6RJe+9xRhvgWaJ8bIloJQFcxBopEKEIUJsbzt2
442JPL1OCLTLw+Ypz4Tl0++ul6zYe0Bi8IEa1cYJs9OoO8hQ2mg5dZ4Ht8wR0JL058QBBl44s7m1
mrlic8yAKXC38UPByb6boDVPqfZoh9aBsUV7wODXr/FLO1kPjZR9Daq/hhnfkK1mcx0VI5DvwMH+
w9u46MmuEHjU2gk5j0XI80qv4m8D6QjRCMG9duQWj3ixLbUmOQZecIZFkG7iNkV8E8t6M1fhaRpv
9TSodnPQkMyIaTIgfQs6CYgllgM7gww23pyROFzNa9bJoYgJv9QIDDNkejHH7q1c+neG4g135vBt
7syJhZXGJNHLwRqm9f0SfOZOC1CZFADlpCUufj4CRN0PqNP2iaPHqyqn+UY5Mkcw0DWXX5Ejgk07
n58TWPobz8v7KyQ2fgSMTHa977E5CyeIMmOOaXKIYTfl+sbukpeqgxU10T5akgDhjp8hPuKt3gXp
btLNSxKWJ3hkLxPKMq9rN/Os68iiECsQrPWOsnWlUT4ysevF2mCD75nX8VyJ+zlhHCrr6YqYM8aj
27B0wcamIfbwdmTAMDnVGtbeJjZCHmRoTm3mHAhW/PyrqfkjTY3jCuYM/3SB/hi3n/1vRZI/f82v
Zh3QHVgyUR8ibZQ/eBy/btBNmhUd/ZqNVUYYKnX37yJJoSNcpG2xWLL/TiTJYcNK/lcB5Z9qZ3Qa
o9+JJKGVILdEu+TQ2rCQ/007g8LQ0XsTyflcpN42RS4TDhj9JkeHohsb/SpsECq2FkP1VkE1Pfaw
AGdGvOg3aOsJbXLFttf061KrrtHGP3lciC4CqBQtTF0tZAdyi9nxcIRb9d550adu9e/d0iNFG6PX
6crujxF0TxEkV3kFEUCb2Gh4DKZgE60GoNjvFpHbZosXKNZq9NpOBp3U1c5LjLWxDu0Rvu3NCI6f
E9shry6s2GI/O0pmLxt47Hk5IzCf5G1YEHCMILCLBp51N6sfwuim7gvYD1Y9b2oQ70W0MWU5bkwN
BRFUrBdwBgWww7Up6VbYfAEYrTyVpx2sCBISUN1MvJCV9oooXT9MqQenAORUaayCBlmkHBCaJ3sj
TVMkZMV1EA0SgNTUrw1dSg7OKvKX1roTA0MM5KlKf9OsEhtYRE6f6Rd6YWDJbm6X8Qm2XX+yPHPn
Gs6DKTDkaOSyrx03+mrLJ1eAripVikMpWbh5CxruiLWXxpogl5NfNtHdUJk+GT4ql41pPMJsJPee
wDWrrOWCuLpmaHcTCnl9iUjlY2ppLZZzlDEX46w+dFyQm6Amm9nGFmm3HREooDIJicq+em1x2H8j
LvOYXg0GZoM+nBnSZ85l6OFzfoU2i6Ao2Yk5rA7gRdf5mMZbvglWYSc4N4jTOKpxbDrJpbUQfaJ3
KjZur72Gk/No0ZJv5wzpKssOQoey9pInfGloAKDQx+rVHY0XjlQBxhLWlSiPhCqNHa7MNDo1Hpk1
bo7PN9KwIoD8Q3qJWOtRaoa+nfLopq+tZc/RCyjM4ec+fU+0fLwZa+tQEBvvDsBM9OJRO4T59Gxn
k/vuRTDWtDm4lm3a8q4Oh6hsL4QqBocYhwKuau+QuAj0J0GWTYjGcB8uzEKDLQoK5Fqt5xLnh6Q/
Nl2ADfU1wdQHLNMLkTrFZ5Y1Bks5mJjmqGH6kePK8pjKMYxjk1m327pOTsuYy0tp6tdpZ5KWCkMR
oj8+90ja5jZyl52IMe9bWlasvRDBWAXj7ErgyMLNPFIptcCMG6NaS4uV02j3xmo04G+YKc+IwT4y
X7A0SFxhmFNmdxMZZnuE/Y3qK2OHoWo8p1jZU3fGh/isWS0SNvfao+IxMeupqNFdCYkDFg2blDJw
HkgsjO5qkQ5XMIjeEk9/qbLWACJs8iq50wV3e4jNHbChvjZ3vbr6677t/coaCj9QhUFNhaCpUiGj
ZlhU8WD8KCPG24WqIkwoLxJVaDiq5OAhPVeqCIGMcM9zVWzDvOCnPFQeDWCvRol5Lmims0hQHvep
2FCbEFrehL04CwKNWgs0BJxiiMmnBrLtoa7SBykSYH7kOGxJMQWLEGTx2bSfgyF/rIWgLk5fYnOU
fizE+1wAlg275DltaEnBKr+O9UDqzmJttDR8CuuHwcBlhDgnp5ao803LuUfC07SKleNqzDR5RWnG
6mVeNlYKQsWZ55vJDBFCF9FT4lbfQ9iJXtjnflYFz3b6FLksarUSSFzfUdGDtgOjHWjhNbuS6eS2
SFOMBxkNHurvZd6BqQT0iUsyQ+5YUpZYXjFuWORfyXG5SdgygXnPDmVJ+qFb4EfqNXDD7Fw4raye
XQd1amkQUbo40O4FMGEHysBcOeE2WkJUWBhlsJUMWLnxe+UDXUE+svIN+qHZAbDvy8wvOpgNuZTH
LoKIXOfmuKqyxNssOtKGNgazMnbNlm11NpooDiIqW2PcwS9yuXiabx6kKpS2JedqRpnUDBtyR15H
TfvuslwClF9+Jk33wo63lglnZJcjJO49EMftViBCZoOycIyEt2HV+KnSKQOUP7ht9NkpBXNpF1/D
cEM2+RcirW+kNhHdh+RZC9A+h4igE8TQrlJFe0ofHSGUFgim0a2SkB3htZramXUcSTyyeOrDDqCA
iY6be4OpUzU/u5qHvGkcUGU7yLsArXKwL1pBs6RfVUrF3Wets9faYDsg8KazyNa1O/CHGONvO009
kzYNSb5BRMn3VUrxEcm4PpNWioJcs8m3sVOcWmzgwj1oB6H05iilZn+SnFyVvTan4VwtMt90KYjX
wbb9QOnWU6Vg71yXK3NO7NsWeXusdO6dUrwbSvue4sEl7ixrTo5SxgMLiA5m8GgpzXyKnleK2m9t
audK6eqD0oX7aVyEBMvR2uhkCTL/XtU46ej0WCUXKx2Zfota3zwaQlcaYWmiHGgvkQsNG+5RmZF6
7blztw1F9j2TluTlxtbK0apyi5qNxEKsAovyDJgN7oEC8idY8ogBX+I3POZahNNgwHJgYD2wJuGd
ZvTgnnIlZMqf8IMtXWJZ6LAumMrDkCg3A0bA9zTAsZl39FM5emxrttcpFgi6tju94NgAtVWtRGh2
vCF7XXyPlXuiUz6KSTkqtII9qqFcFil2C3RzV643PBvKh5EpR0atvBkCb8WPZUqCbWNR/o2+sRry
hyGiKm9Hmo4ICLodMeni1lHW6jYidYQf6SGM4G2J9HbWCArUMY04mEdGTCTMsECAKV9Jrxwm9fIl
ksr1S5ddus6lsVpmgN9NGiykhKplT2DdRSkL+kjv3yJsLKnys9xfN5LbRIuw7SUxPBpAYkSwhgfR
1OhIonCGTsNA/Ecuuvm5BIKN7DiUMMXJgJ2MiQMBpBg41CYBEp/BCdXcwP+rU/ljnQrthfinnYpf
xvn35je7F8ACf/uqX3sVxxRqRWKDCXD5UOkFfu1VPLoY6Un9b62Kg2vrl15F/wmkgGlRddpA9H9o
cH9R+3o/eQK7o8v3RfBq2H8KLCCF6kV+CxbAagZ00wJhSHOmXsQ/rl48SDxGrGs8ZQ5WyqLMHyeh
QYyREoNMVeIvvvXa9jPwHBbxwW0ydoe0TiiIen4YF3daaykxfXpbfwEtvWsZbyGOOfRF+t54wcl0
i7uxT0hmJnZ+bN21E9557Y0kSxghyBatA9t5UEIl3J1MvyZn+cg05UXDG9FznsWT+W0y3Te5FOtm
gBGjS+jDAWFv0xIzC8uzLeOTewl0vk1NhfmwqLUwY+Y5PHgP27FVGu2aUInbBJvQlfVq4wnyNE56
hRQGRTKRLDXgScYWuiKi+LO0jFcJvoiZiTvBbHcGTN0MjMsEMI8bzAcr1t9Q0qyczvzo0/pbQ8rI
VtDipfrwHHY2TjN6ka1FWl+HD8h2a5J5WQG73xICP6ZuU9fVt9Ar74hpWQ8ckwaVVVnihgkMwrmh
3oOlIan6YBs2nuUo8Ntg3HhW3YEC7Nmp2zQfEVnogf7euBdrLGc/ybN8mwecS1nIHK1IklvSphqv
2SPGmQ45a9pVKQNz7cDUK/OJWEWRHbuYbIugHbYorvi2OKFzbB5To0fkTKBUcgiC4WTL2pVtaAYz
0P4iHAH+LqoSOsZhm5bM9Cysx5NFhOdEyaDXmJ292fTLVChUqvTRwqfXS+KAYihnsdFD+Fjm0n+O
vbWqxVMOkH49E2PrR3p4yqzomGtPokXCYgiO1VA3YerV+tpwsZDYxRhu+6ygRCLH9aBbr7OJ0Aoe
VeyXd241B8cBBcAhi+qbysrIslvQg8Am28f0WGUGMDzgHWwNmu/GmIiBcNpNlLfcdAxr6zESsLvs
c5nO29mEt17F5JagpCQlb0skWHtklpg5JKaAG/A96x34b7kt1MxqHO1NZ/dXJTKhlROHxl7vuGZc
is46hsFAUT+dmd8NwLW1lybWiHJJ7H0uuvsgKXYUbLh8D11Bzq1ISjSMpvvaRTpd8IBAjABe+gKi
7hcNayMThwSfEYoH4yuw9Zclghm5MFvmblvHjkZuYjpvGtWCR9ENnrjqYUqoAZGL+iE1fzxkEl8e
Ms+OYAczBS7m1s+9avFbM0TUwrd3S1jFA0MANQ5wADOpAdmmXnLyaKc8pG/CfuhlxntQV9RiTBMJ
ylmhA8uIwE2ujMw9ZvnRO5Yh/Gg1ljCYT/TMKQrmFVLNLdQAo/bGp7lPBGmaPj9ip45JR8XEY2Dy
MTIBySP0WvaZp2jJlYMf4z5RPRjraKpS7lhUVpTx4wS4OgQY7YKzmBvP3WbqEuzVdWiri5EPwNvO
6rJEaZfAhucCLYrFJFzkEwkdgBDuWENdtuC9Ej8O8WxzDeeECGx6DKmzcqbGeURqp2HNvEkFcX7K
wQqo01xVKdnDDMmtdTmkJmKzaieU95XHmGhmJUWtQ8BIyiEbYZVNszk7tcYlVp6cUblzjB8+HQw7
lnLuhFkQ+Yly80zK15OJEC0loLK9xPRTK/ePpXxAaDNOTqAv19lLqXxCGoYhQzmHeixE5TyZJIhS
lrdTft+M5LfMq9gssnMp+wuQq3plKEeSp7xJmnIpkZJtHQHhoXbGwZQqLxMaHOADuJsc5XPqleNp
oS7N47jetQD8dobyRU3KIWVilUIOzFxbNv2G2N4e2gOOqkR5qyzlsiK0kXdXOa8C5cGqlRtrUr6s
FoNWrZxaqfJsdcq95VnefEc2IjY9EwhUq1qRJXSdgy57/Zan/B4YFT4PGwhY6tBu9bKHmO4K6xLq
dXbWatpasfM4oe4Amro+0dLIX6OI47WSyQbbO6ptiF7EHsfWLZZZv8lMYjy1ojolpFM9LI9FjuWB
JNALBe26rfRdHkXEZGlO5BeYhSX7F5QxM6kcy7NohoxYvG2e8kfwPxe+N+0N8izXJUmum6Aj32Qx
weCB/uI0iHW/Ff1+ccdqa8dTuyvijt2NG2HP16yNPWn1Oa3UyesE4crQOWLHvk18HI+BuRDqXKUf
YtGb+yU30C4aKieZrCtus3wNDkRETAlqABcWvfU6QG5BcJFjcoTld2xs5CqdIsYUiXvNjGRbVBAP
6T6hw6JsP6XWuF7C2N47hWKiCtR1FrQANxC0Pxl5AH3xgmk580eUXL7UiO7EvJIGH3nmbnK9h3pZ
TNphNM7uiIzVNUS6KTJ4f5PZIcclpBXn8YuH1+0q90LwfXM5HGzclMLNU57J7pZLhmegesaV82PW
dQEvVm84qVw+VLLh3L7iUm7xMgpznVrWiIcngajjmjF8OhbPZca9ETcQJWNLX0N2cc+kCbC30x8j
yWKI54+JUYEa37O4WZuGY5BeEWD/ezjMXyi8ON/H/oUAtfCEPz9iGkcAtzSzR5cYhEcl0S3iCkZi
RA1Qu3iayLhgIFSZW1rN597usfIs+lukRXdjMLy01U2K5J22FXndmOQHKfLyWhSOhjQZumPXF6dF
seKyvDvNBvHVGjraVWGzNYy5g2DzYLkNk1PSK5wQOkEmVi+wnmb0xOPRsi2xZjd3ppjUVlVAt90b
ciUjLls6oCcvfnAKdAd4gK/0JqmPOAgwdQ/yWwwjgwEJ/XkdG5VfLNvEMluc17yzNDao8OgzgeWN
iA8Joa9s+4koOGfX9bEiznBg9IsLc8NCA1hkbz0THl+v5V2nofK2dQhRZd5mJ8NjlknHw7ebW59s
qQmcm1usR7KaZIbBv56iTxtR4EaMBZibQLfuSW1+15XXyyk+yTFlnJKVJ8/r3kyrfUzOkzd9FAOy
VrR6X7p2Ljsb2z9nWbHIaBMK75oJygey5r8Aa3+Drj/M1ed//29vH4BFkW+zSnvvfrt/IVJEEAjw
n5Mttm+/51r8/CW/tkGWLmBGuBgAHFtYKpDh722QJ11FeCed0KBB4bd+MT06P/FnBQI0iz9gOzqv
4Zc2SP5E4+SCXcd28GOd82dWNo761/ymDcL0KGmDOJLwT6JBo+/7xzYI1e8yRx4LXhNGIE0XRcDE
ipOarV9JgwSvok2CddhSSTtjAFogdW4BoBFkL1UNqYFXJFxlGUFRwD5+zTTPOmj3bnkxJOVW0/bX
3hIE50KG30V5oWHUdnYJd9KUvbZLvf7QzG3jkx+WXGCDkiED/iw2WqzAhbjLhhED4CxDJsO1CmVf
abX+UEcxAX/55K7ZrVs7wmauIgvCEDCy5UrTk+c+EMm5cPtb19r2ItJP3jgSVOEEoMewJdRUrAfZ
D/e6SyrYNOk3UVfO5GBp21yvm0MntBe0xiwI5idmaWR6zJj2Q8Cru+id/IyIc3RgWzOiA9eWjdTb
d46uHTE9r2V6fQAG9+GmeDc1ytEl9V5Zoub0EwypupfZ9J7bvGF88snY5YsyCzF1WfqEn7WrKJ1f
JzP6Jkx+JStxWOQLdukinN/qkX+zbpY7R1KDT3xYPsrBnVeGArRBT2mRcWHWo3vjHmSwvHpYqtnC
xdcGQuguL4gHGl6Sxmb+kr65tbnDZUEmoM0VXuJU9csEN5Zp5sZ2GN3rxs27nR1ob2j6b+MfUxhO
ljMUJoobGoFIoxStyvTeUEOlwWt2TlrhIetcIn7rta0MmmbEJE7Ds0k4oXKWGjeZg9WgnvCFhBZk
A+xMFVpHe5SvnclukHpiJj0qyFZ2NTooHWhnSV6+npV51HPzbTvkCr+yjpS9NIzEoTX19GoU03Do
y/5YuQFRKktSbnBO1CsvvU9KsrmB3DGwyz610Iqexrh4M6S+9bhncYB1exkw1U08dlZEgwx+GEG1
ENMEUUVtzZRhtqEiiEp6gykbEIyHy3e3GElF9KL2FGiEkSMw4EVVnZRYC4ynIE3uUp1oM2XVbeqA
PB1AWZtGGXkNZemlY5m2PYhux7jlJz3cE0QfU2KY/JAzfOxwBjfKIgxwcOvgGXbwDufxENITV5dU
2Yr1PA6382B+muKtwncs8/BDKLEzfmRrUGPqqboqOlAexNBf2gHDUNDqx9wBYyUbEPR2fz0jVxZK
txwRPB2ZRN5bmdduvPTZVhrnDrFzqVTPtMUkwTtXndJDZ0oZXfZw6TF595wK7eNoR6+u0lHz3TcT
wupFKaxzpNYBkusC6bWDBLtWWuy+du9EEbBJQqXtKb12ooTbfYUDuvUuwLoywDKouwul854RfOtK
+V32IY0G6hok4T/gM+2Ei0q2JPYNgfMy1dkDHQRkBiUpr0Z+S6nMCVWC4Y7uvCqQ6XON9kEr9gnT
Y1bQ89oO3Hueep8w9YZBaU3blH9ayNrF+DWKqx6YA+ofVO+EWDBO1ZC150oT3yKObzO4jxFy+U3t
TJ+Mrq2VQEo/KE39jLg+Vir7Qunts2gLnJWEu374BnrBgc9f3BpKo4/jb6t69qeFrMqphFzQ8edi
hP2pUvijXFphVZMrM1+79jI+h1JuiuvsplPugBGbQKn8AqVyDgQXpPg3zALgh/9wFqDygV5j4cRQ
vgMDEMlSN1hv3idsCTYfZ1wwAup/OBawLkxifF1idPwfGraGNM159pTTIdUbULRR/h657pXZBDB6
BE9l/TBHZwtbmHJMWMo7UUXu1m7CaNcqX0WLwSLFaKErxwVzPLLXu03YH3SjkmvZ0SN1AcYGWlMN
8m/Nqh5Ein2KjJofLx5+d1guOWH0mehJ/hbObcTdwbYmuwYQeDU631WTCyAz5yPApRpMn73BFC9m
0rJ0wTl1wR4GhnPjlO5LZ7BvZOq1r7LuNmGk4LtN8TCN9QYP4Lhqv0c6FFzpEkppOcQQTQ9RtjwE
3vDNo/0HAjwqxo/+ihX77IxvQexc8Foxi0q0d8PqKDLru2yMHkwMYn6Zy5nHGMOrM37vS16PPQWD
78w5wcZLDMJSrIfa7MgA/uwlGLi55XUTHKXjzaq/kylXMHJYPpdOHLPiyQ2ikfU7aiuDJEaunxZF
ePZlU2X4dak91dL5wLj7Q3HkF1HbblwzgMU06Cd4HUwCIzySVuK8dyI621W3M5v5QZoEP+a27g9N
d9OOzjsozFeRBPQXwbEBEC17fm4k45yVPjnvIAde4UZ/r4MtOMVtbaU9YxLjGhfLc1kT0ycNjVNc
UYuBLIXjY+yc0mpfjMXH4JJBMBb3dcnsc3B2Q4O3N56057j0bmsnAYx9TxLZyoifi7z4Hoec6xVJ
S8RkHMYofAkbl8lV+CIbsTUAlopwfMJNdW01y2dWFtdFkB4mk/aslXdhkF1ze5N/ee6upmKY6ECb
m1am5ykzHqbCeZ9M73EMnlBZoBYxj7adr3tNMdb9IGoPNvQWndnE0Gq3VWEf6vSpHfqnfjQuhcOW
TzfjE68F/GV1F10w4pm2elaNDVTH9QwJNk2BIhfWc9AsW1nzaZnvfTwBXrYeK6tf1o2ELT0hbhsd
+HVMDgEqVhPV6XuSim3TFe1Gy7snBRHLmRVnlfhoU0kmAFOMqr0pVaPaKSq/mzDqyWPTp3m7sSX9
UtmxqkmBtqBmBooEuGFF+jqCjGlOfG2eMfRW+Kjm6MYOW5oES/8UkMX5LpxGog1XpKIyypKBvioN
BC5B8DSxJLKTuNx2Nqt3N7W+d03HwKRm0qEN+TcKIci0S3S7uPqdWTfjhkDBrwFlwDwZr1buvTNs
Ttej81IVMSvn/FpIBkZE6F4Jg9kr7ZCdVleyjR5VsBdDt2g/9CFpZOX9PBf7jN3cWifGru5ndHwo
dVlXPwshC5/NcOgXk/vRMqTDE3ctJcOCNhjg9bc3HhN3vwmY3XD2XI8AuoOOCcKwyI2U8YdWOLdF
U93TXWEBTcYHLxCf3gTio8JmPqX8PVKzT3E1caYRQOCH1fIICmfDoiODf0O07ETjF+TDw1xqjLVT
bMe6/sB08kB0thIG8X6mmt3xXh2cikfXIyYOfGHJDPdDOrwWWeqfzswhCCJqjVWebLz83unnV3MG
xa/rO+SAICFjcXBivr3HZMuFdZNkuFZpBJmlRd5zhnPz2GXm/Y/X7KQ4qyln1zkaz3NQIWzQ3OSa
Ikop3AuEUE50n8wSFus0PQxu/xoXffUU0OfbhZtsUq/Nd1KGRMWi59wm2XxMjRGxQzaf+qn/5o2N
fZzdSdskKaflX0u2P7hkY/eEfu4/by13/Vvz8fa7fvRvX/SrvYnsQu55abNNM6VussP6ubl0fsKb
RJqbB9vLIgpEx031y47N+Mlg8oWU0HB0wgBVy/dzc2kBTTR1W/2a5+i0ncafaS7Z5/2uuSTVg2cD
HLgLMhGyD8Sff2wu4zSK+0EgvZtCJvPtsxV2pJq3c8cexmNLkSPlLRCW6ZNlreDrVBcx5xuvtZzN
MjXdtiuXHApdra2rnlU93RtH62yV30vDvoE4+V7bI2A11LSaNzLWBIw6Zy0jM4MaoejIXNfNb3lt
MGkXE2PayHvJMuWoxSnk62l3FYWBD330wPw7RlbQiMPE1mlFSriEF0BEaG91uyxAUBUDFZNZmWyG
DCT00ufhOhnzbs88PGJX6HHbt8grxAzjx5HHyMNiaHU37J9Ss9rHS7OD8IxeLdTvk3Y6Rvoys1mi
73YY4bMUkTEhAgHYMTJ497FtfFnS/kxlLHd17S3cnJG9tsb4BiAP7NiSf96UZafgqfS6Y2MAMytn
dx3qkFFrfTmx9STHr0VYUuEfCgpCbp1oORZd490YmrNB20ulVSuwL1wF5nDoYILcvMyTfEqEwGcb
DG8s+IcduRaU1kEJMm1YtnOPIXpGFz1aJrb9xF3oBc1kK0rgX64s9i2D0bxrw5uK9LAsaVBUmEz3
x+4rMRAqWkK/4iLDi108GLk7HGth7maP+witCJXYIF8tMG8rE7I3Abno+qKMbeDUt+ZexWDDRGIs
YVp+z223H1iOrX68Pe2APgbw+hqKJZ1pOFdnTesoCNnmMhlF4lcgfTNMpAoj8jQnJ03HTrINC4vU
Z5j5CDidC8jQg8eBmZ9lnZIpiU+R+l+Y1/sRsNhhBsHGxo7thg5TMqgMvKoV95PZb9JekEfkwq5+
INZs3GceYffLhDCoMbWECS9+aYNB3bCAWtKp6nwvQ81DANSKn07YFMGQbGfXvmEa46m912mcu8sy
dXjNwRKyYZJbImgJx17qJyAhV1Qy+yQmzzyPod72Jh1N63GCe+idiKe5STXVWmzKtucuHyLA59aO
9lDhznHUhnp4YDswHGVkh+RhEK6DcscnDIqPSKtfSQRWsOaO1D47D/3askgGKw+zw+S9Zvuy1wKW
P7MevUeVeRckOdI9bOK+VZVvlYF0kIJ2WiNoTzYsLOVRT4vtAmRjSzg00pi5+TCjMl0bvLpVeiLv
GmydZl0vHFh+QkDtWky1OMtw8SdylVcyNQoGHCR2DXp9aap1wYvcUI9A2AoUEMrIa39k0UFVMgH3
h0VoLu3N5IYELOvxBlI5ac8zs5aeFBdEq2+5QZdihP25tnkYaMaIdaFNka3Doq9m7h0ty7GBKsx6
3XmZ/xd7Z7LcOJJ16XfpPdIww7HoDedBpCRSooYNTCEpMAOOeXijfo5+sf48sobM/K2sq/ZVZpVl
WZmKkBikw++53zlngjvr/TufOJW+m6mKTQTvK1lT3EHE/dJ3elp6bXYUffOMt2WtTTERL2FFCldt
EH4ZE1OQ6u+GNmQHrc4tjqrqvSj7eDuaOnXQJlmGuW/fB9ObV+L9roi8SQikXqV4QB1lBvULlgCc
6dqx6Jy1BpZfKT6/dSgTgdeXgPuJIvgnxfKPiuqnC4cgTkB/XiChuP8ZAwBOS/MaWGeTFRYklTKZ
+hayBWESXvvpU6i8cjPGA+5NRNraJLj7bymGgwnjAWBoukVn25DWGC8czAltk3+2AwvqVmRvdCus
c5njYyi6fhdhbcDts3L1dulP4aHw4cagcu/IGsM57fSvAMrMDAFMdDwG0YFYSPZHMEGC/2c2MFeE
mdghWE6cEZAMWC8K5cHQg+9IeTIkh5DRYKmvbOSUcWifK+XgkFg50oETGmXMuFjt9Aag/eEmHjvq
ygkvPEGeUPOpZZld5kTT25qKLxWAphXAaQB4Ckb/agOijopI1UFT085LN1X0ECtmlT4KsZ5SNjGZ
IlqdlMplG7isV7Rrr7hXRxGwILe0AgPFeoqONRQnm0VTfSeBqRaWomgBlvkup2mbRTMrlDkCLUm9
kkYzUjckIK6uiFx4qGOoJQ3V4qw4QtXAB8W76BXJa4L0portHYF8haJ9bbDfMZFnm4cB31G5Bd7l
GVbW1a4afODR9ZBiN8kKqiy0YK75W7GPp6llLlasMdBxDXzM68zHQPHIgQKTFaEcgSqHB919FhN7
wJIhbazsfaq45h7AOaDcaFFhTxpgo5Eczy70+CbPXeMmegxYbe7AyXJZIWNBzjtv1A4Yb/IlfQad
PMRA1o2irb3BeJvBrzUdDjtTRLYHms0WH+xN0doDMa2bMnduAM/vLnPTulZst/SjB7xpKzrPAUsV
/q048EwR4T6PEEMx4lqYbDU73sdfHPUPY+Y8mBVB9VSZTUvZExChaHOT2vkd8eI/q1Awd1dZum9p
l8wlHWRD2FPuSGJNrMPGAI96hxmonaAVd9X25bbLCdmfQkH/m0mcnmLhfaD4nrQUBBf0I+QTzgzt
sVME/WCY2w6RfdmDFA2lfhiUKclX3H1bvliJ9j0XFh0hscdU0DlPpW5upWm1xyJ5kZF8LBXLT3Oa
u+wZydZpj+fCYEgzB8S5QpqXBoJwaSpfQKkcAsGA+kI6z3lMFfLaxjsXDqNSQMYImdErRCNRsIZU
2EZQN3wmeNIRFaPvwgkdTCbt3UBlWG1AYU8R06GDtDeJZBnxENO0ha9AkcTY6AocKSFIYG+DbQFT
UsCWTLEwVi60SaiwE6EAlMoYVwD5ZJygKg9DTtoItIqhsBUdfqVUIIvj1/d1KJF6GxkcygeRQwnM
Cn4BmjUbW99DdUD/+DLcMF+zLZ45dGJSXxdTN8N2zeLbHF9S+BqeecdRATeZQm+k+UKs16JQSM4M
m/PfqebfnGpMQ8Ul/Oup5o4k+PivU83vX/S3qYaOYqg8MiAI+9Q96Od/th77vznggcCDjCeszlyX
gePvU41OWTI7LLZpnuEyEzHw/H1l5v/Gco1JR+hw0Dqr4v9kqvmfkQ2Gigh1GZMIpYcr/vNMo8ug
KULTVGsk90JgGu++Lv2qh+5iyehp7obg9xH5X3a2/4+OcNczPMtgHwg2qV4S/c+/I5cGocURexN/
VM6fCSBG1nLtuzNZ0PqPQSOJPCq2YRetTeF9EG1xavL5zZj634nYf/mduL9+qz9Ck55uCJJRGeWg
YwQutD9/K6nFxojHG1WhspwJG3VZ5rBNT+Nu4zahufUyVOm2bwoeL/5Nx/7IRdfZ+60/LAeSXJFU
6JgvkY+7kqYkWquXPKL6BXFY5a62L3HENFgXZUZ89vQ615y79iSoGVEDylDskmkcFmFul+usxJ/r
jH2+iEht27QtT1OK9qJV6BPXpzse3lpPki9Ghwz2cW24Z29epqh7LJzQaS1a5LA0aLEuXmU/0nsf
x2RHobfLRNuns9i4XviiuwEOrG5+qROJhlnNe1SZeaknkw2NMNZ3Y6ovouCU1Zr26OTQ9FqXFOt2
Eu0qttqEnsdxPltmWe8S4dE4Wxvdg9CXyMDOcvDIe+68dth1WdAum+zgemzR9KZrn4PIe/PTud0b
VP5mI5cJLbvw2I6Wktluk3r8kFVTfnGhTZYn2nenG7LWU20W9cp32nxHtuxNRCwafdFRxNjG1pbp
hkcRau9dVYSPyFQrvouV0+OSaXPzyvrHuk16oAy3eILj8RSlggcUWeXYevFUtwiBJb8EhT/fetc1
x27orlVVuFAkqb8KKHJqHHdv69jPaqZQ+Bk8CL4aYrQiGbdTmnzVs88fcKfFVAqS3ZpluxJ4r/Af
O5/bCr3KfcL4F40YoevWoW1mBsviUF/OBt2/TFCyNdJDW3XXolHB016e8/1QV1wASxLbT1FOb6su
mJAmYHPg4Q+hi4CLSaIpoGV1aKJWP9uezn02fa6q+Mv26PNL8nIzsNtLG4RKl7VhKU3SuGKWp4Ns
Nmy5MCdm7vhEPU+blXeuONidfcM4o+2CH3buWmvXMa6mZrf72iJOT4QWkqwmXzwtehaNbp2wFWPz
SDc0nlA4nMIE1txTXfZcZwfxXaNl1mSqAgS5kmSOLdHxGJ7jmwvtGrb2hMUxQwdxl45gQElj6xaq
LuTMfihiPDFOYWP9MH3oEPTMRS16a2+P5Fm27cET+WU2w0+H7WaQ596hDreEtF97x+3Xjgh/aJzG
i25kQeHNF7L6m02Bp8WhErfKuZvl/tE25Q8TeAlklNojy4lfOgbbkW9hNXqZht0vGvEEaGI5Ovi/
jQRThEmYd98Q+9in2i7UTHI8J61b4mrZ47fkiR2H5yiP3hhCIUj5kxi1M9armCxGfGpqnBbyDGPz
sx4JDJugX9ITrTW3ACIGK9XRVYhMCSuj8pF72Bn6be2rpXAaji7CwWX6HfcwPoOlfbdZVK5IABtX
gwJyHIXmmFzApIJ1XIXt8AMh/RT2Jae/eUn6xwe79lNucKiUJbnmnQKAOoUC8Ul5kbPIF4bBhicJ
5LLkubQkIYrYM8Cl00wNr4MvJPBSrO8dIjBezWd60aPFrGAkAyrJVXiSiJ+42L5MvlpBzKMK3auX
pkKawqE+Yfk1V7U1HGaFPcnwjaUbzJYCokJDLSUUJKVDS9WOeJjR0Xk7cUOtIr85YvZZSnpKKq1W
sTQ6NZetKM62ke5LhWTpUVltU/3eZkbidL20ufVBRxwOHGguR2FdvgK8hEK9XAV99cQTrCOqqxQO
5sGFJQoQsxQq5uYBEfXQY6xMsYlR0ZbK/DMuCdxsFWqG7GRzrO8zBaH5vPMWBATe8O6fbLcRp8mZ
V9VMX3wYTBzbdstI7A/xNvBZkCUKdmPTwwhcOgs6Vjb0CYU097FBrxUk14fTQ6SwuUi+soiqmGn7
R0uBdS6EXapQu0JBd8x2oGD5m7CcepuRqbxMEhrrdX+gWaJ3xjUvuGuV2r5QQF8B2Ydv6WtiJUln
6qjAP5O/IUW1eBthAlkeQCgrTDCCFxQKHNQVQpi6FNB7nnYI4D4XpQINE4jDFvIwpb8aeyowYgaV
CNppLYNQp9PUnJJVnua0c4GcZvNydsp8ZSc5B0/TP+sKeLR+oY8wkLlRZ3uepGhiCRd81pjkwhFn
p9BJV0GUXjsf8W+eKTwol07Li8b7siKclvi8RDdpqa+dbZkpljBUxbda8u50uXFq7afcFv0WPblb
FdnwmlQzX+V/W3bwWovyKzRovhqJUj2aDXoWjkCaKbiMkNFhciyAK/O/lC7P69ZNCi4q7VuW8ANh
d/KQTPT7aSU1nu+ZbIBOawG1J67s7j7T6fjr7yt7/B6mgVApgaIUzfxQLqSASD7SAoB5sLFZdkjA
JVmXa5imThmN1sIdUkLEvV0xk/gJv/g0ATY23r32c3RrGmCcgPzM2d/UfYVP3CGJp9WH96z28HEY
3cvshs7CSYara6OH9jHyB5oCj3V6t6WM5RJ5ne5hK/qSU/jEYpzWjOaJagf8cT4Ni2FZgVJLJChf
LJ2wxoDQxmxudWymPf6GMZXPg5KEeTAi9eCnSgjArDTQ97bur5VgV2rdgcLwm1vmW+DXQDYDr5Wj
/SSVd09fFgUzLubupGlvclq3WNjdjtOlbHmA6GheSHGtjc/9izKXB6ovrnHHnNRrvB61MzM3F8Rx
Uoy75LgiF7GdgoWv49PSdH4WM8yZETPubclIep4HHK/51xxeFxOPBZVZMRqWoY/dPcyWQa7RRl5S
PNSzC6MARj3l8MZIQ99nCaauCYl/rjDQ1PBfer9T5eg895ju8sBfzh+RqnTDZfAByc4tIJXfpXqu
x3emalfOWo5lJ/PfmUBHqj47VCNt07HxjET5kTYp9TtS9XN/M5NPIDE6MYdp/aC50WmcJ8WwGjfX
9K+DFvOyhEBG8YjQajwGnb1KrOCqteJrlJe+iK8IcKxHO0H3DK7dNZQ26A+7tFYprlPwjKZw7xs5
B6F3K2a2bLatf4ZNdm3MZ2LGbgksP4m+D2NbOKc8PSSxs7XgbhZW8RwNHcIsBxrMh4Q56pLzrFmk
aUaUGFGV5MnE2TRjZC9F/4Az4H6wqpKfJzE3mk4fHgkcVXecgmpca3H6M8KKedekJHibSXsekrlm
w+txuwa73SSjvGWlPBleiF03KA//nWb/vWnW9HST6fNfT7MPZd1+ZN9h/f3nPd3fvvAfezo6w9RI
6xDSIQBE/9h8YdnMkrqBtY2ESf76j4nW8n9zFc3hMdbyVSzl/jnRit9I1/Bsna/ktvcfTrTwnoxt
fx7rGKVZCpoqg5Bv8S8zbUA7qBFrTQ5vx/arkTFlr6Y2Ey3KGaN1j8OoLegbVTnscisnslc9lyd1
aMoPF4Zz53TAR0AeXeXU6IXb3sNq0aX8MrkXvIa625LxV21yyfNTRjoCPvZwym3a5yZI3F1qyopf
jJQIS37L5uRG13hyfybcC0mSLSzsYd28MCoDPCTIT7Wc540dTC+tRKaazcFY2bFaxgRVtfZqblwG
xabLPm4pnxmCLwO0q2Zb8+oVGsuHkEdTPFOabj04TfHM2vFSm261DdMzgu1j3NKCZT0VpRmvAhlf
vda+G5x+I7ks7HtzbrZOmuGGrqn8HcdhhWUvvA+8EWd5Y38H5NvSsVHgkxLXTgzTTpgBMQEyiy8F
M2nmOKQDmOOxarlM+gmcF8/JZokQhW8N0xYVip1lXJDBe8zyNVaUCbqcnKzKfjLsqkBG1HLCHrLH
ZNKNfQwjpaUpaT0YC8lyLkgh3xV56a07PIVbUyNjJP4yxVztowxnzDDHGAQrCky6wF3mY6mved6U
nEQrWfWfPs6ZVdZn3rb0xx95WDT3dJ6vk6DonkBRb1WvkvN7zzq5pX/KFUQo9eCxN73hbBdxvu6S
9FtGUb/xoR+GrEZHth2VEcLzW5/GZ5GaNJlb5afVIZU2tXxOJ/sxsK5JMIfQEc3NsapkPQiP518z
nzpTW/NHjX9YK7plx319qEAJCaNeWU4BS2V3PBp83rle6S40eIsjVNXrMIxU6zb+D73qdnWST4sg
xX8zlM0nHse7jrqkBY5ubD1j761DMhaW4Br5r448WfCHMicJrkuMkSsSeJ0dGy3aJec+n06dIL2A
1Nlh57ZhyoIYl7ozGqd0DvSlVreELDOA8qKyRI0igb0RtMkiqYUwARCRnHd/XVDe18MvT2Q8NJUa
WotBv8vm+4KnMXBhYVCWyhIIM3fzGjolnXX26O91FHPippeeyVBRM5tnRWPwu6x0HhtH35l2Cfov
InXXUSFTrAdIJD5fFRvBbHyUYWkTVMI1O3EdGiNMv+ShaKY8g8VbNSQq5C2nmMpxVw7q/VKT5HfV
q7nUphW+H5J1rGmXJQgjtgOcKraxjSysjd4r/q5pWZpes2sMdJbIYjfR0A6QyOxm5SCjtR6wt+9/
dOYgFi7IGwW6qLuzpz23WBRX0TwlR8Kp+lUathu7wcw/9yRa4aTf2Q4rhTR/9+uhWmgZRHM9HTwv
u3NEyzzgFke7rU5u24x89pu3wSbNe9Y0arg/655xWzeNb9+x4yWBf91O1L2zZM9xzc2OCzt2DqTx
Pr9LzPZGKW67J8bbX3Y4gxeVKEmOK6xvbM7H1GUkbHomB5p330rdvozWxG04TpxlVdjRXciNd0hC
qGL3tU7IH8fnFq804D7DQUmwnbam+pbwORu6lQCcglZcDC7SjE5cMjGOVdZLWBNmLJSvkrXGdKsR
ivxANFCr3JrLzNnOzkRLV5zjxs3Yt+TK0WLyjc2eeSm6Zi/Bgw9WNXvHcKgx1rUHDvz4zExIZkZG
5HxWyO+qcmeu3vMZUSPcGIMLKNoMGksMxKc5TUHduwTPoO38HMb6LLiDbNkOyoOgZGShtz3lgB4T
GGEo3spgL7ozymer2NRd1u/Dmmi/OCOlyFCFZfBLK98nDKCI2gGfUHLSZJ8czEy+mzZvb4P0ZC8f
I/hz50wnEo2Qvn1opyhae4DQzKJKJ5tNmrgzR+z1ZvzgzP50Knw5lgkOzGyG+yyVun/n6uZzn5pf
fjBpy75yqx1c6Wps2dLlru4e+kJsWTsTahIaB5MykSWR1MEiVz7GmZLmfTGY35BTpO9pM3n3LUZN
AwZ/1Pp2zfFMIdtnLu33UYNTrgsPDL8CVNCrrcGLfJL1gHWCKKtEWCfP7m41HlVr8JpVPL/Sz80G
e2B6jj34FC7fOYtu+ZP9e7lqlLhEEcFjEUp2hX2an6tJ0PLdGfucP4p7soqp6YZkrMpqP9Xmc9eJ
cd+23as3ZlSbW9l8YA3EIoyQno1oSXIoiYjfUJpNayZN1AtVZrGAo4cq9VquxehFYUn7Wjb2NjYo
9mhhpm/4y7tkCq40DReUH5crolBwelrW00iXE2ZW8xEP07BNp+7S9nmKQEMcUEatCPFMxnaMWNEb
c0BVlEcMrk2hOIxGLcgb0cj/5xEdVEWwjGb/OROYOvIJ3+zAAHo3mjkdDqX3wkSPWaAi3Aohge3P
LgrJyxICRdEhVI9hIKAR3Cfu32FFOEzTvi/HZzNCY9QHl2wkOLZlejYTTPHCShGqydQkmc+9MGyu
+wL396zMur7zwza6R54V9M8UOkN8RxU2FX2jGoyHxHOOHX7KmSFpjoCBsr5VyA2xm1PnvvsJSo2V
9su8dr7y5otUnmCX1uhARB1VvGA8QHPP+fZNrNqG8x6naUIQ3xdeEw5trbuOIpsfc4Rv10Co5Ecp
6bFhTx8Oy6aioItYHItjBX1BHIrY+WxRNhd2xTerV/FTOmFnt7qaigeiDZFIsd7WWbBxDWoWgjx7
8F3voSqTL4jOGChT3HrE/A2OduoRIu0Ypam+rF19PVWDuWLPskzM4tMwQ/psmmcztg+6TlmNH47T
yqaFem3K7tFWySV8VOONF/PSB4XQd8YcbkO8pifpsjXkcvjTbiX+1W5GpW8vZnyf1817GtMSSozV
SFEfiTDC8H9QCtYjkKf1Nq+rn4lELObkeW1HzEUxTlxiPTmLGv7EE5339WitHX16DEYOJy808mUA
CIS/OfuwiuiYGCxkyWfaeVwTl2kJylX6gYGUR0lS5Ld7O5eCdEQfIgF/pIMMt6om/WBX/rRmr9ls
ZRgoWks+5cFHb01Hv55P9NP6JAOwWnBL1RZG+7TZADX5IkrZZWhfvtFd/zto/ZuDlstu6/83aP2l
QNr8/Wv+YbQTBACwkGO+shymoj/OWB5eOQhJzmFPBRQy/vx9a2j8ZqP3qVwREhx+AY9/3xrCQvoY
81ziRvhychX/swJpobZ0f5yx+IV0Nc9x1+A/RJj8eXXW1PQukypAu3NopYsZmwj5I3d+2/9wqY21
qI/NfSdDrjDg34PdWDkXr6N+x6Nytte7U6c6aGvKaCu7vUSU0xah/tiDh9I4gcOpm6Ac6Zt5QJ+O
jhMSKvG09o6KwpeGSo1I1d9Sg4tockJ8/hmrflxJQQ0RpcOPWIc6o75rFxeg6WJYFW7/5gz1d4Oi
uACh+jRKVMKRmWRGD237iq4G7OktiVncc8QGnorTn7JjuIhDChCkQrZAnOnJsTOkQumvY9NV18WO
0qlGUGCDzERuLikW9HQQ35WpIK9MRXrRWjOtzZLDUdj0tWYEpkKaRRst5V5dUAFb9llOmCDNg3MR
b3DcMNa0FjOWTl9pyzqyUAFj8JF7zWrqdepq1qYqt7nh82ifLeIciNSy2T/aoc/uyvQkj5QUc0r5
k5Au/S4BmndN1XhsMUFa8h6YUjx1BpkL8xyvo7mrVzxCS4xGWsrwkI7rmPME79lEoqoFMxal0W6Q
Pn0cGIc2KF5bmUhrV4bMS7kBD1mkxFNFCKhurTMxRPIYBwS9oi15hDDhniBtLvKS+qmnQxlL9DYj
sC9325/lQFpUTZH6UY8uKYIzSQnbwbfJUrHcZ92k1R6AqCE5d9xPaNMkxLBPcES35pq1KmSLeW/w
u1Ohkw/HSFPGRKnoIYdln4Ybq51v4wRDCg03LRnqUK90rrAOvh4YuqfBF8bCqiL7nNjtuWsJTGZZ
RP7c0L9ozpBtQ7MYdiaK5RHkj9oS0rJugTvfW6rDhij1aO9VsO1hO37UA6NuWRInbcbFno0K2Ffm
nSefGuOWkvWxgzmduYKXdp1QPj09Gl76wy6mQ+LLc8QbZFFUIExs41mWBPLJsZuayOVyO7nVjRtt
s7e4S7LPfofU84DL6g1D66WRLm4hPOD7UqgGs9DewP6sci69pH1gFM5LVNXQl3Jtql7krta7nW9Y
t5knoco5IM9MD0twGzO/h1rEnx2oZS/JPbooyLU03Yc+0PjCokClt1jIMZkl63rGmhFpvX/w48dS
E/zWDC1LYc2v9LkkV+AFuR0az2a+IkxlypMv8kAJtsG0V9fzjnKIdNdoxUMr+IUMMvaI3C5usy2d
MzlhAxHHvXZIRBKuWtfydrZF1ImTpcnRqerxCZ3QW5IUsCka+8Mfx32QZnciLJ4I+LjSD4aTqQ4m
2uSSm/onvaDHl/81brMmXkZN29pNdAXfPWaDvSMV5ayT482/kBnNzrW757mYafd0D6p8J/eKY+rX
lOocmIr3scP/JVFiB/pmfP1u4r+Glt0lWXPouSyGmjhM3kzQGvpI6RySQj75efaOOrAl+eccJoTC
JJJPYnhIy4r6r+zmucVjO8d7rr5Y/OVWK7gFejOh0+naCcUhKq1bo1nHuEpfqSg+2rtaTpu0N65l
iRCVWcc2iq9ulZ9ajYgc9uq217IWFk9sifeG6F5sP7mnu5XT8maL6k7v87NeWvehpz1m5nxqebHm
zNhCZNPPvsDdRzBov7Hq58Rlv1okt9Rk8RroW8978RiNB4cdpkRnYpvwTUzUFQeLnddPMeFSre/d
OnqF8ni69F2ziwbjQNx1m35amvnpD82SAlq4Ls/f1674DGPv1ZXzs99UkILTuo85q9JtGleP6vvo
7InPRoIOneC50u12U3h9T4pQsyME4VTGOBitiyiKO08bVsE8PFs8BzJDnrWwe+uZDJ05vzMQvIi+
5M7XOztduHhVq0cycO/YkALKkp6edI9d0e2YHTcyGp95VOytyKImEmMxKQ8oUo8CqrdvSxL3wstg
I6Tpqz50T0ETPOETxNM5t08efZGFw0BnYiJLIutsJBnzW5AubMe5BqK496rq1dUIs2Bs6aV44Bb3
TnJkQwqLXx6bOv0og/lqqa5yYf0AwHgyVIc5UXWP7uDNp7zkATnW4hULD88oT6PXzpqLbUIdeq16
0XEjMExQlR6oznTNXhnGLB+TxD/XqlW9oV69VT3rdBQRaaxlB1N1sNdzFCwJ0VhI1c/uOsR/NzXO
5qxBq9d6OAYtrJcaOh1dW0m0mZwWNYPW91T1v9uqCX6UqVxmerzrVEv8f2+T/+ZtEhWb69e/lu2v
H0X7Uf/f/5P/RbX//ev+eaOEGqM8iMRZS8XD/c1a4/9GzLbjE+lgcKHUuU/+4zqJZM/10/Z9i0If
FpAKDmuAmKL//b8sJHvLMHzPcsC58N/8R81B1A395TrJZsKyeGz6jKougRB8E3+01tCVbHudV0qY
JvXuIbF6aALyFnvrBX1owdloLWK3GvjoaimSrkmeU+tMWxSKt94d3mDnc0nfmkyz8cEBjXcVn2p3
wZ7hnkuIA4XRRGTmO5mx9sp424wYKtzSse+ENDIuQCzJ8VGSKxVD7Sb9vB87Wi5NIz0VUVHAbzjo
dgm4v2+/d3SxHXrOMcedvuvJvJMJ5Z6BI2IA4Bgq27tMaXGdiLRcTZH9IgcepzOL74Uc41vfU7DA
vowOUoLmljmbVFTEHndAM4MJZ885LtFlUtrlasZHFCg22gvybamggaVpOphry/leDoBNaQbWOjnd
0pvM/MG2ugsGb+1qOFAdXnKOwnJflFFxEyb2eWMiEshk6E/D9LMyugtiLo16GWeux11+1SMUrqC2
ncN7wIUuzpvm0MUzKXG6tc8LHOp+cWl9jJ9k0mHi0XjWtEEQnoKI/M0eRiZprfyQhdaef7nftaEf
wM1CQ+TBsNOSPt70kHM5ivwGqiY8zL175noWMz0HHutwS4/u6wJnqBeX1rbw9HuS/XJwJcZffORY
cLGasNlpmL8D/a70+oMe1umpEunPqaD8wtJ3oHcDveUg5rVxspu9O8bwSW737rhWQI4gdAO1BHgf
jXHnwhts7U7b2ck93NokJki/ejYPNMLJpZBgVljniXHoXqlNVL5N1vVNDvNeV8YHAYVL3JruWy7M
C+8oLiZ3LFMubs5BW4REP7k48Vu1Mc7JKV/klf5zKOMS+1QFb9mjRTVs0lZ4t6Hoovi+bNAk2Esc
fS1giDFuZjlfEeQ/mghyw4yOQyM42MciWyWVSWxxZR/4VMtLjacOi+l88GRHelDCP+rrq85Pt69Y
t670EaBYzObSlbzNy34mKNCPvgJZPpiiP9Ve6WHSnIj1g8RItfkDdVaAWxFLrE/cWYUSLzslY6Y1
b3wlbPL+PQsldQJwOCsazWEB6nfPzpNDgaOeS8Sw4c2uwlOLdmUq+TRBR42UoNooadUusFk9m0pw
JY7FW6nMVXzb9KxTg4z7rTeRaM2s3vaotpxcPwebH6JXZlcHvxXikqkB6CP3hikF9a1jcNnGWkaq
9TfZ0rh3e3C9PEyT82AeQjI4aJwU3tE3pvQwi3aP6edSJaQdSSU8o3Et9Lqb9hyI9LP27lbTqUYO
lGDNabPUBO5Z3hHuIkxIeIjQt0sldPdK8haqzwX4MPTQhkmAQBY3ucuPvPhQ9bx3a9zTPRHOC6d8
C6uEmCPcvJUexXeTktwnJb7blntJveZNzORrMQaQrNk4xzx0v6eZY6JVIn6m5Pwa5X9fYE8PNJuL
jRL9CyX/J+wBfLUQIMqz2wVqSWCwLWjU2qCdPwu1RhjZJzC1v7nUsayB109NK4+uWj2QVHxnql2E
lpwRsJTU+D7MJL8DreyKFisNKYD+qsm6DWZjem0nLzlKJnaVHHqr1ALEUauQVi1FTLYjFRcnU61L
YvYmhlqgjGqVUrNTKdRyJfy1Zvm1cGHzMrOBcdjERJVPnDUdOpbsDgXvaQp0R1rRu+WkORej8OjG
kSFZPWMXLetmuNigVaxeeEjEpRgXpp2shoIDHgFsp6v9Hink4caWI6TkGO5oODZWo+QaNNgRZ+hU
P+bjgbqCZaecf/1Upijn8XubxtzpElJNRj4IfFz5dG8KJD/+zRqX2qrrTqSAkO49NV8xZQIhh4Xg
+Us7ZbHRLGrgWnGeanFwx/ZZk/bGpEDiLpgPZWcld5LFzNrFR7GJOZ27SNubmn6iyOdTxD70lG1/
J3p3MXAqhmXrLfLm5pErbIUcpjqxp5VJ4mD1GTl9ta6GOl43dnV2CdKCYeKNDEi9MFmjbXUt2eno
7Csm83vP5BSyOR54qSoSVzySmgsWeA221q2pswkRSNuboGmubhp96UT6LJAnY0I85j14sXUI4nFX
+SwX8tHN7uBanyKfAlRxyzN+FMRwaU+Ek7eEnRM66z3oDkpPNoS7BhuOUd34PXVuiSYH8dRheZ3X
jj17S/xEBFvYFCT5E7iQ72UkOeti0dkWF9QkS9n/ZdvRqe9TQQEH83RKojLuqgqvBe4IfZ3m5pMf
z9RWdm9kzWUbtcwcLFR+juxo5UfVXi+ax6KEiaw0/5fjZWkObyww9wFp5Qeb0Vsxpi5xRkhEbobe
D4GaKxaVPdYDSM1Zt3SGJyjBEmy1ABXVGjhWB6B1AGxF8VnRURyvwTavmWJf+7B98I1DJf3iXNuU
/8qWjD1Rgcix5N4k9UbIyjph/3vS5+KlsfnU9U1tbQMbBAnt7+ooElf7MSgu1wHQ9cTBULwuOytF
746/Vi2K6G0Df61Iw0OMp3VJyCj3p+EHOXXlxs6zTwkY3GTx8yCmh2CazoLQvFzP2P6BfY0NvAKL
EpIOs+DnzEqXa5KAOnYxn7CneJewe4RQ8kztIJUJ404PEVmmvWf81C3CayqeKEtSkHZkFdL4pJBn
F9W9Mwpcwt6jbUAq+emuqI6VQqUrBU0Tn/AVKIxaKKBakBOwaBRkjfmRxYEEsoe/JivBX0mFZLew
2fMvSBtau1HYdukYPyarkMuO6SNUaDfx9MOJnhmYLX8jGTVvwBnX1oypTYCWCiDEJaR4pJBxXcHj
QAuQzQoo9xRaXirG3AE2t4aYKFSDIJ7YHG/rzsTl6hrZl26UYOoKWC8Vuh7ml3wEZR+ZT2VQtXsf
yn1WuDt5tqpDZN8qEL5XSPyo4Pg4xJWKc9CqweZTBdDXUVST5oLYQF1YsuoUaB/2CrnPeBBG5qw9
+vMpG/4fe2eyXLeRpeFXcdQeagCJMaKrFnceSF5SEimKGwRpUZhnIDE8Wm/7xfpLUbJlSnbY1qIY
HXW9cpAiefMmMs/5zz/MVMJFc5Z2HfOtyZ8YkY6wNyLmMvH4ro3N6eAMwU3bupz0hGuMuH6WSgIA
x3Ezl7l3GzofM42A3wzrodAKrP1EypPSEdhKUSCVtmD+pDIQvEdNMWoh6d40IQqjghnxWVJnRLiH
g3nRG9YAztN1e8fBTgHio1CUDSHbHvd5853K/kIZwDtvQiRXMZ/sUIp1r5HwGzkDZbZzHbRIfEMm
LKxSKHc5diwLE5r0vu0ukxa/1MrV3kfFQyo9QBEdLqFREGsTZt1tP7Vcj/YEt6Bi/DT7/QADQM1R
PmbSfpx1+JyV8oGQ3W1OqNwJv4ecTfK+riOBJ8Sor3v9oc+r7Wz53dJwlcd/i5tEWYSnbtQufZWF
g03WbdtO5OmaVCDo6ndDacCtByWdOCfHFirJ2LGnA+KnUxMSjlv37xKcKDezHtyCXWD1OvnXZgvp
JS5IuCD8otwihT6b3GLjld2xRTgNv485UgslwE09gajL3JJ7hnR6wHoZgMVFrLERtjyas4OJcVGd
lcLv91M3ru1aXjAIPuQmfLv2xIdsHKfRPelFcx2lRrhTHPMORTKO0cVuNq9qfbwPtfoCsLA+08ip
tlrMWaA6u0oKADRKGE+AVuadQJ6M18EJzx9K6mEC0ChvUVsfsrTwNnqXEsVW4O9l5YTCxyUnCmcS
AdRA5XGernAIOqvhT+f2Fue0k2yjZmN11E3NTKqDSmXHB+s/vht/0tLRZJ4Dk+4PwIHH7n//5+E+
e4YNPP2zXzVqJl031o62rUOq9RFC/QIPALKTtsWox9aVh/2v0yYwAM8C4dQtE+jAtF2a+i/wgKsY
fcoq33A9JVL7S/AA3vvfwAPKPx8+H3+HazruM+cNb/DLxEjgpJSp1W8JxcFNKNYfwlGcgzHjHuvi
wZanxmkYo+GibhBKofVkh8r8oBf6G8LezYVnjzdIUczlNEfbshj9FUbkSAKgX9M1RIdKc648rsFN
rEzizKKoDoxiqwOSa8JlpEWgzqDftHX5viAZ8NjEl5jbQNFN5uQgyrvMD2rILz7X6Ej7IQL6hsFf
Zh4kXyXR1rN5NzDSIi6F56bgVENq4TwY3uRvuaMBKcrpdVnN91iKn83YGC74LT0saW2ZRj5IY4DD
wN4YO31bWt42xANryDFMi/RWO4zavJFFneztkOgKN8WOoCGOnI96OE+H2N4bWX2ZoujC34rLnFij
kLpRN49pxLs3o12eJsEajX1Ed9bf0pbigTDpx5ohNTV5dhO2LvbXXgIWUZLOGOJO7MVH25MSVU82
KSXFVPbZuvdxhxyokhd+0LxjwnRHWYMtk8CJnhsTXhSqdoHQDuK9v8TpAN5Kl12RHIQEu8ogKicX
RgVPRczuiUz7K2FCCEcuvvEjayUTLJxzY6s38/uKsKsFfc95a/iX7WxjAqkHTMsSrJvzBmqmbVEi
zkawjwApFvg8OFCLQSOiAD5278HaMggYQZtA89GeenFlJdhWlDoamC5vH0KZZwtIYhcatoW70dLO
tXjKdgxDr8tZnGm2hhqaCT2KG58yiUoULsawt1P/whrL62wemkMGn3pZNs1Rp2eip9Xxo/aSak/2
Jb3pRO6OV9j1EfDmpk7BlBNGFojec79P741cc4isgeBSKir5oGH2ELnzz9M4JttpxGV46jFyaAFP
/Ci+SprhcbYPZCFyDmfg2kkmj70WFaeeYCT0ww9Vf+uTC7mr/CQ7TFq3sSdza+Tp1sdcYQdeXK8C
713vAuqUWrpMrJF2rGyMtWEhzQ8STLlKBwlk2E4bL4+x4cY2AvqBfep8I1rVRiSXzLHgfOlzcxn6
M7d23d42GKFeM6h8U0wj+pdKUQSpjWtB2YXWOxy6cs/gKVzmVlVDlfDJmfSSm5j+HSxZbM3xqm2Q
zPddYOwA31nlZN+NfNTkeMVg2+O+GedxlVaET1CpntU+gFrSiLUMKP2s4THuLW9Xt0azaY3k2CBX
tzElxv8+3pte6FxOFQbNem6vqtK7y/U52LZZ5h9TJnqdJbAaz8XJmx196wn0Sf37Mgf8cmS4DSJH
f9tm/gfRdxMiMah07tCdh7n0VhHvZlV5VBBdjfebLue1Jjobo+suPM0NVt55N+3DdLxMq/7kGKJ+
09hIbFo/u4uqtzpqiEsZYv4P2eossBmnYkMKmTYfjwlQAi3/RzyFliTnXDhFHR9TYWVr7LD3sakv
u9q/FmJ0915Dsk4sxQ5so15gzPHR4W86ogRbTGMQ4MbRv/YUdDiDIeqG8rpXsGKmAEayFh8CXJ9d
9FYZglwNIFLHDVEBk0E/mEjli2sf/UlsIWvscTshxQi0yCgNZ5E4TXvwixBPtBhliGaO0M+Md7OC
ROswexOBkUqwUk2BprWCT1twVLgDjwO4Kg+WICrQustAXBnzMS/0Of1dB7DPd6TykN3nUWy89x3G
OrVbYVej9IRkzVlneuV0iuK5jeip19UT7MtkWQHBNohwLOnAHDDiWoHFDJHpC4ADQJH9UBBFjInF
KKSxgaGBo3ucIGj9BD8TYBsmxjupgGmyi9RAh8woVczAF1iTl45ZBnXOoAoeh8on8sdLWVOIQbZd
6cn4sx/bB1vwScKrD+E5DO+w2hCbWeNn9Wa/Jb2ELs6W771C3NoQdCqzX3pJKteZVV4lxszo1IxC
RuIbDHm9JTrNdtWlAHGBcXLnVlXTlVwJRD4W+kkCluSmMwaxw5kKJzWIyMKuaNd06yNY+vvAgUI5
mzbyScw9x9DT1mHaWMQWuIQNzi0fMlktqaezjyfzxIzSBxuAxmUlxQN/G54Ubn0WpvDJAqd9LUlR
mYlAWbhZ+ZAXuHYWSIlBqc+K2fdXSJKSRZ9bKlMQzq/L2FrC627bfIBJ2uSbyLca1ecvPKPUl7oH
29HDvgGJCfZ5TrQjQDS97kfvYZ5hCA/hEsNTsZ91iNY9YGja3HlesdWjsQUA60mnRI9ohzF+Ujlc
uG5uACCRWzc5sb2THwRLK4UVwJCjWggvqohBUdpFbBGju0nvxbokzWqRdpTH2OiDbMbKgQenO+aH
9ajTAlW9zmgfTiJ6gxZ61tStPfgAhwD2b2+HNSLsMNqFgQi3Zhddpxp+MKzPtVF68gIvFRnJdNv5
mE5VAwlgBXfNMvBiB6915xyr0WpZaYmykFeMEDlqUEvLZh8Q3gGrjxM9j46jazt42BMojJyZDx2u
LUB/s1NGe0jbMduYy55WIkFIQ/JD0wlvga0oLqatOz0UZzpmR+skek0IAxLVgLcXm51YZln4uiF4
Y9PjAoylZL9yNdrToaW17euUC4HsDB2LJMyr4go+Be1uI5O7eXDT9dToM1SJ5qGek/d1alyKXqNr
BRrjsML3F7svKMlee9lYrUHSh4uFFGSUuS4hz7rhg913mAxXfbopML8OCW3EGm6bRKMF3Gs81jgS
ZJ3TbuuunWlPwA5tkxsxFjYGgRQOJpET88j4oXUQEWApu5ywj1q4EwoFZCk7ByeeVTTgfCglYt5O
YxNkGdRyq/s5N9J7MaJySlPMrorA+djGo7fM5xERE3DpQlpJi5/ZhFkyhA494+OZcrF0CWxZFoEm
D0NBCopowlu782+thCQep0Bx08dcrkF8Rl+7FH7hbixpGuQ67FtpxBuPh2GWOIMlrYEdj32fTC2o
8EQ4tqvsTSu63NXYJDh6l/ukkjsgrnwNzQI9+2i9yaMAXFXNE9KMVAekd3jeUnAOJqSCbtNr2Gun
CfgVHNh1HPNTw0k/D6XhLQJXxjya5XqSkDB7tWL4a8kFyMdOMk9ftGPicZCEBKrMLvRixjbs8qSk
1ccP0sXHaMAoeC3R1SFihf5g9PaDSQGwQkWxGJ0eFIQyc6o6k22DddmQV+EawxUsfBWL2QC7p63H
Iw2Jbtzb0It1WkUu0GQim8XK/XuwhDvBBxum2EjHon9oa/EhxX4bvKpAyaaAe5dUEPV+SoYj+Kup
EA6bE8WDQZN9/BT+V7a4qxVclbsmdQ6cZfdmpEGHxDUVQcGVFA0agTEmtjzQVn7cBtz9UCaw3SG1
jzxSF20upyKBLqjCkclQOnswecKBrchMDY0HLbHhY3eJNqPeJXJYQW9LVrHv4I9tTPgakTG16qoR
vwumiUv2LErY8jCkQ7hGZHI+muYZpzimXGoyFAKehKMFMlfZA6UlR4kdzsc8mMi6sJvhQLnzkNod
9Tg5tlhTAJdWybSOe7Kd/Io4CqOTnPrDuPM4uMjlA5dHnKHvpR1vjK5Kzmw3ujT1wd47PlT4Khos
ctUp2tz5QzzFzWF27RDB9fAQ5L08azhmbNJOkjaRr0Vgn3qvCU44uW81JYGeSPY9NHJ0tzq+pcg4
kJPHXv+2CsojDlGoWUaiLKtEEtWaF/46SxHwx82DN5GcFdQapxokWDqQC8+2sVztsbsRDk7jznzV
Couo8rzJNq4WbxmHYOnp3g1Ty1SL6n+R+MTPmx3jDUO/CiFUHqLJ3nA9u0vI9whG4vpgzSaUZ0Zm
PGnlVe0MgC99AB86hh81zq22RyB+noFJ7XvyzOj/3H1M9Dry1xq2iS7uNELOREI9JSfODGOampPf
RnhvIyux9Z53mO0yY5SHAp/5hZu2a4B187x3K9yvw0dPcqszQ0NQoHxvdb+E390Oy//QJP4kTUI3
LXCL30dCbuLs/qfXj99AIU//7heahOFYjoHU2YRWpugIv0AhOPnAq+VLlg7NTpmU/sKUsAzS/Gyy
AdEbGgKHm1+ZEnzJMBSDF8cevsdFEvmv//6NR0377P9/Kvr8soyLrv3nP2znW8MeiL/wJIQF+0Jn
KPhbpkTJb3eDktwH9BSn2IvPQlT2HMmWvqQMfpPNlCaTc0T2Pm3xmmFcGF97kAULlXE7q7RbLaJk
7dC7L1wiLledzVVHNgTRuTgcT/lSs322aPXQE6M7qDxdh2BdmERU/ypr17OZeqr03Ujl8FYzZTH5
CjAO0WoVbYd2bTQCKOVvkyF+V3u2tZYE+yJkuEtU0m/oZLdT3LmbiBDgSAwOk5z0PfOCnWmXN3Px
vrdlfD5J4haqcLQ3TlOPm6pK39ZMF/YJccM1k+GUE8ec4o0WW+Z5PBINep6jrAwQuG7NdD6vlLtz
Ctlh3xsWUhFQ6pl2ZQPD4E3BwHhjpbG7maxZgMGv2jG9Fr3iNYzEnOaAtsvCS7eu1FYONySGd2ay
if2VU+G607RNQ0IoEQqyHd46wZraCUcyq2z3sH73FBs30xRu3Ti0tzVwUeaTSE2aoFXhV0D6tOYa
6QJX0tsydBHK+P6j0UbzcdRd5iAh6LVnVOtAmBn852IX9AHcCMeidmqw7eEmt9AsDPV00r1gMxNl
pwUamyHqlrUrEVRUoDO8g5i7N/tZZP2qD/vXQl36E6jDSg6X8eS+rePS2YeaQZoyvurYz8frKaIb
d6a6XQs4Aib0Ga3Dhs2mVjHt115jtweC7c7G1k63gYFRg8EAQ1rcHJEV9Mtbu43MI1rWFbRDmJBe
fVGX4q2sk5UnjWDVt2Rez/2tOYkH5FxcablxkRvYHnUEc5H9hZXNBAO3Jxk2ipJ4k9o26hKJSrLO
3+YJQ/WCSfOWVgFWBlELiMlaYHm7lJdS1KgItWod+p22jKkkF65XAEVLa915cm3GycMcJVfOHKCi
l3a7cNn1i5pE7aUTh5deUa6j0rlMmcKsUNh8yKW+M1GptoGDxIsj2wnhIhpb9li/maqcIAUQLTQz
wSUSP3S8WMF1FiHlQ7D3AZO6zN2003zeaPJDNHvJnjhu+OntY1Y14QGXuHO7mcuL3Mp7kgyCTWFY
K3ozbqrUYrcbaq8Y0QV5a1tTkKlBroO7HAy/OhSGeVM0IS2M2x3NPC3XZRjfVI0I132UvA1d0S4r
wzMhcqPPJNm7W9MLiLKujthHbhxpPo5drB2GYN4O5BJMFno4ja50IT2ixSknBMRqu0l3pTdxSSPh
04wEl1xYZVQw/KPyPh6gDfF3oXgbCebNyJ30E4xKbOdewAQC7FOYYgaiU4fmVUg/3xEEtzMxa1y2
BRHBCS6s42BeW07zrhyRZRuYam7zKnkd5jb3vmY+FjoNMGHVMw2N6SIjKzBUpxNlEHiNmQFeJdI5
Mdvd+hLvPhTQuzDcBOIq4Fcdm7T2CWrIVdyBh7jTeb+N2/IWgvmD4xXUmlp2GVElMwHDwD4PzCs9
6j5mJjnIUxLeBh2hgFl+aXT1cMBPBeBkkMEOKoaS2n5IjY+1i8tEHBb3mjBvAMCDBZZesJLkkG0S
shdpBteWPtHZ1TEZjl1+hVfOdvTjYGctEphPcB+8vU1WiS4FgsWR2kTOzV024lnPcNI6p/QrIV/n
WOgbUF7GtvWXkXVd5LVNfetGO+I0PAU0MnQz0MQKrK4W6aHuyJYpL6252gmND8mGCxaP2N3GmWrF
7zpMkPGzCNaTP1Owe84bEjHPwIVLFcL8LvX5XVqU3rhDovQG1SWtcL/WEOZhiVKftIkDE28xpvKf
mrrGwHmnHI+5gS2rnlrtMqkTkn1qjG+9/j4ZdP0oarnPCCQK4mHVdl22b2ZG4a5inRHYGE3htQar
yZ+RJVk1zrJBw/Sz2XJ0gbrWuJqUmGi9PtiVo1CbhBpbR7RVEmqu4RCkl9mb2MlvXFPS0VAuDwBt
XRKfybiByQGqUiXWx6nWP3RW+dEuUJVJF43gAIadJ2daZH6YHfxpaYqZ66fDIwypLfYhmHOAQoBp
Al5BYe7m26LR1TJ3p/qNJkVwGkNrPxvo86wOdxKvGq4DOUM+gCJMdNOCBEh7VUvtNLbWZVXUIDUa
XFpgZ4vHC9/T5GAXslgXvYHlbsYAjdwYoP2cU6BNdKyWR8IECoewiMDl9DCJQIDPvulEWGyLxCGx
jw2MTII2klEhs2OtW2J2nwsnf2956YOeheapIl5hMYMyITWJICWSNETmSOrs4sRF9sGULyehyiPs
AuAxqTdRm5+moV4KNuKyghuCNAdCkUGOdYm69wLuyrmVEiijo6TX9bXXzvlyDnzwVEmVG7nRRo7O
67FBKu8IkrRGM90wR6SfIYHOQd6cIzFd92m0JjnjMe6KyzjIdcIPTrogE2tEskNBAJtiLlXMnLzX
KuIEK+NoBRhzjrLc94kzHwlqTRIzhHGFqgSLmPMGmUk4RsiIUZ0uvK44Ovi40Ddpi1nDsxQnAnQq
SrFSKu0KMpftrNQsUulaWhqknUTq0ijNS6TULzwEzFiVIqa2YFSESiWjK71MDumrLB33baJdaJiM
b2ylrcFlFwadNp/F9mMw8sknSodTlpYD152NTt7QCnXiOg8EAazRNlEqnv9flf9/PRW9q/vufv2p
or/q4ca+foTt1/1SAquvfqp935Z/75u+1NLf/0E//dmpKhYmz6eqn/6sT3/zH/2U7L6Lu/4DOXwo
7uA543qFfOnTi0pekQg+f1kj08Blegp5+vPXqeRpXr5apt9biD9+j08r+sff80fv4GmJ9h/++Q/X
swyGu896qr+zDqZwHdNGI/j1AnivLMf1bGEzKf70evpNL2oBzO80lX95AQx8Xpmru7oB1Z4XI/Sv
18F95WA0ijDz6atsvX/TRvi57IlM4JEM47L4mi9g+PzJv2msf2cNnv2EXx8G5f7jmXSs9jdPgc8X
PNVpP72eWvgXtAn40Pj7rOd63t9ZgWfpm7+uADiAjVmvhabwlzf69S5wXqGvUDklzueFeHJqekEL
wXGgw37+czvhd9dBcO5BMOFc8Z72+7NTwX3lWxyZoBifH4enrfei1gGMxfzRdVDhNMA3Ju38d9fB
eyXQ1jickJ/3wws8HQWe0T+8Dup0VF7Q3pdr4LenI+ugExGreyT8fHq9wOdCuJb7o9ckJ6RvkSsA
2+rpffIDvz4fyNDVDccWOH9/fv2bbolnT/bX5YKwdUXN+jM3xbOf8us5CavM0ZEyowV7Wodvzgeq
Ep/L9Mt2eYH7gSACpWD7oXXgvvCYgpto8p4+72cXp8d+cMg4Nr5cnC/xfPhO3vRfvTe5L8D1+Q/7
9k+vZ9UTqDymvK4Dle3p9QLLaJJsxI+eD9wXDmNB14Zy+en1bD+wTDA3UWN+/rKSWL60dkJ8J07h
L+8H/xWKU/b+l3WgMPv6nESYym7hAcQn5Mt+eWnr8D0jzr+xDiBduk5f9Tv7wTF12zEQ6T69XuJz
QXv1w/eFEjBzCJri++vgvzIoojgmv9STTwXLi6onP3v//Oh9AT/aNbkyvrsfqKNsky70S/vxEs8H
LrtvlO5/47kwEayjw+IA/O3BYHEyQEr/XG/rL67TdL3vsfn/8gKozsGBbfnlwf9mHSitDBuPwM8H
w19Yhz/x1ADlqe/6OXu8b/71fwAAAP//</cx:binary>
              </cx:geoCache>
            </cx:geography>
          </cx:layoutPr>
        </cx:series>
      </cx:plotAreaRegion>
    </cx:plotArea>
    <cx:legend pos="r" align="min"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numDim type="colorVal">
        <cx:f>_xlchart.v5.7</cx:f>
        <cx:nf>_xlchart.v5.6</cx:nf>
      </cx:numDim>
    </cx:data>
  </cx:chartData>
  <cx:chart>
    <cx:plotArea>
      <cx:plotAreaRegion>
        <cx:series layoutId="regionMap" uniqueId="{DEA480E0-C680-4B89-8F46-E4C2CFCE3455}">
          <cx:tx>
            <cx:txData>
              <cx:f>_xlchart.v5.6</cx:f>
              <cx:v>Base</cx:v>
            </cx:txData>
          </cx:tx>
          <cx:dataId val="0"/>
          <cx:layoutPr>
            <cx:geography viewedRegionType="dataOnly" cultureLanguage="pt-PT" cultureRegion="PT" attribution="Com tecnologia Bing">
              <cx:geoCache provider="{E9337A44-BEBE-4D9F-B70C-5C5E7DAFC167}">
                <cx:binary>7HzZcty40uarOHw9dGMjCJw4fSIGJGtRSaXFki37hiHLEgluIAlwfYN5kol5hbk9LzZZtuS21Opt
Tl/8jvjVDjtEFFggPmTm92Um+5+30z9uy7ub7tVUlbX9x+308+vMueYfP/1kb7O76sa+qfRtZ6y5
d29uTfWTub/Xt3c/fe5uRl2nPxGE2U+32U3n7qbX//on3C29M8fm9sZpU5/3d918cWf70tnfGXtx
6NXN50rXkbau07cO//x6ddOZ16/uaqfdfDk3dz+/fvKJ169+en6fX33nqxKW5frPMJcGbwgL4D8e
oC8/9PWr0tTpw7An3mDq04BLIr/+8Mfv3t9UMP+PVvNlLTefP3d31sKjfPn3cdaTdT9evDV97Q67
lcLG/fz6zHSuT2/K16+0NeHXsdAcVn52+eVRf3q61f/657ML8PDPrnyHxvOd+qOhX4HxTtu7/nFH
/nM0GHoTSCECKh52O3iKRvBGBEiiIAheRuMPl/MyHA/TnuHxcPXHAuR/Dnf677SPAyIEzj/x8VMo
xBswGeFTnz1AQR6PwVfD+OOFvIzF47xnYDxe/rHQ+Pf/Gkx387gx/7l9UPGGIyoZ5/Krt3oGCtgH
w5IE6BEU8fjdX0H54/W8DMrjvGegPF7+sUA5uNS/MYIw/IZACCFgI18t4ZnPEm+oT3xEBH4wlGeY
/OFyXobkYdozRB6u/liAqLv877QRMAIiwQSI+A0bkQziCw8eAj6CiP+VTXy1kT9azctwfJ31DI2v
F38wMLqb9Kb+9//+GxEBC/GRpEw+msAzC+FvhC8ZQMZfthD1Z5b0G7D8MvU5Nr+M/IAAPR7Z/zyk
HMDxiURSPMaM53GeIskREvSrNaFn7usLOL+3nN8B5vVTPvnz64eb/ViAvL2p3U337/9T/d4u/EVV
It8QCdRK+LDbT+UICwIACuEHNMCUvndef2otLyPy3dRnpvLdyI+FTHhj3V1pXsGxqm//xpBP5Rvg
YCzw5UOIAe77PUoB+DvMfYofZYx8itKfX9fLUD2f/wyv58P/tUH7zdV9L/GffOivSnz5hguCZeA/
izvBGwkDIpD0Ie48M6YDmfqqvX97KS8D9MvMJwv/Ly/nQ6OrT3+nYAH5SBCjBNjvi2QMyDH1Aw5K
8gGCZyryTyzoZQS+TXxuG49P+GMBs+5vus9/JyVDbzhDfuAz9HXjf2UahEjiB/hhWD6L+n+8npdh
eZz3DJXHyz8WKMfafjJ/IygQVhDCVBLqvwiKfIPBUhimj8qFPQ0rf7yel0F5nPcMlMfLPxgokP/S
fy8oAQ58BOby4KKexnrxBggZSBfBHhjZMzl5/Ifr+Q1QHuY9B+Xh8o8FyiEe3pR3aXf3eGL/c+EC
1oIPWTBITb5oLcEbTpDPMX7MuzzL3P+5Nb0MzvdznwH0/dCPBdI7Xd68urg71Bq+5ztPnu8vUq8v
4hJyX8GjXnlWXQGMKPYDSh5sB+HH7/6ai/lTS3oZou+mPnmCn19/N/JjAfT2zv37/376O/GBfDKl
HAM8D77tV3ITMs3Y598yM88Y8p9Z0cvw/DLzGTq/DPxY4LzTN/XNq8/m1YP6ejzI/7mjAyMSAWSX
GSTRvvw842oC1CagBLzgAcRnHPqvrOxlsH59h2eg/foDPxZ4oYFycg1e7w/j0+/VUn977FsFOrpx
N/GX0vV3pdbfH/0CCRTTn039PR/91X1vP//8OhAEqIn/nds+3OZJyujX2L0w/Q4yKT+/hmo41F6p
QFgg6gshOBzF8e5hSAgkkAwEhcyVzzjkPGoI+9nPrxl5g5nPaeBjQlCAKHh5a/ovQxgKWgf5h6Cs
SyEO0G/NA2emnFNTf9uch99f1X11ZnTt7M+vMdyo+fqxw8P6nHNBxUFOBpDiB9cFBLm5vbmABoXD
p/+HTZulbAreK9zOYeXx49yPpWzi0dKNTOtVnS/x6A+RQeNm3n23ay98ORTafv3tvk+Bj0DlAQvG
0NNvD7wEjZ6p4dsdTkKdzE6VRKs86dwqGU0s8vYO50Ma9kVCVNvejrbdjF6dx23Hr73UK2Myc6c8
K5vIR1lI/HVXLm+nGl/QpD9JnZdGBTWffY38ULNch/PiiMpq/q72/KhgTR2nyF1Oo70XnalDCR0e
yk/aPMp40kV5vhzjpE7UNM4x9b2VmVoSNVqoAtKRYT+no+pddb90RR1jPaVKt7IMJ5yvMGZFyLO2
UWYuQ0tYv+6ktrGf8Gtme3lU11kQ5YkXjoneMdFNZ9k05CfCsqNGTBHKmLcKkkSHhrPPsInXzdAG
Kh9OKpeGWZD6qgymXcDHDwzPwS4dx0rpbplhC2266e+lvhpLhOI5HarYen13zPP23nie3uFyUbN0
zXklVqNb6FbT5jxxTXBkR76dZe8rl5J8k8oxavoqV+nYTBtG++04tcWJSJJ9S/nHyh90JEsb4sZh
lVpyMSIrj9K5OqqwqdZe3QjlkguN2Rh2ib8JsPc+SHwZGnvv5YkJi67Uyg55ukmZvTWlTbapbYdw
2XgpfkuXLtS8w9uuzFe2LWXkyrKLyFRsMKmoMmSYw7Rd7pCAM8SZ3FC/buJiZN02hyCtKq8ZVD1N
Nzobtq1BSziWCuwuPS0J2fSz8441K96XJAv7oUzfIjbBEy75VjM/URlqP4xeMm3dW9qx9iSLJi11
yJk3rMVImnUv532G8ZnEpFcFSu/aiMt8iAvU8zCdtNiWeLirOqFIUR33hFrloXJQpBR2LWW1dpVm
R6i7wYuGL6Y2WgJyNFfitCuzI83TtwXG0SDmLIIjadXoyjQsO+xFHe5jUUuzWephUlUxKDzoHekE
3baT/8FDHVXLtASbuUnWS9p/csnkqSAt/NBgL7RWHHeml2vXd/fOW+4ai5Iop/0NxqZRlc5RmGRn
4yKbIzfUm1KaXNV+6lQWOKcmJugaaXFSjv6yKt1wHbhFpSY/WeRI1tmyLapeqqQ5gQrwu8rIYCON
vyO5ndTYBTdTUOpIy1RHuDQknJivj+RShm4ucjXI1K5TQhQRmVmleQ/GnoE9FQlYX4KC027sIsxF
rUovbpBe3iayP2uWWrXJVF2U+DxPx/Is0NsuWFAc6EqroEvrfdqo2dm7wvp9nHbjadDTOOB9rNNp
B3u6HoQ9d/kCpi0d2bwf5NCsirm3apLmqqmb1ViGeJpXBkyRjcmobJZ98n27R3l2KsVw3ZaroF1O
gj6NhTdEXdqvUjvvZ0FPe5TvyZwdL0m5blp3JPptZsurodDnCw9i3mSnpPw4lfRd0y8nbLpvumkL
Nn7WDvWa+2bTG7kirFiUxDq2As6r88Hckwh2eD31bZzM9XsvwO+6abnuWLo3ZRenuNi53tv3qN9n
Ob0EdXhGDKsVF5Va/PmE6ukY6sLnqa7XTLhOVYEXakE289zvq3zcJnjZVenykXXLmT8N+16uynze
VY3eNgFsLgtWXTud1mlyESB9nDToJI2WsTirWH4mkN4LXu0WX140Rp/WDT/ukNlShuLObyM0uSgb
02tazCvSkrPWDoXqMVWdl75tOD9K826T5MsqYfbIpOjYTflHJPFOYHxad/necrMTgoS93aH2BJds
Q+piN9PiGJl6Ldr8zAV1lNbgw+HJA24vTDetwFmsjaxDbq4Ouyv69wWhR52/nGUii7xqObZiapWu
6cdsRmctjUTtfTjsgNfI7eHhiMxPx3I+CzVs8OFJq7Y47hOy0wv5WC50k8BTd3wfoDKaSQJe+Sgr
7VHQ2jPhB+GXKPpAjZ7E9FvTzJ1Os4eewG+//uvSVPDnS9vaLxcPLYW//Hby2Iv4u59a35mDjrTP
P3RYzbd7/dIgd6BG37rlntGtr92Lv8HFfnfwzxI1CscLmPu37sVfEbXnZZ3vadrD5AeaBgV1TgX0
OEhGMBChw32/0TQiIFcloRriQ9UdONkvNA29YQiqIVArgQY7CgzqG02DXItP+EGpByAHoQMJ/xWa
Bs1Kz5lSwNGhJgB/gDWiA438nqdVBMLTnDCj2Aj2NV5K8G1hDVwichMcZevqkxolH5LBLxTJm+bc
86Wn+tzLY0wsCykZp3NiZavSkivtm5j3cx/SgVRxVqENaizZtVXktzOO5yU1ISddWFZTuLgqZGyS
W48ZIFOVvW68NqwwzhSxiw0DlSWn0PeGjgtUtqHO2abTVEQ1t4q3fhO1cp6BtgRRFpRp1GSZUKLL
yxhp2YS551S+JChEfnKxTPVlgeY1TmuV8I7H7Zj5qki7UzN5Ipx1/knM4qzParGRc5nEFR995dds
J2277GR1U1aEhGne5MpMZOcKsXz9C8892g3I2zRVUB7zAIw5o8Va5n113DZvxyqrd2kxVLu6ZNUO
O+QrPon7ABGrJI0oSuXKDH2mXBagFRdBr2qPu7CZZxs10Vx3TPWE9+vkhgxJqvxhXlQ9SKd6Olzn
5XwdlLRbeUyXmwUPV70bPyYszxUbqu1geBlR66Wx9vw67PKiXemyU9DOq8rMU1ZiF3aTuLaNnVVF
j3Q58J2fOQiWn3Uytor6btn0tktVm6dEDX2Djjqz+Eq259wAXR6kqEPXXVYI2DIJtIs758UVLFkN
zRgomy+f8Ih4xFjSrbo5SKK2SHRc1UMdFkWSRFZorEhSvKfXbCmCDbO4jCCNtW45G2PuERtxr1Ey
acazJvdDOXRHje0r1fuoCH2TfUhnu2+LIuqyZVwNTXWCgAXMXfox45XKx+Q0DzIVkHZFR/jAPPp5
OPvBTqJsm9TAPPLps075xrNszWdzuTh9iSmZIo3xVWuncJpsGs6TjPNU3nstSyMWePGIpzIacUBU
0AyxTEHatNlxvbgmLFyNFabbmnbLBk/uNpnEcaYzFiakv56Q6LbzcuR6CJgpsWFpB62yedn65XC1
LFEjS6Fy14YNo25Vtv0MsCtfDFMU+NyP2yWJdJXE3Hg0xHM7rnECh52VS9hqUiu7OLYqGrHrA9JF
rVvqmN+LqtpOGCXvirFMV51I32UmKcLFB4OZgmpcT0tEaCPCoB49xdqZK+Q4DzvtIqlNczK3JVbG
LjSy1bTW1F/UKGo4KUXHNuDDgMKMvZJW7OVc0I0TuFVNYW3UTalWVJpBzQn9mJOiVHOWZopbsvaH
ZTgaqvKyR/zSJ2DqeOqjyd2PtG2jKu84HJcp7HmWnoqkVGKoNv2k7an2aL5KcgGL8KYyXmS1XXpD
wGaHZTUkJm6LlKmla4Z1lww3BSFlrBPxvq/8M1oWhaKZ5+0E7Xslarhxlss4aIk8HRYEGqPF0dIB
ea8S/pGxoFIdWnYZ0qnqQJRHHi7jRroj772ZynKHPZOEIDjOGEpPdSZY9GV7hAv8darpnfbm+8Hg
ZuNXxN+InOtYpGaIKz0XCmvQGpQPRySY3s6ly9f50q2bgjYbqyrmTmUlb/1l5kfEnHDb66gHu40G
6Wch9RO7oVMG1GgeQHn1Oo8P/UVrP2/2yWDXRZOJKG8CHmLBR5BMmmxN4WXhkjVbXMgQgXoLapGE
8CoCVksmP4DGKFWyTGDtiF4ZN8LTwjjvahGKg/fJRrhTBg7ZNPlGk/KWUXqa88Z8amvwDG6WqRpZ
4UWTZ6q9lxRu1ZRzECeAE6hSc1b4iKnWA8dBlqqIoYVQpW52EaQgypgm710yxn1hSexBRSHyB1fs
52YA4TOiXSBnGi6tvZUWTjrOYA+6OspNNyqPD6sya/IwGThShe7PGPZwqBsN8aJzWg05y1Zjh7Lz
Hp5WDb6v5kqqIrHDqtdpJEh5NOa2jujEIMokNOr9NFdE42nrTe0mHcI8z86nriIhGX1QZlVZrfzR
zKEVZ5ByuO2z6igFoVIHfaEaWzkYGGJayrB0pFXjNG8Lk2/BWZ8UCY69qaBqKtVSzFtmTOQJc9Hq
+grXMW3LezOJq37DgG6qgiGs/P5+qt20ypwvQlS56x6OuA1ksRqK9ko4+hmXrTLjdFMsZN5yP+kh
kg+ACAWx2vvTKrDWKlMvH5eO383BwNWChiRMkukYa+rCzFqkMKs35tqTpDoesAUKP9rIpLlWPSu2
eauVPDhekSKQCahYl06+DapyNS+wzw7JTqVQVlXDSMAKqmim4iaf6FVCM5VOICkp+5BqdOQ3ezNk
q8n3dsEAIb8WqwC1fZjY0xqfpy6ImnqIhiFLVMfLCyuT3VAXt129dTXtlddWF8VS3y9aVtGQjBEm
M1Vlmy8hzeyW8eQciNeRj5q7LDtP8tKEfQfuzA3Jaknyd5UPb7pgmlxLk5xQitOV9NC2KYI+HMnS
qnkQyWZpGgMpHfph6kxYTqiPKsZFWAViDJ2AAOq8towqk4dLn76nXOg4aTkEadJ8cpXcwW7YoxRN
bztfMZnbVcemCzKDb4FTrHCT3PQ+H2JeZm8Hf5W0kh+5BZ4tSz6BkLpoKrTF44eBDmHjyQEYWjaq
pbbnImu3OfWzKPUCSCqJItK6L1dj0X8QejnNK3JpRopgMTJXU7tAkknkIXJmCEe/O81YufbSvAgd
o0zVCGhTUA6hmLtcNaXGoXAzLJgtAUiZOYYQdSrbOVFtQJHiuH3XDVtXjulm8fuTtjHB2exIExo2
y7hKwrLs51Uj3kk+RI52l4mXV8e6YG6b9PPGFA09yvmy9VCl16jNpdJB/tmz9q30rLdKMGgbYfCw
NhY4Hp+0WeemXflNnipBMmAvDTlFg2sjSNxsKmTyNcY1Up0MVFvOGp7D7nU96dhh3Ma+f8upjVuz
gE+g6RIBe6y8K2abQCGIExr1FyVjd0LrIhoXc0sYOemn9Ii3zTu/hkcxFariuqf5sVyOcIEZqFG2
mpvuqvX5kXZin9Bhi0S5EguR8Yg0cAoT1rP9PCbdEjnYpEqTyIiMAqnl7dQBVFbRYtl2Yx7aQl9W
o/7Yz6bYukNcKySB43Zkxrk7H1h2OjYY8pfG4Ei6Kd3QZgplAlF8GaYZXIPbDLXRa8wgt2jEpOag
miHgjuDxmv4CD20WjpZ3cdZTX02ef0GLPhTttP9vvfjbr7Y9kXwEEShp/7ZefOzfeGHSt3Q+1Afg
VaoAsvKcYdBk33QiCL5DaR0EJMRFyDoISLU/pPNBDFLISElBGbRtB4TDKh7S+Yf3U6BXggIdYX89
nQ9tFM90IigSKOEzBtUEHEBDP6zve51oCtmTqpaHHDa5rmsCEm+UV5JXe1+YUaWJPa90lqq8XwsO
Pj3NNriqhZpLr1BjQ2OIw1FKPRtpT3+CV2uUl/PLIe9rFehRQqb9EErlBfHwpluy+4bOrSLonE2n
5STfWS2KsBFppeTSbXxUQ9KydbfGSq14ea9zVyjo1T1B3J7NU3udjXUoSjNBkpb7qqb0Y4vJFRiT
6pfTOpng3wymJbWveh68w+APlUCbpGapcrW5B9mw67PBhVOF1n3Q0jBb5kx1yw505udlKlKFcHEZ
JGOhfBc7UjVrv7S+GhdQJguo45xWrSqae04HcMKcqMKzQFLmDIW94R+7kl3wcyjW0NAs2aQCp7nq
7Xi/5PSs5qUXNWjZ1uO8d9Us4oGZWXWZbsNB8Dip6KRc1Xsqb06t9qtj3KSpklNwJWi7goTwdTEm
vep8H6mhdEdB5n9CvPHDJl+kMl63EQi8/VA4CDc6+Tjke9pYFwYibjp+leQzUQ0JQEbqUgPr0aox
hod5BdpAgMeJugXIe+qlH3Sany61UVWt+fv2oEKpBC3JcwFfMwH5zM3lXNj2eISEJq/QTa0v0r4y
G02nTvkG8BTpRgwOcmbytB4HvJs9d9pD0O4IOOFhv7gpbqjst6RujvssJRFc2dUSLauxYqXSZArb
rF+Nkq4Hr2BHblw2bHSwQ8hwJY3bLUG98hLveG4Ls+6dcyGZQRpp4V0hWMbG09kHTxZ2BdmM9wXP
a2WSGkiAKzazrUFtIAhKfmDCyeDPY5Ymm4l0a2dnE1neXCdpDfRi8s4qeJ31lEGdhQSNH8GrYS4c
4GAM6FPKJshNthksMQE64VdhXSbTKYLsLm5EHtO63oHzvhMpvvfAGiQa42pioJETXAODs3Y9zsN1
1lfpvsuKXqGxgGpC/alqAu9DYYPYuTNqkLetocakpEiHTeaSBuyKzhA2rjCyJTCXlsSsJPGC9KBo
UK1wl7hQd5lViSDv2WB7xbyiOEmgtgA57CtJnduSEo1QdijJvvZ6DIld3B7bdDQhWup3qe5YvJRQ
SoC08qJA0ugVn4ZKVcbXYVYxExfzNKqp3ogygfxJypbQa7o5Drzh2mNJcdz6oAUGe0GcV2/aDg0K
BY0Lq2qO2ajXnvHZaoRe/DBLoN4zEbpFRs9hjoJ3cCwPhh7IkGsfr4Wwq2CsFdQ3OyXSbFmnngE0
UqmatDvxePcu8SGmg6XM4QRCS4msd3sx5x+07NAxsKL7JWmnuOt3fW79k2WIoNaEVxNtDTiq4VQO
Z24CJV+Pgq2k7q7LtgxrtyzgIIp8P7f1jef4rPTYw1bXVwzG1MDomgRb2Uh2Unj0CHtZo5xoT3Ok
o8agvebyaim9IysNVXFRBOdkGv0wn4JRQYLmgzNkB1oZon2FPzG7QCkF6nuDZW0EtSI/TIDWNUCX
/aJShr0rQZaFNmnyaKLn2AeVMcPuwFmEO0xtuuq7GiSV9z5lxRhBeflcj9NuEnLT1v1JPZlFITRe
Qvn2kPYRCqhRHWrvxlS8Bdk0+FCMXKCkMaZhTdOwzfkZb+UdT8G9Dnp4a9pg1VN7Onl1AaUESJU5
9hZ77JMpLhahP/RF/n7021050RhV7HTu3+al3eM8X3tyDgOvqiJs+wuTi7U0pVNVSZBaeHbbjU14
uMPCId00QI4MyA4OTTF9SryGQ6V2qxefqMXDp0ndlKoutI1KXh3Xtv9EjGMhnKP9JCpQt8DpHT4F
mX9focWP6lYuwLoinLWQJBy8Ayt2g7KERm1b73HfSkjsgC9Cc9crKzZpFYDaTaoQefA5LA7Bpm12
NeHrhWa3hy9iQ73PkEmUP62hBl6AOBsOOZwJStJZHc5Vr9XUuXNd2QsdyAz2te7U0ncfaUl2U+M2
FbB71VfwQnoqZwYVJApuKQ3uaj/LlF8IFNJ2k3UgqE0/HR/ofgo5hWTpb1taqbJjkI3C+jgd+ca0
1c54UO3zRZ+qIgsFGu6pW4qo4lDnC8iopAcVaY/u5ySfQoz6+8bbsMzKkE2gn0VX3gRDubWCvrOI
+eo7SvRC1f5AmZ60DADFIAdq4UOXupTQ1PCUYujanxE3tFFwAKDWDNoxGzLFsimCNodNr6tRNRTf
4LS4YF29Qa0+sWMXNlN7JlN4WjqO92m6q7J+N1dgE0l2PFt+NAVD2MqgUEsbJlAFnC87iTb/X2sH
+sYJNAhR8qzdAeE0WOaKNKrgkLgTtgEtAbWwL1vNmuyiIHzbd8E+mNix6ccIXIoszg2trwiytwGx
H3VAjnupj8xSXc1t92meVwkCvwxnEyr9kIG0PXWKJfwIsinr318+fWHr4aUy2HwGTYDQ9gyliCfs
zs5cV4et7/zBhkPQ7kdcXI0zjwKS6RVOBqTSOd0iyDGH1uXHyQyC0DtYySjIoqhZzlFJVEdBmY70
bnRwmMFR74ex3YjaFGE2Q2GVdUSHFXJhreUU5mkH3moIkxS1UHMFSbQMEvLGlTtrIQMKiZFKpm+D
uUSKknL75ZH/u7r1tcvt9vv/d8VjA9yhMwdLaPz8baVy6Jn9/kWbb1O+1bOwIKA4oL8nYAJ96S16
qGdRePs6wJQJ6cP5DxBUkp52HR1GQMccJMwvMgW9QfBWI4ERnxF4CUj8lXIWPlSrvu86ohiWhwS8
MQFvEnF40eXpOR4hg7gwlAfgLXO97ZvPE+3UaBZ2aonjccnkpcisFwe93cvKQG+K6f1tXxXrwTaX
dSrlEeZmy4WdVg0P5ui7vXzBxbGDHT1ZH/tSZZPcR6D3oCL4bH0NFMQzkHShN/FilfZ5t7JogtQK
lNMJ5GKGUqwyKTZDB+LB1yY/71LMYt/T503jyFGwZFteaSgwA+ntMOh43vY8JrK/LASpQySq9tSv
t0s6ZbvFVqetqOc9l91NayiPkjzNtlXHXDyks1shU7EI1W1/lLb6Bs142te0TN+1ZX6eUp5CRaUw
kQGfm/KWbSVd0rNhpHTf1UEMSbcLqsfqj7bosAVPt0hg8EJwxKDXn2H8/7g7kyXHeSxLPxHMOIHD
loNmySX5EB6xgfkfEU4Q4ABOAMinryPP7q7MP8uysjsta9EbWrg8BpdIAPee850bj63qr8CxHhZM
RD1oqgI3e7NoGR+/LnU4xcfedPOewlWDezC4mQxY/c0Jy7Cgnunh3gw26wBRHSVKibJ07ZEvgFpc
WZdHO2sYGRW5KUveR1ovRzl77BaR+WmdTf3ShS5IDhJsR1tG6FgVO/O2Ddc0Fh3EJb5AIp2gEfNt
BPAG9Ytp4Ev40VHUJvq2YoNcZ14doHeG6HN9Jyelr+4LJeFffPm/DI/5Lx6i6M+bNZbYIyXsgzsC
4IbQ1p8+IZQ9Tcl9k8G049bOe1lDti25MXdR++yiJz9fZyqOmvVTl6oVsmEPMycncyuOwWzEEWX9
edL0omwgN+48iIJJW57rIXxaQIOcw2msz7wBdCCst/16aapgsSXa8qKj1rl5cyLzOiBqs/aJc7OP
S0NplMLtG3bge9aUBlrekgUKuijDz6Uer3Bn1G1YnZNZS3VU1u/+cqGu+l9fhkwVrXKDI4NieBlW
6oOC6aqdmYad5Ko7yyjuzoRNTiZLP9lMqD9F3MkftKbRJmhkmeETc3fWUfa0VHyv42rc68dXXy9B
orAnBZ/kANO48CGZHkm7TMdJ9e0RNgdF65st8I4uKmLDiXXjf7cHeH9mE0HUAbMHaOkiLoFi4U8P
OJHJWGP5ommNiZN7nVdfOI+u+FiWNJn9YVs63QQuMhavxp8oSs2+fmlGZ9NzZywYtbDv0EE+12Y6
tNMU3/sV6nZQLZe6hUipfCUvo4RRE19qrfs3tThtKruwO7ceLHJooM22b2NzVoER/00hET/qnL9Z
vah9EhwMfgDMFG/xTxucXoUMXXQGmTXmjyDhprAtt2cWLNW+LLGkHJtq19Jnbtj3YGnfRtetbiRk
P3kV9weHMH77emnVEUmTcAYP9njt69KEkclDDVqALc62Jn71xsaZ77SQQR4zKd7I2IUbklSFDOYg
CzS1969LpJe9IlpfTGOX+9zp8NB768Mlx+/gQ73c/YjP2YQTYOuXKXjW8Qo8ybmGAyP5lJgw//ry
6xINItp0UVwedb+QCzNjlbHQDz/ChF7lEvNXL4Dv2AK7G+oQNlaCjiVe5HcXlvrNcefu6sLds6zf
lEEIqcgOyZjjkUnwj6iigZzyWne1KMbS9/at64R7t4b5ujormCcf5sOA02rjRPM9bL3gCVRE+VaG
3gF2VXebRV++Kd4Vym3p3QTq1z8+w+h/cYtDPwg9PL64v1H4+P5fbdBxUoWVgw4DShTV8P6jW9kE
8qVb0ACt43vZRvR7iRZ/5CLFfh0d/nKBkJA6cXmRHq0PNhgU/BwgWMSuPMOxdoO/HZ++LmAa45Nf
B92uGZI7BPayz3Xt/dAgS0FWRMGp0UN7WKLpWA12BB6LqjMcffedr09qTlBHhw/wAeXI0Qkmtiuj
+a2sLeSTJf4DskTwS3b7aYBJrbr2XFKhedargovROXCyJ8IdDrJOYM8vzsoO3O//9yXqw/wff5yu
+3c1AaCgEPlP6LQPjPvPbY8lsK6GzusyYwseBvMBKltUp8ZwfWgA4tQQDfW0536YipbSe/24xO4L
OlPnJnRUXua430HFhOH/fy69mXJlmd70UwjzFkXNay/NthOh+432sO3jxiz7dujg4XF6WOpOb7F5
wovnOPBh+tAOnF3SrffGBU1MfEYKEIDR2Q3UqUMfcRvk3MNejG1W+8G3xMUSIYlZMiZ659T7v5Yw
CncooWzat8FwGx8X6mkDqA5MNSSfop9i9NUu2op4HW5OIvvjPAcOhFXmbPBJrakCGJd3tnnzuD0S
dwyvwvDpKYzmQ9W79Ph1WVdGjzXhP6hNkq1iIznP0idnoAqw+b0dmWp2XZagug3Lul3A4JwpBUow
Lu4uIcADo8cFoIebLZMvL5A/po3VLX1qwE0XIlHzzXG0kyeKNJdgIHrPSgErcUY/PLn1E+UVjDM6
1adOB+YhNtb5WLfdD1PZ91nZ4W5L1Z554vTZyoL2h6qnl8brzGnki7h9Xbp1Afjae4dmWFubsoge
zeLTsxHkZwzo8Oc/fur8v1vESFJGCc4fz4fvgGD43y7iaK29dpmjOuNDbqlW90avajco5qQCN/xM
Z6891glkgMlzZMqbWaOolHu9jOro23rcNVP7CR3TOjC7kmknq+gbgyh7MgP/JauEbDkJbu1y62SZ
5LId5WZULrkHizG7CehHVS3J6evS9NxsQCYA9+ahflW+nw2mWr/947eMp//P3QEG1oWovLB7Peas
oIz62zfdJ5OZ4wD6iPM464H6fF1qONOCh97deIF7LqG2jTUdgSRw0C/wYfduhXqTAql9o8ZpT4Ql
Bm2rrd5iaN4HoyORfX03ZKHe10FEs9H4/M0yzrbunNG16mAXuvVrLGCQRGMxs768a6ee7sR3avxL
nT18fTn2QAsmzhMckg79tPBnz7bDebdM8XVQMZCtdgwAaC/blk02a8c+c7U1e7X2b0IPL5DrShAl
/S/BkA8oef+jk5f9yKtfsTQQg+VSrDL5wR46IXzhkU7fFz95H1HRZvPvicSfrYZ8piSkbgKnlMvl
h/VxoPkdHPAOJ2azGgBo5fLRm4pnjt9to7CUmfVB669hAL2u9LKqnhXMWEAZvYmf4n3I1h/J1Jp0
aauL25NiatqrGPR3MdCdjORH3PvbpI9Z6lJdZ10vp6wTK/Zwv3E32sSXIW6mLWXkY217qJVrCD2Z
V2fSQPISUZlygqCA6uSzS9Vm1gmqKMreRCXeB/IShv2zXqJgLwCEp0M7/ZiGRuY6NN9Ii96BzHUm
+gk8iSVPIkZiZHaGOg0a+yoCAiIg3FSj2Xp6fYY7lgryyhMATLxNzmxRNxlNqrCl3jquClJUAzkO
467oKgjRve2aTTP0JB1cth289lvvj37uAS/PoPFB3gEYuauDtd4BFpDZjPMd8GTa+0O17V1/40rY
ASsHrE56uksEfCo9J2DZVPnTGVJCovhXH0L3XGax8cCYbdypQdjhzpJg3AQ1sReqyyGt6ewUbveE
nge7U5PHkYhfW88WTeIUcwAmLp5buq8HjTtfzVt3qE0+AFzNvBl4o6eBdOgKwBY5Bazkh5aC95vB
9BvuCPTTmVtHejvbGSxf1KVU2fJElDzincGbCOouZR6r0n72AJcNZFsvzpOj3E9OFABKr6w2nMsh
I2t7H2bnRZDtrDXk+VjtQk/lHoTJ3up17yl64EmtUmHDawxMMsXnSVLVI4AhAJ/QxXMvnlzf1kG3
xRjQOZMzXseBGG1C7Ho76o1daoG9BWh2d9pSW2idkap9S6b4A6ECk1c71vnn0Id/NU3OtLV2eCCO
0Wc9sKOhsOQtZINlQIFhAtzOPgzPJa99eGacXN31uaftH2MZbgWHbrpiCxkrlbIyCXbLKjbz3KfA
hc/KJtfZE10xzt524i6MQ5gJVsg34jgfJDA4i8pvdccBzDk7HepUvlTcHdN66pN07qKnyVZP1o2X
w/RtThSWoUq+g+3ZJs1CgBXpXD0OKlB3dv7Jo+8uGee8MotCuMU9aPtbznX3vcEPbmwJPa/T0Q0E
kz84T82CLJJxGKjfHot5od3dk8lHKFf4s6ZPcugYIg3LLkhLEpd5HQd6E1XEPWvHfrad7VLHtssr
rcRuLLsyGxIchP482rwzjodwSskz15e/lOTBwYBzLdamR4yDIbZglv6WdKYFrKF3SFf9MZq63Qph
j/7CNzFr5wLAG7q8EnmjOml/+NXS74Sq31YVXpsDO0CV7IrB2F3TY6W1se8VLhSLVPcJXI5yE1by
dwyIs4ZdqtepLVgLo5eG9yUGpzrROsyWJVx2a97pKkiH3ngH1bLn7tZIBErgYcXZ2LAfc9Dt55qt
WWdCD9Es+obSg5wT45Kzjegu1FGc4txHvidJkYUJDizu31k0xCdIMBfc8E9RPyIfqiJp75E1X/qs
m8h8MxZ8UUj71GmAAy6tPkfhgj3dU7gJybyjMzgTHW3nng6HsN7qCIb5LPHXNBF7L8Hj7sXSbxrF
6kxxR+Wt0zkwGKbXkYlwJz0FZNsLc8dXv+fqnLj3agk/BaflpkJEAUmWeUV4z8V5wprzoNZ1E7Dl
26SQtVk94+YK3nc2hqYvogEr1yXQdnU1+ZvRsF+u3/yO46p+byQrkC5EqKZam2vrX+nYvhLS3wcv
7LelvAzjfKumTW/8l7bzqpyp6jmaAvjFeqMQk9trbx23VNa/p3GoNo21IBJDWz6xyMIaGYPfrEbM
MB5bmSXx8xybZRd7LE4bsEz3FoBUTem0nT177KcqShMhWVojsAPvasVTufFqkKqz795JjHKvsyiI
7JI5vRs/9cGLG/TgCzVpAG3VN7E47r4S+ZdHqkbwarUErRe1u7bpogICkLP1CAeP9cuL137Pa2yI
Zq2afdD3EP5ZmDW2c4pkEN0GS0H1+mfS4Re1rqOtss4fXMXD08RKoJLt/ILD9q1/UD6JjvzzUJEz
NbxOlcNu2ovMJWirppiF/A0qQcOObJBDG4DOB3TJRYUGzFnsa4yWa9P43U9/hpk3ifbVN96N+c+C
rSUQr/GN+r0oTAzmjo7refZIgVvNCk7aOZuRaDE9Ios9IHvE4KaMBjNwiARsdQR/naAsPo5EvRtj
E1QkyR/A+HaDAIPEZIvzoRt/6mo+aSgd6TDEgAOsjgpwsSZTVdPAgWUb1eKmrEL4udEyyQ23dAd7
mcCp1s1yntE9Z14dmF04lTKfQcLtqXXP/yTbL9bwOgiCsNj/JNsfBhRM4wDU5F9j++MmkruK2X+R
7R+iOjxCJET98Fdsv27hBSaB+P+Q7efRlMpx/hu236zyRU4WIH3ivyaLyZiFiV3PcWFC8ulNa5nz
gBURcPH/ZPtlBYyQVH/F9lflAVGtfwfbv65J7ipSECagXw3in2b7sUMB2TwKK6ojf1zKBonmmUb7
ZfSyxnTdpneQM2HKlRnKJ4VQZgEFvIZnoFL+4tnB7GSrSbFaRCwHn4gMmNcmcROYpivSwk4XVllS
A46tHnkQ9wsx0GKzxPQJ7Suq1BbF0TJdV4t8iQbxAlw/2hAp3EKs/beK6ZOpk52o2LUBEFmIGWgK
BcEF198H2dqsT5J439a+6MYZkJfmT12LTEZsxm1MBMBiB1LBLPQhxClVjE64xdKgWd+4M3bk/oeJ
Q7iOCoW8TxtwCUEwg9jZCxI0qSuRZCEsGKDp8J9c+fe6Uy2Sr+GYBar7QG+KDafqbe41KGi90g0P
jmw3K5C1zSrQJtTL8MvnnXygCUOKAGSozYkJ/7JiqkcmJDKTHkLc5zVENdAOID1xNKALQu5cOz3a
t7zFD4kyvptSHxmdNHCbPjOcu7lc7U3Qdj34K6iJuDT7zgFLLHiSDUuIupBWx35ZPxrXBKlbAiil
UTEmYwhPnk9FOEbY83v0NnxdD6Gj4q3rBN+XBcCyTk5JE970vILzFnEIf2QIcoAHJEuA1p/moN4v
enxVvC7IUq0bWQJ2UzBXoqCa81E6P1xi6gMZkIuOq/7H2HoVJGoDI9dLwNImwRNbvkedfBI96VOy
8igj6AtCd/1ASrwsBs/brOV6AqdVHWuBo8hTWG8TvwwlZgOE62pyi6RcBqBiLZoS4dHhV7U0qW3C
ZOP4vCyUjWJgJjyD6VK9IVWGuv5JUr+8lpN9DRAYUrZtiqHFn4ojqGjsZi3JpcPvTZVRsfh3XalH
RIAHW9AOS7oM6IAjmZg7bcleJ5Da5XhyXe/DK/XepU2I008X7tSKnRO0eYTs0G5AVgO9LPCxuUfE
2ALGY8i1OjG9DYR/RwWeqzj4wWD6ZBjX/iq9YCf1SHOEhp60/RaDEMjWdzYDrMOyILAYkbVYg4ee
sCQ6495JSuJuOxa+zo26ltRbf9WlQRiBzIDNvSt/sG0tL89KDfqwsHC3gHn0Zo4PlSz7KI0p3pyt
G0QrqiEf2zDa64ltwyZBh7OqAhG2t1EFH1hhCJIk6GZrZ1gy6jRjzlf+UZcdSnOTrX7KqrVGXSqj
TT2zA60ZSs0Evb/rkpSX05DN/F2qeqcM/gIyo/+eyMRRCGMd+PWUlXT9JUr1XvrIeEdmPs1CKDDX
aIRC5DrGNXhu5gmZXMfske15kfDMuODHQAKfir1R5hzjHXJWrt+Wzn+xL9CsutxD2O4AlGZfwe/K
VmL6DVnB8kfaIDnnfHd7eoG7y7KYYbta5+Z3iZJ0qDe0ZMjFG/2zC2y778ZhjzzJBmTTdPGu8eyo
FAoyCEBw77BhZmySsEz3hMCFmLQPCI17iD120Dw0GsuSXnuEwOMYwEmAhBIoQ/CZIoyLuQryXqPF
6soY2wTAvtRr/KzSQ7ibdHRCUfPMAHnAVdPFaCJdzJB6XA/7Igwb2suNMeyZrRe+EMgDS9Uflanr
VA59DkdUPMnB/NIGAUnERw6JRWRbauTFksE9oraecJp9jrF57W2vj0NcbSY9fPLWNtuWYCdnzvex
q46kmcB1PraicnIExInYR27DgVtIk6mwYaENP+J5hSJAwKJ61Vkw1Px15X/4CxA3hf9pROgmSyKs
Mwys0Cu8aJgdbBPbALtScA1tQLKA4iaFc5fhLWymLlzzBpB86nXl3Zldkeuhfo38CfQ+V7aQPUNv
yxH1kRKwT4U04KIqMIUrHkfijDi1rqiD4WFBZMt7Bl9r8tpN4HH6+I3457S8D0QW0+xujNd8H4JD
FDVRsTC65oywoopL5C5Li2R8+EoJJ8d5gULtdH6E7wX4Ueduo5L2uWFDg690k1f4e9YO8ndoXFSk
qF8Hg0QG+trHc4I5D8wN91hDElv9GpxIv02ICtBgSy+ty/GoYLhlvV5BhyHoVxi4zBGhG17Za9lW
h2Ceba4dJ6cSEoGCFYXIXfNpUUvr8J2E9VH6mWCyOkyyf/Lj+t3IVqIeKa8To2JDB/d37SVXsIx4
2kDSOSPvUVOD82JN/WMkdpM0Bo8OpDrca/mD86fJgBV0ZIzuCeFBcGU5lsKbDEpbrKVWIIb9k50C
mSNJO6WYIaEBkSVo8WaZ05X9AfdmSN2W81PPWY6Y8vNcr9X1rrTTHtSs7ohcnckjMm/L6Vz/0fIM
sGuCxUb3ul66jIfjlIaDiDcggrO2fOkG94UA5Z29TbMydAguqMO5/aiSft/O004FnoBwIXH6deNB
9aMEJtQ8rTKwm9YN0Jegm/36Slo4yGNEzu0cbj0fA0tGjRPJuJg40breWzuUfv6wjrxGQqMrqzc1
+CU6N/FSRv6YKQAmaE70kjp8mAqOs7oD1edPyybU3m9wcORg2Lo1kmVLwPotoUBMdKycHIKYb/OW
DnLXxUtRyzpIuYfSOpwscl4D/lD3URnIQvi5erCGrklrBNAS0eeChh8+hwOsfMxI8TCOo+lL71aa
EQ4btA14YgCvMIOkEahsrPFeg3BA+hBqgZss5bZR4l42IMV46/weGyDYNgCN661eBIW43ZjV6XPI
36/tgoE3qw6fpE+3ie42FI35riw303gbHGc5DrJPiok3HQB9SBc6/L7F/4fzjikkCCW1oIZJfZ0j
+wjbcEz2Yd7N4dMnAE2kakX5zibkZOvm6k69OSRGAuI3mu2aMjzN4/hLup99BIq/KrGJ+N5bHLks
jWtwbkRjixAgL2QL7NeBf636Chzu1Nymim9tUrFdgHhBeXDsEu/pCHRF+1Eqrcew/Qw/agsG+eQ4
ATR85Nmx/oe8cVt88iMIRh68tk2P/Msc8Z1yw/gS2A55VRdIq784LJWHHu5i3F0DGCE+wU2i5BmT
d1BCIq6nDHLVA0awdDMplgQoYRWHz2zqTg2F+87i5A0HKXYpLt8iI+o98RWEQAc1NoPEH9n+iSzY
xZBLCnD2o2r1ax0UTmePDYI7qSODEfsxShzXrFmoxg9hHOdosP5mMdFtaN28hOKSRrAXopmf7TrV
mzWIg2JgI920g5oR8/JBCUCd8H208gaACii+y3/Ow0ngO+yiqv83z8MREMqzFRrw/8w8HJy60YPY
+n+ah7O41UGw6rlCRWL/lXk4dCXbeBz+wHFA0hAc0T89D4cgsQJe5jDKZvd/PQ9nFWi8RPlvmYfj
TWPuufRfmocD5B8dwN8NwYHR8tqQyktHFqjUn/tPOBBlynidl9R6VxMjRqOD6LORTTbE7hNQ5zmd
B1WmY4hyGdYmuJ8e8V8DSau0g8JZxr6h4GcFQ70yM1qfI1X9jOUSbDHkC7MZHs0KGUHVJqg6zQAG
b/LdFxP37osruq2HihlhSAt7KQZ9WmIqBdgVZ7lG83Jow7a84/iY9nDrAXsHPCnYaEkGGpFdKAqX
S+ysa4GRMCYTqkMbsyRHACTTxWfI1Pdld6rcaLiQ2PCtNOiwyFtr1GcpcAK5HZ1O2LjntBvYskV+
CVJ6kPymXBy9Ph5OorHpMIPrsa7iV9XXLXRKhbIdonpR+voPYrpjGy7tHrQu5DrpDpe2celjftb0
U9gUCUo/dfzW2ZbwRjdTAqdzoNAEqrod8iF2zNn0c3NPMNamR1WIsTrbZurHO4zCQq+dwXyLNoQt
LTqRe3i9dZ8emer9VIb6qaLSPMVTOCD1j5p1Fh9zM9GrEIO4V/5KMaiHv8cjqe5fF6GRleQBmnaM
UdzzsKqRVV/UHf0BsIeAYSJAx+BIV3TEfIcWs+IqbrfMVcvNxMq/zjVaCfe7BtVwwBCD6iZXJW4E
hWxqJzbvHt80dRMcCAKlV1drletewDZVAblC6zIFnWWY255POTEjEiOI/tyTx2UYA6xBbi6OpMM9
6RZ2xJt/b6YGY8ikgwkZjRc/s+hnqdAzwyRHjAPH2cmlJMgHP+hPIWLdoZnhPbD27EX27Kyefm7q
1yVW/R09tXnmjj/ki1qr7deXALy71AuqZrMk0a9uxiCszMlrDFd4qWkwvASy+5RJ65zifhxe4taL
wDE2mJf0+GY59ZhiVq4viy/uTs+Tb8ZzJwjSfbNLVu2/UAyXgoXhbFiMEtQRvt2OfmiR+graZ6/E
LUQvgqlP5dg+R95MMn8hwaUJ8LhIlYXvCKF3n16FvBvAxubMqYaxs5IwD0VpLwmvyoKP/LqWYoSB
Hn34OkC4DQ5X1g/xbpBBfGsDmBxWh78YOurHELYAi+bD1vxHKRz9OviVCzYguomYuLnbTT34KSDy
8zC224d+euK0F4fgweo1vXdSolEAZL35cxi8l4iEzj0mR6+CfqFL810tzcaHS3wKfCjlATGHVcQv
vPRbmKUU7NCMZW2HSyRgKz8S2hl+4mVrpgIK0PA6TGX/LNEpue55rhb9rXNZB5Ly4kS0zge3MYel
TMrM7b3yOKFuClunPFUgx/KavsTCz0jUoUH2R7ELSXRPiOwulLARhpnhhSTSO5Na78saHz0+FJa2
ppmQR3ezPlopnq2yKnQIWyroSOEyxb5RlFsHh3ZxVtFPJYISKb6O3KUYXhZDvIM/xBKiW2uLyVf8
BHnlZgQCx8yxXhZX1jsDt3XzQQCJg02+QL2oOyBY7XagIkw7OvRb0xN6W8K6fcJwmY3tEepv5/be
ShUddZAcqG6Rb4aIlCYPyMOby9OMgGPRLNN9WL6MFA+2R9z1J39t6KHHrLKB0xoAaZOVyLUemwS+
R+tpvfErDKDw/KAFqbz+wP7LdpGMyH6uhEatHCKzlTR3d5k6JEHhYXbhuz9ifCBVQKTVhARF3FcX
QKLvAuPzLt2AZEHSNvF2Rc+/Hcf+KicAKuXAP83oxpevC3Kgu6hvCAJ9HQKU8e8R09umVcBx76M/
JGQEWiukW9sYVqz1glOFsyjBcMOLTOJi8ZLygIwELYYk3CUYAFfI0TyirnhQFYmi3GXh3i9Lk6Gb
Bv4SXiVp7T6ZvAQsLjkpDgpmKUmzYxN00NUKlWNoD9JMWi3HiEQyc8MKvUD/QHmZHTct1vG+aqJt
qXr/Z9P6uVp02rij8612l+UEfxAQhLDymXYhRhmI+Ph16Spw0qT8NuimvUVNGdxbryR5PL+XAFk2
DmyUQ+W5fOd14w+nizDLohG/Ag91RFwu4S0GUZl2yUPYWSHUjtF0apHFsesI1FHLPJSec0kSSDG9
IixfZdteQwdcV0Qnnjs1DH40W8OHl0y/kid3NeoucSoHpsYEws6vIHuGM8zVqAbDMsQ5X5poI8oZ
CF87PDfN77Zsd4tclydPhuqVGfKL9GDViVgulUVTEUu5V5XHTzWVWelRcXbIkCrt07dlaumpjzGD
RpAVS3RR55VXr/4Eh8/I0r3JKYQVt7oSKae4RDVeutu2Ucm51aLBjjdDi0bMprBAd0FGqBtQmBUj
MGRw1zGm+XXE23uPBgWhKn5uo6A8RyAT43ouQk/TAhMG2Em1HgbBMeSpKHdMLrFDbRN/WW6rDfZ8
VdGltKPZdGM9nYSgqDtrsxGP163fDuAg0mCUwbXuYCQmo79Cm0fATFURtiiBVOG49Dx10VS+luqh
rYvAnJY2iI528Fxk/rWbVmNAdvHC1rc6cLaEe9VHNlHXnF22rHlV9h7iXZHAGCiCRTkvcm+6uj1+
XRDShNjQerBUDQDYZAb5H2NAFnud3Sb6D/bObDluJNuyX4Qyd8x4abOOeWQE5+EFRooi5hlwDF9/
F1SVWcrsrqyqO5T1tb4vMlMqKYpkhOP42XuvnRMiRS7nPDfXaWX4d3nke0wcLJrkTCLJAu+hsRvv
oahedQhaF3Ny7ybJEZ9PMCrUUJp4nvEyjq6wDrER3HCb525YVdFts5vQ84PUkLfsxbSzFD1eCWkc
4OsYSPr104TKvQ1dfuaG42YAdDq2TlWenVyR7ULsPWBYs4cskPkxZ0W28tMOE6JpFhc/6cqL1ZGX
DmS205uHMBvqY5P4+GdF8Ny31njDm/RWEQb5crmIVk2wynPwT2qyrNVf55yit/ao6D+eCZ5b6m+i
6w45kvrK9jNrRQjSArMaYDAW3Za/zVrUNiyyrnbLR6cXaj1pHogjIzOXlZ7GqJ74/UxRiivPoZbz
LR8evIEhpXbicmNr9sFp2TbyvkpWbVUNG4gV/jZLnXENcaPZ8AHBMQobZxm3rfNgK3+LqSHDbmPF
T8G0IRFvH4zC/p564zYbwuJOhpBqgRWSUYP8tGwarVilnRhXtWNnALRSdfaHta3cew+QWF7Y1r3h
sY+qg+g9DVO2gEFenyof00snLmYpg91Yi/tM2sGpZ0Ba1i+1E1mb0unkg59LDkRfYwcLq+UA0GzZ
kppYRIpMtinYZRNx9tZBwOoIVwU0ojRjV+fHQFVIn2zY5aM0SBxxXgU3snD9ylmmU6lfvCHMF1Mb
GjszI+3skwNcVATAr9je0Prr9ubH73S/kgu8l+62yfP4UET+u2mpDvvZYLObCLtdH07FFnOgsWS/
Wt5VXlniGv/EG5pfCBbm5zSESNlM1gnzBb8gMy0nAvc4SgJ11TEaXd3EbaFJWdfA7O6EU8sbAB39
Qx8/6KHQH3/8JjfuS0/TL2mgP1jMx+fSykkrEMh/HZ1yzyVGsbKL0m1jVf5tY43Z7R87INF4MDj+
7M536E82dYMdgWvpRLXmaMJP1u0qCVWjfAxEEcYX3DONuLVj21s48DrXZly2R28OQ0QyB2/QBdkq
HwfeRCEwIS9zV4Yvug2PlGKRVLnFVnXqWaPhWQmNpywOUpYS0lmONYHApigtNi+Fz3qxNo4spGfD
xgbfvePitneS9sz9pLiWQ3whs6TOP37RBsSwfMBO8+O3Iv4oIyB8me6oox+4q0Y1za6AgHDElBPu
6yiMjh4A6v2Yx9Uha94sxeOqq2yshqLLw40Zty8ZWa42drOrmn8JG17bkyGJ4CI6YWUJk3RjGGw2
yRjiV7bzx1S11tENQSdEhcLY6ttPQ1dLAu3TgvV1spsYOYgj418FIqtwIjLP8/eYr4bj7UDyzBKc
OGLhk4vCJcOcqqJ9zgcy8UWS5jdlPymWcsWw1BK/uOvYEK/cdHA2P155RnR1nVY7V8HwovtD/IQk
Q35jSINDazwPGGvufvzimgxjJGv0TXEswjS9Kfy2OiVhuGodrbgvW5jOf/z6+T9Mw46N69p0HBv8
h2Xr9sz8/vnlk0dOIRSbZc4N1MQ6KgDOGcX6QyWT9trZrUUkPcefIfh/4rjtD5nH4abrbKlKYjb8
wOKNkwwluYjYOoduWS84VKLr6NQ53CYFUsus/YtmEBXv0oGriSM2oY8BrpQvXlN0q7zl+dUQl1Zp
UgILIj7K5ZsltTSuIbmBP6dE/2bWyvw9xpwvGbyKlHg1pGeZv/+SReX2bVm1NfHqQrFFtYtV4o0r
QxX62pdwCfIBk2Ojc72WPvw6J4f70PjRpeXZDDcC41sh6vYQ4YcrPbt5hmekHYpKJKuA+eK1A5yy
SNVN1iUY4kdi9m7BxwWhfRPW70r4b1NetjdSr9EhqwYbaTFcDAbH59DsxMGvsmc3EQeZIWWQQfGP
MsPBiWoVH9kJPHMjyu7/+FXw+/gSgHhi2i64Gb4rxPR+l/AJSl0PY8VrWTOg6gJW/m5n2lckmfMr
6Bv8JHAHKCtgH2/I6O+8BH/kh35zgvHZDZcfBPZuQxpzS8nPL0Ez95o+ikCP+aP5nmrR22Cbe5XF
3qqa4nCRSO2gI6nCKEaEBUtjDu9m6oLhaLvm72S+/2/fCBYUUP0ljZ3OTHb9+Z/CMajFBUhynrT5
59BAFOZGl6jQQmjrjnYo8HqbU0fuXv/zd+Ffll3+fxO6SySWKNzfjib/UnH9G4jSnz/oL+Fk50/U
cljUCxIkluCSHAz+v8J2bQoB6PQChuQiyM99BH+FKPGa4qPgGgmcPXMgj6Nk7kQAosR7mA+bE89z
uN/+Z9LJ7o/s6m9evQJEGgcnUWebf4v3u+TmkFjTAOif8IkY6R5giQa6+kPWDSAQFKkwTzZj3H8p
i6WrEfsHJyp3XeYvSkciO/pEc8LXWOTnf7dzl7/dowCAO+p/oXM3y0Aymjh3STH/1rlreC2IdDP/
jzp382wzCK7s/ynOXVmExiaojX/euevL7n7QtU/fDZOl0WADgNoyApTigY1RZVOkoQekQ56nWhz9
5gNXcfnQ6sFnFbfN1oSNu44SIEdeG60YCCEqZ2xastJdWaHX7lMcrWbuyEWSsTBB4pyWTu/tVGYq
QjraIbbSd00M/RpoUMa1LDC4R7AjNdaaXgUrBSh14cImWnjROBFRsW4NY7ZsCHTBIf+KJq/ajmGh
Vk3ofBCM5JFkQE0SPguAvG4wVV+K8E74OCu4AU8s1cuvyrYIPii7PetTQA+DK3Zu1IMaJAuDd8Iu
l0bZ3VrErdZ+MIzQfeMZ42Ud9KF51HWGfT3/5irIgqbUgScJvgOJWBY8vkRKML83XXszDe5TKUdQ
/mPwiR/8GsB4vTqyvhh16m8iwy63PfgWs6tDggS9tZJV9GDW9El0Mep3bDrfNDJ7WHfNBSqg6GW2
FjkCKkEtu8flUDnel87oNrrpdJtp3X1aAQwbik870aLVIK03XzffOtithYExV5jcLUTIVxd0jHi+
+82f9M+pRhssWyA5nvE2v62XGV6bpQjBrRLkFIuM1Zc9WMe2KSDFNOOjxI3smT1UmYAInqn3t4AR
PpoJo01sxAea0tdda961LHKhQ6OdZjNlszlpVhAhDNo9QxI+k74YHodx3JNBF2sDAubJY5G4zB1+
4Lrr0qpBYrJFNfbNr7ZPbxqRa3gunOdRBxs8RFp8ykc+5xBAO/NK51FXkc+XNiTLGAhXjU9sF8gw
2/UwyNGQ/TmAgI1N1yu59UGZLr18hTciwVs9diBL3X5bGuI2bSX7cN968KKSSAHY4FWtad6y6utz
E2BGCFKxqaN8jQPYXIYFjRUYwxRsZ6yaZaSe5eRiDmkLfEezddhs8N6JfIaEZW7OR9YBUFnSDu6Q
Yv1uuxfIVMOeOOqjBDSyr4Z53+1zVeiCS9yxGB/dCMdQkt0UQYk7nexQa+HjgUnEHAeczRcNYwvg
rWWEzrJSBlfKcHpxSqjTWjm+Esd8ilzjPAhUeelSruCr6MzkxTunIozF2m7USNEROH3r6/xbbS7x
VLVkb4lKla27sPEq/4BRcOeYvmtkj/adTW6Hyk8ff7SVMvAF8mCGxXOfu9vOr+3D2NYWvj8EBeDO
uyFiKV+302fUiEcOPe+kpT4WAbRrg/UMN327yb8J0BZLiYEjD1KH3o7u7JXFVXnhpzkojzGNV6dg
x5zkcbCpNC9mSuU6bcIoh0N6VhUJJVyIBxik1sqar8F5xZ6QJfeNGsgzqsYVbMXwBJneZx8l77KY
EDLkk6v5H2M/HXNAaEsnjC5mnnZX7Dv6ygNlhxQK0UgVUbFLK/GFtlIvGodLSmnLamkkkOXGiMVi
mt3VVlWfwq1virumef3SsW9VlXznWd6ii81kYUygay14aXNSP8zYWEiCkLdkM+mHyWV27vqdFV8C
N9jbztgT9Rzwi8c6pwuFEDbTMc6z7q3KclDucm8mxrkumk2UF/17ZwgqTxi/4+irScPkHMxUDC68
pxg06QJk83KsOjyKCecxx1FGAFxc3KgwWCsIm4OXog0YFPuq6lbVJ7aJG9vCq9AZBa6GBFHQLKJN
nfn9rma/0QWevyLzqzBGGHtld9mh5kDzcICsh0Si58J2XMMcmxadZ8ULP79j71GszETf+34XL21A
xYcsyhc3shitw6T6iMAzTLsgGUYorJhMatndpUHyzdX52YeZ+eOgJv0msqd0zPZhFJEMs7fSrbT7
YfD9nRVA62rS8gha/ovDreKgN3ZUnMhlXZXOvgydx1AXy7r29ok/pmsrryJaPORNX8ORz74gh4V4
YL3+WPHWztwiWqRxRzlJNi35SU9X6d4nbfymFUTFq7Gu7pumuQSpuiZeQhoZucIfo+DiDGwXAhQy
8jlci6DCrdIpqVboJuD/nb49i5jtYteyskq9z7EK5APJ0YBV7gSF49Wt2kXjhXKbZcalMQ1gjCyA
6zT1jimB7m1RuG+FmJd1iPZ6Qqx4PNR6sBisac3Cr5XxsW5kvUEwcXdW/93hJn/QWi6xHvFkA5xt
jHq30RxzWA1QXAN3ilbN4HPFk068H6ZrV2T6rq4x6MrhlmF0i7ZTLtsse0oCaOjsLdHHNJScQkh6
S/qcWKZvbQAEznzbXTYOOHkm476SKn7k3veiuYCBHTHVV1kA7S1lyNPMk+EKxqB16XvDXjpZtNZq
eLUlbDzwNwBk7CrZy3qQ68gcAEkUGsxf2lU6VC1rqFYuB99OAL9pSwluv9m0tZMcrJ5EogxebO1d
L/FBZZWRXZKiU0fhTKdkzDCeWoeo7r+7YXSbNgwQtj3xqk/VcRgGwCvO9E1pWJZzJ1B4ATncBfQz
glpd8i50tVcxgOCECKxnPpHHgoNt3fheeRri8VTrn0ZsfNi8xE0nWItKoEtM9smxJ8mzMyUhEvln
CwOo7SVfAcma2aG9bvtjGbGmg78/LCzR3rejvkV3oPun5XxOs/6b1m7pdfrgC7jmlA4cJZUpi4BC
gprqG1aU+ci7xP2ucW8LaLBILACLZeWAf7DDfdg7zdkFNoDWrbZtPIJAj7ID0DRjb+XRpxpDqgk+
kzFcQl2GExruRlVdXM6+R6sYP4LO/5xYZU1VdNGjPJr9BRCgpw1kh3hZBeZVOOaxxPS1ho05dlfa
yfxL2vQrZ+J4CbAOsi0S8JGnjH/1BLofMiWU5ql80IyMDgZZa8vWK6OFBd3TSoN2A9mQgy7iYAxY
9h4ENvDBLuubqsGaL+1xqWo8pewbxF4I94tnX7PJnGgZXTR+ulD/7DfpJzVGe5duovqF+w7xuFBb
V5zJ+NliAqJxTF0B+3teXy+mqr5EQmxNtsZEwxgziM8aIM/zb2p4qHBrjqlkqY4CC+pP7KKEWaPN
u0Pb+5gahmE3UCGFiNzypqyKpeYTWPP6+Byz6VxXuhVt9Wx81Cf861FbPkSOsy5zVG2H3QNgGo/+
tAkTqE9eKplt5vJLH8fdYMt35fu38/MF88e97fs8eQy86qaWqQ3n39XI/GKfa/jSBh8io+GnPP69
A8fywkrN6MYYSNq6KWNjqhMm9F680X4czKpfxJU6FG1GrUROEtkCxbIyB+d77Q7G2Qtxe5fgvmuM
6Vvsx3u/yOqL5lizrbhf5mbOoI2P+RxbxbOqQO4ZWn0DeqA6Qml8kSIE3m4lwenHtflftj74ubLn
f/33KvbxnPni/7d3DIv6PXj/GZc2dyj++JhfVwwu5C4TiNlfqMosoH5dMbBYEJaQFsY2z8Z69+uK
Ye4NpddVMGFBcbEMya7oLysG/ojdw7xgEO5cHSr+qRWD+WOF8POKwWb5wT/YND1qSvlkv9tKsY4f
LVeU+CkD79EEjUTL2FZUPBua9g4zun8sxinfsrr/CmW+lGjDW2d8VoFDrYm27qpYwNsq9qgBARFK
eXQqRTZleMcF1CwB/j+NEXOSW9BaEZVXW+vFeazLK2ClL5WEiImiWkddeRQq57oCGVjz3WQTscNt
DdiCsXTvJECCTaZ8CkE8nriTkS0H6m/WeqJfig66S3qmElC/qdHrlmldWcuWp1U9UcgRlehHRXEB
PlJtPCfA9J/FuxEIcVUGzSqJ9hhzP7hcHushZoYdDApjOBQlqssFluZHbtjZazYeENCgAMd9CvgT
759u0oWg6bCbjSDf6thlMh6lmlNTKWjb2QWvV0x0kodR4VOyoLfbzFz42PKLjjPLps1mbWohGqWo
l1njWmvYzFVeNauxMa9VG15NiULY23Bfa2HeaGp6bcbx0VQRwSrJ7c5T1j7uIu1S35tjeylqQSh1
eulYW9oBVA6es4CjU++96mh6S/rvnc9Ti4R6taAb7pNE5Cmat+i2iz5m5xuCyV9TJT5TMvZT225r
0Lb7Lo5OhOjXoTIBuarhbBMHITl7X3Orz5uqWFmlA763Bqbt+/qS/JUq7lLKVhaOK8kcs7bA4bXu
eeZzhaK+BniAtKLHMdgYuTeuGcCmRdLLFETKgCwE4d7q9/8ZLtaSHs254DEvvWf6OXbVzCTu/Lug
oArSn8JsSzD20BuxdzALcUfxAzyIOaRiE9WJMvMtib2bQg+Sc1G2VCKGw65VyJsBhXoID/GuSmoL
BwRn81xXGdNbCdmYDh93M3lteaujTJtEnI/AYL+aLq1PUV5m6z4Cq1DqD/q3IUuDXWUxMJlNm2Ew
xDlD58pr5gxHb0qsBXEukhrnai7bdBrxEsT6p+ZwsUh4Zm4Iga8cyNEpmvCZe/lwNesQmUsjSwaA
x1QpX5hvv1Rz1WfTD93WtJNl5GQMigN9HJAANtV8n9TnslAx14Yq+kPVXCSaBFDG28ZZFHEKPXv0
KUEa1/pcP5rQQxrNhaT2XE1KtKmE7w3tt6e3VJvah9SkyLSg0TSi2XT0Sp3lCmWnXLmtpQiyz16B
CTRpRB1pRm1oSJ1d5dij6sIsV10GsRRFJF3XNU6ygnaaIix3+G3UXLvKAiZgUK2++7x7SIJA3aG0
E88V/Qlj7xPeyXmLy8VMx/I6eGnymavZuqPKykZUnrq3PAYfsBLQfGpgv4l38IK9CD+coFpqsKlk
DYSub1ky7BMM9yrt8FjVq9J8zpDlK5YyYf86JXQraCFNU6/N/LlYH8VfRbONNJqUcArpVIMdadvh
EnsfldyJeMSLouI1x3qmee7ExrGven2Y4BRX2qvdPlvwgfnHBZ6x0HejfalgJGRi5OtB1+Sj8vlQ
tj7ChC4s3d54HDSeHtPb+A07wZbvLNWn4bKmFGUom7Xw4del8db+KARKZfnWJM6qjW1qYLwtloPV
8M6ZtiLT2gh6mRKYK90NXJSdMblbUE4LwFOLFNbBpACcsJl1AzzjtFSZmkPrj7eook3nnMus2Znd
6CyhcwwPZprER8MA1tYg1u8iNyYY6yqSV3rbk3soCVn1+ZMw0vjSuDSD1Vp+jXwtAd897ZIglSw9
DKAbwedYErzDCWvS72KU2wBj3L1jTC/U6zZcw6Nw7Ua3vAu9QzXxFw2DGa9Tm1GszXNv6ThRtCh0
9ypofEGP9Znu06Rjt2Af7SrMLxBl+G4WbExGlo4LVxpPeuRiAi1EyMxWkphw0KMDptBV5hjxGSgg
RiyEO5dZm0qnYl+XNsavwrsLjWYDtcVZhp375qBVN6PZ7MekfcJwsDXNpl6YRv5Q5wE6HDmPNdBa
Y0Hb3I2RjwfhJB9jPGJ3rONVUCOGSgUXRtDEyUpokYfeTVnbnNlRvi+LHn5EP9uStOndwEy4z2zY
nqTUi2Vm4neWYnhqqoZG0iAKYF/l/c7Hy7n1e/VsqMqE9572y8gkvVaF5g09bLh+Qu/B5N0/MKUs
pMMq2kVsX/bcqXliTRCCEs5pEUimTnhCpOtj4AXEQ9Q5K1uwdxn4a5DFa8tJ6+WA3Uwrh32c95B5
Z0PU/4yh/1hfiMl9hbnsb4+h/1t9j+rit3PoXz7o174QxkV37o4k72bpMJt/mkMpRaRKxKP62oYO
On+qX0C88k+CJkr3zx+BEgWL7pc5VEDvdRh2GV8d0KtUav9SsfkXJukf1X+b8+f/jdXEdlDggP0y
CoMDFj+I0z95BShPtuh4zeqFCG7h86fHSAx3uq2Fu67kAjgW9Yo7XrGRAXh0M4LXZNfGFsKniRfJ
YQtiQaUpas1bu0XNfS70x1U11+ZM2Dl3eL83naz8tYElZIGVp1yyppsWbw8p0vUicsNdmw3vLXVP
azN07oh3UbhDwIrYWE8R0ETWjibmgAhs6y7rieckEQLbrFyefIg2A2mDmUshw+5aZRB2HT27rT0I
GBntWMLqvueVxrkzFMZtL7buKEjvpizv7FoBIA+aHXZhWn4VLQ4jax5DUpnRyh5JgJ2oDrCRd3/7
UhOhSztJm1jpnoDkQKAz+Cd0A4uj2DBYzvH0ifd+gzEsp9tskSj+oiEI7mJlfeHWXNF/tPV51q6F
TpE2npdvySzCmAP/c8duu2wBzic4NjMB5NDHGrMeI7kPPM076slw1wPUDyLb3TcJIy0ZLq9C/XF0
eSTj527ZCwQri05xmfrmUqm+2NQDk+9QUxDal8UHqlK7KYjtkuiKfR4UJzdprpHlGyQk8e8PmKSB
BjotAeI5UaatvZK40zQF38gCeKA8aqBQwW0mCA5UZZYscFfymFZ0hHr+2gIYD/P8KWsgfrjFGG8T
LLlHF4EJgw9I06bDuxXigmZhPnxiXbNuqYRsl3GU6ievcbKHWtj8aBxgtW2Qr+tq4AmgrNVozx0g
NO9NTnKMy50YtAA+iPC2TlMzaTd9sJcjeT+J0UUArZIZuB0WTWzuyd91h9qQIdSaSSyqBqRWnzU3
Qetvslg4u0qRrp5i/YTlsVh3Acdx0mZqURDOXCQ2UxpQ+heiYGh7TUy/AY8UQgnps1XoC28cyN6r
iqd/N24NvEWR0k8c/rjRmFvgV4znkHKnQEvaPSzlt7KpefhnxmM/lV+9uphj9cXeOVmLJPnOXnSf
kkrf9n3F49afDVCgx8r6vYi7jTe2H6mCtB7nQEz1BEzvOJ49AptRah7drDtrffccpS3gKm5fdjOG
x9nwm7mDPpsraMRhM0bUWdxGIj2Nsr5j8XrhaoECKrqzq+lbF+AwagksUuHuSPvvM/pc1wQeXix7
fHdb9WF3TXRS7bdcm8h1DlV1AMO7a8eiXFqppNYt8J2FZenjarIou2rLcBMko9gEYU0pIMWSGT+y
U1LKFEUAIyQ+qnhHDfYiB0m+lLniQeanB+UwiDUFrygM83eVxUNZ5c4NFSLM+oT0jSS/G7j1uNCX
103sTVh3p69eEkNIBlNuATski9azXroZ6gKWh0Jtzb7VK04wFecPnvFhFghm7FbvhRW+t1yRsAzX
DT8cdRg8KooKksqmZCSNgT1QnHQKDJB5NrWyZh8cuwFDGmvNdSqStdfFUJSofJb8x1Dk94nASs5L
O80Priq+/Ig/U5pLEFedSVVshti790obiYqminhyHr1C0SEaBJS8Vw2XsIYpzbCWlg0hiDbdo7Lj
favu+jH1aJz34XHMOW0DocVxNpQao8aWHUt3IwGVNiTQknHWZAZpAmyldVQ9s+xYDRaNAHph7WJD
o8WXXsXW07ip1PqyGiTltZOHSPgYpIEDdMUx13ZnnXy71tf5yCDfx92R8ITC1xTfuyKPl6o8wuOK
74WcVT12Dq3HTtLJM7JBzqdT++5Wb7o300cf51+Wpop7S6F/gIRF2KssD28tJqAE6kkuB4jOSURq
pTn3jUEiwwq+eW4/Cw+6pEAm6U8lgtV9LZ37forLt9LIGS57xMe2HhjFOtakrOfVOsqIh4X4DBeG
TDt4aEOHpDxTAqOK/UPen3R4MiAnBrnV0xJ9kJtgGxvV0TbbHsccDo5uzFZ8k5tNWiLIM/9eOLgg
grH65WkDZ0WEJvgssF28hvqrPQ7pmROGz7jqOy+753jjcmkbuLP7k3DIJvuB9UpQoHizniAhTDeu
mR/JK4NBtUJ5sIx4OaR9vRsmozySxSXkjv7HMMzWgdAd5TGWA9elik8glCmIi7jf/8+Q9w8OeTMD
+4+GvMX3+HerRlaK84f8WrXgGWSqKHcjBE2/m4cv6a+rRunYc2c4C0cw+bPR6Rc3k/snSNFCCPy9
s0nOxGP0i5vJ4Y+YyfBIOTpW4H+uOpxClt+NeOBUhWswKVo6Do4frQ4/G+DGye0MrG4p/o7+Jori
T8YLZhlfHtyedyuQt2sdGmIx0v4FL1Vjh9QfDHYNwPA+i8Z+13VqCezvCZTDTQzzk2x5de08bjBu
Ep4p5z3P0fWms/F1BNpBlkweaczeTdnRyiaRvlPhnR57XIP0YYMTBugoGEJC3WJa05CDCVik9orN
FX3TKSe+8Sx9omsh6dFVSKd2tp3CujnydRLIFPIjTcD7e5j5iYQT0HdQzl1miLWejgvACJQw11GP
uxJLeuXzBQHf34UFVD4LG24vyve4SqNnS3wvA6CyqtdBHfAsiFkbED8o4G8mEN8tJAPfojIypfuK
os59EGcC+wuFYRhicehvhiJS2yjNbrKQfjuGdQfVJGQ56TH3WAnVs2nkvXH/5ZE8EAABF10KXAUA
Yy8g5C9EG7QFeD4KHGbOkG2qtalWlUzlMS8b1nb/MBu1txGPTSIWCJl/j40qKY1Dn/kXs1Eja4KU
7hs7EbHOa7y55/u/LxsV/Vjb9kq//FewUY2ZjWr+/8RGLbxpPESPkJmw0ln2aycBZubs5ruI3N4f
sFETXJZl+NrguWxnyGxGRaVh5DvK2A6ToHraLtsvXQQknmC8hEi9GU7OFkdnQ3Bi2c2qnT7rd5gT
XsZZ0dNnba9H5EsQ+4pZ9Stm/S8IggF9lrXzrA2GiITNrBaKWTf0ERCbWUm0kBTtWVucZpWxnPXG
BOFxnBVIHymyQJK0s1luZCCJUTZbvMg3lcdv5KE2EUakpriRuPyXOtILZsTiGjQBMXPY8YtK2NVS
H+6pa6s3HVJpj2SqZ8BT3fGLxLwxK6peig9p8h0cGDQJkoJnVDWonhFB+cD9f5X56jEyxmirVIdT
wgrPdU1zk04LJ92BQHQ9y1/KgVsqbcSAQP32UGXORZ+V4IKNQFX0cK5xtPTDA6Hvb92sHZP2Wemz
mpykrcYeMP8yY4MdOIpznkfgiHy1Gn3pLezR8QnGmXclQnWLYK3PyrXdG2SM0bLjS84Qac4Kt0Tq
9mbNu5/Vb535jtA3pbmzMi6RyMNZKw9n1Tzq0M/bycIXIQDsz9p6N6vsgYne3rf5AyxfVsizFq/9
UOVT9Plex2fozpo9d9YVK26feplrXuyqWdufZpF/Fvtn1V8g/wNJnxeC0UJgDBAYBJC/P2ld/ugf
sSlGU3FpsBJoWApoWFz6n/3sM7AxHLiz8yDCgtDNXgSyKN226es128vmHLbBnvJjbYUXmtoNi15P
8ttpa31PZ5cDvhFGWYwPVLGhCcxeCAxB1xJzhJNtWZh/62bPREPgeRniDGGCvIeJj2dAsycU96OY
HReFSFiNRl801u+D0j2XFWAdI+0lS0fzJGffBlmSYA0dnZ/Zh5Z9pm1/yoriNNELZsP/RxmgA3AU
9arXyD6lblzuHcVdezJidL26PiatSpbJ1NcHY6ATg4RkWdf9XllMBOmUeSjrFQxXekV6VxLMEo9T
Tym053vngPGBjtHxpm+hCtCg91GktloWwMg2fn2rjdXFLvBWynkV0yHYEWN8S4bZm0VgDuQZyexR
+nvThJPepTbmzhh5zaUzmjvkaGxb6V2NrjxXI6sllIbXPMzklquuH5ors/U21DjM3QfaNdati15i
CKzN8MYrGI2qMtpnbXw7hBnf4hDMX9tCETIQAbL4uKkMiupbc2JrO01v5VQ+B4OFXmIzAlB/kq7p
PI91bVjDoaHUqOIH+CULXpR0xmgLrXYwWVfpU+kDyCXweXT7KYcf0b3kbkvxbVv6a/K/cYincaRj
6Bh1DesHcvVsKaZ0LdKKnoXI2nMR7qmDNKiqjpOVGTA1dXkVg8cbN6keaweVRRgjinbLRXsL6Vxs
B0RGfwW4UKyiRoPZSvYiL6iBpIf0lJfTe5P2tPeFDiCe2tsapfmRsZEmhd0y9oi0vMh0osyCt1nm
JrwbesoHAf90IWAKnCarDIjN2SzezHiKD6wuAIJE18IfA9xJ6WuZjU/KHdkrhQrLq6PKA5p3eYhr
SgxoiOHt75m3qQoOTslXn/WBwJ8ycLGewm1v4xUUSj35OpENEY33mMQyou+sDUqq6gimqht4vxfp
ZCweGtmvQw7nNhIfiQGRvvBJhIdND5Gp6Jfgcg3SZTAIPJUbL1HwPfNSWEdarJ/Zka0LGAXEuQd1
mNpdqkaaalm5rcIhWOFaqS/9qI28c9gJwmdYyFi+NS3sBGIuNbI6WL8SCa0s9HI/lP5pJJ69N5Sa
SJvaLP9b/YJAtUHiO2DNuZkG7UGWH9KB6Og1L1LLTmrSvtuthmNKbRnKF9xJZxZhcY0VgKfUe5ga
n1htsYqI0AUwjJjPf7irbJW/gZXcF3zPe1PfqZktQp4OX/OlZn9VivSt6HsaaWAt4t7hHqykfZP/
G3tnshy5kW7pd+k9ZIADcACL3gRiDgYZHJLTBsbkgHme8UL9IP1i/XmWpCqp762Suq9ZdZtpIS0y
k8zICML9H875TmxhRJ4e83w6h+hTcz2/SJFedcI53lu5eeulnEMOUZ1FsMld+7pjfoiTRztORnGf
RZAW7PQqm+xtYOFgnBPX7+JjNKSb3MbuNrtHWwKZL4yVlCX5mhpSgxszPGS9B3ChW89TscGLCgpV
2w6p3ArczYTeWrumap7FUt4rU3Uud1ZT3uda+oHEDxVRfjI9PqeSPV0TfyypeMjy4TwnKCdmdYUG
UCUKa08jdNVr+Ew7hPZBuynK8hK0/XkwmmsJ02oCpEqO2X5sqOmlABpGglDVrrsegNWIpzc218Ow
ny0GYz3z6HI3Eh86EkcH23pdN0y2xhGUa3gNAe4BC/I1zrpXs+vWgzacu5/fXtapZLGcuqR5Rmey
zTkpatN7KKzgqIZEP/4Lh/XUM9Dh98e+QMiYv1oa2lBCGegcdonsHnXd2CxFVhA/O2ybkXFZwmNG
D4DYvvS2Zgmr3TPdZmOylTSverd4AKWzXobw3kudK61N3vWU8oAgAnKKSSsFvccgY/hA59FBfKjy
5FuXkGBUk5zqWzyZdBl3ZvJeJC2j2vE9yTimpOM4K2tIFNKfFCyrY7/aDdWNdyH4oYHUQ+bvMOfv
7dSRMHyTXErP2UDXmZ5Z8RqJLVeNEyDcHSuic9odzgyxGUVXA1jf9UYonlyOed1r7PvJLW4574Fn
iulbTuDZJoWniRJ2HTWCYW/kvvdere04Sq8ZOlsrueif57iPP1qoCH6DpzwLkPvPNR5qVHQm0dwl
hRkObCajZ3P8ssPoqx+qz7xv/GaIeNgy1KCpdo8tbaa1Y4Jm62JfoRTocGSXZpJte1fubKgqKEzU
en9AyS3of42RBWQfvMwjcmDXWOBUqgWDK4wLfztfSX5sbA77qSgP8FTpXY1RrDpwC37eORcX/AN7
QnnvtvA6AEI0IJC1XY6SopqUDEDEd7lWvXvG9JTVzWmuRX8/Rto7K5yNg5GBqb/2ojXtI3upfl12
jC7TtirW7dzo+8q5GtVJWyD1PLba+EqgNDPq9NnCDbqBeGIh58GtUWXazZRmq79mTX9k1mQw7HHh
Qf3TYZMSthX/83/8ZuL09y/8deQE3VB53eT/lu7p/MQ6T7AfJPST+ZKwf6Nu81x+g1mUbSFzEywc
f9kqsnAkaQfNHGMsE5uk9We2iqwhfzdy4mVZDi/ARiknLEZf/P4/bBUjk3vW4mFbYd6nsgy0E3v7
0Ad4J9ZJae41zyjWPxDEOVYbzq3/lxDE1tRSqcP22f2fI4iRdw3kOpCO/n+FIHZ6ZlyycCHv/1sQ
xKYw3iKAEOxfWZj8FyKIg5A2acDk+GcQxGh3x4NnJf8aQQymqlwbTNeO/+UIYhMnOYpwAuwZEv+b
EMRzLq9rjIC/QRBHo12d3AlT1r9AEMNSNE69jRfkXyKIWSGd2mr6jxHEloTAg6zu34Ygbu1F+pkR
/3+KIA6SHbf2f4ggtqheN5r2ZxDEYZmeHOAy/04EMYE0Aztr++8I4nIoyXTCJ/mHEMT6C1PsP4cg
XvQJqHZY/yEEMV7tbWblsIjiqrzui+I82WREZHb1KRB6ZZOeHGpt+NDt6Wzj8yGu7cYdg0NrsQWY
8kua1fT6aXAxKsw9cMYAAxdmvw1SHRfbJQDOv0oz+2yQSZMNONXq6AOofbkOS3lxinLD33aZ29zw
hxBj4JwSLCZjhxS5KLrth/D7JPsNHfiGeVC6jvGhr6yw0nxN2tUm0Sp/NLz+YoMj2YuGyK8+RJTA
WAU33pyRRjiCZ7drn92mMpq40VaApCVMBbb3gia3CpddhgzY5xUgbWbeZszmd3hPz33s7lxnwGOD
IKKOjIckrq6ZE7RHj2rVS9FpX7Gz7vFJaMMqQgviGXx51s7pLsnCK6ex26Mp7LuJhmnhSh8pyQED
oQWlhY5LpcBtAebF+lfZA/Im7dk+yNp+6McLCQDNGiwgugavuUvI1DWy5L23GOMt0CwxXrYElLJg
DgKNVIgwRIjtbcduvDGRp9cJgXZ52DzlmbB8+t31khV7D0gMPlCj2jhhdhp1BxlKGy2nzvPgljkC
WpL+nDjAwAtnNrdWM1dsjhkwBe42fig42XcTtOYp1R7t0DowtmgPGPz6NX5pJ+uhkbKvQfXXMOMb
stVsrqNiBPIdONh/eBsXPdkVAo9aOyHnsQh5XulV/G0gHSEaIbjXjtziES+2pdYkx8ALzrAI0k3c
pohvYllv5io8TeOtngbVbg4akhkxTQakb0EnAbHEcmBnkMHGmzMSh6t5zTo5FDHhlxqBYYZML+bY
vZVL/85QvOHOHL7NnTmxsNKYJHo5WMO0vl+Cz9xpASqTAqCctMTFz0eAqPsBddo+cfR4VeU03yhH
5ggGuubyK3JEsGnn83MCS3/jeXl/hcTGj4CRya73PTZn4QRRZswxTQ4x7KZc39hd8lJ1sKIm2kdL
EiDc8TPER7zVuyDdTbp5ScLyBI/sZUJZ5nXtZp51HVkUYgWCtd5Rtq40ykcmdr1YG2zwPfM6nitx
PyeMQ2U9XRFzxnh0G5Yu2Ng0xB7ejgwYJqdaw9rbxEbIgwzNqc2cA8GKn381NX+kqXFcwZzhny7Q
H+P2s/+tSPLnr/nVrAO6A0sm6kOkjfIHj+PXDbpJs6KjX7OxyghDpe7+XSQpdISLtC0WS/bfiSQ5
bFjJ/yqg/FPtjE5j9DuRJLQS5JZolxxaGxbyv2lnUBg6em8iOZ+L1NumyGXCAaPf5OhQdGOjX4UN
QsXWYqjeKqimxx4W4MyIF/0GbT2hTa7Y9pp+XWrVNdr4J48L0UUAlaKFqauF7EBuMTsejnCr3jsv
+tSt/r1beqRoY/Q6Xdn9MYLuKYLkKq8gAmgTGw2PwRRsotUAFPvdInLbbPECxVqNXtvJoJO62nmJ
sTbWoT3Ct70ZwfFzYjvk1YUVW+xnR8nsZQOPPS9nBOaTvA0LAo4RBHbRwLPuZvVDGN3UfQH7warn
TQ3ivYg2pizHjamhIIKK9QLOoAB2uDYl3QqbLwCjlafytIMVQUICqpuJF7LSXhGl64cp9eAUgJwq
jVXQIIuUA0LzZG+kaYqErLgOokECkJr6taFLycFZRf7SWndiYIiBPFXpb5pVYgOLyOkz/UIvDCzZ
ze0yPsG260+WZ+5cw3kwBYYcjVz2teNGX2355ArQVaVKcSglCzdvQcMdsfbSWBPkcvLLJrobKtMn
w0flsjGNR5iN5N4TuGaVtVwQV9cM7W5CIa8vEal8TC2txXKOMuZinNWHjgtyE9RkM9vYIu22IwIF
VCYhUdlXry0O+2/EZR7Tq8HAbNCHM0P6zLkMPXzOr9BmERQlOzGH1QG86Dof03jLN8Eq7ATnBnEa
RzWOTSe5tBaiT/ROxcbttddwch4tWvLtnCFdZdlB6FDWXvKELw0NABT6WL26o/HCkSrAWMK6EuWR
UKWxw5WZRqfGI7PGzfH5RhpWBJB/SC8Raz1KzdC3Ux7d9LW17Dl6AYU5/Nyn74mWjzdjbR0KYuPd
AZiJXjxqhzCfnu1sct+9CMaaNgfXsk1b3tXhEJXthVDF4BDjUMBV7R0SF4H+JMiyCdEY7sOFWWiw
RUGBXKv1XOL8kPTHpguwob4mmPqAZXohUqf4zLLGYCkHE9McNUw/clxZHlM5hnFsMut2W9fJaRlz
eSlN/TrtTNJSYShC9MfnHknb3EbushMx5n1Ly4q1FyIYq2CcXQkcWbiZRyqlFphxY1RrabFyGu3e
WI0G/A0z5Rkx2EfmC5YGiSsMc8rsbiLDbI+wv1F9ZewwVI3nFCt76s74EJ81q0XC5l57VDwmZj0V
NborIXHAomGTUgbOA4mF0V0t0uEKBtFb4ukvVdYaQIRNXiV3uuBuD7G5AzbU1+auV1d/3be9X1lD
4QeqMKipEDRVKmTUDIsqHowfZcR4u1BVhAnlRaIKDUeVHDyk50oVIZAR7nmuim2YF/yUh8qjAezV
KDHPBc10FgnK4z4VG2oTQsubsBdnQaBRa4GGgFMMMfnUQLY91FX6IEUCzI8chy0ppmARgiw+m/Zz
MOSPtRDUxelLbI7Sj4V4nwvAsmGXPKcNLSlY5dexHkjdWayNloZPYf0wGLiMEOfk1BJ1vmk590h4
mlaxclyNmSavKM1YvczLxkpBqDjzfDOZIULoInpK3Op7CDvRC/vcz6rg2U6fIpdFrVYCies7KnrQ
dmC0Ay28ZlcyndwWaYrxIKPBQ/29zDswlYA+cUlmyB1LyhLLK8YNi/wrOS43CVsmMO/ZoSxJP3QL
/Ei9Bm6YnQunldWz66BOLQ0iShcH2r0AJuxAGZgrJ9xGS4gKC6MMtpIBKzd+r3ygK8hHVr5BPzQ7
APZ9mflFB7Mhl/LYRRCR69wcV1WWeJtFR9rQxmBWxq7Zsq3ORhPFQURla4w7+EUuF0/zzYNUhdK2
5FzNKJOaYUPuyOuoad9dlkuA8svPpOle2PHWMuGM7HKExL0H4rjdCkTIbFAWjpHwNqwaP1U6ZYDy
B7eNPjulYC7t4msYbsgm/0Kk9Y3UJqL7kDxrAdrnEBF0ghjaVapoT+mjI4TSAsE0ulUSsiO8VlM7
s44jiUcWT33YARQw0XFzbzB1quZnV/OQN40DqmwHeRegVQ72RStolvSrSqm4+6x19lobbAcE3nQW
2bp2B/4QY/xtp6ln0qYhyTeIKPm+Sik+IhnXZ9JKUZBrNvk2dopTiw1cuAftIJTeHKXU7E+Sk6uy
1+Y0nKtF5psuBfE62LYfKN16qhTsnetyZc6Jfdsib4+Vzr1TindDad9TPLjEnWXNyVHKeGAB0cEM
Hi2lmU/R80pR+61N7VwpXX1QunA/jYuQYDlaG50sQebfqxonHZ0eq+RipSPTb1Hrm0dD6EojLE2U
A+0lcqFhwz0qM1KvPXfutqHIvmfSkrzc2Fo5WlVuUbORWIhVYFGeAbPBPVBA/gRLHjHgS/yGx1yL
cBoMWA4MrAfWJLzTjB7cU66ETPkTfrClSywLHdYFU3kYEuVmwAj4ngY4NvOOfipHj23N9jrFAkHX
dqcXHBugtqqVCM2ON2Svi++xck90ykcxKUeFVrBHNZTLIsVugW7uyvWGZ0P5MDLlyKiVN0Pgrfix
TEmwbSzKv9E3VkP+MERU5e1I0xEBQbcjJl3cOspa3UakjvAjPYQRvC2R3s4aQYE6phEH88iIiYQZ
Fggw5SvplcOkXr5EUrl+6bJL17k0VssM8LtJg4WUULXsCay7KGVBH+n9W4SNJVV+lvvrRnKbaBG2
vSSGRwNIjAjW8CCaGh1JFM7QaRiI/8hFNz+XQLCRHYcSpjgZsJMxcSCAFAOH2iRA4jM4oZob+H91
Kn+sU6G9EP+0U/HLOP/e/Gb3Aljgb1/1a6/imEKtSGwwAS4fKr3Ar72KRxcjPan/rVVxcG390qvo
P4EUMC2qThuI/g8N7i9qX+8nT2B3dPm+CF4N+0+BBaRQvchvwQJYzYBuWiAMac7Ui/jH1YsHiceI
dY2nzMFKWZT54yQ0iDFSYpCpSvzFt17bfgaewyI+uE3G7pDWCQVRzw/j4k5rLSWmT2/rL6Cldy3j
LcQxh75I3xsvOJlucTf2CcnMxM6Prbt2wjuvvZFkCSME2aJ1YDsPSqiEu5Pp1+QsH5mmvGh4I3rO
s3gyv02m+yaXYt0MMGJ0CX04IOxtWmJmYXm2ZXxyL4HOt6mpMB8WtRZmzDyHB+9hO7ZKo10TKnGb
YBO6sl5tPEGexkmvkMKgSCaSpQY8ydhCV0QUf5aW8SrBFzEzcSeY7c6AqZuBcZkA5nGD+WDF+htK
mpXTmR99Wn9rSBnZClq8VB+ew87GaUYvsrVI6+vwAdluTTIvK2D3W0Lgx9Rt6rr6FnrlHTEt64Fj
0qCyKkvcMIFBODfUe7A0JFUfbMPGsxwFfhuMG8+qO1CAPTt1m+YjIgs90N8b92KN5ewneZZv84Bz
KQuZoxVJckvaVOM1e8Q40yFnTbsqZWCuHZh6ZT4RqyiyYxeTbRG0wxbFFd8WJ3SOzWNq9IicCZRK
DkEwnGxZu7INzWAG2l+EI8DfRVVCxzhs05KZnoX1eLKI8JwoGfQas7M3m36ZCoVKlT5a+PR6SRxQ
DOUsNnoIH8tc+s+xt1a1eMoB0q9nYmz9SA9PmRUdc+1JtEhYDMGxGuomTL1aXxsuFhK7GMNtnxWU
SOS4HnTrdTYRWsGjiv3yzq3m4DigADhkUX1TWRlZdgt6ENhk+5geq8wAhge8g61B890YEzEQTruJ
8pabjmFtPUYCdpd9LtN5O5vw1quY3BKUlKTkbYkEa4/MEjOHxBRwA75nvQP/LbeFmlmNo73p7P6q
RCa0cuLQ2Osd14xL0VnHMBgo6qcz87sBuLb20sQaUS6Jvc9Fdx8kxY6CDZfvoSvIuRVJiYbRdF+7
SKcLHhCIEcBLX0DU/aJhbWTikOAzQvFgfAW2/rJEMCMXZsvcbevY0chNTOdNo1rwKLrBE1c9TAk1
IHJRP6Tmj4dM4stD5tkR7GCmwMXc+rlXLX5rhoha+PZuCat4YAigxgEOYCY1INvUS04e7ZSH9E3Y
D73MeA/qilqMaSJBOSt0YBkRuMmVkbnHLD96xzKEH63GEgbziZ45RcG8Qqq5hRpg1N74NPeJIE3T
50fs1DHpqJh4DEw+RiYgeYReyz7zFC25cvBj3CeqB2MdTVXKHYvKijJ+nABXhwCjXXAWc+O520xd
gr26Dm11MfIBeNtZXZYo7RLY8FygRbGYhIt8IqEDEMIda6jLFrxX4schnm2u4ZwQgU2PIXVWztQ4
j0jtNKyZN6kgzk85WAF1mqsqJXuYIbm1LofURGxW7YTyvvIYE82spKh1CBhJOWQjrLJpNmen1rjE
ypMzKneO8cOng2HHUs6dMAsiP1Funkn5ejIRoqUEVLaXmH5q5f6xlA8IbcbJCfTlOnsplU9IwzBk
KOdQj4WonCeTBFHK8nbK75uR/JZ5FZtFdi5lfwFyVa8M5UjylDdJUy4lUrKtIyA81M44mFLlZUKD
A3wAd5OjfE69cjwt1KV5HNe7FoDfzlC+qEk5pEysUsiBmWvLpt8Q29tDe8BRlShvlaVcVoQ28u4q
51WgPFi1cmNNypfVYtCqlVMrVZ6tTrm3PMub78hGxKZnAoFqVSuyhK5z0GWv3/KU3wOjwudhAwFL
HdqtXvYQ011hXUK9zs5aTVsrdh4n1B1AU9cnWhr5axRxvFYy2WB7R7UN0YvY49i6xTLrN5lJjKdW
VKeEdKqH5bHIsTyQBHqhoF23lb7Lo4iYLM2J/AKzsGT/gjJmJpVjeRbNkBGLt81T/gj+58L3pr1B
nuW6JMl1E3TkmywmGDzQX5wGse63ot8v7lht7Xhqd0XcsbtxI+z5mrWxJ60+p5U6eZ0gXBk6R+zY
t4mP4zEwF0Kdq/RDLHpzv+QG2kVD5SSTdcVtlq/BgYiIKUEN4MKit14HyC0ILnJMjrD8jo2NXKVT
xJgica+ZkWyLCuIh3Sd0WJTtp9Qa10sY23unUExUgbrOghbgBoL2JyMPoC9eMC1n/oiSy5ca0Z2Y
V9LgI8/cTa73UC+LSTuMxtkdkbG6hkg3RQbvbzI75LiEtOI8fvHwul3lXgi+by6Hg42bUrh5yjPZ
3XLJ8AxUz7hyfsy6LuDF6g0nlcuHSjac21dcyi1eRmGuU8sa8fAkEHVcM4ZPx+K5zLg34gaiZGzp
a8gu7pk0AfZ2+mMkWQzx/DExKlDjexY3a9NwDNIrAux/D4f5C4UX5/vYvxCgFp7w50dM4wjglmb2
6BKD8KgkukVcwUiMqAFqF08TGRcMhCpzS6v53Ns9Vp5Ff4u06G4Mhpe2ukmRvNO2Iq8bk/wgRV5e
i8LRkCZDd+z64rQoVlyWd6fZIL5aQ0e7Kmy2hjF3EGweLLdhckp6hRNCJ8jE6gXW04yeeDxatiXW
7ObOFJPaqgrotntDrmTEZUsH9OTFD06B7gAP8JXeJPURBwGm7kF+i2FkMCChP69jo/KLZZtYZovz
mneWxgYVHn0msLwR8SEh9JVtPxEF5+y6PlbEGQ6MfnFhblhoAIvsrWfC4+u1vOs0VN62DiGqzNvs
ZHjMMul4+HZz65MtNYFzc4v1SFaTzDD411P0aSMK3IixAHMT6NY9qc3vuvJ6OcUnOaaMU7Ly5Hnd
m2m1j8l58qaPYkDWilbvS9fOZWdj++csKxYZbULhXTNB+UDW/Bdg7W/Q9Ye5+vzv/+3tA7Ao8m1W
ae/db/cvRIoIAgH+c7LF9u33XIufv+TXNsjSBcwIFwOAYwtLBTL8vQ3ypKsI76QTGjQo/NYvpkfn
J/6sQIBm8QdsR+c1/NIGyZ9onFyw69gOfqxz/szKxlH/mt+0QZgeJW0QRxL+STRo9H3/2Aah+l3m
yGPBa8IIpOmiCJhYcVKz9StpkOBVtEmwDlsqaWcMQAukzi0ANILspaohNfCKhKssIygK2MevmeZZ
B+3eLS+GpNxq2v7aW4LgXMjwuygvNIzazi7hTpqy13ap1x+auW188sOSC2xQMmTAn8VGixW4EHfZ
MGIAnGXIZLhWoewrrdYf6igm4C+f3DW7dWtH2MxVZEEYAka2XGl68twHIjkXbn/rWtteRPrJG0eC
KpwA9Bi2hJqK9SD74V53SQWbJv0m6sqZHCxtm+t1c+iE9oLWmAXB/MQsjUyPGdN+CHh1F72TnxFx
jg5sa0Z04NqykXr7ztG1I6bntUyvD8DgPtwU76ZGObqk3itL1Jx+giFV9zKb3nObN4xPPhm7fFFm
IaYuS5/ws3YVpfPrZEbfhMmvZCUOi3zBLl2E81s98m/WzXLnSGrwiQ/LRzm488pQgDboKS0yLsx6
dG/cgwyWVw9LNVu4+NpACN3lBfFAw0vS2Mxf0je3Nne4LMgEtLnCS5yqfpngxjLN3NgOo3vduHm3
swPtDU3/bfxjCsPJcobCRHFDIxBplKJVmd4baqg0eM3OSSs8ZJ1LxG+9tpVB04yYxGl4NgknVM5S
4yZzsBrUE76Q0IJsgJ2pQutoj/K1M9kNUk/MpEcF2cquRgelA+0sycvXszKPem6+bYdc4VfWkbKX
hpE4tKaeXo1iGg592R8rNyBKZUnKDc6JeuWl90lJNjeQOwZ22acWWtHTGBdvhtS3HvcsDrBuLwOm
uonHzopokMEPI6gWYpogqqitmTLMNlQEUUlvMGUDgvFw+e4WI6mIXtSeAo0wcgQGvKiqkxJrgfEU
pMldqhNtpqy6TR2QpwMoa9MoI6+hLL10LNO2B9HtGLf8pId7guhjSgyTH3KGjx3O4EZZhAEObh08
ww7e4TweQnri6pIqW7Gex+F2HsxPU7xV+I5lHn4IJXbGj2wNakw9VVdFB8qDGPpLO2AYClr9mDtg
rGQDgt7ur2fkykLpliOCpyOTyHsr89qNlz7bSuPcIXYuleqZtpgkeOeqU3roTCmjyx4uPSbvnlOh
fRzt6NVVOmq++2ZCWL0ohXWO1DpAcl0gvXaQYNdKi93X7p0oAjZJqLQ9pddOlHC7r3BAt94FWFcG
WAZ1d6F03jOCb10pv8s+pNFAXYMk/Ad8pp1wUcmWxL4hcF6mOnugg4DMoCTl1chvKZU5oUow3NGd
VwUyfa7RPmjFPmF6zAp6XtuBe89T7xOm3jAorWmb8k8LWbsYv0Zx1QNzQP2D6p0QC8apGrL2XGni
W8TxbQb3MUIuv6md6ZPRtbUSSOkHpamfEdfHSmVfKL19Fm2Bs5Jw1w/fQC848PmLW0Np9HH8bVXP
/rSQVTmVkAs6/lyMsD9VCn+USyusanJl5mvXXsbnUMpNcZ3ddModMGITKJVfoFTOgeCCFP+GWQD8
8B/OAlQ+0GssnBjKd2AAIlnqBuvN+4QtwebjjAtGQP0PxwLWhUmMr0uMjv9Dw9aQpjnPnnI6pHoD
ijbK3yPXvTKbAEaP4KmsH+bobGELU44JS3knqsjd2k0Y7Vrlq2gxWKQYLXTluGCOR/Z6twn7g25U
ci07eqQuwNhAa6pB/q1Z1YNIsU+RUfPjxcPvDsslJ4w+Ez3J38K5jbg72NZk1wACr0bnu2pyAWTm
fAS4VIPpszeY4sVMWpYuOKcu2MPAcG6c0n3pDPaNTL32VdbdJowUfLcpHqax3uABHFft90iHgitd
Qikthxii6SHKlofAG755tP9AgEfF+NFfsWKfnfEtiJ0LXitmUYn2blgdRWZ9l43Rg4lBzC9zOfMY
Y3h1xu99yeuxp2DwnTkn2HiJQViK9VCbHRnAn70EAze3vG6Co3S8WfV3MuUKRg7L59KJY1Y8uUE0
sn5HbWWQxMj106IIz75sqgy/LrWnWjofGHd/KI78ImrbjWsGsJgG/QSvg0lghEfSSpz3TkRnu+p2
ZjM/SJPgx9zW/aHpbtrReQeF+SqSgP4iODYAomXPz41knLPSJ+cd5MAr3OjvdbAFp7itrbRnTGJc
42J5Lmti+qShcYorajGQpXB8jJ1TWu2LsfgYXDIIxuK+Lpl9Ds5uaPD2xpP2HJfebe0kgLHvSSJb
GfFzkRff45BzvSJpiZiMwxiFL2HjMrkKX2QjtgbAUhGOT7iprq1m+czK4roI0sNk0p618i4Msmtu
b/Ivz93VVAwTHWhz08r0PGXGw1Q475PpPY7BEyoL1CLm0bbzda8pxrofRO3Bht6iM5sYWu22KuxD
nT61Q//Uj8alcNjy6WZ84rWAv6zuogtGPNNWz6qxgeq4niHBpilQ5MJ6DpplK2s+LfO9jyfAy9Zj
ZfXLupGwpSfEbaMDv47JIUDFaqI6fU9SsW26ot1oefekIGI5s+KsEh9tKskEYIpRtTelalQ7ReV3
E0Y9eWz6NG83tqRfKjtWNSnQFtTMQJEAN6xIX0eQMc2Jr80zht4KH9Uc3dhhS5Ng6Z8CsjjfhdNI
tOGKVFRGWTLQV6WBwCUIniaWRHYSl9vOZvXuptb3rukYmNRMOrQh/0YhBJl2iW4XV78z62bcECj4
NaAMmCfj1cq9d4bN6Xp0XqoiZuWcXwvJwIgI3SthMHulHbLT6kq20aMK9mLoFu2HPiSNrLyf52Kf
sZtb68TY1f2Mjg+lLuvqZyFk4bMZDv1icj9ahnR44q6lZFjQBgO8/vbGY+LuNwGzG86e6xFAd9Ax
QRgWuZEy/tAK57Zoqnu6KyygyfjgBeLTm0B8VNjMp5S/R2r2Ka4mzjQCCPywWh5B4WxYdGTwb4iW
nWj8gnx4mEuNsXaK7VjXH5hOHojOVsIg3s9Uszveq4NT8eh6xMSBLyyZ4X5Ih9ciS/3TmTkEQUSt
scqTjZffO/38as6g+HV9hxwQJGQsDk7Mt/eYbLmwbpIM1yqNILO0yHvOcG4eu8y8//GanRRnNeXs
OkfjeQ4qhA2am1xTRCmFe4EQyonuk1nCYp2mh8HtX+Oir54C+ny7cJNN6rX5TsqQqFj0nNskm4+p
MSJ2yOZTP/XfvLGxj7M7aZsk5bT8a8n2B5ds7J7Qz/3nreWuf2s+3n7Xj/7ti361N5FdyD0vbbZp
ptRNdlg/N5fOT3iTSHPzYHtZRIHouKl+2bEZPxlMvpASGo5OGKBq+X5uLi2giaZuq1/zHJ220/gz
zSX7vN81l6R68GyAA3dBJkL2gfjzj81lnEZxPwikd1PIZL59tsKOVPN27tjDeGwpcqS8BcIyfbKs
FXyd6iLmfOO1lrNZpqbbduWSQ6GrtXXVs6qne+Nona3ye2nYNxAn32t7BKyGmlbzRsaagFHnrGVk
ZlAjFB2Z67r5La8NJu1iYkwbeS9Zphy1OIV8Pe2uojDwoY8emH/HyAoacZjYOq1ICZfwAogI7a1u
lwUIqmKgYjIrk82QgYRe+jxcJ2Pe7ZmHR+wKPW77FnmFmGH8OPIYeVgMre6G/VNqVvt4aXYQntGr
hfp90k7HSF9mNkv03Q4jfJYiMiZEIAA7RgbvPraNL0van6mM5a6uvYWbM7LX1hjfAOSBHVvyz5uy
7BQ8lV53bAxgZuXsrkMdMmqtLye2nuT4tQhLKvxDQUHIrRMtx6JrvBtDczZoe6m0agX2havAHA4d
TJCbl3mST4kQ+GyD4Y0F/7Aj14LSOihBpg3Ldu4xRM/ookfLxLafuAu9oJlsRQn8y5XFvmUwmndt
eFORHpYlDYoKk+n+2H0lBkJFS+hXXGR4sYsHI3eHYy3M3exxH6EVoRIb5KsF5m1lQvYmIBddX5Sx
DZz61tyrGGyYSIwlTMvvue32A8ux1Y+3px3QxwBeX0OxpDMN5+qsaR0FIdtcJqNI/Aqkb4aJVGFE
nubkpOnYSbZhYZH6DDMfAadzARl68Dgw87OsUzIl8SlS/wvzej8CFjvMINjY2LHd0GFKBpWBV7Xi
fjL7TdoL8ohc2NUPxJqN+8wj7H6ZEAY1ppYw4cUvbTCoGxZQSzpVne9lqHkIgFrx0wmbIhiS7eza
N0xjPLX3Oo1zd1mmDq85WEI2THJLBC3h2Ev9BCTkikpmn8Tkmecx1NvepKNpPU5wD70T8TQ3qaZa
i03Z9tzlQwT43NrRHircOY7aUA8PbAeGo4zskDwMwnVQ7viEQfERafUricAK1tyR2mfnoV9bFslg
5WF2mLzXbF/2WsDyZ9aj96gy74IkR7qHTdy3qvKtMpAOUtBOawTtyYaFpTzqabFdgGxsCYdGGjM3
H2ZUpmuDV7dKT+Rdg63TrOuFA8tPCKhdi6kWZxku/kSu8kqmRsGAg8SuQa8vTbUueJEb6hEIW4EC
Qhl57Y8sOqhKJuD+sAjNpb2Z3JCAZT3eQCon7Xlm1tKT4oJo9S036FKMsD/XNg8DzRixLrQpsnVY
9NXMvaNl+V/sncly40jWpd+l90jDDMeiN5wHkZJIiRo2MIWkwAw45uGN+jn6xfrzyBoy87eyrtpX
mVWWZWUqQmKQDr/nfuecQ02qMOt1722a4M56/84nTqXvZqpiE8H7StYUdxBxv/SdnpZemx1F3zzj
bVlrU0zES1iRwlUbhF/GxBSk+ruhDdlBq3OLo6p6L8o+3o6mTh20SZZh7tv3wfTmlXi/KyJvEgKp
VykeUEeZQf2CJQBnunYsOmetgeVXis9vHcpE4PUl4H6iCP5JsfyjovrpwiGIE9CfF0go7n/GAIDT
0rwG1tlkhQVJpUymvoVsQZiE1376FCqv3IzxgHsTkbY2Ce7+W4rhYMJ4ABiabtHZNqQ1xgsHc0Lb
5J/twIK6Fdkb3QrrXOb4GIqu30VYG3D7rFy9XfpTeCh8uDGo3DuyxnBOO/0rgDIzQwATHY9BdCAW
kv0RTJDg/5kNzBVhJnYIlhNnBCQD1otCeTD04DtSngzJIWQ0WOorGzllHNrnSjk4JFaOdOCERhkz
LlY7vQFof7iJx466csILT5An1HxqWWaXOdH0tqbiSwWgaQVwGgCegtG/2oCooyJSddDUtPPSTRU9
xIpZpY9CrKeUTUymiFYnpXLZBi7rFe3aK+7VUQQsyC2twECxnqJjDcXJZtFU30lgqoWlKFqAZb7L
adpm0cwKZY5AS1KvpNGM1A0JiKsrIhce6hhqSUO1OCuOUDXwQfEuekXymiC9qWJ7RyBfoWhfG+x3
TOTZ5mHAd1RugXd5hpV1tasGH3h0PaTYTbKCKgstmGv+VuzjaWqZixVrDHRcAx/zOvMxUDxyoMBk
RShHoMrhQXefxcQesGRIGyt7nyquuQdwDig3WlTYkwbYaCTHsws9vslz17iJHgNWmztwslxWyFiQ
884btQPGm3xJn0EnDzGQdaNoa28w3mbwa02Hw84Uke2BZrPFB3tTtPZATOumzJ0bwPO7y9y0rhXb
Lf3oAW/ais5zwFKFfysOPFNEuM8jxFCMuBYmW82O9/EXR/3DmDkPZkVQPVVm01L2BEQo2tykdn5H
vPjPKhTM3VWW7lvaJXNJB9kQ9pQ7klgT67AxwKPeYQZqJ2jFXbV9ue1yQvanUND/ZhKnp1h4Hyi+
Jy0FwQX9CPmEM0N77BRBPxjmtkNkX/YgRUOpHwZlSvIVd9+WL1aifc+FRUdI7DEVdM5TqZtbaVrt
sUheZCQfS8Xy05zmLntGsnXa47kwGNLMAXGukOalgSBcmsoXUCqHQDCgvpDOcx5Thby28c6Fw6gU
kDFCZvQK0UgUrCEVthHUDZ8JnnRExei7cEIHk0l7N1AZVhtQ2FPEdOgg7U0iWUY8xDRt4StQJDE2
ugJHSggS2NtgW8CUFLAlUyyMlQttEirsRCgApTLGFUA+GSeoysOQkzYCrWIobEWHXykVyOL49X0d
SqTeRgaH8kHkUAKzgl+AZs3G1vdQHdA/vgw3zNdsi2cOnZjU18XUzbBds/g2x5cUvoZn3nFUwE2m
0BtpvhDrtSgUkjPD5vx3qvk3pxrTUHEJ/3qquSMJPv7rVPP7F/1tqqGjGCqPDAjCPnUP+vmfrcf+
bw54IPAg4wmrM9dl4Pj7VKNTlswOi22aZ7jMRAw8f1+Z+b+xXGPSEToctM6q+D+Zav5nZIOhIkJd
xiRC6eGK/zzT6DJoitA01RrJvRCYxruvS7/qobtYMnqauyH4fUT+l53t/6Mj3PUMzzLYB4JNqpdE
//PvyKVBaHHE3sQflfNnAoiRtVz77kwWtP5j0Egij4pt2EVrU3gfRFucmnx+M6b+dyL2X34n7q/f
6o/QpKcbgmRURjnoGIEL7c/fSmqxMeLxRlWoLGfCRl2WOWzT07jbuE1obr0MVbrtm4LHi3/TsT9y
0XX2fusPy4EkVyQVOuZL5OOupCmJ1uolj6h+QRxWuavtSxwxDdZFmRGfPb3ONeeuPQlqRtSAMhS7
ZBqHRZjb5Tor8ec6Y58vIlLbNm3L05SivWgV+sT16Y6Ht9aT5IvRIYN9XBvu2ZuXKeoeCyd0WosW
OSwNWqyLV9mP9N7HMdlR6O0y0fbpLDauF77oboADq5tf6kSiYVbzHlVmXurJZEMjjPXdmOqLKDhl
taY9Ojk0vdYlxbqdRLuKrTah53Gcz5ZZ1rtEeDTO1kb3IPQlMrCzHDzynjuvHXZdFrTLJju4Hls0
vena5yDy3vx0bvcGlb/ZyGVCyy48tqOlZLbbpB4/ZNWUX1xok+WJ9t3phqz1VJtFvfKdNt+RLXsT
EYtGX3QUMbaxtWW64VGE2ntXFeEjMtWK72Ll9Lhk2ty8sv6xbpMeKMMtnuB4PEWp4AFFVjm2XjzV
LUJgyS9B4c+33nXNsRu6a1UVLhRJ6q8Cipwax93bOvazmikUfgYPgq+GGK1Ixu2UJl/17PMH3Gkx
lYJkt2bZrgTeK/zHzue2Qq9ynzD+RSNG6Lp1aJuZwbI41JezQfcvE5RsjfTQVt21aFTwtJfnfD/U
FRfAksT2U5TT26oLJqQJ2Bx4+EPoIuBikmgKaFkdmqjVz7anc59Nn6sq/rI9+vySvNwM7PbSBqHS
ZW1YSpM0rpjl6SCbDVsuzImZOz5Rz9Nm5Z0rDnZn3zDOaLvgh5271tp1jKup2e2+tojTE6GFJKvJ
F0+LnkWjWydsxdg80g2NJxQOpzCBNfdUlz3X2UF812iZNZmqAEGuJJljS3Q8huf45kK7hq09YXHM
0EHcpSMYUNLYuoWqCzmzH4oYT4xT2Fg/TB86BD1zUYve2tsjeZZte/BEfpnN8NNhuxnkuXeowy0h
7dfecfu1I8IfGqfxohtZUHjzhaz+ZlPgaXGoxK1y7ma5f7RN+cMEXgIZpfbIcuKXjsF25FtYjV6m
YfeLRjwBmliODv5vI8EUYRLm3TfEPvaptgs1kxzPSeuWuFr2+C15YsfhOcqjN4ZQCFL+JEbtjPUq
JosRn5oap4U8w9j8rEcCwybol/REa80tgIjBSnV0FSJTwsqofOQedoZ+W/tqKZyGo4twcJl+xz2M
z2Bp320WlSsSwMbVoIAcR6E5JhcwqWAdV2E7/EBIP4V9yelvXpL+8cGu/ZQbHCplSa55pwCgTqFA
fFJe5CzyhWGw4UkCuSx5Li1JiCL2DHDpNFPD6+ALCbwU63uHCIxX85le9GgxKxjJgEpyFZ4k4icu
ti+Tr1YQ86hC9+qlqZCmcKhPWH7NVW0Nh1lhTzJ8Y+kGs6WAqNBQSwkFSenQUrUjHmZ0dN5O3FCr
yG+OmH2Wkp6SSqtVLI1OzWUrirNtpPtSIVl6VFbbVL+3mZE4XS9tbn3QEYcDB5rLUViXrwAvoVAv
V0FfPfEE64jqKoWDeXBhiQLELIWKuXlARD30GCtTbGJUtKUy/4xLAjdbhZohO9kc6/tMQWg+77wF
AYE3vPsn223EaXLmVTXTFx8GE8e23TIS+0O8DXwWZImC3dj0MAKXzoKOlQ19QiHNfWzQawXJ9eH0
EClsLpKvLKIqZtr+0VJgnQthlyrUrlDQHbMdKFj+Jiyn3mZkKi+ThMZ63R9oluidcc0L7lqlti8U
0FdA9uFb+ppYSdKZOirwz+RvSFEt3kaYQJYHEMoKE4zgBYUCB3WFEKYuBfSepx0CuM9FqUDDBOKw
hTxM6a/GngqMmEElgnZayyDU6TQ1p2SVpzntXCCn2bycnTJf2UnOwdP0z7oCHq1f6CMMZG7U2Z4n
KZpYwgWfNSa5cMTZKXTSVRCl185H/JtnCg/KpdPyovG+rAinJT4v0U1a6mtnW2aKJQxV8a2WvDtd
bpxa+ym3Rb9FT+5WRTa8JtXMV/nflh281qL8Cg2ar0aiVI9mg56FI5BmCi4jZHSYHAvgyvwvpcvz
unWTgotK+5Yl/EDYnTwkE/1+WkmN53smG6DTWkDtiSu7u890Ov76+8oev4dpIFRKoChFMz+UCykg
ko+0AGAebGyWHRJwSdblGqapU0ajtXCHlBBxb1fMJH7CLz5NgI2Nd6/9HN2aBhgnID9z9jd1X+ET
d0jiafXhPas9fBxG9zK7obNwkuHq2uihfYz8gabAY53ebSljuURep3vYir7kFD6xGKc1o3mi2gF/
nE/DYlhWoNQSCcoXSyesMSC0MZtbHZtpj79hTOXzoCRhHoxIPfipEgIwKw30va37ayXYlVp3oDD8
5pb5Fvg1kM3Aa+VoP0nl3dOXRcGMi7k7adqbnNYtFna343QpWx4gOpoXUlxr43P/oszlgeqLa9wx
J/Uar0ftzMzNBXGcFOMuOa7IRWynYOHr+LQ0nZ/FDHNmxIx7WzKSnucBx2v+NYfXxcRjQWVWjIZl
6GN3D7NlkGu0kZcUD/XswiiAUU85vDHS0PdZgqlrQuKfKww0NfyX3u9UOTrPPaa7PPCX80ekKt1w
GXxAsnMLSOV3qZ7r8Z2p2pWzlmPZyfx3JtCRqs8O1UjbdGw8I1F+pE1K/Y5U/dzfzOQTSIxOzGFa
P2hudBrnSTGsxs01/eugxbwsIZBRPCK0Go9BZ68SK7hqrfga5aUv4isCHOvRTtA9g2t3DaUN+sMu
rVWK6xQ8oync+0bOQejdipktm23rn2GTXRvzmZixWwLLT6Lvw9gWzilPD0nsbC24m4VVPEdDhzDL
gQbzIWGOuuQ8axZpmhElRlQleTJxNs0Y2UvRP+AMuB+squTnScyNptOHRwJH1R2noBrXWpz+jLBi
3jUpCd5m0p6HZK7Z8HrcrsFuN8kob1kpT4YXYtcNysN/p9l/b5o1Pd1k+vzX0+xDWbcf2XdYf/95
T/e3L/zHno7OMDXSOoR0CADRPzZfWDazpG5gbSNhkr/+Y6K1/N9cRXN4jLV8FUu5f0604jfSNTxb
5yu57f2HEy28J2Pbn8c6RmmWgqbKIORb/MtMG9AOasRak8Pbsf1qZEzZq6nNRItyxmjd4zBqC/pG
VQ673MqJ7FXP5UkdmvLDheHcOR3wEZBHVzk1euG297BadCm/TO4Fr6HutmT8VZtc8vyUkY6Ajz2c
cpv2uQkSd5easuIXIyXCkt+yObnRNZ7cnwn3QpJkCwt7WDcvjMoADwnyUy3neWMH00srkalmczBW
dqyWMUFVrb2aG5dBsemyj1vKZ4bgywDtqtnWvHqFxvIh5NEUz5SmWw9OUzyzdrzUplttw/SMYPsY
t7RgWU9FacarQMZXr7XvBqffSC4L+96cm62TZrihayp/x3FYYdkL7wNvxFne2N8B+bZ0bBT4pMS1
E8O0E2ZATIDM4kvBTJo5DukA5nisWi6TfgLnxXOyWSJE4VvDtEWFYmcZF2TwHrN8jRVlgi4nJ6uy
nwy7KpARtZywh+wxmXRjH8NIaWlKWg/GQrKcC1LId0VeeusOT+HW1MgYib9MMVf7KMMZM8wxBsGK
ApMucJf5WOprnjclJ9FKVv2nj3NmlfWZty398UceFs09nefrJCi6J1DUW9Wr5Pzes05u6Z9yBRFK
PXjsTW8420Wcr7sk/ZZR1G986Ichq9GRbUdlhPD81qfxWaQmTeZW+Wl1SKVNLZ/TyX4MrGsSzCF0
RHNzrCpZD8Lj+dfMp87U1vxR4x/Wim7ZcV8fKlBCwqhXllPAUtkdjwafd65XugsN3uIIVfU6DCPV
uo3/Q6+6XZ3k0yJI8d8MZfOJx/Guoy5pgaMbW8/Ye+uQjIUluEb+qyNPFvyhzEmC6xJj5IoEXmfH
Rot2ybnPp1MnSC8gdXbYuW2YsiDGpe6MximdA32p1S0hywygvKgsUaNIYG8EbbJIaiFMAEQk591f
F5T39fDLExkPTaWG1mLQ77L5vuBpDFxYGJSlsgTCzN28hk5JZ509+nsdxZy46aVnMlTUzOZZ0Rj8
Liudx8bRd6Zdgv6LSN11VMgU6wESic9XxUYwGx9lWNoElXDNTlyHxgjTL3kominPYPFWDYkKecsp
pnLclYN6v9Qk+V31ai61aYXvh2Qda9plCcKI7QCnim1sIwtro/eKv2talqbX7BoDnSWy2E00tAMk
MrtZOchorQfs7fsfnTmIhQvyRoEu6u7sac8tFsVVNE/JkXCqfpWG7cZuMPPPPYlWOOl3tsNKIc3f
/XqoFloG0VxPB8/L7hzRMg+4xdFuq5PbNiOf/eZtsEnznjWNGu7Pumfc1k3j23fseEngX7cTde8s
2XNcc7Pjwo6dA2m8z+8Ss71RitvuifH2lx3O4EUlSpLjCusbm/MxdRkJm57Jgebdt1K3L6M1cRuO
E2dZFXZ0F3LjHZIQqth9rRPyx/G5xSsNuM9wUBJsp62pviV8zoZuJQCnoBUXg4s0oxOXTIxjlfUS
1oQZC+WrZK0x3WqEIj8QDdQqt+Yyc7azM9HSFee4cTP2LblytJh8Y7NnXoqu2Uvw4INVzd4xHGqM
de2BAz8+MxOSmZEROZ8V8ruq3Jmr93xG1Ag3xuACijaDxhID8WlOU1D3LsEzaDs/h7E+C+4gW7aD
8iAoGVnobU85oMcERhiKtzLYi+6M8tkqNnWX9fuwJtovzkgpMlRhGfzSyvcJAyiidsAnlJw02ScH
M5Pvps3b2yA92cvHCP7cOdOJRCOkbx/aKYrWHiA0s6jSyWaTJu7MEXu9GT84sz+dCl+OZYIDM5vh
Pkul7t+5uvncp+aXH0zasq/cagdXuhpbtnS5q7uHvhBb1s6EmoTGwaRMZEkkdbDIlY9xpqR5Xwzm
N+QU6XvaTN59i1HTgMEftb5dczxTyPaZS/t91OCU68IDw68AFfRqa/Ain2Q9YJ0gyioR1smzu1uN
R9UavGYVz6/0c7PBHpieYw8+hct3zqJb/mT/Xq4aJS5RRPBYhJJdYZ/m52oStHx3xj7nj+KerGJq
uiEZq7LaT7X53HVi3Ldt9+qNGdXmVjYfWAOxCCOkZyNakhxKIuI3lGbTmkkT9UKVWSzg6KFKvZZr
MXpRWNK+lo29jQ2KPVqY6Rv+8i6ZgitNwwXlx+WKKBScnpb1NNLlhJnVfMTDNGzTqbu0fZ4i0BAH
lFErQjyTsR0jVvTGHFAV5RGDa1MoDqNRC/JGNPL/eUQHVREso9l/zgSmjnzCNzswgN6NZk6HQ+m9
MNFjFqgIt0JIYPuzi0LysoRAUXQI1WMYCGgE94n7d1gRDtO078vx2YzQGPXBJRsJjm2Zns0EU7yw
UoRqMjVJ5nMvDJvrvsD9PSuzru/8sI3ukWcF/TOFzhDfUYVNRd+oBuMh8Zxjh59yZkiaI2CgrG8V
ckPs5tS5736CUmOl/TKvna+8+SKVJ9ilNToQUUcVLxgP0Nxzvn0Tq7bhvMdpmhDE94XXhENb666j
yObHHOHbNRAq+VFKemzY04fDsqko6CIWx+JYQV8QhyJ2PluUzYVd8c3qVfyUTtjZra6m4oFoQyRS
rLd1Fmxcg5qFIM8efNd7qMrkC6IzBsoUtx4xf4OjnXqESDtGaaova1dfT9VgrtizLBOz+DTMkD6b
5tmM7YOuU1bjh+O0smmhXpuye7RVcgkf1Xjjxbz0QSH0nTGH2xCv6Um6bA25HP60W4l/tZtR6duL
Gd/ndfOexrSEEmM1UtRHIoww/B+UgvUI5Gm9zevqZyIRizl5XtsRc1GME5dYT86ihj/xROd9PVpr
R58eg5HDyQuNfBkAAuFvzj6sIjomBgtZ8pl2HtfEZVqCcpV+YCDlUZIU+e3ezqUgHdGHSMAf6SDD
rapJP9iVP63ZazZbGQaK1pJPefDRW9PRr+cT/bQ+yQCsFtxStYXRPm02QE2+iFJ2GdqXb3TX/w5a
/+ag5bLb+v8NWn8pkDZ//5p/GO0EAQAs5JivLIep6I8zlodXDkKSc9hTAYWMP3/fGhq/2eh9KleE
BIdfwOPft4awkD7GPJe4Eb6cXMX/rEBaqC3dH2csfiFdzXPcNfgPESZ/Xp01Nb3LpArQ7hxa6WLG
JkL+yJ3f9j9camMt6mNz38mQKwz492A3Vs7F66jf8aic7fXu1KkO2poy2spuLxHltEWoP/bgoTRO
4HDqJihH+mYe0Kej44SESjytvaOi8KWhUiNS9bfU4CKanBCff8aqH1dSUENE6fAj1qHOqO/axQVo
uhhWhdu/OUP93aAoLkCoPo0SlXBkJpnRQ9u+oqsBe3pLYhb3HLGBp+L0p+wYLuKQAgSpkC0QZ3py
7AypUPrr2HTVdbGjdKoRFNggM5GbS4oFPR3Ed2UqyCtTkV601kxrs+RwFDZ9rRmBqZBm0UZLuVcX
VMCWfZYTJkjz4FzEGxw3jDWtxYyl01faso4sVMAYfORes5p6nbqatanKbW74PNpnizgHIrVs9o92
6LO7Mj3JIyXFnFL+JKRLv0uA5l1TNR5bTJCWvAemFE+dQebCPMfraO7qFY/QEqORljI8pOM65jzB
ezaRqGrBjEVptBukTx8HxqENitdWJtLalSHzUm7AQxYp8VQRAqpb60wMkTzGAUGvaEseIUy4J0ib
i7ykfurpUMYSvc0I7Mvd9mc5kBZVU6R+1KNLiuBMUsJ28G2yVCz3WTdptQcgakjOHfcT2jQJMewT
HNGtuWatCtli3hv87lTo5MMx0pQxUSp6yGHZp+HGaufbOMGQQsNNS4Y61CudK6yDrweG7mnwhbGw
qsg+J3Z77loCk1kWkT839C+aM2Tb0CyGnYlieQT5o7aEtKxb4M73luqwIUo92nsVbHvYjh/1wKhb
lsRJm3GxZ6MC9pV558mnxrilZH3sYE5nruClXSeUT0+Phpf+sIvpkPjyHPEGWRQVCBPbeJYlgXxy
7KYmcrncTm5140bb7C3ukuyz3yH1POCyesPQemmki1sID/i+FKrBLLQ3sD+rnEsvaR8YhfMSVTX0
pVybqhe5q/Vu5xvWbeZJqHIOyDPTwxLcxszvoRbxZwdq2Utyjy4Kci1N96EPNL6wKFDpLRZyTGbJ
up6xZkRa7x/8+LHUBL81Q8tSWPMrfS7JFXhBbofGs5mvCFOZ8uSLPFCCbTDt1fW8oxwi3TVa8dAK
fiGDjD0it4vbbEvnTE7YQMRxrx0SkYSr1rW8nW0RdeJkaXJ0qnp8Qif0liQFbIrG/vDHcR+k2Z0I
iycCPq70g+FkqoOJNrnkpv5JL+jx5X+N26yJl1HTtnYTXcF3j9lg70hFOevkePMvZEazc+3ueS5m
2j3dgyrfyb3imPo1pToHpuJ97PB/SZTYgb4ZX7+b+K+hZXdJ1hx6LouhJg6TNxO0hj5SOoekkE9+
nr2jDmxJ/jmHCaEwieSTGB7SsqL+K7t5bvHYzvGeqy8Wf7nVCm6B3kzodLp2QnGISuvWaNYxrtJX
KoqP9q6W0ybtjWtZIkRl1rGN4qtb5adWIyKHvbrttayFxRNb4r0huhfbT+7pbuW0vNmiutP7/KyX
1n3oaY+ZOZ9aXqw5M7YQ2fSzL3D3EQzab6z6OXHZrxbJLTVZvAb61vNePEbjwWGHKdGZ2CZ8ExN1
xcFi5/VTTLhU63u3jl6hPJ4ufdfsosE4EHfdpp+WZn76Q7OkgBauy/P3tSs+w9h7deX87DcVpOC0
7mPOqnSbxtWj+j46e+KzkaBDJ3iudLvdFF7fkyLU7AhBOJUxDkbrIoriztOGVTAPzxbPgcyQZy3s
3nomQ2fO7wwEL6IvufP1zk4XLl7V6pEM3Ds2pICypKcn3WNXdDtmx42MxmceFXsrsqiJxFhMygOK
1KOA6u3bksS98DLYCGn6qg/dU9AET/gE8XTO7ZNHX2ThMNCZmMiSyDobScb8FqQL23GugSjuvap6
dTXCLBhbeikeuMW9kxzZkMLil8emTj/KYL5aqqtcWD8AMJ4M1WFOVN2jO3jzKS95QI61eMXCwzPK
0+i1s+Zim1CHXqtedNwIDBNUpQeqM12zV4Yxy8ck8c+1alVvqFdvVc86HUVEGmvZwVQd7PUcBUtC
NBZS9bO7DvHfTY2zOWvQ6rUejkEL66WGTkfXVhJtJqdFzaD1PVX977Zqgh9lKpeZHu861RL/39vk
v3mbRMXm+vWvZfvrR9F+1P/3/+R/Ue1//7p/3iihxigPInHWUvFwf7PW+L8Rs+34RDoYXCh17pP/
uE4i2XP9tH3fotCHBaSCwxogpuh//y8Lyd4yDN+zHHAu/Df/UXMQdUN/uU6ymbAsHps+o6pLIATf
xB+tNXQl217nlRKmSb17SKwemoC8xd56QR9acDZai9itBj66Woqka5Ln1DrTFoXirXeHN9j5XNK3
JtNsfHBA413Fp9pdsGe45xLiQGE0EZn5TmasvTLeNiOGCrd07DshjYwLEEtyfJTkSsVQu0k/78eO
lkvTSE9FVBTwGw66XQLu79vvHV1sh55zzHGn73oy72RCuWfgiBgAOIbK9i5TWlwnIi1XU2S/yIHH
6czieyHH+Nb3FCywL6ODlKC5Zc4mFRWxxx3QzGDC2XOOS3SZlHa5mvERBYqN9oJ8WypoYGmaDuba
cr6XA2BTmoG1Tk639CYzf7Ct7oLBW7saDlSHl5yjsNwXZVTchIl93piIBDIZ+tMw/ayM7oKYS6Ne
xpnrcZdf9QiFK6ht5/AecKGL86Y5dPFMSpxu7fMCh7pfXFof4yeZdJh4NJ41bRCEpyAif7OHkUla
Kz9kobXnX+53begHcLPQEHkw7LSkjzc95FyOIr+BqgkPc++euZ7FTM+Bxzrc0qP7usAZ6sWltS08
/Z5kvxxcifEXHzkWXKwmbHYa5u9Avyu9/qCHdXqqRPpzKii/sPQd6N1AbzmIeW2c7GbvjjF8ktu9
O64VkCMI3UAtAd5HY9y58AZbu9N2dnIPtzaJCdKvns0DjXByKSSYFdZ5Yhy6V2oTlW+TdX2Tw7zX
lfFBQOESt6b7lgvzwjuKi8kdy5SLm3PQFiHRTy5O/FZtjHNyyhd5pf8cyrjEPlXBW/ZoUQ2btBXe
bSi6KL4vGzQJ9hJHXwsYYoybWc5XBPmPJoLcMKPj0AgO9rHIVkllEltc2Qc+1fJS46nDYjofPNmR
HpTwj/r6qvPT7SvWrSt9BCgWs7l0JW/zsp8JCvSjr0CWD6boT7VXepg0J2L9IDFSbf5AnRXgVsQS
6xN3VqHEy07JmGnNG18Jm7x/z0JJnQAczopGc1iA+t2z8+RQ4KjnEjFseLOr8NSiXZlKPk3QUSMl
qDZKWrULbFbPphJciWPxVipzFd82PevUION+600kWjOrtz2qLSfXz8Hmh+iV2dXBb4W4ZGoA+si9
YUpBfesYXLaxlpFq/U22NO7dHlwvD9PkPJiHkAwOGieFd/SNKT3Mot1j+rlUCWlHUgnPaFwLve6m
PQci/ay9u9V0qpEDJVhz2iw1gXuWd4S7CBMSHiL07VIJ3b2SvIXqcwE+DD20YRIgkMVN7vIjLz5U
Pe/dGvd0T4Tzwinfwioh5gg3b6VH8d2kJPdJie+25V5Sr3kTM/lajAEkazbOMQ/d72nmmGiViJ8p
Ob9G+d8X2NMDzeZio0T/Qsn/CXsAXy0EiPLsdoFaEhhsCxq1Nmjnz0KtEUb2CUztby51LGvg9VPT
yqOrVg8kFd+ZahehJWcELCU1vg8zye9AK7uixUpDCqC/arJug9mYXtvJS46SiV0lh94qtQBx1Cqk
VUsRk+1IxcXJVOuSmL2JoRYoo1ql1OxUCrVcCX+tWX4tXNi8zGxgHDYxUeUTZ02HjiW7Q8F7mgLd
kVb0bjlpzsUoPLpxZEhWz9hFy7oZLjZoFasXHhJxKcaFaSeroeCARwDb6Wq/Rwp5uLHlCCk5hjsa
jo3VKLkGDXbEGTrVj/l4oK5g2SnnXz+VKcp5/N6mMXe6hFSTkQ8CH1c+3ZsCyY9/s8altuq6Eykg
pHtPzVdMmUDIYSF4/tJOWWw0ixq4VpynWhzcsX3WpL0xKZC4C+ZD2VnJnWQxs3bxUWxiTucu0vam
pp8o8vkUsQ89Zdvfid5dDJyKYdl6i7y5eeQKWyGHqU7saWWSOFh9Rk5frauhjteNXZ1dgrRgmHgj
A1IvTNZoW11Ldjo6+4rJ/N4zOYVsjgdeqorEFY+k5oIFXoOtdWvqbEIE0vYmaJqrm0ZfOpE+C+TJ
mBCPeQ9ebB2CeNxVPsuFfHSzO7jWp8inAFXc8owfBTFc2hPh5C1h54TOeg+6g9KTDeGuwYZjVDd+
T51boslBPHVYXue1Y8/eEj8RwRY2BUn+BC7kexlJzrpYdLbFBTXJUvZ/2XZ06vtUUMDBPJ2SqIy7
qsJrgTtCX6e5+eTHM7WV3RtZc9lGLTMHC5WfIzta+VG114vmsShhIivN/+V4WZrDGwvMfUBa+cFm
9FaMqUucERKRm6H3Q6DmikVlj/UAUnPWLZ3hCUqwBFstQEW1Bo7VAWgdAFtRfFZ0FMdrsM1rptjX
PmwffONQSb841zblv7IlY09UIHIsuTdJvRGysk7Y/570uXhpbD51fVNb28AGQUL7uzqKxNV+DIrL
dQB0PXEwFK/LzkrRu+OvVYsietvAXyvS8BDjaV0SMsr9afhBTl25sfPsUwIGN1n8PIjpIZimsyA0
L9cztn9gX2MDr8CihKTDLPg5s9LlmiSgjl3MJ+wp3iXsHiGUPFM7SGXCuNNDRJZp7xk/dYvwmoon
ypIUpB1ZhTQ+KeTZRXXvjAKXsPdoG5BKfrorqmOlUOlKQdPEJ3wFCqMWCqgW5AQsGgVZY35kcSCB
7OGvyUrwV1Ih2S1s9vwL0obWbhS2XTrGj8kq5LJj+ggV2k08/XCiZwZmy99IRs0bcMa1NWNqE6Cl
AghxCSkeKWRcV/A40AJkswLKPYWWl4oxd4DNrSEmCtUgiCc2x9u6M3G5ukb2pRslmLoC1kuFrof5
JR9B2UfmUxlU7d6Hcp8V7k6ereoQ2bcKhO8VEj8qOD4OcaXiHLRqsPlUAfR1FNWkuSA2UBeWrDoF
2oe9Qu4zHoSROf8/9s5kuW4jS8Ov4qg91AASY0RXLe48kLykJFIUNwjSojDPQGJ4tN72i/WXomTL
lOywrUUxOup65SBF8uZNZJ7zn3/Qrvz5PBtmKuGiOUu7jvnW5E+MSEfYGxFzmXh818bmdHCG4KZt
XU56wjVGXD9LJQGA47iZy9y7DZ2PmUbAb4b1UGgF1n4i5UnpCGylKJBKWzB/UhkI3qOmGLWQdG+a
EIVRwYz4LKkzItzDwbzoDWsA5+m6veNgpwDxUSjKhpBtj/u8+U5lf6EM4J03IZKrmE92KMW610j4
jZyBMtu5DlokviETFlYplLscO5aFCU1633aXSYtfauVq76PiIZUeoIgOl9AoiLUJs+62n1quR3uC
W1Axfpr9foABoOYoHzNpP846fM5K+UDI7jYnVO6E30POJnlf15HAE2LU173+0OfVdrb8bmm4yuO/
xU2iLMJTN2qXvsrCwSbrtm0n8nRNKhB09buhNODWg5JOnJNjC5Vk7NjTAfHTqQkJx637dwlOlJtZ
D27BLrB6nfxrs4X0EhckXBB+UW6RQp9NbrHxyu7YIpyG38ccqYUS4KaeQNRlbsk9Qzo9YL0MwOIi
1tgIWx7N2cHEuKjOSuH3+6kb13YtLxgEH3ITvl174kM2jtPonvSiuY5SI9wpjnmHIhnH6GI3m1e1
Pt6HWn0BWFifaeRUWy3mLFCdXSUFABoljCdAK/NOIE/G6+CE5w8l9TABaJS3qK0PWVp4G71LiWIr
8PeyckLh45IThTOJAGqg8jhPVzgEndXwp3N7i3PaSbZRs7E66qZmJtVBpbLjg/Uf340/aeloMs+B
SfcH4MBj97//83CfPcMGnv7Zrxo1k64ba0fb1iHV+gihfoEHANlJ22LUY+vKw/7XaRMYgGeBcOqW
CXRg2i5N/Rd4wFWMPmWVb7ieEqn9JXgA7/1v4AHlnw+fj7/DNR33mfOGN/hlYiRwUsrU6reE4uAm
FOsP4SjOwZhxj3XxYMtT4zSM0XBRNwil0HqyQ2V+0Av9DWHv5sKzxxukKOZymqNtWYz+CiNyJAHQ
r+kaokOlOVce1+AmViZxZlFUB0ax1QHJNeEy0iJQZ9Bv2rp8X5AMeGziS8xtoOgmc3IQ5V3mBzXk
F59rdKT9EAF9w+AvMw+Sr5Jo69m8GxhpEZfCc1NwqiG1cB4Mb/K33NGAFOX0uqzmeyzFz2ZsDBf8
lh6WtLZMIx+kMcBhYG+Mnb4tLW8b4oE15BimRXqrHUZt3siiTvZ2SHSFm2JH0BBHzkc9nKdDbO+N
rL5MUXThb8VlTqxRSN2om8c04t2b0S5Pk2CNxj6iO+tvaUvxQJj0Y82Qmpo8uwlbF/trLwGLKEln
DHEn9uKj7UmJqieblJJiKvts3fu4Qw5UyQs/aN4xYbqjrMGWSeBEz40JLwpVu0BoB/HeX+J0AG+l
y65IDkKCXWUQlZMLo4KnImb3RKb9lTAhhCMX3/iRtZIJFs65sdWb+X1F2NWCvue8NfzLdrYxgdQD
pmUJ1s15AzXTtigRZyPYR4AUC3weHKjFoBFRAB+792BtGQSMoE2g+WhPvbiyEmwrSh0NTJe3D6HM
swUksQsN28LdaGnnWjxlO4ah1+UszjRbQw3NhB7FjU+ZRCUKF2PY26l/YY3ldTYPzSGDT70sm+ao
0zPR0+r4UXtJtSf7kt50InfHK+z6CHhzU6dgygkjC0Tvud+n90auOUTWQHApFZV80DB7iNz552kc
k+004jI89Rg5tIAnfhRfJc3wONsHshA5hzNw7SSTx16LilNPMBL64Yeqv/XJhdxVfpIdJq3b2JO5
NfJ062OusAMvrleB9653AXVKLV0m1kg7VjbG2rCQ5gcJplylgwQybKeNl8fYcGMbAf3APnW+Ea1q
I5JL5lhwvvS5uQz9mVu7bm8bjFCvGVS+KaYR/UulKILUxrWg7ELrHQ5duWfwFC5zq6qhSvjkTHrJ
TUz/DpYstuZ41TZI5vsuMHaA76xysu9GPmpyvGKw7XHfjPO4SivCJ6hUz2ofQC1pxFoGlH7W8Bj3
lrerW6PZtEZybJCr25gS438f700vdC6nCoNmPbdXVend5focbNss848pE73OEliN5+LkzY6+9QT6
pP59mQN+OTLcBpGjv20z/4PouwmRGFQ6d+jOw1x6q4h3s6o8KoiuxvtNl/NaE52N0XUXnuYGK++8
m/ZhOl6mVX9yDFG/aWwkNq2f3UXVWx01xKUMMf+HbHUW2IxTsSGFTJuPxwQogZb/I55CS5JzLpyi
jo+psLI1dtj72NSXXe1fCzG6e68hWSeWYge2US8w5vjo8DcdUYItpjEIcOPoX3sKOpzBEHVDed0r
WDFTACNZiw8Brs8ueqsMQa4GEKnjhqiAyaAfTKTyxbWP/iS2kDX2uJ2QYgRaZJSGs0icpj34RYgn
WowyRDNH6GfGu1lBonWYvYnASCVYqaZA01rBpy04KtyBxwFclQdLEBVo3WUgroz5mBf6nP6uA9jn
O1J5yO7zKDbe+w5jndqtsKtRekKy5qwzvXI6RfHcRvTU6+oJ9mWyrIBgG0Q4lnRgDhhxrcBihsj0
BcABoMh+KIgixsRiFNLYwNDA0T1OELR+gp8JsA0T451UwDTZRWqgQ2aUKmbgC6zJS8csgzpnUAWP
Q+UT+eOlrCnEINuu9GT82Y/tgy34JOHVh/AchndYbYjNrPGzerPfkl5CF2fL914hbm0IOpXZL70k
levMKq8SY2Z0akYhI/ENhrzeEp1mu+pSgLjAOLlzq6rpSq4EIh8L/SQBS3LTGYPY4UyFkxpEZGFX
tGu69REs/X3gQKGcTRv5JOaeY+hp6zBtLGILXMIG55YPmayW1NPZx5N5Ykbpgw1A47KS4oG/DU8K
tz4LU/hkgdO+lqSozESgLNysfMgLXDsLpMSg1GfF7PsrJEnJos8tlSkI59dlbC3hdbdtPsAkbfJN
5FuN6vMXnlHqS92D7ehh34DEBPs8J9oRIJpe96P3MM8whIdwieGp2M86ROseMDRt7jyv2OrR2AKA
9aRToke0wxg/qRwuXDc3AJDIrZuc2N7JD4KllcIKYMhRLYQXVcSgKO0itojR3aT3Yl2SZrVIO8pj
bPRBNmPlwIPTHfPDetRpgapeZ7QPJxG9QQs9a+rWHnyAQwD7t7fDGhF2GO3CQIRbs4uuUw0/GNbn
2ig9eYGXioxkuu18TKeqgQSwgrtmGXixg9e6c47VaLWstERZyCtGiBw1qKVlsw8I74DVx4meR8fR
tR087AkURs7Mhw7XFqC/2SmjPaTtmG3MZU8rkSCkIfmh6YS3wFYUF9PWnR6KMx2zo3USvSaEAYlq
wNuLzU4ssyx83RC8selxAcZSsl+5Gu3p0NLa9nXKhUB2ho5FEuZVcQWfgna3kcndPLjpemr0GapE
81DPyfs6NS5Fr9G1Ao1xWOH7i90XlGSvvWys1iDpw8VCCjLKXJeQZ93wwe47TIarPt0UmF+HhDZi
DbdNotEC7jUeaxwJss5pt3XXzrQnYIe2yY0YCxuDQAoHk8iJeWT80DqICLCUXU7YRy3cCYUCspSd
gxPPKhpwPpQSMW+nsQmyDGq51f2cG+m9GFE5pSlmV0XgfGzj0Vvm84iICbh0Ia2kxc9swiwZQoee
8fFMuVi6BLYsi0CTh6EgBUU04a3d+bdWQhKPU6C46WMu1yA+o69dCr9wN5Y0DXId9q004o3HwzBL
nMGS1sCOx75PphZUeCIc21X2phVd7mpsEhy9y31SyR0QV76GZoGefbTe5FEArqrmCWlGqgPSOzxv
KTgHE1JBt+k17LXTBPwKDuw6jvmp4aSfh9LwFoErYx7Ncj1JSJi9WjH8teQC5GMnmacv2jHxOEhC
AlVmF3oxYxt2eVLS6uMH6eJjNGAUvJbo6hCxQn8wevvBpABYoaJYjE4PCkKZOVWdybbBumzIq3CN
4QoWvorFbIDd09bjkYZEN+5t6MU6rSIXaDKRzWLl/j1Ywp3ggw1TbKRj0T+0tfiQYr8NXlWgZFPA
vUsqiHo/JcMR/NVUCIfNieLBoMk+fgr/K1vc1Qquyl2TOgfOsnsz0qBD4pqKoOBKigaNwBgTWx5o
Kz9uA+5+KBPY7pDaRx6pizaXU5FAF1ThyGQonT2YPOHAVmSmhsaDltjwsbtEm1HvEjmsoLclq9h3
8Mc2JnyNyJhaddWI3wXTxCV7FiVseRjSIVwjMjkfTfOMUxxTLjUZCgFPwtECmavsgdKSo8QO52Me
TGRd2M1woNx5SO2OepwcW6wpgEurZFrHPdlOfkUchdFJTv1h3HkcXOTygcsjztD30o43RlclZ7Yb
XZr6YO8dHyp8FQ0WueoUbe78IZ7i5jC7dojgengI8l6eNRwzNmknSZvI1yKwT73XBCec3LeakkBP
JPseGjm6Wx3fUmQcyMljr39bBeURhyjULCNRllUiiWrNC3+dpQj44+bBm0jOCmqNUw0SLB3IhWfb
WK722N0IB6dxZ75qhUVUed5kG1eLt4xDsPR074apZapF9b9IfOLnzY7xhqFfhRAqD9Fkb7ie3SXk
ewQjcX2wZhPKMyMznrTyqnYGwJc+gA8dw48a51bbIxA/z8Ck9j15ZvR/7j4meh35aw3bRBd3GiFn
IqGekhNnhjFNzclvI7y3kZXYes87zHaZMcpDgc/8wk3bNcC6ed67Fe7X4aMnudWZoSEoUL63ul/C
726H5X9oEn+SJqGbFrjF7yMhN3F2/9Prx2+gkKd/9wtNwnAsx0DqbEIrU3SEX6AQnHzg1fIlS4dm
p0xKf2FKWAZpfjbZgOgNDYHDza9MCb5kGIrBi2MP3+MiifzXf//Go6Z99v8/FX1+WcZF1/7zH7bz
rWEPxF94EsKCfaEzFPwtU6Lkt7tBSe4DeopT7MVnISp7jmRLX1IGv8lmSpPJOSJ7n7Z4zTAujK89
yIKFyridVdqtFlGydujdFy4Rl6vO5qojG4LoXByOp3yp2T5btHroidEdVJ6uQ7AuTCKqf5W169lM
PVX6bqRyeKuZsph8BRiHaLWKtkO7NhoBlPK3yRC/qz3bWkuCfREy3CUq6Td0stsp7txNRAhwJAaH
SU76nnnBzrTLm7l439syPp8kcQtVONobp6nHTVWlb2umC/uEuOGayXDKiWNO8UaLLfM8HokGPc9R
VgYIXLdmOp9Xyt05heyw7w0LqQgo9Uy7soFh8KZgYLyx0tjdTNYswOBX7Zhei17xGkZiTnNA22Xh
pVtXaiuHGxLDOzPZxP7KqXDdadqmISGUCAXZDm+dYE3thCOZVbZ7WL97io2baQq3bhza2xq4KPNJ
pCZN0KrwKyB9WnONdIEr6W0ZughlfP/RaKP5OOouc5AQ9NozqnUgzAz+c7EL+gBuhGNROzXY9nCT
W2gWhno66V6wmYmy0wKNzRB1y9qVCCoq0BneQczdm/0ssn7Vh/1roS79CdRhJYfLeHLf1nHp7EPN
IE0ZX3Xs5+P1FNGNO1PdrgUcARP6jNZhw2ZTq5j2a6+x2wPBdmdja6fbwMCowWCAIS1ujsgK+uWt
3UbmES3rCtohTEivvqhL8VbWycqTRrDqWzKv5/7WnMQDci6utNy4yA1sjzqCucj+wspmgoHbkwwb
RUm8SW0bdYlEJVnnb/OEoXrBpHlLqwArg6gFxGQtsLxdykspalSEWrUO/U5bxlSSC9crgKKlte48
uTbj5GGOkitnDlDRS7tduOz6RU2i9tKJw0uvKNdR6VymTGFWKGw+5FLfmahU28BB4sWR7YRwEY0t
e6zfTFVOkAKIFpqZ4BKJHzperOA6i5DyIdj7gEld5m7aaT5vNPkhmr1kTxw3/PT2Maua8IBL3Lnd
zOVFbuU9SQbBpjCsFb0ZN1VqsdsNtVeM6IK8ta0pyNQg18FdDoZfHQrDvCmakBbG7Y5mnpbrMoxv
qkaE6z5K3oauaJeV4ZkQudFnkuzdrekFRFlXR+wjN440H8cu1g5DMG8HcgkmCz2cRle6kB7R4pQT
AmK13aS70pu4pJHwaUaCSy6sMioY/lF5Hw/Qhvi7ULyNBPNm5E76CUYltnMvYAIB9ilMMQPRqUPz
KqSf7wiC25mYNS7bgojgBBfWcTCvLad5V47Isg1MNbd5lbwOc5t7XzMfC50GmLDqmYbGdJGRFRiq
04kyCLzGzACvEumcmO1ufYl3HwroXRhuAnEV8KuOTVr7BDXkKu7AQ9zpvN/GbXkLwfzB8QpqTS27
jKiSmYBhYJ8H5pUedR8zkxzkKQlvg45QwCy/NLp6OOCnAnAyyGAHFUNJbT+kxsfaxWUiDot7TZg3
AODBAksvWElyyDYJ2Ys0g2tLn+js6pgMxy6/witnO/pxsLMWCcwnuA/e3iarRJcCweJIbSLn5i4b
8axnOGmdU/qVkK9zLPQNKC9j2/rLyLou8tqmvnWjHXEangIaGboZaGIFVleL9FB3ZMuUl9Zc7YTG
h2TDBYtH7G7jTLXidx0myPhZBOvJnynYPecNiZhn4MKlCmF+l/r8Li1Kb9whUXqD6pJWuF9rCPOw
RKlP2sSBibcYU/lPTV1j4LxTjsfcwJZVT612mdQJyT41xrdef58Mun4UtdxnBBIF8bBquy7bNzOj
cFexzghsjKbwWoPV5M/IkqwaZ9mgYfrZbDm6QF1rXE1KTLReH+zKUahNQo2tI9oqCTXXcAjSy+xN
7OQ3rinpaCiXB4C2LonPZNzA5ABVqRLr41TrHzqr/GgXqMqki0ZwAMPOkzMtMj/MDv60NMXM9dPh
EYbUFvsQzDlAIcA0Aa+gMHfzbdHoapm7U/1GkyI4jaG1nw30eVaHO4lXDdeBnCEfQBEmumlBAqS9
qqV2GlvrsipqkBoNLi2ws8Xjhe9pcrALWayL3sByN2OARm4M0H7OKdAmOlbLI2EChUNYROByephE
IMBn33QiLLZF4pDYxwZGJkEbyaiQ2bHWLTG7z4WTv7e89EHPQvNUEa+wmEGZkJpEkBJJGiJzJHV2
ceIi+2DKl5NQ5RF2AfCY1JuozU/TUC8FG3FZwQ1BmgOhyCDHukTdewF35dxKCZTRUdLr+tpr53w5
Bz54qqTKjdxoI0fn9dgglXcESVqjmW6YI9LPkEDnIG/OkZiu+zRak5zxGHfFZRzkOuEHJ12QiTUi
2aEggE0xlypmTt5rFXGClXG0Aow5R1nu+8SZjwS1JokZwrhCVYJFzHmDzCQcI2TEqE4XXlccHXxc
6Ju0xazhWYoTAToVpVgplXYFmct2VmoWqXQtLQ3STiJ1aZTmJVLqFx4CZqxKEVNbMCpCpZLRlV4m
h/RVlo77NtEuNEzGN7bS1uCyC4NOm89i+zEY+eQTpcMpS8uB685GJ29ohTpxnQeCANZomygVz/+v
yv+/nore1X13v/5U0V/1cGNfP8L2634pgdVXP9W+b8u/901faunv/6Cf/uxUFQuT51PVT3/Wp7/5
j35Kdt/FXf+BHD4Ud/Cccb1CvvTpRSWvSASfv6yRaeAyPYU8/fnrVPI0L18t0+8txB+/x6cV/ePv
+aN38LRE+w///IfrWQbD3Wc91d9ZB1O4jmmjEfx6AbxXluN6trCZFH96Pf2mF7UA5neayr+8AAY+
r8zVXd2Aas+LEfrX6+C+cjAaRZj59FW23r9pI/xc9kQm8EiGcVl8zRcwfP7k3zTWv7MGz37Crw+D
cv/xTDpW+5unwOcLnuq0n15PLfwL2gR8aPx91nM97++swLP0zV9XABzAxqzXQlP4yxv9ehc4r9BX
qJwS5/NCPDk1vaCF4DjQYT//uZ3wu+sgOPcgmHCueE/7/dmp4L7yLY5MUIzPj8PT1ntR6wDGYv7o
OqhwGuAbk3b+u+vgvRJoaxxOyM/74QWejgLP6B9eB3U6Ki9o78s18NvTkXXQiYjVPRJ+Pr1e4HMh
XMv90WuSE9K3yBWAbfX0PvmBX58PZOjqhmMLnL8/v/5Nt8SzJ/vrckHYuqJm/Zmb4tlP+fWchFXm
6EiZ0YI9rcM35wNVic9l+mW7vMD9QBCBUrD90DpwX3hMwU00eU+f97OL02M/OGQcG18uzpd4Pnwn
b/qv3pvcF+D6/Id9+6fXs+oJVB5TXteByvb0eoFlNEk24kfPB+4Lh7Gga0O5/PR6th9YJpibqDE/
f1lJLF9aOyG+E6fwl/eD/wrFKXv/yzpQmH19TiJMZbfwAOIT8mW/vLR1+J4R599YB5AuXaev+p39
4Ji67RiIdJ9eL/G5oL364ftCCZg5BE3x/XXwXxkUURyTX+rJp4LlRdWTn71/fvS+gB/tmlwZ390P
1FG2SRf6pf14iecDl903Sve/8VyYCNbRYXEA/vZgsDgZIKV/rrf1F9dput732Px/eQFU5+DAtvzy
4H+zDpRWho1H4OeD4S+sw594aoDy1Hf9nD3eN//6PwAAAP//</cx:binary>
              </cx:geoCache>
            </cx:geography>
          </cx:layoutPr>
        </cx:series>
      </cx:plotAreaRegion>
    </cx:plotArea>
    <cx:legend pos="r" align="min" overlay="1">
      <cx:spPr>
        <a:noFill/>
        <a:ln>
          <a:noFill/>
        </a:ln>
      </cx:spPr>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plotArea>
      <cx:plotAreaRegion>
        <cx:plotSurface>
          <cx:spPr>
            <a:noFill/>
            <a:ln>
              <a:noFill/>
            </a:ln>
          </cx:spPr>
        </cx:plotSurface>
        <cx:series layoutId="regionMap" uniqueId="{DE6F7765-0D02-4B18-8AC7-8CD5AE7599D9}">
          <cx:tx>
            <cx:txData>
              <cx:f>_xlchart.v5.2</cx:f>
              <cx:v>Ganho</cx:v>
            </cx:txData>
          </cx:tx>
          <cx:dataId val="0"/>
          <cx:layoutPr>
            <cx:geography viewedRegionType="dataOnly" cultureLanguage="pt-PT" cultureRegion="PT" attribution="Com tecnologia Bing">
              <cx:geoCache provider="{E9337A44-BEBE-4D9F-B70C-5C5E7DAFC167}">
                <cx:binary>7HzZct24suWvOPzcVGEiCJw4dSMaJPegrdmSLfuFIcsSCU4gCXD8g/slHf0L/Xp+rHPbkktSqaY+
FR3XEVflsEPEBjeIhcxcKzNZ/7yd/nFb3t10b6aqrO0/bqef32bONf/46Sd7m91VN/ag0redsebe
Hdya6idzf69v73760t2Muk5/Igizn26zm87dTW//459wt/TOHJnbG6dNfd7fdfPFne1LZ39n7NWh
NzdfKl1H2rpO3zr889vVTWfevrmrnXbz5dzc/fz22Sfevvnp5X1+9Z1vSliW67/AXBocEBbAfzxA
X3/o2zelqdOHYU8cYOrTgEsiv/3wx+8+ualg/h+t5utabr586e6shUf5+u/jrGfrfrx4a/ra7Xcr
hY37+e2Z6Vyf3pRv32hrwm9jodmv/Ozy66P+9Hyr/+OfLy7Aw7+48gSNlzv1R0O/AuO9tnf94478
+2gwdBBIIQIqHnY7eI5GcCACJFEQBK+j8YfLeR2Oh2kv8Hi4+mMB8j+HO/132sceEQLnn/j4ORTi
AExG+NRnD1CQx2PwzTD+eCGvY/E47wUYj5d/LDT+9Z+D6W4eN+bftw8qDjiiknEuv3mrF6CAfTAs
SYAeQRGP3/0NlD9ez+ugPM57Acrj5R8LlL1L/RsjCMMHBEIIARv5ZgkvfJY4oD7xERH4wVBeYPKH
y3kdkodpLxB5uPpjAaLu8r/TRsAIiAQTIOI3bEQyiC88eAj4CCL+NzbxzUb+aDWvw/Ft1gs0vl38
wcDobtKb+l//629EBCzER5Iy+WgCLyyEHwhfMoCMv24h6s8s6Tdg+WXqS2x+GfkBAXo8sv9+SNmD
4xOJpHiMGS/jPEWSIyToN2tCL9zXV3B+bzm/A8zb53zy57cPN/uxAHl3U7ub7l//u/q9XfiLqkQe
EAnUSviw28/lCAsCAArhBzTAlJ46rz+1ltcReTL1hak8GfmxkAlvrLsrzRs4VvXt3xjyqTwADsYC
Xz6EGOC+T1EKwN9h7lP8KGPkc5T+/Lpeh+rl/Bd4vRz+rw3ab67uqcR/9qG/KvHlARcEy8B/EXeC
AwkDIpD0Ie68MKY9mfqmvX97Ka8D9MvMZwv/Ly/nQ6Orz3+nYAH5SBCjBNjvq2QMyDH1Aw5K8gGC
FyryTyzodQS+T3xpG49P+GMBs+5vui9/JyVDB5whP/AZ+rbxvzINQiTxA/wwLF9E/T9ez+uwPM57
gcrj5R8LlCNtP5u/ERQIKwhhKgn1XwVFHmCwFIbpo3Jhz8PKH6/ndVAe570A5fHyDwYK5L/03wtK
gAMfgbk8uKjnsV4cACED6SLYAyN7ISeP/nA9vwHKw7yXoDxc/rFA2cfDm/Iu7e4eT+y/L1zAWvA+
CwapyVetJTjgBPkc48e8y4vM/Z9b0+vgPJ37AqCnQz8WSO91efPm4m5fa3jKd54931+kXl/FJeS+
gke98qK6AhhR7AeUPNgOwo/f/S0X86eW9DpET6Y+e4Kf3z4Z+bEAenfn/vV/Pv+d+EA+mVKOAZ4H
3/YruQmZZuzz75mZFwz5z6zodXh+mfkCnV8Gfixw3uub+ubNF/PmQX09HuR/39GBEYkAsssMkmhf
f15wNQFqE1ACXvAA4gsO/VdW9jpYv77DC9B+/YH/z+D9donze/E3unE38deq8ZMq5++Pft0NqGO/
mPp77vGb59x++fltIAiwAv+Jx9zf5lm25tfb9sr0O0hi/PwWCtFQ9qQCYYGoL4TgcArGu4chIZBA
MhAUkkY+45BuqCHiZj+/ZeQAM5/TwMeEoABRcLDW9F+HMNSS9soLQUWVggum3+v2Z6acU1N/35yH
39/UfXVmdO3sz28x3Kj59rH9w/qcc0HFXskFkF0HrwHctLm9uYDegP2n/4dNm6VsCt4r3M5h5fGj
3I+lbOLR0o1M61WdL/HoD5FB42bePdm1V74caly//nbfp0AFIOmPBWPo+bcHXoJGz9Tw7Q4noU5m
p0qiVZ50bpWMJhZ5e4fzIQ37IiGqbW9H225Gr87jtuPXXuqVMZm5U56VTeSjLCT+uiuXd1ONL2jS
H6fOS6OCmi++Rn6oWa7DeXFEZTV/X3t+VLCmjlPkLqfR3ovO1KGE5grlJ20eZTzpojxfjnBSJ2oa
55j63spMLYkaLVQBmcCwn9NR9a66X7qijrGeUqVbWYYTzlcYsyLkWdsoM5ehJaxfd1Lb2E/4NbO9
PKzrLIjyxAvHRO+Y6KazbBryY2HZYSOmCGXMWwVJokPD2RfYxOtmaAOVD8eVS8MsSH1VBtMu4ONH
hudgl45jpXS3zLCFNt3091JfjSVC8ZwOVWy9vjvieXtvPE/vcLmoWbrmvBKr0S10q2lznrgmOLQj
386y95VLSb5J5Rg1fZWrdGymDaP9dpza4lgkyUlL+afKH3QkSxvixmGVWnIxIisP07k6rLCp1l7d
COWSC43ZGHaJvwmw9yFIfBkae+/liQmLrtTKDnm6SZm9NaVNtqlth3DZeCl+R5cu1LzD267MV7Yt
ZeTKsovIVGwwqagyZJjDtF3ukIAzxJncUL9u4mJk3TaH+KgqrxlUPU03Ohu2rUFLOJYK7C49LQnZ
9LPzjjQrPpQkC/uhTN8hNsETLvlWMz9RGWo/jl4ybd072rH2OIsmLXXImTesxUiadS/nkwzjM4lJ
rwqU3rURl/kQF6jnYTppsS3xcFd1QpGiOuoJtcpD5aBIKexaymrtKs0OUXeDFw1fTG20BORwrsRp
V2aHmqfvCoyjQcxZBEfSqtGVaVh22Is63Meilmaz1MOkqmJQeNA70gm6bSf/o4c6qpZpCTZzk6yX
tP/skslTQVr4ocFeaK046kwv167v7p233DUWJVFO+xuMTaMqnaMwyc7GRTaHbqg3pTS5qv3UqSxw
Tk1M0DXS4rgc/WVVuuE6cItKTX68yJGss2VbVL1USXMMxdf3lZHBRhp/R3I7qbELbqag1JGWqY5w
aUg4MV8fyqUM3VzkapCpXaeEKCIys0rzHow9A3sqErC+BAWn3dhFmItalV7cIL28S2R/1iy1apOp
uijxeZ6O5Vmgt12woDjQlVZBl9YnaaNmZ+8K6/dx2o2nQU/jgPexTqcd7Ol6EPbc5QuYtnRk82GQ
Q7Mq5t6qSZqrpm5WYxniaV4ZMEU2JqOyWfbZ9+0JyrNTKYbrtlwF7XIc9GksvCHq0n6V2vlkFvS0
R/kJmbOjJSnXTesORb/NbHk1FPp84UHMm+yUlJ+mkr5v+uWYTfdNN23Bxs/aoV5z32x6I1eEFYuS
WMdWwHl1Pph7EsEOr6e+jZO5/uAF+H03LdcdS09M2cUpLnau90561J9kOb0EYXZGDKsVF5Va/PmY
6ukISrLnqa7XTLhOVYEXakE289yfVPm4TfCyq9LlE+uWM38aTnq5KvN5VzV62wSwuSxYde10WqfJ
RYD0UdKg4zRaxuKsYvmZQPpE8Gq3+PKiMfq0bvhRh8yWMhR3fhuhyUXZmF7TYl6Rlpy1dihUj6nq
vPRdw/lhmnebJF9WCbOHJkVHbso/IYl3AuPTustPLDc7IUjY2x1qj3HJNqQudjMtjpCp16LNz1xQ
R2kNPhyePOD2wnTTCpzF2sg65OZqv7ui/1AQetj5y1kmssirliMrplbpmn7KZnTW0kjU3sf9DniN
3O4fjsj8dCzns1DDBu+ftGqLoz4hO72QT+VCNwk8dcdPAlRGM0nAKx9mpT0MWnsm/CD8GkUfqNGz
mH5rmrnTafbQjvf91/+4NBX8+dox9svFfTffL78dP7YB/u6n1ndmL+Hsyw/tV/P9Xr/0pu2p0fdG
tRd061vj4G9wsd8d/LNEjcLxAtL8vXHwV0TtZUXlKU17mPxA06CWzamA9gLJCAYitL/vd5pGBKSJ
JBQifCh4Ayf7haahA4agEAFlCuhto8CgvtM0SHP4hO9FcgBKDJp/8F+hadAn9JIpBRzt0/HwB1gj
2tPIpzytIhCe5oQZxUawr/FSgm8La+ASkZvgKFtXH9co+ZgMfqFI3jTnni891edeHmNiWUjJOJ0T
K1uVllxp38S8n/uQDqSKswptUGPJrq0iv51xPC+pCTnpwrKawsVVIWOT3HrMAJmq7HXjtWGFcaaI
XWwYqCw5hZYzdFSgsg11zjadpiKquVW89ZuolfMMtCWIsqBMoybLhBJdXsZIyybMPafyJUEh8pOL
ZaovCzSvcVqrhHc8bsfMV0XanZrJE+Gs889iFmd9VouNnMskrvjoK79mO2nbZSerm7IiJEzzJldm
IjtXiOXbX3ju0W5A3qapgvKIB2DMGS3WMu+ro7Z5N1ZZvUuLodrVJat22CFf8UncB4hYJWlEUSpX
Zugz5bIArbgIelV73IXNPNuoiea6Y6onvF8nN2RIUuUP86LqQTrV0+E6L+froKTdymO63Cx4uOrd
+Clhea7YUG0Hw8uIWi+NtefXYZcX7UqXnYJOWlVmnrISu7CbxLVt7KwqeqjLge/8zEGw/KKTsVXU
d8umt12q2jwlaugbdNiZxVeyPecG6PIgRR267rJCwJZJoF3cOS+uYMlqaMZA2Xz5jEfEI8aSbtXN
QRK1RaLjqh7qsCiSJLJCY0WS4gO9ZksRbJjFZQQZpHXL2Rhzj9iIe42SSTOeNbkfyqE7bGxfqd5H
Reib7GM625O2KKIuW8bV0FTHCFjA3KWfMl6pfExO8yBTAWlXdIQPzKOfh7Mf7CTKtkkNzCOfvuiU
bzzL1nw2l4vTl5iSKdIYX7V2CqfJpuE8yThP5b3XsjRigRePeCqjEQdEBc0QyxSkTZsd1YtrwsLV
WGG6rWm3bPDkbpNJHGU6Y2FC+usJiW47L4euh4CZEhuWdtAqm5etXw5XyxI1shQqd23YMOpWZdvP
ALvyxTBFgc/9uF2SSFdJzI1HQzy34xoncNhZuYStJrWyi2OrohG7PiBd1Lqljvm9qKrthFHyvhjL
dNWJ9H1mkiJcfDCYKajG9bREhDYiDOrRU6yduUKO87DTLpLaNMdzW2Jl7EIjW01rTf1FjaKGk1J0
bAM+DCjM2CtpxYmcC7pxAreqKayNuinVikozqDmhn3JSlGrO0kxxS9b+sAyHQ1Ve9ohf+gRMHU99
NLn7kbZtVOUdh+MyhT3P0lORlEoM1aaftD3VHs1XSS5gEd5UxoustktvCNjssKyGxMRtkTK1dM2w
7pLhpiCkjHUiPvSVf0bLolA087ydoH2vRA03znIZBy2Rp8OCQGO0OFo6IO9Vwj8xFlSqQ8suQzpV
HYjyyMNl3Eh36H0wU1nusGeSEATHGUPpqc4Ei75uj3CBv041vdPefD8Y3Gz8ivgbkXMdi9QMcaXn
QmENWoPy4ZAE07u5dPk6X7p1U9BmY1XF3Kms5K2/zPyQmGNuex31YLfRIP0spH5iN3TKgBrNAyiv
XufxvrVn7efNSTLYddFkIsqbgIdY8BEkkyZbU3hZuGTNFhcyRKDeglokIbwFgNWSyY+gMUqVLBNY
O6JXxo3wtDDOu1qEYu99shHulIFDNk2+0aS8ZZSe5rwxn9saPIObZapGVnjR5JnqxEsKt2rKOYgT
wAlUqTkrfMRU64HjIEtVxNC9p1I3uwhSEGVMkw8uGeO+sCT2IJkf+YMrTuZmAOEzol0gZxourb2V
Fk46zmAPujrKTTcqjw+rMmvyMBk4UoXuzxj2cKgbDfGic1oNOctWY4ey8x6eVg2+r+ZKqiKxw6rX
aSRIeTjmto7oxCDKJDTq/TRXRONp603tJh3CPM/Op64iIRl9UGZVWa380cyhFWeQcrjts+owBaFS
B32hGls5GBhiWsqwdKRV4zRvC5NvwVkfFwmOvamgairVUsxbZkzkCXPR6voK1zFty3sziat+w4Bu
qoIhrPz+fqrdtMqcL0JUuesejrgNZLEaivZKOPoFl60y43RTLGTecj/pIZIPgAgFsdr70yqw1ipT
L5+Wjt/NwcDVgoYkTJLpCGvqwsxapDCrN+bak6Q6GrAFCj/ayKS5Vj0rtnmrldw7XpEikAmoWJdO
vguqcjUvsM8OyU6lUNFUw0jACqpopuImn+hVQjOVTiApKfuYanToNydmyFaT7+2CAUJ+LVYBavsw
sac1Pk9dEDX1EA1DlqiOlxdWJruhLm67eutq2iuvrS6Kpb5ftKyiIRkjTGaqyjZfQprZLePJORCv
Qx81d1l2nuSlCfsO3JkbktWS5O8rH14ywTS5liY5phSnK+mhbVMEfTiSpVXzIJLN0jQGUjr049SZ
sJxQH1WMi7AKxBg6AQHUeW0ZVSYPlz79QLnQcdJyCNKk+ewquYPdsIcpmt51vmIyt6uOTRdkBt8C
p1jhJrnpfT7EvMzeDf4qaSU/dAs8W5Z8BiF10VRoi8ePAx3CxpMDMLRsVEttz0XWbnPqZ1HqBZBU
EkWkdV+uxqL/KPRymlfk0owUwWJkrqZ2gSSTyEPkzBCOfneasXLtpXkROkaZqhHQpqAcQjF3uWpK
jUPhZlgwWwKQMnMMIepUtnOi2oAixXH7vhu2rhzTzeL3x21jgrPZkSY0bJZxlYRl2c+rRryXfIgc
7S4TL6+OdMHcNunnjSkaepjzZeuhSq9Rm0ulg/yLZ+076VlvlWDQNsLgYW0scDw+abPOTbvymzxV
gmTAXhpyigbXRpC42VTI5GuMa6Q6Gai2nDU8hz3R9aRjh3Eb+/4tpzZuzQI+gaZLBOyx8q6YbQKF
IE5o1F+UjN0JrYtoXMwtYeS4n9JD3jbv/RoexVSoiuue5kdyOcQFZqBG2WpuuqvW54faiZOEDlsk
ypVYiIxHpIFTmLCe7Zcx6ZbIwSZVmkRGZBRILW+nDqCyihbLthvz0Bb6shr1p342xdbt41ohCRy3
QzPO3fnAstOxwZC/NAZH0k3phjZTKBOI4sswzeAa3GaojV5jBrlFIyY1B9UMAXcEj9f0F3hos3C0
vIuznvpq8vwLWvShaKeT/9aLv/1W2TPJRxCBavJv68XH1olXJn1P50N9AN5iCiArzxkGTfZdJ4Lg
21e1QUBCXISsg4BU+0M6H8QghYyUFJRBx3RAOKziIZ2/fzUE2hQo0BH219P50MHwQieCIoHqOWNQ
TcAB9NLD+p7qRFPInlS13OewyXVdE5B4o7ySvDrxhRlVmtjzSmepyvu14ODT02yDq1qoufQKNTY0
hjgcpdSzkfb0Z3irRXk5vxzyvlaBHiVk2vehVF4QD2+6Jbtv6Nwqgs7ZdFpO8r3VoggbkVZKLt3G
RzUkLVt3a6zUipf3OneFgjbZY8Tt2Ty119lYh6I0EyRpua9qSj+1mFyBMal+Oa2TCf7NYFpS+6rn
wXsM/lAJtElqlipXm3uQDbs+G1w4VWjdBy0Ns2XOVLfsQGd+WaYiVQgXl0EyFsp3sSNVs/ZL66tx
AWWygDrOadWqornndAAnzIkqPAskZc5Q2Bv+qSvZBT+HYg0NzZJNKnCaq96O90tOz2peelGDlm09
zieumkU8MDOrLtNtOAgeJxWdlKt6T+XNqdV+dYSbNFVyCq4EbVeQEL4uxqRXne8jNZTuMMj8z4g3
ftjki1TG6zYCgbcfCgfhRiefhvyENtaFgYibjl8l+UxUQwKQkbrUwHq0aozhYV6BNhDgcaJuAfKe
eulHneanS21UVWv+od2rUCpBS/JcwNdMQD5zczkXtj0aIaHJK3RT64u0r8xG06lTvgE8RboRg4Oc
mTytxwHvZs+d9hC0OwJOeDhZ3BQ3VPZbUjdHfZaSCK7saomW1VixUmkyhW3Wr0ZJ14NXsEM3Lhs2
OtghZLiSxu2WoF55iXc0t4VZ9865kMwgjbTwrhAsY+Pp7KMnC7uCbMaHgue1MkkNJMAVm9nWoDYQ
BCU/MOFk8JcxS5PNRLq1s7OJLG+uk7QGejF5ZxW8SXrKoM5CgsaP4K0sFw5wMAb0OWUT5CbbDJaY
AJ3wq7Auk+kUQXYXNyKPaV3vwHnfiRTfe2ANEo1xNTHQyAmugcFZux7n4Trrq/Sky4peobGAakL9
uWoC72Nhg9i5M2qQt62hxqSkSIdN5pIG7IrOEDauMLIlMJeWxKwk8YL0oGhQrXCXuFB3mVWJIB/Y
YHvFvKI4TqC2ADnsK0md25ISjVB2KMlJ7fUYEru4PbLpaEK01O9T3bF4KaGUAGnlRYGk0Ss+DZWq
jK/DrGImLuZpVFO9EWUC+ZOULaHXdHMceMO1x5LiqPVBCwz2gjiv3rQdGhQKGhdW1RyzUa8947PV
CG3wYZZAvWcidIuMnsMcBe/hWO4NPZAh1z5eC2FXwVgrqG92SqTZsk49A2ikUjVpd+zx7n3iQ0wH
S5nDCYSWElnvTsScf9SyQ0fAiu6XpJ3irt/1ufWPlyGCWhNeTbQ14KiGUzmcuQmUfD0KtpK6uy7b
MqzdsoCDKPKTua1vPMdnpccetrq+YjCmBkbXJNjKRrLjwqOH2Msa5UR7miMdNQadaC6vltI7tNJQ
FRdFcE6m0Q/zKRgVJGg+OkN2oJUh2lf4M7MLlFKgvjdY1kZQK/LDBGhdA3TZLypl2PsSZFlokyaP
JnqOfVAZM+wOnEW4w9Smq76rQVJ5H1JWjBGUl8/1OO0mITdt3R/Xk1kUQuMllG/3aR+hgBrVofZu
TMVbkE2DD8XIBUoaYxrWNA3bnJ/xVt7xFNzroId3pg1WPbWnk1cXUEqAVJlj77DHPpviYhH6Y1/k
H0a/3ZUTjVHFTuf+XV7aE5zna0/OYeBVVYRtf2FysZamdKoqCVILz267sQn3d1g4pJsGyJEB2cGh
KabPiddwqNRu9eITtXj4NKmbUtWFtlHJq6Pa9p+JcSyEc3QyiQrULXB6h09B5t9XaPGjupULsK4I
Zy0kCQdvz4rdoCyhUdvWJ7hvJSR2wBehueuVFZu0CkDtJlWIPPgcFvtg0za7mvD1QrPb/RexoT7J
kEmUP62hBl6AOBv2OZwJStJZHc5Vr9XUuXNd2QsdyAz2te7U0nefaEl2U+M2FbB71VfwLngqZwYV
JApuKQ3uaj/LlF8IFNJ2k3UgqE0/He3pfgo5hWTpb1taqbJjkI3C+igd+ca01c54UO3zRZ+qIgsF
Gu6pW4qo4lDnC8iopAcVaY+ezEk+hRj19423YZmVIZtAP4uuvAmGcmsFfW8R89UTSvRK1X5PmZ61
DADFIHtq4UODuJTQ1PCcYujanxE3tFFwAKDWDNoxGzLFsimCNodNr6tRNRTf4LS4YF29Qa0+tmMX
NlN7JlN4WjqO92m6q7J+N1dgE0l2NFt+OAVD2MqgUEsbJlAFnC87iTb/T2sH+sYJ9OZQ8qLdAeE0
WOaKNKrgkLgTtgEtAbWwr1vNmuyiIHzbd8FJMLEj048RuBRZnBtaXxFkbwNiP+mAHPVSH5qluprb
7vM8rxIEfhnOJlT6IQNpe+oUS/ghZFPWv798+srWw/tcsPkM+u+g4xhKEc/YnZ25rvZb3/mDDYeg
PRlxcTXOPApIplc4GZBK53SLIMccWpcfJTMIQm9vJaMgi6JmOUclUR0FZTrSu9HBYQZHfTKM7UbU
pgizGQqrrCM6rJALay2nME878FZDmKSohZorSKJlkJA3rtxZCxlQSIxUMn0XzCVSlJTbr4/839Wt
bw1mt0//txGPvWf7zhwsoefyt5XKvl316Tsu36d8r2dhQUBxQH9PwAT62lv0UM+i8OJzgCkT0ofz
HyCoJD3vOtqPgI7ZS5hfZAo6QPBCIYERnxF4/0b8lXIW3lernnYdUQzLQwJeVoCXeDi8Y/L8HI+Q
QVwYygPwlrne9s2XiXZqNAs7tcTxuGTyUmTWi4PensjKQG+K6f1tXxXrwTaXdSrlIeZmy4WdVg0P
5ujJXr7i4tjejp6tj32tsknuI9B7UBF8sb4GCuIZSLrQm3ixSvu8W1k0QWoFyukEcjFDKVaZFJuh
A/Hga5Ofdylmse/p86Zx5DBYsi2vNBSYgfR2GHQ8b3seE9lfFoLUIRJVe+rX2yWdst1iq9NW1PMJ
l91NayiPkjzNtlXHXDyks1shU7EI1W1/mLb6Bs14Oqlpmb5vy/w8pTyFikphIgM+N+Ut20q6pGfD
SOlJVwcxJN0uqB6rP9qi/RY83yKBwQvBEYM2e4bx3lU9aRxroQQT+OT/cncmS47zWJZ+IphxAoct
B82SS/IhPGID8z8inCDAAZwAkE9fR57dXZl/lmVld1rWoje0cHkMLpEA7j3nOzegqQrc7M2iZXz8
utThFB970817ClcN7sHgZjJg9TcnLMOCeqaHezPYrANEdZQoJcrStUe+AGpxZV0e7axhZFTkpix5
H2m9HOXssVtE5qd1NvVLF7ogOUiwHW0ZoWNV7MzbNlzTWHQQl/gCiXSCRsy3EcAb1C+mgS/hR0dR
m+jbig1ynXl1gN4Zos/1nZyUvrovlIR/8eX/Mrflv3iIoj9v1lhij4CuD+4IgBvyUn/6hFD2NCX3
TQbTjls772UN2bbkxtxF7bOLnvx8nak4atZPXapWyIY9zJyczK04BrMRR5T150nTi7KB3LjzIAom
bXmuh/BpAQ1yDqexPvMG0IGw3vbrpamCxZZoy4uOWufmzYnM64Cozdonzs0+Lg2lUQq3b9iB71lT
Gmh5SxYo6KIMP5d6vMKdUbdhdU5mLdVRWb/7y4W66n99GTJVtMoNjgyK4WVYqQ8Kpqt2Zhp2kqvu
LKO4OxM2OZks/WQzof4UcSd/0JpGm6CRZYZPzN1ZR9nTUvG9jqtxrx9ffb0EicKeFHySA0zjwodk
eiTtMh0n1bdH2BwUrW+2wDu6qIgNJ9aN/90e4P2ZTQRRB8IdoKWLpAKKhT894EQmY43li6Y1Jk7u
dV594Ty64mNZ0mT2h23pdBO4yFi8Gn+iKDX7+qUZnU3PnbFg1MK+Qwf5XJvp0E5TfO9XqNtBtVzq
FiKl8pW8jBJGTXypte7f1OK0qezC7tx6sMihgTbbvo3NWQVG/DeFRPyoc/5m9aL2SXAw+AEwU7zF
P21wehUydNEZZNaYP4KEm8K23J5ZsFT7ssSScmyqXUufuWHfg6V9G123upGQ/eRV3B8cwvjt66VV
RyRNwhk82OO1r0sTRiYPNWgBtjjbmvjVGxtnvtNCBnnMpHgjYxduSFIVMpiDLNDU3r8ukV72imh9
MY1d7nOnw0PvrQ+XHL+DD/Vy9yM+ZxNOgK1fpuBZxyvwJOcaDozkU2LC/OvLr0s0iGjTRXF51P1C
LsyMVcZCP/wIE3qVS8xfvQC+YwvsbqhD2FgJOpZ4kd9dWOo3x527qwt3z7J+UwYhpCI7JGOORybB
P6KKBnLKa93VohhL39u3rhPu3Rrm6+qsYJ58mA8DTquNE833sPWCJ1AR5VsZegfYVd1tFn35pnhX
KLeldxOoX//4DKP/xS0O/SD08Pji/kbh4/t/tUHHSRVWDjoMKFFUw/uPbmUTyJduQQO0ju9lG9Hv
JVr8kYsU+3V0+MsFQkLqxOVFerQ+2GBQ8HOAYBG78gzH2g3+dnz6uoBpjE9+HXS7ZkjuENjLPte1
90ODLAVZEQWnRg/tYYmmYzXYEXgsqs5w9N13vj6pOUEdHT7AB5QjRyeY2K6M5reytpBPlvgPyBLB
L9ntpwEmterac0mF5lmvCi5G58DJngh3OMg6gT2/OCs7cL//35eoD/N//HG67t/VBICCQkQvodM+
MO4/tz2WwLoaOq/LjC14GMwHqGxRnRrD9aEBiFNDNNTTnvthKlpK7/XjErsv6Eydm9BReZnjfgcV
E4b//7n0ZsqVZXrTTyHMWxQ1r700206E7jfaw7aPG7Ps26GDh8fpYak7vcXmCS+e48CH6UM7cHZJ
t94bFzQx8RkpQABGZzdQpw59xG2Qcw97MbZZ7QffEhdLhCRmyZjonVPv/1rCKNyhhLJp3wbDbXxc
qKcNoDow1ZB8in6K0Ve7aCvidbg5ieyP8xw4EFaZs8EntaYKYFze2ebN4/ZI3DG8CsOnpzCaD1Xv
0uPXZV0ZPdaE/6A2SbaKjeQ8S5+cgSrA5vd2ZKrZdVmC6jYs63YBg3OmFCjBuLi7hAAPjB4XgB5u
tky+vED+mDZWt/SpATddiETNN8fRTp4o0lyCgeg9KwWsxBn98OTWT5RXMM7oVJ86HZiH2FjnY912
P0xl32dlh7stVXvmidNnKwvaH6qeXhqvM6eRL+L2denWBeBr7x2aYW1tyiJ6NItPz0aQnzGgw5//
+Knz/24RI8QYJTh/PB++AzLZf7uIo7X22mWO6owPuaVa3Ru9qt2gmJMK3PAznb32WCeQASbPkSlv
Zo2iUu71Mqqjb+tx10ztJ3RM68DsSqadrKJvDKLsyQz8l6wSsuUkuLXLrZNlkst2lJtRueQeLMbs
JqAfVbUkp69L03OzAZkA3JuH+lX5fjaYav32j98ynv4/dweYFRei8sLu9RhxgjLqb990n0xmjgPo
I87jrAfq83Wp4UwLHnp34wXuuYTaNtZ0BJLAQb/Ah927FepNCqT2jRqnPRGWGLSttnqLoXkfjI5E
9vXdkIV6XwcRzUbj8zfLONu6c0bXqoNd6NavsYBBEo3FzPryrp16uhPfqfEvdfbw9eXYAy2YOE9w
SDr008KfPdsO590yxddBxUC22jEAoL1sWzbZrB37zNXW7NXavwk9vECuK0GU9L8EQz6g5P2PTl72
I69+xdJADJZLscrkB3vohPCFRzp9X/zkfURFm82/JxJ/thrymZKQugmcUi6XH9bHgeZ3cMA7nJjN
agCglctHbyqeOX63jcJSZtYHrb+GAfS60suqelYwYwFl9CZ+ivchW38kU2vSpa0ubk+KqWmvYtDf
xUB3MpIfce9vkz5mqUt1nXW9nLJOrNjD/cbdaBNfhriZtpSRj7XtoVauIfRkXp1JA8lLRGXKCYIC
qpPPLlWbWSeooih7E5V4H8hLGPbPeomCvQAQng7t9GMaGpnr0HwjLXoHMteZ6CfwJJY8iRiJkdkZ
6jRo7KsICIiAcFONZuvp9RnuWCrIK08AMPE2ObNF3WQ0qcKWeuu4KkhRDeQ4jLuiqyBE97ZrNs3Q
k3Rw2Xbw2m+9P/q5B7w8g8YHeQdg5K4O1noHWEBmM853wJNp7w/Vtnf9jSthB6wcsDrp6S4R8Kn0
nIBlU+VPZ0gJieJffQjdc5nFxgNjtnGnBmGHO0uCcRPUxF6oLoe0prNTuN0Teh7sTk0eRyJ+bT1b
NIlTzAGYuHhu6b4eNO58NW/doTb5AHA182bgjZ4G0qErAFvkFLCSH1oK3m8G02+4I9BPZ24d6e1s
Z7B8UZdSZcsTUfKIdwZvIqi7lHmsSvvZA1w2kG29OE+Ocj85UQAovbLacC6HjKztfZidF0G2s9aQ
52O1Cz2VexAme6vXvafogSe1SoUNrzEwyRSfJ0lVjwCGAHxCF8+9eHJ9WwfdFmNA50zOeB0HYrQJ
sevtqDd2qQX2FqDZ3WlLbaF1Rqr2LZniD4QKTF7tWOefQx/+1TQ509ba4YE4Rp/1wI6GwpK3kA2W
AQWGCXA7+zA8l7z24ZlxcnXX5562f4xluBUcuumKLWSsVMrKJNgtq9jMc58CFz4rm1xnT3TFOHvb
ibswDmEmWCHfiON8kMDgLCq/1R0HMOfsdKhT+VJxd0zrqU/SuYueJls9WTdeDtO3OVFYhir5DrZn
mzQLAVakc/U4qEDd2fknj767ZJzzyiwK4Rb3oO1vOdfd9wY/uLEl9LxORzcQTP7gPDULskjGYaB+
eyzmhXZ3TyYfoVzhz5o+yaFjiDQsuyAtSVzmdRzoTVQR96wd+9l2tksd2y6vtBK7sezKbEhwEPrz
aPPOOB7CKSXPXF/+UpIHBwPOtVibHjEOhtiCWfpb0pkWsIbeIV31x2jqdiuEPfoL38SsnQsAb+jy
SuSN6qT94VdLvxOqfltVeG0O7ABVsisGY3dNj5XWxr5XuFAsUt0ncDnKTVjJ3zEgzhp2qV6ntmAt
jF4a3pcYnOpE6zBblnDZrXmnqyAdeuMdVMueu1sjESiBhxVnY8N+zEG3n2u2Zp0JPUSz6BtKD3JO
jEvONqK7UEdxinMf+Z4kRRYmOLC4f2fREJ8gwVxwwz9F/Yh8qIqkvUfWfOmzbiLzzVjwRSHtU6cB
Dri0+hyFC/Z0T+EmJPOOzuBMdLSdezocwnqrIxjms8Rf00TsvQSPuxdLv2kUqzPFHZW3TufAYJhe
RybCnfQUkG0vzB1f/Z6rc+LeqyX8FJyWmwoRBSRZ5hXhPRfnCWvOg1rXTcCWb5NC1mb1jJsreN/Z
GJq+iAasXJdA29XV5G9Gw365fvM7jqv6vZGsQLoQoZpqba6tf6Vj+0pIfx+8sN+W8jKM862aNr3x
X9rOq3KmqudoCuAX641CTG6vvXXcUln/nsah2jTWgkgMbfnEIgtrZAx+sxoxw3hsZZbEz3Nsll3s
sThtwDLdWwBSNaXTdvbssZ+qKE2EZGmNwA68qxVP5carQarOvnsnMcq9zqIgskvm9G781AcvbtCD
L9SkAbRV38TiuPtK5F8eqRrBq9UStF7U7tqmiwoIQM7WIxw81i8vXvs9r7EhmrVq9kHfQ/hnYdbY
zimSQXQbLAXV659Jh1/Uuo62yjp/cBUPTxMrgUq28wsO27f+QfkkOvLPQ0XO1PA6VQ67aS8yl6Ct
mmIW8jeoBA07skEObQA6H9AlFxUaMGexrzFark3jdz/9GWbeJNpX33g35j8LtpZAvMY36veiMDGY
Ozqu59kjBW41Kzhp52xGosX0iCz2gOwRg5syGszAIRKw1RH8dYKy+DgS9W6MTVCRJH8A49sNAgwS
ky3Oh278qav5pKF0pMMQAw6wOirAxZpMVU0DB5ZtVIubsgrh50bLJDfc0h3sZQKnWjfLeUb3nHl1
YHbhVMp8Bgm3p9Y9/5Nsv1jD6yAIwmL/k2x/GFAwjQNQk3+N7Y+bSO4qZv9Ftn+I6vAIkRD1w1+x
/bqFF5gE4v9Dtp9HUyrH+W/YfrPKFzlZgPSJ/5osJmMWJnY9x4UJyac3rWXOA1ZEwMX/k+2XFTBC
Uv0V21+VB0S1/h1s/7omuatIQZiAfjWIf5rtxw4FZPMorKiO/HEpGySaZxrtl9HLGtN1m95BzoQp
V2YonxRCmQUU8BqegUr5i2cHs5OtJsVqEbEcfCIyYF6bxE1gmq5ICztdWGVJDTi2euRB3C/EQIvN
EtMntK+oUlsUR8t0XS3yJRrEC3D9aEOkcAux9t8qpk+mTnaiYtcGQGQhZqApFAQXXH8fZGuzPkni
fVv7ohtnQF6aP3UtMhmxGbcxEQCLHUgFs9CHEKdUMTrhFkuDZn3jztiR+x8mDuE6KhTyPm3AJQTB
DGJnL0jQpK5EkoWwYICmw39y5d/rTrVIvoZjFqjuA70pNpyqt7nXoKD1Sjc8OLLdrEDWNqtAm1Av
wy+fd/KBJgwpApChNicm/MuKgRqZkMhMeghxn9cQ1UA7gPTE0YAuCLlz7fRo3/IWPyTK+G5KfWR0
0sBt+sxw7uZytTdB2/Xgr6Am4tLsOwcsseBJNiwh6kJaHftl/WhcE6RuCaCURsWYjCE8eT4V4Rhh
z+/R2/B1PYSOireuE3xfFgDLOjklTXjT8wrOW8Qh/JEhyAEekCwBWn+ag3q/6PFV8bogS7VuZAnY
TcFciYJqzkfp/HCJqQ9kQC46rvofY+tVkKgNjFwvAUubBE9s+R518kn0pE/JyqOMoC8I3fUDKfGy
GDxvs5brCZxWdawFjiJPYb1N/DKUmA0QrqvJLZJyGYCKtWhKhEeHX9XSpLYJk43j87JQNoqBmfAM
pkv1hlQZ6vonSf3yWk72NUBgSNm2KYYWfyqOoKKxm7Uklw6/N1VGxeLfdaUeEQEebEE7LOkyoAOO
ZGLutCV7nUBql+PJdb0Pr9R7lzYhTj9duFMrdk7Q5hGyQ7sBWQ30ssDH5h4RYwsYjyHX6sT0NhD+
HRV4ruLgB4Ppk2FS+qv0gp3UI80RGnrS9lsMQiBb39kMsA7LgsBiRNZiDR56wpLojHsnKYm77Vj4
OjfqWlJv/VWXBmEEMgM29678wba1vDwrNejDwsLdAubRmzk+VLLsozSmeHO2bhCtqIZ8bMNorye2
DZsEHc6qCkTY3kYVfGCFIUiSoJutnWHJqNOMOV/5R112KM1Ntvopq9YadamMNvXMDrRmKDUT9P6u
S1JeTkM283ep6p0y+AvIjP57IhNHIYx14NdTVtL1lyjVe+kj4x2Z+TQLocBcoxEKkesY1+C5mSdk
ch2zR7bnRcIz44IfAwl8KvZGmXOMd8hZuX5bOv/FvkCz6nIPYbsDUJp9Bb8rW4npN2QFyx9pg+Sc
893t6QXuLstihu1qnZvfJUrSod7QkiEXb/TPLrDtvhuHPfIkG5BN08W7xrOjUijIIADBvcOGmbFJ
wjLdEwIXYtI+IDTuIfbYQfPQaCxLeu0RAo9jACcBEkqgDMFnijAu5irIe40WqytjbBMA+1Kv8bNK
D+Fu0tEJRc0zA+QBV00Xo4l0MUPqcT3sizBsaC83xrBntl74QiAPLFV/VKauUzn0ORxR8SQH80sb
BCQRHzkkFpFtqZEXSwb3iNp6wmn2Ocbmtbe9Pg5xtZn08Mlb22xbgp2cOd/HrjqSZgLX+diKyskR
ECdiH7kNB24hTabChoU2/IjnFYoAAYvqVWfBUPPXlf/hL0DcFP6TD6GbLImwzjCwQq/womF2sE1s
A+xKwTW0AckCipsUzl2Gt7CZunDNG0DyqdeVd2d2Ra6H+jXyJ9D7XNlC9gy9LUfUR0rAPhXSgIuq
wBSueByJM+LUuqIOhocFkS3vGXytyWs3gcfp4zfin9PyPhBZTLO7MV7zfQgOUdRExcLomjPCiiou
kbssLZLx4SslnBznBQq10/kRvhfgR527jUra54YNDb7STV7h71k7yN+hcVGRon4dDBIZ6Gsfzwnm
PDA33GMNSWz1a3Ai/TYhKkCDLb20LsejguGW9XoFHYagX2HgMkeEbnhlr2VbHYJ5trl2nJxKSAQK
VhQid82nRS2tw3cS1kfpZ4LJ6jDJ/smP63cjW4l6pLxOjIoNHdzftZdcwTLiaQNJ54y8R00Nzos1
9Y+R2E3SGDw6kOpwr+UPzp8mA1bQkTG6J4QHwZXlWApvMihtsZZagRj2T3YKZI4k7ZRihoQGRJag
xZtlTlf2B9ybIXVbzk89Zzliys9zvVbXu9JOe1CzuiNydSaPyLwtp3P9R8szwK4JFhvd63rpMh6O
UxoOIt6ACM7a8qUb3BcClHf2Ns3K0CG4oA7n9qNK+n07TzsVeALChcTp140H1Y8SmFDztMrAblo3
QF+CbvbrK2nhII8RObdzuPV8DCwZNU4k42LiROt6b+1Q+vnDOvIaCY2urN7U4Jfo3MRLGfljpgCY
oDnRS+rwYSo4zuoOVJ8/LZtQe7/BwZGDYevWSJYtAeu3hAIx0bFycghivs1bOshdFy9FLesg5R5K
63CyyHkN+EPdR2UgC+Hn6sEauiatEUBLRJ8LGn74HA6w8jEjxcM4jqYvvVtpRjhs0DbgiQG8wgyS
RqCyscZ7DcIB6UOoBW6ylNtGiXvZgBTjrfN7bIBg2wA0rrd6ERTidmNWp88hf7+2CwberDp8kj7d
JrrbUDTmu7LcTONtcJzlOMg+KSbedAD0IV3o8PsW/xXNO6aQIJTUghom9XWO7CNswzHZh3k3h0+f
ADSRqhXlO5uQk62bqzv15pAYCYjfaLZryvA0j+Mv6X72ESj+qsQm4ntvceSyNK7BuRGNLUKAvJAt
sF8H/rXqK3C4U3ObKr61ScV2AeIF5cGxS7ynI9AV7UeptB7D9jP8qC0Y5JPjBNDwkWfH+h/yxm3x
yY8gGHnw2jY98i9zxHfKDeNLYDvkVV0grf7isFQeeriLcXcNYIT4BDeJkmdM3kEJibieMshVDxjB
0s2kWBKghFUcPrOpOzUU7juLkzccpNiluHyLjKj3xFcQAh3U2AwSf2T7J7JgF0MuKcDZj6rVr3VQ
OJ09NgjupI4MRuzHKHFcs2ahGj+EcZyjwfqbxUS3oXXzEopLGsFeiGZ+tutUb9YgDoqBjXTTDmpG
zMsHJQB1wvfRyhsAKqD4Lv85DyeB77CLqv7fPA9HQCjPVmjA/zPzcHDqRg9i6/9pHs7iVgfBqucK
FYn9V+bh0JVs43H4A8cBSUNwRP/0PByCxAp4mcMom93/9TycVaDxEuW/ZR6ON42559J/aR4OkH90
AH83BAdGy2tDKi8dWaBSf+4/4UCUKeN1XlLrXU2MGI0Oos9GNtkQu09Aned0HlSZjiHKZVib4H56
xH8NJK3SDgpnGfuGgp8VDPXKzGh9jlT1M5ZLsMWQL8xmeDQrZARVm6DqNAMYvMl3X0zcuy+u6LYe
KmaEIS3spRj0aYmpFGBXnOUazcuhDdvyjuNj2sOtB+wd8KRgoyUZaER2oShcLrGzrgVGwphMqA5t
zJIcAZBMF58hU9+X3alyo+FCYsO30qDDIm+tUZ+lwAnkdnQ6YeOe025gyxb5JUjpQfKbcnH0+ng4
icamwwyux7qKX1Vft9ApFcp2iOpF6es/iOmObbi0e9C6kOukO1zaxqWP+VnTT2FTJCj91PFbZ1vC
G91MCZzOgUITqOp2yIfYMWfTz809wVibHlUhxupsm6kf7zAKC712BvMt2hC2tOhE7uH11n16ZKr3
Uxnqp4pK8xRP4YDUP2rWWXzMzUSvQgziXvkrxaAe/h6PpLp/XYRGVpIHaNoxwXDPw6pGVn1Rd/QH
wB4ChokAHYMjXdER8x1azIqruN0yVy03Eyv/OtdoJdzvGlTDAUMMqptclbgRFLKpndi8e3zT1E1w
IAiUXl2tVa57AdtUBeQKrcsUdJZhbns+5cSMSIwg+nNPHpdhDLAGubk4kg73pFvYEW/+vZkajCGT
DiZkNF78zKKfpULPDJMcMQ4cZyeXkiAf/KA/hYh1h2aG98DasxfZs7N6+rmpX5dY9Xf01OaZO/6Q
L2qttl9fAvDuUi+oms2SRL+6GYOwMievMVzhpabB8BLI7lMmrXOK+3F4iVsvAsfYYF7S45vl1GOK
Wbm+LL64Oz1PvhnPnSBI980uWbX/QjFcChaGs2ExSlBH+HY7+qFF6iton70StxC9CKY+lWP7HHkz
yfyFBJcmwOMiVRa+I4TefXoV8m4AG5szpxrGzkrCPBSlvSS8Kgs+8utaihEGevTh6wDhNjhcWT/E
u0EG8a0NYHJYHf5i6KgfQ9gCLJoPW/MfpXD06+BXLtiA6CZi4uZuN/Xgp4DIz8PYbh/66YnTXhyC
B6vX9N5JiUYBkPXmz2HwXiISOveYHL0K+oUuzXe1NBsfLvEp8KGUB8QcVhG/8NJvYZZSsEMzlrUd
LpGArfxIaGf4iZetmQooQMPrMJX9s0Sn5LrnuVr0t85lHUjKixPROh/cxhyWMikzt/fK44S6KWyd
8lSBHMtr+hILPyNRhwbZH8UuJNE9IbK7UMJGGGaGF5JI70xqvS9rfPT4UFjammZCHt3N+mileLbK
qtAhbKmgI4XLFPtGUW4dHNrFWUU/lQhKpPg6cpdieFkM8Q7+EEuIbq0tJl/xE+SVmxEIHDPHellc
We8M3NbNBwEkDjb5AvWi7oBgtduBijDt6NBvTU/obQnr9gnDZTa2R6i/ndt7K1V01EFyoLpFvhki
Upo8IA9vLk8zAo5Fs0z3YfkyUjzYHnHXn/y1oYces8oGTmsApE1WItd6bBL4Hq2n9cavMIDC84MW
pPL6A/sv20UyIvu5Ehq1cojMVtLc3WXqkASFh9mF7/6I8YFUAZFWExIUcV9dAIm+C4zPu3QDkgVJ
28TbFT3/dhz7q5wAqJQD/zSjG1++LsiB7qK+IQj0dQhQxr9HTG+bVgHHvY/+kJARaK2Qbm1jWLHW
C04VzqIEww0vMomLxUvKAzIStBiScJdgAFwhR/OIuuJBVSSKcpeFe78sTYZuGvhLeJWktftk8hKw
uOSkOCiYpSTNjk3QQVcrVI6hPUgzabUcIxLJzA0r9AL9A+Vldty0WMf7qom2per9n03r52rRaeOO
zrfaXZYT/EFAEMLKZ9qFGGUg4uPXpavASZPy26Cb9hY1ZXBvvZLk8fxeAmTZOLBRDpXn8p3XjT+c
LsIsi0b8CjzUEXG5hLcYRGXaJQ9hZ4VQO0bTqUUWx64jUEct81B6ziVJIMX0irB8lW17DR1wXRGd
eO7UMPjRbA0fXjL9Sp7c1ai7xKkcmBoTCDu/guwZzjBXoxoMyxDnfGmijShnIHzt8Nw0v9uy3S1y
XZ48GapXZsgv0oNVJ2K5VBZNRSzlXlUeP9VUZqVHxdkhQ6q0T9+WqaWnPsYMGkFWLNFFnVdevfoT
HD4jS/cmpxBW3OpKpJziEtV46W7bRiXnVosGO94MLRoxm8IC3QUZoW5AYVaMwJDBXceY5tcRb+89
GhSEqvi5jYLyHIFMjOu5CD1NC0wYYCfVehgEx5CnotwxucQOtU38ZbmtNtjzVUWX0o5m0431dBKC
ou6szUY8Xrd+O4CDSINRBte6g5GYjP4KbR4BM1VF2KIEUoXj0vPURVP5WqqHti4Cc1raIDrawXOR
+dduWo0B2cULW9/qwNkS7lUf2URdc3bZsuZV2XuId0UCY6AIFuW8yL3p6vb4dUFIE2JD68FSNQBg
kxnkf4wBWex1dpuoRYgUdjn286Co/4O981qOHDu39BNBsTc8biZi0ltm0psbBFkswntgwzz9+VBS
t6p7Ri3pGMWcmHNTEdXVSTKZmcC//7XWtyrDv8sj32PiYNEkZxJJFngPjd14D0X1qkPQupiTezdJ
LvH5BKNCDaWJ5xkv4+gK6xAbwQ2nec6GVRXdNrsJPT9IDXnLXkw7S9HjlZDGAb6OgaRfP02o3NvQ
5TU3HDcDoNOxdary7OSKbBdi7wHDmj1kgcyPOSuylZ92mBBNs7j4SVderI68dCCznd48hNlQH5vE
xz8rgue+tcYbPqS3ijDIl8tBtGqCVZ6Df1KTZa3+OucUvbVHRf9xT/DcUn8TXXfIkdRXtp9ZK0KQ
FpjVAIOx6LZ8NWtR27DIutotH51eqPWkeSCOjMxcVnoao3ri9zNFKa7ch1qub/nw4A0MKbUTlxtb
sw9Oy7aRz1Wyaqtq2ECs8LdZ6oxriBvNhgcExyhsnGXcts6DrfwtpoYMu40VPwXThkS8fTAK+3vq
jdtsCIs7GUKqBVZIRg3y07JptGKVdmJc1Y6dAdBK1dkf1rZy7z1AYnlhW/eGxz6qDqL3NEzZAgZ5
fap8TC+duJilDHZjLe4zaQenngFpWb/UTmRtSqeTD34uuSD6GjtYWC0HgGbLltTEIlJksk3BLpuI
s7cOAlZHuCqgEaUZuzo/BqpC+mTDLh+lQeKI8yq4kYXrV84ynUr94g1hvpja0NiZGWlnnxzgoiIA
fsX2htZftzc//qb7lVzgvXS3TZ7HhyLy301LddjPBpvdRNjt+nAqtpgDjSX71fKu8soS1/gn3tD8
QrAwP6chRMpmsk6YL/gDmWk5EbjHURKoq47R6OombgtNyroGZncnnFreAOjoH/r4QQ+F/vjjL7lx
X3qafkkD/cFiPj6XVk5agUD+6+iUew4xipVdlG4bq/JvG2vMbv/YAYnGg8HxZ3e+Q3WxqRvsCFxL
J6o1RxN+sm5XSaga5WMgijC+4J5pxK0d297Cgde5NuOyPXpzGCKSOXiDLshW+TjwIQqBCXmZuzJ8
0W24pRSLpMottqpTzxoNz0poPGVxkLKUkM5yrAkENkVpsXkpfNaLtXFkIT0bNjb47h0Xt72TtGfO
J8W1HOILmSV1/vGHNiCG5QN2mh9/FfFHGQHhy3RHHf3AXTWqaXYFBIQjppxwX0dhdPQAUO/HPK4O
WfNmKW5XXWVjNRRdHm7MuH3JyHK1sZtd1fxH2PDengxJBBfRCStLmKQbw2CzScYQv7KdP6aqtY5u
CDohKhTGVt9+GrpaEmifFqyvk93EyEEcGf8qEFmFE5F5nq9jvhqOtwPJM0tw4oiFTy4Klwxzqor2
OR/IxBdJmt+U/aRYyhXDUkv84q5jQ7xy08HZ/HjnGdHVdVrtXAXDi+4P8ROSDPmNIQ0OrfE8YKy5
+/GHazKMkazRN8WxCNP0pvDb6pSE4ap1tOK+bGE6//H75/8wDTs2rmvTcWzwH5at2zPz++e3Tx45
hVBslrluoCbWUQFwzijWHyqZtNfObi0i6Tn+DMH/E8dtf8g8Lm66zpaqJGbDCxZvnGQoyUXE1jl0
y3rBRSW6jk6dw21SILXM2r9oBlHxLh04mjhiE/oY4Er54jVFt8pb7l8NcWmVJiWwIOKjHL5ZUkvj
GpIb+HNK9G9mrczfY8x5yuBVpMSrIT3L/P1TFpXbt2XV1sSrC8UW1S5WiTeuDFXoa1/CJcgHTI6N
zvFa+vDrnBzuQ+NHl5Z7M9wIjG+FqNtDhB+u9OzmGZ6RdigqkawC5ovXDnDKIlU3WZdgiB+J2bsF
jwtC+yas35Xw36a8bG+kXqNDVg020mK4GAyOz6HZiYNfZc9uIg4yQ8ogg+IfZYaDE9UqPrITeOZE
lN3/8bvg9/ElAPHEtF1wM/xWiOn9LuETlLoexor3smZA1QWs/N3OtK9IMudX0Dd4JXAHKCtgH2/I
6O+8BX/kh35zBeO7Gy4vBPZuQxpzQcjPb0Ez95o+ikCP+aP5nmrR22Cbe5XF3qqa4nCRSO2gI6nC
KEaEBUtjDu9m6oLhaLvm72S+/2+/CBYUUP0lZZnOTHb9+UfhMqjFBUhy7rT559BAFOZEl6jQQmjr
jnYo8HqbU0fuXv/zb+Ffll3+fxO6SySWKNzfjib/0i79G4jSnx/0l3Cy8ycaMSya/QgSS3BJDgb/
X2G7NoUA1GkBQ3IR5Oc+gr9ClHhP8Si4RgJnzxzI41IydyIAUeIzzMPmxPMc7rf/mXSy+yO7+pt3
rwCRxoWTqLPNz+L9Lrk5JNY0APonfCJGugdYooGu/pB1AwgERSrMk80Y91/KYulqxP7Bicpdl/mL
0pHIjj7RnPA1Fvn53+3c5at7FABwRv0vdO5mGUhGE+cuKebfOncNrwWRbub/Uedunm0GwZH9P8W5
K4vQ2AS18c87d33Z3Q+69um7YbI0GmwAUFtGgFLcsDGqbIo09IB0yPNUi6PffOAqLh9aPfis4rbZ
mrBx11EC5MhroxUDIUTljE1LVrorK/TafYqj1cwduUgyFiZInNPS6b2dykxFSEc7xFb6romhXwMN
yjiWBQbnCHakxlrTq2ClAKUuXNhECy8aJyIq1q1hzJYNgS445F/R5FXbMSzUqgmdD4KR3JIMqEnC
ZwGQ1w2m6ksR3gkfZwUn4ImlevlV2RbBB2W3Z30K6GFwxc6NelCDZGHwTtjl0ii7W4u41doPhhG6
bzxjvKyDPjSPus6wr+ffXAVZ0JQ68CTBbyARy4Lbl0gJ5vema2+mwX0q5QjKfww+8YNfAxivV0fW
F6NO/U1k2OW2B99idnVIkKC3VrKKHsyaPokuRv2OTeebRmYP6665QAUUvczWIkdAJahl97gcKsf7
0hndRjedbjOtu08rgGFD8WknWrQapPXm6+ZbB7u1MDDmCpOzhQh5dkHHiOe73/xJ/5xqtMGyBZLj
GW/zx3qZ4bVZihDcKkFOschYfdmDdWybAlJMMz5K3Mie2UOVCYjgmXp/Cxjho5kw2sRGfKCkfN21
5l3LIhc6NNppNlM2m5NmBRHCoN0zJOEz6YvhcRjHPRl0sTYgYJ48FonL3OEF112XVg0Sky2qsW9+
tX1604hcw3PhPI862OAh0uJTPvI9hwDamVc6j7qKfJ7akCxjIFw1PrFdIMNs18MgR0P25wACNjZd
r+TWB2W69PIV3ogEb/XYgSx1+21piNu0lezDfevBi0oiBWCDV7Wmecuqr89NgBkhSMWmjvI1DmBz
GRY0VmAMU7CdsWqWkXqWk4s5pC3wHc3WYbPBeyfyGRKWuTmPrAOgsqQd3CHF+t12L5Cphj1x1EcJ
aGRfDfO+2+eo0AWXuGMxProRjqEkuymCEnc62aHWwscDk4g5DjibLxrGFsBbywidZaUMjpTh9OKU
UKe1cnwljvkUucZ5EKjy0qVcwVfRmcmLT05FGIu13aiRoiNw+tbX+bfaXOKpasneEpUqW3dh41X+
AaPgzDF918ge7Tub3A5tmz7+aCtl4AvkwQyL5z53t51f24exrS18fwgKwJ13Q8RSvm6nz6gRj1z0
vJOW+lgE0K4N1jOc9O0m/yZAWywlBo48SB16O7qzVxZX5YWf5qA8xjTenYIdc5LHwabSvJgpleO0
CaMcDulZVSSUcCEeYJBaK2s+BucVe0KW3DdqIM+oGlewFcMTZHqffZS8y2JCyJBPruZ/jP10zAGh
LZ0wuph52l2x7+grD5QdUihEI1VExS6txBfaSr1oHA4ppS2rpZFAlhsjFotpdldbVX0Kt74p7prm
9UvHvlVV8p17eYsuNpOFMYGuteClzUn9MGNjIQlCPpLNpB8ml9m563dWfAncYG87Y0/Uc8AvHutc
XSiEsJmOcZ51b1WWg3KXezMxznXRbKK86N87Q1B5wvgdR19NGibnYKZicOA9xaBJFyCbl2PV4VFM
uB5zOcoIgIuLGxUGawVhc+GlaAMGxb6qulX1iW3ixrbwKnRGgashQRQ0i2hTZ36/q9lvdIHnr8j8
KowRxl7ZXXaouaB5OEDWQyLRc2E7rmGOTYvOs+KFn9+x9yhWZqLvfb+Llzag4kMW5YsbWYzWYVJ9
ROAZpl2QDCMUVkwmtezu0iD55uq89mFm/rhQk34T2VM6ZvswikiG2VvpVtr9MPj+zgqgdTVpeQQt
/8XFreJCb+yoOJHLuiqdfRk6j6EulnXt7RN/TNdWXkW0eMibvoYjn31BDgvxwHr9seKjnblFtEjj
jnKSbFrySk9X6d4nbfymFUTFq7Gu7pumuQSpuiZeQhoZucIfo+DiDGwXAhQy8jkci6DCrdIpqVbo
JuD/nb49i5jtYteyskq9z7EK5APJ0YBV7gSF49Wt2kXjhXKbZcalMQ1gjCyA6zT1jimB7m1RuG+F
mJd1iPZ6Qqx4PNR6sBisac3Cr5XxsW5kvUEwcXdW/93hJH/QWg6xHvFkA5xtjHq30RxzWA1QXAN3
ilbN4HPEk068H6ZrV2T6rq4x6MrhlmF0i7ZTLtsse0oCaOjsLdHHNJScQkh6S/qcWKZvbQAEznzb
XTYOOHkm476SKn7k3PeiuYCBHTHVV1kA7S1lyN3Mk+EKxqB16XvDXjpZtNZqeLUlbDzwNwBk7CrZ
y3qQ68gcAEkUGsxf2lU6VC1rqFYuF76dAH7TlhLcfrNpayc5WD2JRBm82Nq7XuKDyiojuyRFp47C
mU7JmGE8tQ5R3X93w+g2bRggbHviXZ+q4zAMgFec6ZvSsCznTqDwAnJxF9DPCGp1ybvQ1V7FAIIT
IrCe+UQeCw62deN75WmIx1Otfxqx8WHzFjedYC0qgS4x2SfHniT3zpSESOSfLQygtpd8BSRrZof2
uu2PZcSaDv7+sLBEe9+O+hbdge6flutzmvXftHZLr9MHT+CaUzpwlFSmLAIKCWqqb1hR5iOfEve7
xrktoMEisQAslpUD/sEO92HvNGcX2ABat9q28QgCPcoOQNOMvZVHn2oMqSb4TMZwCXUZTmi4G1V1
cbn2PVrF+BF0/ufEKmuqoose5dHsL4AAPW0gO8TLKjCvwjGPJaavNWzMsbvSTuZf0qZfOROXlwDr
INsiAR95yvipJ9D9kCmhNE/lg2ZkdDDIWlu2XhktLOieVhq0G8iGXOgiLowBy96DwAY+2GV9UzVY
86U9LlWNp5R9g9gL4X5x72s2mRMto4vGqwv1z36TflJjtHfpJqpfOO8Qjwu1dcU1GT9bTEA0jqkr
YH/P++vFVNWXSIitydaYaBhjBvFZA+R5/k0NDxVuzTGVLNVRYEH9iV2UMGu0eXdoex9TwzDsBiqk
EJFbPpRVsdR8AmteH59jNp3rSreirZ6Nj/qEfz1qy4fIcdZljqrtsHsATOPRnzZhAvXJSyWzzVx+
6eO4G2z5rnz/dr6/YP64t32fO4+BV93UMrXh+nc1Mr/Y5xq+tMGHyGj4Kbd/78BleWGlZnRjDCRt
3ZSxMdUJE3ov3mg/DmbVL+JKHYo2o1YiJ4lsgWJZmYPzvXYH4+yFuL1LcN81xvQt9uO9X2T1RXOs
2VbcL3MzZ9DGx3yOreJZVSD3DK2+AT1QHaE0vkgRAm+3kuD049j8L1sf/FzZ87/+exX7eM588P/b
O4ZF/R68/4xLmzsUfzzm1xWDC7nLBGL2F6oyC6hfVwwsFoQlpIWxzbOx3v26YpgrO6lUFUxYUFws
Q7Ir+suKgX9i9zAvGIQ7t3aKf2rFYP5YIfy8YrBZfvADm6ZHQyjf7HdbKdbxo+WKEj9l4D2aoJFo
GduKintD095hRvePxTjlW1b3X6HMlxJteOuMzypwqDXR1l0VC3hbxR41ICBCKY9OpcimDO+4gJol
wP+nMWJOcgtaK6Lyamu9OI91eQWs9KWSEDFRVOuoK49C5RxXIANrvptsIna4rQFbMJbunQRIsMmU
TyGIxx13MrLlQP3NWk/0S9FBd0nPVALqNzV63TKtK2vZcreqJwo5ohL9qCguwEeqjecEmP6zeDcC
Ia7KoFkl0R5j7geHy2M9xMywg0FhDBdFiepygaX5kRt29pqNBwQ0KMBxnwL+xPunm3QhaDrsZiPI
tzp2mYxbqebUVAradnbB6xUTneRmVPiULOjtNjMXPrb8ouOaZdNmsza1EI1S1Musca01bOYqr5rV
2JjXqg2vpkQh7G24r7UwbzQ1vTbj+GiqiGCV5HTnKWsfd5F2qe/Nsb0UtSCUOr10rC3tACoH91nA
0an3XnU0vSX9987nrkVCvVrQDfdJIvIUzVt020Ufs/MNweSvqRKfKRn7qW23NWjbfRdHJ0L061CZ
gFzVcLaJg5Ccva851edNVays0gHfWwPT9n19Sf5KFXcpZSsLx5Vkjllb4PBa99zzOUJRXwM8QFrR
4xhsjNwb1wxg0yLpZQoiZUAWgnBv9fv/DBdrSY/mXPCYl94z/Ry7amYSd/5dUFAF6U9htiUYe+iN
2DuYhbij+AEexBxSsYnqRJn5lsTeTaEHybkoWyoRw2HXKuTNgEI9hId4VyW1hQOCa/NcVxnTWwnZ
mA4fdzN5bXmro0ybRJyPwGC/mi6tT1FeZus+AqtQ6g/6tyFLg11lMTCZTZthMMQ5Q+fKa+YMR29K
rAVxLpIa52ou23Qa8RLE+qfmcLBIuGduCIGvHMjRKZrwmXP5cDXrEJlLI0sGgMdUKU/Mt1+queqz
6Ydua9rJMnIyBsWBPg5IAJtqPk/qc1momGtDFf2hai4STQIo423jLIo4hZ49+pQgjWt9rh9N6CGN
5kJSe64mJdpUwveG9tvTW6pN7UNqUmRa0Gga0Ww6eqXOcoWyU47c1lIE2WevwASaNKKONKM2NKTO
rnLsUXVhlqsug1iKIpKu6xonWUE7TRGWO/w2aq5dZQETMKhW330+PSRBoO5Q2onniv6EsfcJ7+R8
xOVipmN5Hbw0+czRbN1RZWUjKk/dWx6DD1gJaD41sN/EO3jBXoQfTlAtNdhUsgZC17csGfYJhnuV
dnis6lVpPmfI8hVLmbB/nRK6FbSQpqnXZv5erI/ir6LZRhpNSjiFdKrBjrTtcIi9j0rORNziRVHx
nmM90zx3YuPYV70+THCKK+3Vbp8t+MD8cIFnLPTdaF8qGAmZGHk+6Jo8Kp8vytZHmNCFpdsbjwuN
p8f0Nn7DTrDlN0v1abisKUUZymYtfPh1aby1PwqBUlm+NYmzamObGhhvi+VgNbxzTVuRaW0EvUwJ
zJXuBi7KzpjcLSinBeCpRQrrYFIATtjMugGecVqqTM2h9cdbVNGmc85l1uzMbnSW0DmGBzNN4qNh
AGtrEOt3kRsTjHUVySu97ck9lISs+vxJGGl8aVyawWotv0a+loDvnnZJkEqWHgbQjeBzLAne4YQ1
6Xcxym2AMe7eMaYX6nUbjuFRuHajWz6F3qGa+ELDYMbr1GYUa/PcWzpOFC0K3b0KGl/QY32m+zTp
2C3YR7sK8wtEGX6bBRuTkaXjwpXGkx65mEALETKzlSQmHPTogCl0lTlGfAYKiBEL4c5l1qbSqdjX
pY3xq/DuQqPZQG1xlmHnvjlo1c1oNvsxaZ8wHGxNs6kXppE/1HmADkfOYw201ljQNndj5ONBOMnH
GI/YHet4FdSIoVLBhRE0cbISWuShd1PWNtfsKN+XRQ8/op9tSdr0bmAm3Gc2bE9S6sUyM/E7SzE8
NVVDI2kQBbCv8n7n4+Xc+r16NlRlwntP+2Vkkl6rQvOGHjZcP6H3YPLpH5hSFtJhFe0iti97ztTc
sSYIQQnXaRFIpk54QqTrY+AFxEPUOStbsHcZ+GuQxWvLSevlgN1MK4d9nPeQeWdD1P+Mof9YX4jJ
eYW57G+Pof9bfY/q4rdz6F8e9GtfCOOiO3dHknezdJjNP82hlCJSJeJRfW1DB52/1S8gXvknQROl
++dHoETBovtlDhXQex2GXcZXB/Qqldq/VGz+hUn6R/Xf5vz9f2M1sR0UOGC/jMLggMUP4vRPXgHK
ky06XrN6IYJb+PzpMRLDnW5r4a4rOQCORb3ijFdsZAAe3YzgNdm1sYXwaeJFctiCWFBpilrz1m5R
c54L/XFVzbU5E3bOHd7vTScrf21gCVlg5SmXrOmmxdtDinS9iNxw12bDe0vd09oMnTviXRTuELAi
NtZTBDSRtaOJOSAC27rLeuI+SYTANiuXOx+izUDaYOZSyLC7VhmEXUfPbmsPAkZGO5awuu95pXHd
GQrjthdbdxSkd1OWd3atAJAHzQ67MC2/ihaHkTWPIanMaGWPJMBOVAfYyKe/famJ0KWdpE2sdE9A
ciDQGfwI3cDiKDYMlnPcfeK932AMy+k2WySKLzQEwV2srC/cmiv6j7Y+99q10CnSxvPyLZlFGHPg
f+7YbZctwPkEx2YmgBz6WGPWYyT3gad5Rz0Z7nqA+kFku/smYaQlw+VVqD+OLo9k/Nwte4FgZdEp
LlPfXCrVF5t6YPIdagpC+7L4QFVqNwWxXRJdsc+N4uQmzTWyfIOEJP79AZM00ECnJUA8J8q0tVcS
d5qm4BtZAA+URw0UKrjNBMGBqsySBe5KbtOKjlDPX1sA42GeP2UNxA+3GONtgiX36CIwYfABadp0
eLdCXNAszIdPrGvWLZWQ7TKOUv3kNU72UAubl8YBVtsG+bquBu4AylqN9twBQvPe5CTHuNyJQQvg
gwhv6zQ1k3bTB3s5kveTGF0E0CqZgdth0cTmnvxdd6gNGUKtmcSiakBq9VlzE7T+JouFs6sU6eop
1k9YHot1F3A5TtpMLQrCmYvEZkoDSv9CFAxtr4npN+CWQighfbYKfeGNA9l7VXH378atgbcoUvqJ
iz9uNOYW+BXjOaTcKdCSdg9L+a1sam7+mfHYT+VXry7mWH2xd07WIkm+sxfdp6TSt31fcbv1ZwMU
6LGyfi/ibuON7UeqIK3HORBTPQHTO45nj8BmlJpHN+vOWt89R2kLuIrTl92M4XE2/GbuoM/mChpx
2IwRdRa3kUhPo6zvWLxeOFqggIru7Gr61gU4jFoCi1S4O9L++4w+1zWBhxfLHt/dVn3YXROdVPst
1yZynUNVHcDw7tqxKJdWKql1C3xnYVn6uJosyq7aMtwEySg2QVhTCkixZMZLdkpKmaIIYITERxXv
qMFe5CDJlzJX3Mj89KAcBrGm4B2FYf6usrgpq9y5oUKEWZ+QvpHkdwOnHhf68rqJvQnr7vTVS2II
yWDKLWCHZNF61ks3Q13A8lCordm3esUVTMX5g2d8mAWCGbvVe2GF7y1HJCzDdcOLow6DR0VRQVLZ
lIykMbAHipNOgQEyz6ZW1uyDYzdgSGOtuU5Fsva6GIoSlc+S/xiK/D4RWMl5a6f5wVXFlx/xb0pz
CeKqM6mKzRB7915pI1HRVBFPzqNXKDpEg4CS96rhENYwpRnW0rIhBNGme1R2vG/VXT+mHo3zPjyO
OadtILQ4zoZSY9TYsmPpbiSg0oYEWjLOmswgTYCttI6qZ5Ydq8GiEUAvrF1saLT40qvYehonlVpf
VoOkvHbyEAkfgzRwgK445trurJNv1/o6Hxnk+7g7Ep5Q+Jrie1fk8VKVR3hc8b2Qs6rHzqH12Ek6
eUY2yPl0at/d6k33Zvro4/xkaao4txT6B0hYhL3K8vDWYgJKoJ7kcoDonESkVppz3xgkMqzgm+f2
s/CgSwpkkv5UIljd19K576e4fCuNnOGyR3xs64FRrGNNynperaOMeFiIz3BhyLSDhzZ0SMozJTCq
2D/k/UmHJwNyYpBbPS3RBzkJtrFRHW2z7XHM4eDoxmzFL7nZpCWCPPPvhQsXRDBWv9xt4KyI0ASf
BbaL91B/tcchPXOF4Tuu+s7L7rm8cbi0DdzZ/Uk4ZJP9wHolKFC8WU+QEKYb18yP5JXBoFqhPFhG
vBzSvt4Nk1EeyeISckf/Yxhm60DojvIYy4HrUsUnEMoUxEWc7/9nyPsHh7yZgf1HQ97ie/y7VSMr
xfkhv1YteAaZKsrdCEHT7+bhS/rrqlE69twZzsIRTP5sdPrFzeT+CVK0EAJ/72ySM/EY/eJmcvgn
ZjI8Uo6OFfifqw6nkOV3Ix44VeEaTIqWjoPjR6vDzwa4cXI7A6tbir+jv4mi+JPxglnGlwe359MK
5O1ah4ZYjLR/wUvV2CH1B4NdAzC8z6Kx33WdWgL7ewLlcBPD/CRbXl07jxOMm4RnynnPc3S96Wx8
HYF2kCWTRxqzd1N2tLJJpO9UeKfHHscgfdjghAE6CoaQULeY1jTkYAIWqb1ic0XfdMoV33iWPtG1
kPToKqRTO9tOYd0ceZ4EMoX8SBPw/h5mfiLhBPQdlHOXGWKtp+MCMAIlzHXU467Ekl75PCHg+7uw
gMpnYcPtRfkeV2n0bInvZQBUVvU6qAPuBTFrA+IHBfzNBOK7hWTgW1RGpnRfUdS5D+JMYH+hMAxD
LA79zVBEahul2U0W0m/HsO6gmoQsJz3mHiuhejaNvDfOv9ySBwIg4KJLgasAYOwFhPyFaIO2AM9H
gcPMGbJNtTbVqpKpPOZlw9ruH2aj9jbisUnEAiHz77FRJaVx6DP/YjZqZE2Q0n1jJyLWeY0393z/
92Wjoh9r217pl/8KNqoxs1HN/5/YqIU3jYfoETITVjrLfu0kwMyc3XwXkdv7AzZqgsuyDF8bPJft
DJnNqKg0jHxHGdthElRP22X7pYuAxBOMlxCpN8PJ2eLobAhOLLtZtdNn/Q5zwss4K3r6rO31iHwJ
Yl8xq37FrP8FQTCgz7J2nrXBEJGwmdVCMeuGPgJiMyuJFpKiPWuL06wylrPemCA8jrMC6SNFFkiS
djbLjQwkMcpmixf5pvL4izzUJsKI1BQnEpf/Ukd6wYxYXIMmIGYOO35RCbta6sM9dW31pkMq7ZFM
9Qx4qjt+kZg3ZkXVS/EhTb6DA4MmQVLwjKoG1TMiKB84/68yXz1GxhhtlepwSljhua5pbtJp4aQ7
EIiuZ/lLOXBKpY0YEKjfHqrMueizElywEaiKHs41jpZ+eCD0/a2btWPSPit9VpOTtNXYA+ZfZmyw
A0dxzvMIHJGvVqMvvYU9Oj7BOPOuRKhuEaz1Wbm2e4OMMVp2fMkZIs1Z4ZZI3d6sefez+q0z3xH6
pjR3VsYlEnk4a+XhrJpHHfp5O1n4IgSA/Vlb72aVPTDR2/s2f4Dlywp51uK1H6p8ij7f6/gM3Vmz
58y6YsXtUy9zzYtdNWv70yzyz2L/rPoL5H8g6fNCMFoIjAECgwDy9yetyx/9IzbFaCouDVYCDUsB
DYtL/7OffQY2hgN3dh5EWBC62YtAFqXbNn29ZnvZnMM22FN+rK3wQlO7YdHrSX47ba3v6exywDfC
KIvxgSo2NIHZC4Eh6FpijnCyLQvzb93smWgIPC9DnCFMkPcw8fEMaPaE4n4Us+OiEAmr0eiLxvp9
ULrnsgKsY6S9ZOlonuTs2yBLEqyho/OafWjZZ9r2p6woThO9YDb8f5QBOgBHUa96jexT6sbl3lGc
tScjRter62PSqmSZTH19MAY6MUhIlnXd75XFRJBOmYeyXsFwpVekdyXBLPE49ZRCe753Dhgf6Bgd
b/oWqgANeh9FaqtlAYxs49e32lhd7AJvpZxXMR2CHTHGt2SYvVkE5kCekcwepb83TTjpXWpj7oyR
11w6ozlDjsa2ld7V6MpzNbJaQml4zcNMbjnq+qG5MltvQ43D3H2gXWPduuglhsDaDG+8gtGoKqN9
1sa3Q5jxKw7B/LUtFCEDESCLj5vKoKi+NSe2ttP0Vk7lczBY6CU2IwD1J+mazvNY14Y1HBpKjSpe
wC9Z8KakM0ZbaLWDybpKn0ofQC6Bz6PbTzn8iO4ld1uKb9vSX5P/jUM8jSMdQ8eoa1g/kKtnSzGl
a5FW9CxE1p6DcE8dpEFVdZyszICpqcurGDzeuEn1WDuoLMIYUbRbDtpbSOdiOyAy+ivAhWIVNRrM
VrIXeUENJD2kp7yc3pu0p70vdADx1N7WKM2PjI00KeyWsUek5UWmE2UWfMwyN+HT0FM+CPinCwFT
4DRZZUBszmbxZsZTfGB1ARAkuhb+GOBOSl/LbHxS7sheKVRYXh1VHtC8y0NcU2JAQwwff8+8TVVw
cEqefdYHAn/KwMF6Cre9jVdQKPXk60Q2RDTeYxLLiL6zNiipqiOYqm7g/V6kk7F4aGS/Drk4t5H4
SAyI9IVPIjxseohMRb8El2uQLoNB4KnceImC75mXwjrSYv3MjmxdwCggzj2ow9TuUjXSVMvKbRUO
wQrXSn3pR23kk8NOED7DQsbyrWlhJxBzqZHVwfqVSGhloZf7ofRPI/HsvaHURNrUZvnf6hcEqg0S
3wFrzs00aA+y/JAOREeveZFadlKT9t1uNRxTastQvuBMOrMIi2usADyl3sPU+MRqi1VEhC6AYcR8
/sNdZav8DazkvuB33pv6Ts1sEfJ0+JovNfurUqRvRd/TSANrEfcO52Al7Zs8MgkiD09Z9m/sncly
5Ea6pd+l95ABDsABLHoTiDkYZHBIThsYkwPmecYL9YP0i/XnWZKqpL63Suq+ZtVtpoW0yEwyIyMI
93845zvTOUSfmuv5RYr0qhPO8d7KzVsv5RxyiOosgk3u2tcd80OcPNpxMor7LIK0YKdX2WRvAwsH
45y4fhcfoyHd5DZ2t9k92hLIfGGspCzJ19SQGtyY4SHrPYAL3Xqeig1eVFCo2nZI5Vbgbib01to1
VfMslvJemapzubOa8j7X0g8kfqiI8pPp8TmV7Oma+GNJxUOWD+c5QTkxqys0gCpRWHsaoatew2fa
IbQP2k1Rlpeg7c+D0VxLmFYTIFVyzPZjQ00vBdAwEoSqdt31AKxGPL2xuR6G/WwxGOuZR5e7kfjQ
kTg62NbrumGyNY6gXMNrCHAPWJCvcda9ml23HrTh3P389rJOJYvl1CXNMzqTbc5JUZveQ2EFRzUk
+vFfOKynnoEOvz/2BULG/NXS0IYSykDnsEtk96jrxmYpsoL42WHbjIzLEh4zegDE9qW3NUtY7Z7p
NhuTraR51bvFAyid9TKE917qXGlt8q6nlAcEEZBTTFop6D0GGcMHOo8O4kOVJ9+6hASjmuRU3+LJ
pMu4M5P3ImkZ1Y7vScYxJR3HWVlDopD+pGBZHfvVbqhuvAvBDw2kHjJ/hzl/b6eOhOGb5FJ6zga6
zvTMitdIbLlqnADh7lgRndPucGaIzSi6GsD6rjdC8eRyzOteY99PbnHLeQ88U0zfcgLPNik8TZSw
66gRDHsj9733am3HUXrN0NlayUX/PMd9/NFCRfAbPOVZgNx/rvFQo6IzieYuKcxwYDMZPZvjlx1G
X/1QfeZ94zdDxMOWoQZNtXtsaTOtHRM0Wxf7CqVAhyO7NJNs27tyZ0NVQWGi1vsDSm5B/2uMLCD7
4GUekQO7xgKnUi0YXGFc+Nv5SvJjY3PYT0V5gKdK72qMYtWBW/Dzzrm44B/YE8p7t4XXARCiAYGs
7XKUFNWkZAAivsu16t0zpqesbk5zLfr7MdLeWeFsHIwMTP21F61pH9lL9euyY3SZtlWxbudG31fO
1ahO2gKp57HVxlcCpZlRp88WbtANxBMLOQ9ujSrTbqY0W/01a/ojsyaDYY8LD+qfDpuUsK34n//j
NxOnv3/hryMn6IbK6yb/t3RP5yfWeYL9IKGfzJeE/Rt1m+fyG8yibAuZm2Dh+MtWkYUjSTto5hhj
mdgkrT+zVWQN+buREy/LcngBNko5YTH64vf/YasYmdyzFg/bCvM+lWWgndjbhz7AO7FOSnOveUax
/oEgzrHacG79v4QgtqaWSh22z+7/HEGMvGsg14F09P8rBLHTM+OShQt5/9+CIDaF8RYBhGD/ysLk
vxBBHIS0SQMmxz+DIEa7Ox48K/nXCGIwVeXaYLp2/C9HEJs4yVGEE2DPkPjfhCCec3ldYwT8DYI4
Gu3q5E6Ysv4FghiWonHqbbwg/xJBzArp1FbTf4wgtiQEHmR1/zYEcWsv0s+M+P9TBHGQ7Li1/0ME
sUX1utG0P4MgDsv05ACX+XciiAmkGdhZ239HEJdDSaYTPsk/hCDWX5hi/zkE8aJPQLXD+g8hiPFq
bzMrh0UUV+V1XxTnySYjIrOrT4HQK5v05FBrw4duT2cbnw9xbTfuGBxaiy3AlF/SrKbXT4OLUWHu
gTMGGLgw+22Q6rjYLgFw/lWa2WeDTJpswKlWRx9A7ct1WMqLU5Qb/rbL3OaGP4QYA+eUYDEZO6TI
RdFtP4TfJ9lv6MA3zIPSdYwPfWWFleZr0q42iVb5o+H1FxscyV40RH71IaIExiq48eaMNMIRPLtd
++w2ldHEjbYCJC1hKrC9FzS5VbjsMmTAPq8AaTPzNmM2v8N7eu5jd+c6Ax4bBBF1ZDwkcXXNnKA9
elSrXopO+4qddY9PQhtWEVoQz+DLs3ZOd0kWXjmN3R5NYd9NNEwLV/pISQ4YCC0oLXRcKgVuCzAv
1r/KHpA3ac/2Qdb2Qz9eSABo1mAB0TV4zV1Cpq6RJe+9xRhvgWaJ8bIloJQFcxBopEKEIUJsbzt2
442JPL1OCLTLw+Ypz4Tl0++ul6zYe0Bi8IEa1cYJs9OoO8hQ2mg5dZ4Ht8wR0JL058QBBl44s7m1
mrlic8yAKXC38UPByb6boDVPqfZoh9aBsUV7wODXr/FLO1kPjZR9Daq/hhnfkK1mcx0VI5DvwMH+
w9u46MmuEHjU2gk5j0XI80qv4m8D6QjRCMG9duQWj3ixLbUmOQZecIZFkG7iNkV8E8t6M1fhaRpv
9TSodnPQkMyIaTIgfQs6CYgllgM7gww23pyROFzNa9bJoYgJv9QIDDNkejHH7q1c+neG4g135vBt
7syJhZXGJNHLwRqm9f0SfOZOC1CZFADlpCUufj4CRN0PqNP2iaPHqyqn+UY5Mkcw0DWXX5Ejgk07
n58TWPobz8v7KyQ2fgSMTHa977E5CyeIMmOOaXKIYTfl+sbukpeqgxU10T5akgDhjp8hPuKt3gXp
btLNSxKWJ3hkLxPKMq9rN/Os68iiECsQrPWOsnWlUT4ysevF2mCD75nX8VyJ+zlhHCrr6YqYM8aj
27B0wcamIfbwdmTAMDnVGtbeJjZCHmRoTm3mHAhW/PyrqfkjTY3jCuYM/3SB/hi3n/1vRZI/f82v
Zh3QHVgyUR8ibZQ/eBy/btBNmhUd/ZqNVUYYKnX37yJJoSNcpG2xWLL/TiTJYcNK/lcB5Z9qZ3Qa
o9+JJKGVILdEu+TQ2rCQ/007g8LQ0XsTyflcpN42RS4TDhj9JkeHohsb/SpsECq2FkP1VkE1Pfaw
AGdGvOg3aOsJbXLFttf061KrrtHGP3lciC4CqBQtTF0tZAdyi9nxcIRb9d550adu9e/d0iNFG6PX
6crujxF0TxEkV3kFEUCb2Gh4DKZgE60GoNjvFpHbZosXKNZq9NpOBp3U1c5LjLWxDu0Rvu3NCI6f
E9shry6s2GI/O0pmLxt47Hk5IzCf5G1YEHCMILCLBp51N6sfwuim7gvYD1Y9b2oQ70W0MWU5bkwN
BRFUrBdwBgWww7Up6VbYfAEYrTyVpx2sCBISUN1MvJCV9oooXT9MqQenAORUaayCBlmkHBCaJ3sj
TVMkZMV1EA0SgNTUrw1dSg7OKvKX1roTA0MM5KlKf9OsEhtYRE6f6Rd6YWDJbm6X8Qm2XX+yPHPn
Gs6DKTDkaOSyrx03+mrLJ1eAripVikMpWbh5CxruiLWXxpogl5NfNtHdUJk+GT4ql41pPMJsJPee
wDWrrOWCuLpmaHcTCnl9iUjlY2ppLZZzlDEX46w+dFyQm6Amm9nGFmm3HREooDIJicq+em1x2H8j
LvOYXg0GZoM+nBnSZ85l6OFzfoU2i6Ao2Yk5rA7gRdf5mMZbvglWYSc4N4jTOKpxbDrJpbUQfaJ3
KjZur72Gk/No0ZJv5wzpKssOQoey9pInfGloAKDQx+rVHY0XjlQBxhLWlSiPhCqNHa7MNDo1Hpk1
bo7PN9KwIoD8Q3qJWOtRaoa+nfLopq+tZc/RCyjM4ec+fU+0fLwZa+tQEBvvDsBM9OJRO4T59Gxn
k/vuRTDWtDm4lm3a8q4Oh6hsL4QqBocYhwKuau+QuAj0J0GWTYjGcB8uzEKDLQoK5Fqt5xLnh6Q/
Nl2ADfU1wdQHLNMLkTrFZ5Y1Bks5mJjmqGH6kePK8pjKMYxjk1m327pOTsuYy0tp6tdpZ5KWCkMR
oj8+90ja5jZyl52IMe9bWlasvRDBWAXj7ErgyMLNPFIptcCMG6NaS4uV02j3xmo04G+YKc+IwT4y
X7A0SFxhmFNmdxMZZnuE/Y3qK2OHoWo8p1jZU3fGh/isWS0SNvfao+IxMeupqNFdCYkDFg2blDJw
HkgsjO5qkQ5XMIjeEk9/qbLWACJs8iq50wV3e4jNHbChvjZ3vbr6677t/coaCj9QhUFNhaCpUiGj
ZlhU8WD8KCPG24WqIkwoLxJVaDiq5OAhPVeqCIGMcM9zVWzDvOCnPFQeDWCvRol5Lmims0hQHvep
2FCbEFrehL04CwKNWgs0BJxiiMmnBrLtoa7SBykSYH7kOGxJMQWLEGTx2bSfgyF/rIWgLk5fYnOU
fizE+1wAlg275DltaEnBKr+O9UDqzmJttDR8CuuHwcBlhDgnp5ao803LuUfC07SKleNqzDR5RWnG
6mVeNlYKQsWZ55vJDBFCF9FT4lbfQ9iJXtjnflYFz3b6FLksarUSSFzfUdGDtgOjHWjhNbuS6eS2
SFOMBxkNHurvZd6BqQT0iUsyQ+5YUpZYXjFuWORfyXG5SdgygXnPDmVJ+qFb4EfqNXDD7Fw4raye
XQd1amkQUbo40O4FMGEHysBcOeE2WkJUWBhlsJUMWLnxe+UDXUE+svIN+qHZAbDvy8wvOpgNuZTH
LoKIXOfmuKqyxNssOtKGNgazMnbNlm11NpooDiIqW2PcwS9yuXiabx6kKpS2JedqRpnUDBtyR15H
TfvuslwClF9+Jk33wo63lglnZJcjJO49EMftViBCZoOycIyEt2HV+KnSKQOUP7ht9NkpBXNpF1/D
cEM2+RcirW+kNhHdh+RZC9A+h4igE8TQrlJFe0ofHSGUFgim0a2SkB3htZramXUcSTyyeOrDDqCA
iY6be4OpUzU/u5qHvGkcUGU7yLsArXKwL1pBs6RfVUrF3Wets9faYDsg8KazyNa1O/CHGONvO009
kzYNSb5BRMn3VUrxEcm4PpNWioJcs8m3sVOcWmzgwj1oB6H05iilZn+SnFyVvTan4VwtMt90KYjX
wbb9QOnWU6Vg71yXK3NO7NsWeXusdO6dUrwbSvue4sEl7ixrTo5SxgMLiA5m8GgpzXyKnleK2m9t
audK6eqD0oX7aVyEBMvR2uhkCTL/XtU46ej0WCUXKx2Zfota3zwaQlcaYWmiHGgvkQsNG+5RmZF6
7blztw1F9j2TluTlxtbK0apyi5qNxEKsAovyDJgN7oEC8idY8ogBX+I3POZahNNgwHJgYD2wJuGd
ZvTgnnIlZMqf8IMtXWJZ6LAumMrDkCg3A0bA9zTAsZl39FM5emxrttcpFgi6tju94NgAtVWtRGh2
vCF7XXyPlXuiUz6KSTkqtII9qqFcFil2C3RzV643PBvKh5EpR0atvBkCb8WPZUqCbWNR/o2+sRry
hyGiKm9Hmo4ICLodMeni1lHW6jYidYQf6SGM4G2J9HbWCArUMY04mEdGTCTMsECAKV9Jrxwm9fIl
ksr1S5ddus6lsVpmgN9NGiykhKplT2DdRSkL+kjv3yJsLKnys9xfN5LbRIuw7SUxPBpAYkSwhgfR
1OhIonCGTsNA/Ecuuvm5BIKN7DiUMMXJgJ2MiQMBpBg41CYBEp/BCdXcwP+rU/ljnQrthfinnYpf
xvn35je7F8ACf/uqX3sVxxRqRWKDCXD5UOkFfu1VPLoY6Un9b62Kg2vrl15F/wmkgGlRddpA9H9o
cH9R+3o/eQK7o8v3RfBq2H8KLCCF6kV+CxbAagZ00wJhSHOmXsQ/rl48SDxGrGs8ZQ5WyqLMHyeh
QYyREoNMVeIvvvXa9jPwHBbxwW0ydoe0TiiIen4YF3daaykxfXpbfwEtvWsZbyGOOfRF+t54wcl0
i7uxT0hmJnZ+bN21E9557Y0kSxghyBatA9t5UEIl3J1MvyZn+cg05UXDG9FznsWT+W0y3Te5FOtm
gBGjS+jDAWFv0xIzC8uzLeOTewl0vk1NhfmwqLUwY+Y5PHgP27FVGu2aUInbBJvQlfVq4wnyNE56
hRQGRTKRLDXgScYWuiKi+LO0jFcJvoiZiTvBbHcGTN0MjMsEMI8bzAcr1t9Q0qyczvzo0/pbQ8rI
VtDipfrwHHY2TjN6ka1FWl+HD8h2a5J5WQG73xICP6ZuU9fVt9Ar74hpWQ8ckwaVVVnihgkMwrmh
3oOlIan6YBs2nuUo8Ntg3HhW3YEC7Nmp2zQfEVnogf7euBdrLGc/ybN8mwecS1nIHK1IklvSphqv
2SPGmQ45a9pVKQNz7cDUK/OJWEWRHbuYbIugHbYorvi2OKFzbB5To0fkTKBUcgiC4WTL2pVtaAYz
0P4iHAH+LqoSOsZhm5bM9Cysx5NFhOdEyaDXmJ292fTLVChUqvTRwqfXS+KAYihnsdFD+Fjm0n+O
vbWqxVMOkH49E2PrR3p4yqzomGtPokXCYgiO1VA3YerV+tpwsZDYxRhu+6ygRCLH9aBbr7OJ0Aoe
VeyXd241B8cBBcAhi+qbysrIslvQg8Am28f0WGUGMDzgHWwNmu/GmIiBcNpNlLfcdAxr6zESsLvs
c5nO29mEt17F5JagpCQlb0skWHtklpg5JKaAG/A96x34b7kt1MxqHO1NZ/dXJTKhlROHxl7vuGZc
is46hsFAUT+dmd8NwLW1lybWiHJJ7H0uuvsgKXYUbLh8D11Bzq1ISjSMpvvaRTpd8IBAjABe+gKi
7hcNayMThwSfEYoH4yuw9Zclghm5MFvmblvHjkZuYjpvGtWCR9ENnrjqYUqoAZGL+iE1fzxkEl8e
Ms+OYAczBS7m1s+9avFbM0TUwrd3S1jFA0MANQ5wADOpAdmmXnLyaKc8pG/CfuhlxntQV9RiTBMJ
ylmhA8uIwE2ujMw9ZvnRO5Yh/Gg1ljCYT/TMKQrmFVLNLdQAo/bGp7lPBGmaPj9ip45JR8XEY2Dy
MTIBySP0WvaZp2jJlYMf4z5RPRjraKpS7lhUVpTx4wS4OgQY7YKzmBvP3WbqEuzVdWiri5EPwNvO
6rJEaZfAhucCLYrFJFzkEwkdgBDuWENdtuC9Ej8O8WxzDeeECGx6DKmzcqbGeURqp2HNvEkFcX7K
wQqo01xVKdnDDMmtdTmkJmKzaieU95XHmGhmJUWtQ8BIyiEbYZVNszk7tcYlVp6cUblzjB8+HQw7
lnLuhFkQ+Yly80zK15OJEC0loLK9xPRTK/ePpXxAaDNOTqAv19lLqXxCGoYhQzmHeixE5TyZJIhS
lrdTft+M5LfMq9gssnMp+wuQq3plKEeSp7xJmnIpkZJtHQHhoXbGwZQqLxMaHOADuJsc5XPqleNp
oS7N47jetQD8dobyRU3KIWVilUIOzFxbNv2G2N4e2gOOqkR5qyzlsiK0kXdXOa8C5cGqlRtrUr6s
FoNWrZxaqfJsdcq95VnefEc2IjY9EwhUq1qRJXSdgy57/Zan/B4YFT4PGwhY6tBu9bKHmO4K6xLq
dXbWatpasfM4oe4Amro+0dLIX6OI47WSyQbbO6ptiF7EHsfWLZZZv8lMYjy1ojolpFM9LI9FjuWB
JNALBe26rfRdHkXEZGlO5BeYhSX7F5QxM6kcy7NohoxYvG2e8kfwPxe+N+0N8izXJUmum6Aj32Qx
weCB/uI0iHW/Ff1+ccdqa8dTuyvijt2NG2HP16yNPWn1Oa3UyesE4crQOWLHvk18HI+BuRDqXKUf
YtGb+yU30C4aKieZrCtus3wNDkRETAlqABcWvfU6QG5BcJFjcoTld2xs5CqdIsYUiXvNjGRbVBAP
6T6hw6JsP6XWuF7C2N47hWKiCtR1FrQANxC0Pxl5AH3xgmk580eUXL7UiO7EvJIGH3nmbnK9h3pZ
TNphNM7uiIzVNUS6KTJ4f5PZIcclpBXn8YuH1+0q90LwfXM5HGzclMLNU57J7pZLhmegesaV82PW
dQEvVm84qVw+VLLh3L7iUm7xMgpznVrWiIcngajjmjF8OhbPZca9ETcQJWNLX0N2cc+kCbC30x8j
yWKI54+JUYEa37O4WZuGY5BeEWD/ezjMXyi8ON/H/oUAtfCEPz9iGkcAtzSzR5cYhEcl0S3iCkZi
RA1Qu3iayLhgIFSZW1rN597usfIs+lukRXdjMLy01U2K5J22FXndmOQHKfLyWhSOhjQZumPXF6dF
seKyvDvNBvHVGjraVWGzNYy5g2DzYLkNk1PSK5wQOkEmVi+wnmb0xOPRsi2xZjd3ppjUVlVAt90b
ciUjLls6oCcvfnAKdAd4gK/0JqmPOAgwdQ/yWwwjgwEJ/XkdG5VfLNvEMluc17yzNDao8OgzgeWN
iA8Joa9s+4koOGfX9bEiznBg9IsLc8NCA1hkbz0THl+v5V2nofK2dQhRZd5mJ8NjlknHw7ebW59s
qQmcm1usR7KaZIbBv56iTxtR4EaMBZibQLfuSW1+15XXyyk+yTFlnJKVJ8/r3kyrfUzOkzd9FAOy
VrR6X7p2Ljsb2z9nWbHIaBMK75oJygey5r8Aa3+Drj/M1ed//29vH4BFkW+zSnvvfrt/IVJEEAjw
n5Mttm+/51r8/CW/tkGWLmBGuBgAHFtYKpDh722QJ11FeCed0KBB4bd+MT06P/FnBQI0iz9gOzqv
4Zc2SP5E4+SCXcd28GOd82dWNo761/ymDcL0KGmDOJLwT6JBo+/7xzYI1e8yRx4LXhNGIE0XRcDE
ipOarV9JgwSvok2CddhSSTtjAFogdW4BoBFkL1UNqYFXJFxlGUFRwD5+zTTPOmj3bnkxJOVW0/bX
3hIE50KG30V5oWHUdnYJd9KUvbZLvf7QzG3jkx+WXGCDkiED/iw2WqzAhbjLhhED4CxDJsO1CmVf
abX+UEcxAX/55K7ZrVs7wmauIgvCEDCy5UrTk+c+EMm5cPtb19r2ItJP3jgSVOEEoMewJdRUrAfZ
D/e6SyrYNOk3UVfO5GBp21yvm0MntBe0xiwI5idmaWR6zJj2Q8Cru+id/IyIc3RgWzOiA9eWjdTb
d46uHTE9r2V6fQAG9+GmeDc1ytEl9V5Zoub0EwypupfZ9J7bvGF88snY5YsyCzF1WfqEn7WrKJ1f
JzP6Jkx+JStxWOQLdukinN/qkX+zbpY7R1KDT3xYPsrBnVeGArRBT2mRcWHWo3vjHmSwvHpYqtnC
xdcGQuguL4gHGl6Sxmb+kr65tbnDZUEmoM0VXuJU9csEN5Zp5sZ2GN3rxs27nR1ob2j6b+MfUxhO
ljMUJoobGoFIoxStyvTeUEOlwWt2TlrhIetcIn7rta0MmmbEJE7Ds0k4oXKWGjeZg9WgnvCFhBZk
A+xMFVpHe5SvnclukHpiJj0qyFZ2NTooHWhnSV6+npV51HPzbTvkCr+yjpS9NIzEoTX19GoU03Do
y/5YuQFRKktSbnBO1CsvvU9KsrmB3DGwyz610Iqexrh4M6S+9bhncYB1exkw1U08dlZEgwx+GEG1
ENMEUUVtzZRhtqEiiEp6gykbEIyHy3e3GElF9KL2FGiEkSMw4EVVnZRYC4ynIE3uUp1oM2XVbeqA
PB1AWZtGGXkNZemlY5m2PYhux7jlJz3cE0QfU2KY/JAzfOxwBjfKIgxwcOvgGXbwDufxENITV5dU
2Yr1PA6382B+muKtwncs8/BDKLEzfmRrUGPqqboqOlAexNBf2gHDUNDqx9wBYyUbEPR2fz0jVxZK
txwRPB2ZRN5bmdduvPTZVhrnDrFzqVTPtMUkwTtXndJDZ0oZXfZw6TF595wK7eNoR6+u0lHz3TcT
wupFKaxzpNYBkusC6bWDBLtWWuy+du9EEbBJQqXtKb12ooTbfYUDuvUuwLoywDKouwul854RfOtK
+V32IY0G6hok4T/gM+2Ei0q2JPYNgfMy1dkDHQRkBiUpr0Z+S6nMCVWC4Y7uvCqQ6XON9kEr9gnT
Y1bQ89oO3Hueep8w9YZBaU3blH9ayNrF+DWKqx6YA+ofVO+EWDBO1ZC150oT3yKObzO4jxFy+U3t
TJ+Mrq2VQEo/KE39jLg+Vir7Qunts2gLnJWEu374BnrBgc9f3BpKo4/jb6t69qeFrMqphFzQ8edi
hP2pUvijXFphVZMrM1+79jI+h1JuiuvsplPugBGbQKn8AqVyDgQXpPg3zALgh/9wFqDygV5j4cRQ
vgMDEMlSN1hv3idsCTYfZ1wwAup/OBawLkxifF1idPwfGraGNM159pTTIdUbULRR/h657pXZBDB6
BE9l/TBHZwtbmHJMWMo7UUXu1m7CaNcqX0WLwSLFaKErxwVzPLLXu03YH3SjkmvZ0SN1AcYGWlMN
8m/Nqh5Ein2KjJofLx5+d1guOWH0mehJ/hbObcTdwbYmuwYQeDU631WTCyAz5yPApRpMn73BFC9m
0rJ0wTl1wR4GhnPjlO5LZ7BvZOq1r7LuNmGk4LtN8TCN9QYP4Lhqv0c6FFzpEkppOcQQTQ9RtjwE
3vDNo/0HAjwqxo/+ihX77IxvQexc8Foxi0q0d8PqKDLru2yMHkwMYn6Zy5nHGMOrM37vS16PPQWD
78w5wcZLDMJSrIfa7MgA/uwlGLi55XUTHKXjzaq/kylXMHJYPpdOHLPiyQ2ikfU7aiuDJEaunxZF
ePZlU2X4dak91dL5wLj7Q3HkF1HbblwzgMU06Cd4HUwCIzySVuK8dyI621W3M5v5QZoEP+a27g9N
d9OOzjsozFeRBPQXwbEBEC17fm4k45yVPjnvIAde4UZ/r4MtOMVtbaU9YxLjGhfLc1kT0ycNjVNc
UYuBLIXjY+yc0mpfjMXH4JJBMBb3dcnsc3B2Q4O3N56057j0bmsnAYx9TxLZyoifi7z4Hoec6xVJ
S8RkHMYofAkbl8lV+CIbsTUAlopwfMJNdW01y2dWFtdFkB4mk/aslXdhkF1ze5N/ee6upmKY6ECb
m1am5ykzHqbCeZ9M73EMnlBZoBYxj7adr3tNMdb9IGoPNvQWndnE0Gq3VWEf6vSpHfqnfjQuhcOW
TzfjE68F/GV1F10w4pm2elaNDVTH9QwJNk2BIhfWc9AsW1nzaZnvfTwBXrYeK6tf1o2ELT0hbhsd
+HVMDgEqVhPV6XuSim3TFe1Gy7snBRHLmRVnlfhoU0kmAFOMqr0pVaPaKSq/mzDqyWPTp3m7sSX9
UtmxqkmBtqBmBooEuGFF+jqCjGlOfG2eMfRW+Kjm6MYOW5oES/8UkMX5LpxGog1XpKIyypKBvioN
BC5B8DSxJLKTuNx2Nqt3N7W+d03HwKRm0qEN+TcKIci0S3S7uPqdWTfjhkDBrwFlwDwZr1buvTNs
Ttej81IVMSvn/FpIBkZE6F4Jg9kr7ZCdVleyjR5VsBdDt2g/9CFpZOX9PBf7jN3cWifGru5ndHwo
dVlXPwshC5/NcOgXk/vRMqTDE3ctJcOCNhjg9bc3HhN3vwmY3XD2XI8AuoOOCcKwyI2U8YdWOLdF
U93TXWEBTcYHLxCf3gTio8JmPqX8PVKzT3E1caYRQOCH1fIICmfDoiODf0O07ETjF+TDw1xqjLVT
bMe6/sB08kB0thIG8X6mmt3xXh2cikfXIyYOfGHJDPdDOrwWWeqfzswhCCJqjVWebLz83unnV3MG
xa/rO+SAICFjcXBivr3HZMuFdZNkuFZpBJmlRd5zhnPz2GXm/Y/X7KQ4qyln1zkaz3NQIWzQ3OSa
Ikop3AuEUE50n8wSFus0PQxu/xoXffUU0OfbhZtsUq/Nd1KGRMWi59wm2XxMjRGxQzaf+qn/5o2N
fZzdSdskKaflX0u2P7hkY/eEfu4/by13/Vvz8fa7fvRvX/SrvYnsQu55abNNM6VussP6ubl0fsKb
RJqbB9vLIgpEx031y47N+Mlg8oWU0HB0wgBVy/dzc2kBTTR1W/2a5+i0ncafaS7Z5/2uuSTVg2cD
HLgLMhGyD8Sff2wu4zSK+0EgvZtCJvPtsxV2pJq3c8cexmNLkSPlLRCW6ZNlreDrVBcx5xuvtZzN
MjXdtiuXHApdra2rnlU93RtH62yV30vDvoE4+V7bI2A11LSaNzLWBIw6Zy0jM4MaoejIXNfNb3lt
MGkXE2PayHvJMuWoxSnk62l3FYWBD330wPw7RlbQiMPE1mlFSriEF0BEaG91uyxAUBUDFZNZmWyG
DCT00ufhOhnzbs88PGJX6HHbt8grxAzjx5HHyMNiaHU37J9Ss9rHS7OD8IxeLdTvk3Y6Rvoys1mi
73YY4bMUkTEhAgHYMTJ497FtfFnS/kxlLHd17S3cnJG9tsb4BiAP7NiSf96UZafgqfS6Y2MAMytn
dx3qkFFrfTmx9STHr0VYUuEfCgpCbp1oORZd490YmrNB20ulVSuwL1wF5nDoYILcvMyTfEqEwGcb
DG8s+IcduRaU1kEJMm1YtnOPIXpGFz1aJrb9xF3oBc1kK0rgX64s9i2D0bxrw5uK9LAsaVBUmEz3
x+4rMRAqWkK/4iLDi108GLk7HGth7maP+witCJXYIF8tMG8rE7I3Abno+qKMbeDUt+ZexWDDRGIs
YVp+z223H1iOrX68Pe2APgbw+hqKJZ1pOFdnTesoCNnmMhlF4lcgfTNMpAoj8jQnJ03HTrINC4vU
Z5j5CDidC8jQg8eBmZ9lnZIpiU+R+l+Y1/sRsNhhBsHGxo7thg5TMqgMvKoV95PZb9JekEfkwq5+
INZs3GceYffLhDCoMbWECS9+aYNB3bCAWtKp6nwvQ81DANSKn07YFMGQbGfXvmEa46m912mcu8sy
dXjNwRKyYZJbImgJx17qJyAhV1Qy+yQmzzyPod72Jh1N63GCe+idiKe5STXVWmzKtucuHyLA59aO
9lDhznHUhnp4YDswHGVkh+RhEK6DcscnDIqPSKtfSQRWsOaO1D47D/3askgGKw+zw+S9Zvuy1wKW
P7MevUeVeRckOdI9bOK+VZVvlYF0kIJ2WiNoTzYsLOVRT4vtAmRjSzg00pi5+TCjMl0bvLpVeiLv
GmydZl0vHFh+QkDtWky1OMtw8SdylVcyNQoGHCR2DXp9aap1wYvcUI9A2AoUEMrIa39k0UFVMgH3
h0VoLu3N5IYELOvxBlI5ac8zs5aeFBdEq2+5QZdihP25tnkYaMaIdaFNka3Doq9m7h0ty7GBKsx6
3XmZ/xd7Z7LcOJJ16XfpPdIww7HoDedBpCRSooYNTCEpMAOOeXijfo5+sf48sobM/K2sq/ZVZpVl
WZmKkBikw++53zlngjvr/TufOJW+m6mKTQTvK1lT3EHE/dJ3elp6bXYUffOMt2WtTTERL2FFCldt
EH4ZE1OQ6u+GNmQHrc4tjqrqvSj7eDuaOnXQJlmGuW/fB9ObV+L9roi8SQikXqV4QB1lBvULlgCc
6dqx6Jy1BpZfKT6/dSgTgdeXgPuJIvgnxfKPiuqnC4cgTkB/XiChuP8ZAwBOS/MaWGeTFRYklTKZ
+hayBWESXvvpU6i8cjPGA+5NRNraJLj7bymGgwnjAWBoukVn25DWGC8czAltk3+2AwvqVmRvdCus
c5njYyi6fhdhbcDts3L1dulP4aHw4cagcu/IGsM57fSvAMrMDAFMdDwG0YFYSPZHMEGC/2c2MFeE
mdghWE6cEZAMWC8K5cHQg+9IeTIkh5DRYKmvbOSUcWifK+XgkFg50oETGmXMuFjt9Aag/eEmHjvq
ygkvPEGeUPOpZZld5kTT25qKLxWAphXAaQB4Ckb/agOijopI1UFT085LN1X0ECtmlT4KsZ5SNjGZ
IlqdlMplG7isV7Rrr7hXRxGwILe0AgPFeoqONRQnm0VTfSeBqRaWomgBlvkup2mbRTMrlDkCLUm9
kkYzUjckIK6uiFx4qGOoJQ3V4qw4QtXAB8W76BXJa4L0portHYF8haJ9bbDfMZFnm4cB31G5Bd7l
GVbW1a4afODR9ZBiN8kKqiy0YK75W7GPp6llLlasMdBxDXzM68zHQPHIgQKTFaEcgSqHB919FhN7
wJIhbazsfaq45h7AOaDcaFFhTxpgo5Eczy70+CbPXeMmegxYbe7AyXJZIWNBzjtv1A4Yb/IlfQad
PMRA1o2irb3BeJvBrzUdDjtTRLYHms0WH+xN0doDMa2bMnduAM/vLnPTulZst/SjB7xpKzrPAUsV
/q048EwR4T6PEEMx4lqYbDU73sdfHPUPY+Y8mBVB9VSZTUvZExChaHOT2vkd8eI/q1Awd1dZum9p
l8wlHWRD2FPuSGJNrMPGAI96hxmonaAVd9X25bbLCdmfQkH/m0mcnmLhfaD4nrQUBBf0I+QTzgzt
sVME/WCY2w6RfdmDFA2lfhiUKclX3H1bvliJ9j0XFh0hscdU0DlPpW5upWm1xyJ5kZF8LBXLT3Oa
u+wZydZpj+fCYEgzB8S5QpqXBoJwaSpfQKkcAsGA+kI6z3lMFfLaxjsXDqNSQMYImdErRCNRsIZU
2EZQN3wmeNIRFaPvwgkdTCbt3UBlWG1AYU8R06GDtDeJZBnxENO0ha9AkcTY6AocKSFIYG+DbQFT
UsCWTLEwVi60SaiwE6EAlMoYVwD5ZJygKg9DTtoItIqhsBUdfqVUIIvj1/d1KJF6GxkcygeRQwnM
Cn4BmjUbW99DdUD/+DLcMF+zLZ45dGJSXxdTN8N2zeLbHF9S+BqeecdRATeZQm+k+UKs16JQSM4M
m/PfqebfnGpMQ8Ul/Oup5o4k+PivU83vX/S3qYaOYqg8MiAI+9Q96Od/th77vznggcCDjCeszlyX
gePvU41OWTI7LLZpnuEyEzHw/H1l5v/Gco1JR+hw0Dqr4v9kqvmfkQ2Gigh1GZMIpYcr/vNMo8ug
KULTVGsk90JgGu++Lv2qh+5iyehp7obg9xH5X3a2/4+OcNczPMtgHwg2qV4S/c+/I5cGocURexN/
VM6fCSBG1nLtuzNZ0PqPQSOJPCq2YRetTeF9EG1xavL5zZj634nYf/mduL9+qz9Ck55uCJJRGeWg
YwQutD9/K6nFxojHG1WhspwJG3VZ5rBNT+Nu4zahufUyVOm2bwoeL/5Nx/7IRdfZ+60/LAeSXJFU
6JgvkY+7kqYkWquXPKL6BXFY5a62L3HENFgXZUZ89vQ615y79iSoGVEDylDskmkcFmFul+usxJ/r
jH2+iEht27QtT1OK9qJV6BPXpzse3lpPki9Ghwz2cW24Z29epqh7LJzQaS1a5LA0aLEuXmU/0nsf
x2RHobfLRNuns9i4XviiuwEOrG5+qROJhlnNe1SZeaknkw2NMNZ3Y6ovouCU1Zr26OTQ9FqXFOt2
Eu0qttqEnsdxPltmWe8S4dE4Wxvdg9CXyMDOcvDIe+68dth1WdAum+zgemzR9KZrn4PIe/PTud0b
VP5mI5cJLbvw2I6Wktluk3r8kFVTfnGhTZYn2nenG7LWU20W9cp32nxHtuxNRCwafdFRxNjG1pbp
hkcRau9dVYSPyFQrvouV0+OSaXPzyvrHuk16oAy3eILj8RSlggcUWeXYevFUtwiBJb8EhT/fetc1
x27orlVVuFAkqb8KKHJqHHdv69jPaqZQ+Bk8CL4aYrQiGbdTmnzVs88fcKfFVAqS3ZpluxJ4r/Af
O5/bCr3KfcL4F40YoevWoW1mBsviUF/OBt2/TFCyNdJDW3XXolHB016e8/1QV1wASxLbT1FOb6su
mJAmYHPg4Q+hi4CLSaIpoGV1aKJWP9uezn02fa6q+Mv26PNL8nIzsNtLG4RKl7VhKU3SuGKWp4Ns
Nmy5MCdm7vhEPU+blXeuONidfcM4o+2CH3buWmvXMa6mZrf72iJOT4QWkqwmXzwtehaNbp2wFWPz
SDc0nlA4nMIE1txTXfZcZwfxXaNl1mSqAgS5kmSOLdHxGJ7jmwvtGrb2hMUxQwdxl45gQElj6xaq
LuTMfihiPDFOYWP9MH3oEPTMRS16a2+P5Fm27cET+WU2w0+H7WaQ596hDreEtF97x+3Xjgh/aJzG
i25kQeHNF7L6m02Bp8WhErfKuZvl/tE25Q8TeAlklNojy4lfOgbbkW9hNXqZht0vGvEEaGI5Ovi/
jQRThEmYd98Q+9in2i7UTHI8J61b4mrZ47fkiR2H5yiP3hhCIUj5kxi1M9armCxGfGpqnBbyDGPz
sx4JDJugX9ITrTW3ACIGK9XRVYhMCSuj8pF72Bn6be2rpXAaji7CwWX6HfcwPoOlfbdZVK5IABtX
gwJyHIXmmFzApIJ1XIXt8AMh/RT2Jae/eUn6xwe79lNucKiUJbnmnQKAOoUC8Ul5kbPIF4bBhicJ
5LLkubQkIYrYM8Cl00wNr4MvJPBSrO8dIjBezWd60aPFrGAkAyrJVXiSiJ+42L5MvlpBzKMK3auX
pkKawqE+Yfk1V7U1HGaFPcnwjaUbzJYCokJDLSUUJKVDS9WOeJjR0Xk7cUOtIr85YvZZSnpKKq1W
sTQ6NZetKM62ke5LhWTpUVltU/3eZkbidL20ufVBRxwOHGguR2FdvgK8hEK9XAV99cQTrCOqqxQO
5sGFJQoQsxQq5uYBEfXQY6xMsYlR0ZbK/DMuCdxsFWqG7GRzrO8zBaH5vPMWBATe8O6fbLcRp8mZ
V9VMX3wYTBzbdstI7A/xNvBZkCUKdmPTwwhcOgs6Vjb0CYU097FBrxUk14fTQ6SwuUi+soiqmGn7
R0uBdS6EXapQu0JBd8x2oGD5m7CcepuRqbxMEhrrdX+gWaJ3xjUvuGuV2r5QQF8B2Ydv6WtiJUln
6qjAP5O/IUW1eBthAlkeQCgrTDCCFxQKHNQVQpi6FNB7nnYI4D4XpQINE4jDFvIwpb8aeyowYgaV
CNppLYNQp9PUnJJVnua0c4GcZvNydsp8ZSc5B0/TP+sKeLR+oY8wkLlRZ3uepGhiCRd81pjkwhFn
p9BJV0GUXjsf8W+eKTwol07Li8b7siKclvi8RDdpqa+dbZkpljBUxbda8u50uXFq7afcFv0WPblb
FdnwmlQzX+V/W3bwWovyKzRovhqJUj2aDXoWjkCaKbiMkNFhciyAK/O/lC7P69ZNCi4q7VuW8ANh
d/KQTPT7aSU1nu+ZbIBOawG1J67s7j7T6fjr7yt7/B6mgVApgaIUzfxQLqSASD7SAoB5sLFZdkjA
JVmXa5imThmN1sIdUkLEvV0xk/gJv/g0ATY23r32c3RrGmCcgPzM2d/UfYVP3CGJp9WH96z28HEY
3cvshs7CSYara6OH9jHyB5oCj3V6t6WM5RJ5ne5hK/qSU/jEYpzWjOaJagf8cT4Ni2FZgVJLJChf
LJ2wxoDQxmxudWymPf6GMZXPg5KEeTAi9eCnSgjArDTQ97bur5VgV2rdgcLwm1vmW+DXQDYDr5Wj
/SSVd09fFgUzLubupGlvclq3WNjdjtOlbHmA6GheSHGtjc/9izKXB6ovrnHHnNRrvB61MzM3F8Rx
Uoy75LgiF7GdgoWv49PSdH4WM8yZETPubclIep4HHK/51xxeFxOPBZVZMRqWoY/dPcyWQa7RRl5S
PNSzC6MARj3l8MZIQ99nCaauCYl/rjDQ1PBfer9T5eg895ju8sBfzh+RqnTDZfAByc4tIJXfpXqu
x3emalfOWo5lJ/PfmUBHqj47VCNt07HxjET5kTYp9TtS9XN/M5NPIDE6MYdp/aC50WmcJ8WwGjfX
9K+DFvOyhEBG8YjQajwGnb1KrOCqteJrlJe+iK8IcKxHO0H3DK7dNZQ26A+7tFYprlPwjKZw7xs5
B6F3K2a2bLatf4ZNdm3MZ2LGbgksP4m+D2NbOKc8PSSxs7XgbhZW8RwNHcIsBxrMh4Q56pLzrFmk
aUaUGFGV5MnE2TRjZC9F/4Az4H6wqpKfJzE3mk4fHgkcVXecgmpca3H6M8KKedekJHibSXsekrlm
w+txuwa73SSjvGWlPBleiF03KA//nWb/vWnW9HST6fNfT7MPZd1+ZN9h/f3nPd3fvvAfezo6w9RI
6xDSIQBE/9h8YdnMkrqBtY2ESf76j4nW8n9zFc3hMdbyVSzl/jnRit9I1/Bsna/ktvcfTrTwnoxt
fx7rGKVZCpoqg5Bv8S8zbUA7qBFrTQ5vx/arkTFlr6Y2Ey3KGaN1j8OoLegbVTnscisnslc9lyd1
aMoPF4Zz53TAR0AeXeXU6IXb3sNq0aX8MrkXvIa625LxV21yyfNTRjoCPvZwym3a5yZI3F1qyopf
jJQIS37L5uRG13hyfybcC0mSLSzsYd28MCoDPCTIT7Wc540dTC+tRKaazcFY2bFaxgRVtfZqblwG
xabLPm4pnxmCLwO0q2Zb8+oVGsuHkEdTPFOabj04TfHM2vFSm261DdMzgu1j3NKCZT0VpRmvAhlf
vda+G5x+I7ks7HtzbrZOmuGGrqn8HcdhhWUvvA+8EWd5Y38H5NvSsVHgkxLXTgzTTpgBMQEyiy8F
M2nmOKQDmOOxarlM+gmcF8/JZokQhW8N0xYVip1lXJDBe8zyNVaUCbqcnKzKfjLsqkBG1HLCHrLH
ZNKNfQwjpaUpaT0YC8lyLkgh3xV56a07PIVbUyNjJP4yxVztowxnzDDHGAQrCky6wF3mY6mved6U
nEQrWfWfPs6ZVdZn3rb0xx95WDT3dJ6vk6DonkBRb1WvkvN7zzq5pX/KFUQo9eCxN73hbBdxvu6S
9FtGUb/xoR+GrEZHth2VEcLzW5/GZ5GaNJlb5afVIZU2tXxOJ/sxsK5JMIfQEc3NsapkPQiP518z
nzpTW/NHjX9YK7plx319qEAJCaNeWU4BS2V3PBp83rle6S40eIsjVNXrMIxU6zb+D73qdnWST4sg
xX8zlM0nHse7jrqkBY5ubD1j761DMhaW4Br5r448WfCHMicJrkuMkSsSeJ0dGy3aJec+n06dIL2A
1Nlh57ZhyoIYl7ozGqd0DvSlVreELDOA8qKyRI0igb0RtMkiqYUwARCRnHd/XVDe18MvT2Q8NJUa
WotBv8vm+4KnMXBhYVCWyhIIM3fzGjolnXX26O91FHPippeeyVBRM5tnRWPwu6x0HhtH35l2Cfov
InXXUSFTrAdIJD5fFRvBbHyUYWkTVMI1O3EdGiNMv+ShaKY8g8VbNSQq5C2nmMpxVw7q/VKT5HfV
q7nUphW+H5J1rGmXJQgjtgOcKraxjSysjd4r/q5pWZpes2sMdJbIYjfR0A6QyOxm5SCjtR6wt+9/
dOYgFi7IGwW6qLuzpz23WBRX0TwlR8Kp+lUathu7wcw/9yRa4aTf2Q4rhTR/9+uhWmgZRHM9HTwv
u3NEyzzgFke7rU5u24x89pu3wSbNe9Y0arg/655xWzeNb9+x4yWBf91O1L2zZM9xzc2OCzt2DqTx
Pr9LzPZGKW67J8bbX3Y4gxeVKEmOK6xvbM7H1GUkbHomB5p330rdvozWxG04TpxlVdjRXciNd0hC
qGL3tU7IH8fnFq804D7DQUmwnbam+pbwORu6lQCcglZcDC7SjE5cMjGOVdZLWBNmLJSvkrXGdKsR
ivxANFCr3JrLzNnOzkRLV5zjxs3Yt+TK0WLyjc2eeSm6Zi/Bgw9WNXvHcKgx1rUHDvz4zExIZkZG
5HxWyO+qcmeu3vMZUSPcGIMLKNoMGksMxKc5TUHduwTPoO38HMb6LLiDbNkOyoOgZGShtz3lgB4T
GGEo3spgL7ozymer2NRd1u/Dmmi/OCOlyFCFZfBLK98nDKCI2gGfUHLSZJ8czEy+mzZvb4P0ZC8f
I/hz50wnEo2Qvn1opyhae4DQzKJKJ5tNmrgzR+z1ZvzgzP50Knw5lgkOzGyG+yyVun/n6uZzn5pf
fjBpy75yqx1c6Wps2dLlru4e+kJsWTsTahIaB5MykSWR1MEiVz7GmZLmfTGY35BTpO9pM3n3LUZN
AwZ/1Pp2zfFMIdtnLu33UYNTrgsPDL8CVNCrrcGLfJL1gHWCKKtEWCfP7m41HlVr8JpVPL/Sz80G
e2B6jj34FC7fOYtu+ZP9e7lqlLhEEcFjEUp2hX2an6tJ0PLdGfucP4p7soqp6YZkrMpqP9Xmc9eJ
cd+23as3ZlSbW9l8YA3EIoyQno1oSXIoiYjfUJpNayZN1AtVZrGAo4cq9VquxehFYUn7Wjb2NjYo
9mhhpm/4y7tkCq40DReUH5crolBwelrW00iXE2ZW8xEP07BNp+7S9nmKQEMcUEatCPFMxnaMWNEb
c0BVlEcMrk2hOIxGLcgb0cj/5xEdVEWwjGb/OROYOvIJ3+zAAHo3mjkdDqX3wkSPWaAi3Aohge3P
LgrJyxICRdEhVI9hIKAR3Cfu32FFOEzTvi/HZzNCY9QHl2wkOLZlejYTTPHCShGqydQkmc+9MGyu
+wL396zMur7zwza6R54V9M8UOkN8RxU2FX2jGoyHxHOOHX7KmSFpjoCBsr5VyA2xm1PnvvsJSo2V
9su8dr7y5otUnmCX1uhARB1VvGA8QHPP+fZNrNqG8x6naUIQ3xdeEw5trbuOIpsfc4Rv10Co5Ecp
6bFhTx8Oy6aioItYHItjBX1BHIrY+WxRNhd2xTerV/FTOmFnt7qaigeiDZFIsd7WWbBxDWoWgjx7
8F3voSqTL4jOGChT3HrE/A2OduoRIu0Ypam+rF19PVWDuWLPskzM4tMwQ/psmmcztg+6TlmNH47T
yqaFem3K7tFWySV8VOONF/PSB4XQd8YcbkO8pifpsjXkcvjTbiX+1W5GpW8vZnyf1817GtMSSozV
SFEfiTDC8H9QCtYjkKf1Nq+rn4lELObkeW1HzEUxTlxiPTmLGv7EE5339WitHX16DEYOJy808mUA
CIS/OfuwiuiYGCxkyWfaeVwTl2kJylX6gYGUR0lS5Ld7O5eCdEQfIgF/pIMMt6om/WBX/rRmr9ls
ZRgoWks+5cFHb01Hv55P9NP6JAOwWnBL1RZG+7TZADX5IkrZZWhfvtFd/zto/ZuDlstu6/83aP2l
QNr8/Wv+YbQTBACwkGO+shymoj/OWB5eOQhJzmFPBRQy/vx9a2j8ZqP3qVwREhx+AY9/3xrCQvoY
81ziRvhychX/swJpobZ0f5yx+IV0Nc9x1+A/RJj8eXXW1PQukypAu3NopYsZmwj5I3d+2/9wqY21
qI/NfSdDrjDg34PdWDkXr6N+x6Nytte7U6c6aGvKaCu7vUSU0xah/tiDh9I4gcOpm6Ac6Zt5QJ+O
jhMSKvG09o6KwpeGSo1I1d9Sg4tockJ8/hmrflxJQQ0RpcOPWIc6o75rFxeg6WJYFW7/5gz1d4Oi
uACh+jRKVMKRmWRGD237iq4G7OktiVncc8QGnorTn7JjuIhDChCkQrZAnOnJsTOkQumvY9NV18WO
0qlGUGCDzERuLikW9HQQ35WpIK9MRXrRWjOtzZLDUdj0tWYEpkKaRRst5V5dUAFb9llOmCDNg3MR
b3DcMNa0FjOWTl9pyzqyUAFj8JF7zWrqdepq1qYqt7nh82ifLeIciNSy2T/aoc/uyvQkj5QUc0r5
k5Au/S4BmndN1XhsMUFa8h6YUjx1BpkL8xyvo7mrVzxCS4xGWsrwkI7rmPME79lEoqoFMxal0W6Q
Pn0cGIc2KF5bmUhrV4bMS7kBD1mkxFNFCKhurTMxRPIYBwS9oi15hDDhniBtLvKS+qmnQxlL9DYj
sC9325/lQFpUTZH6UY8uKYIzSQnbwbfJUrHcZ92k1R6AqCE5d9xPaNMkxLBPcES35pq1KmSLeW/w
u1Ohkw/HSFPGRKnoIYdln4Ybq51v4wRDCg03LRnqUK90rrAOvh4YuqfBF8bCqiL7nNjtuWsJTGZZ
RP7c0L9ozpBtQ7MYdiaK5RHkj9oS0rJugTvfW6rDhij1aO9VsO1hO37UA6NuWRInbcbFno0K2Ffm
nSefGuOWkvWxgzmduYKXdp1QPj09Gl76wy6mQ+LLc8QbZFFUIExs41mWBPLJsZuayOVyO7nVjRtt
s7e4S7LPfofU84DL6g1D66WRLm4hPOD7UqgGs9DewP6sci69pH1gFM5LVNXQl3Jtql7krta7nW9Y
t5knoco5IM9MD0twGzO/h1rEnx2oZS/JPbooyLU03Yc+0PjCokClt1jIMZkl63rGmhFpvX/w48dS
E/zWDC1LYc2v9LkkV+AFuR0az2a+IkxlypMv8kAJtsG0V9fzjnKIdNdoxUMr+IUMMvaI3C5usy2d
MzlhAxHHvXZIRBKuWtfydrZF1ImTpcnRqerxCZ3QW5IUsCka+8Mfx32QZnciLJ4I+LjSD4aTqQ4m
2uSSm/onvaDHl/81brMmXkZN29pNdAXfPWaDvSMV5ayT482/kBnNzrW757mYafd0D6p8J/eKY+rX
lOocmIr3scP/JVFiB/pmfP1u4r+Glt0lWXPouSyGmjhM3kzQGvpI6RySQj75efaOOrAl+eccJoTC
JJJPYnhIy4r6r+zmucVjO8d7rr5Y/OVWK7gFejOh0+naCcUhKq1bo1nHuEpfqSg+2rtaTpu0N65l
iRCVWcc2iq9ulZ9ajYgc9uq217IWFk9sifeG6F5sP7mnu5XT8maL6k7v87NeWvehpz1m5nxqebHm
zNhCZNPPvsDdRzBov7Hq58Rlv1okt9Rk8RroW8978RiNB4cdpkRnYpvwTUzUFQeLnddPMeFSre/d
OnqF8ni69F2ziwbjQNx1m35amvnpD82SAlq4Ls/f1674DGPv1ZXzs99UkILTuo85q9JtGleP6vvo
7InPRoIOneC50u12U3h9T4pQsyME4VTGOBitiyiKO08bVsE8PFs8BzJDnrWwe+uZDJ05vzMQvIi+
5M7XOztduHhVq0cycO/YkALKkp6edI9d0e2YHTcyGp95VOytyKImEmMxKQ8oUo8CqrdvSxL3wstg
I6Tpqz50T0ETPOETxNM5t08efZGFw0BnYiJLIutsJBnzW5AubMe5BqK496rq1dUIs2Bs6aV44Bb3
TnJkQwqLXx6bOv0og/lqqa5yYf0AwHgyVIc5UXWP7uDNp7zkATnW4hULD88oT6PXzpqLbUIdeq16
0XEjMExQlR6oznTNXhnGLB+TxD/XqlW9oV69VT3rdBQRaaxlB1N1sNdzFCwJ0VhI1c/uOsR/NzXO
5qxBq9d6OAYtrJcaOh1dW0m0mZwWNYPW91T1v9uqCX6UqVxmerzrVEv8f2+T/+ZtEhWb69e/lu2v
H0X7Uf/f/5P/RbX//ev+eaOEGqM8iMRZS8XD/c1a4/9GzLbjE+lgcKHUuU/+4zqJZM/10/Z9i0If
FpAKDmuAmKL//b8sJHvLMHzPcsC58N/8R81B1A395TrJZsKyeGz6jKougRB8E3+01tCVbHudV0qY
JvXuIbF6aALyFnvrBX1owdloLWK3GvjoaimSrkmeU+tMWxSKt94d3mDnc0nfmkyz8cEBjXcVn2p3
wZ7hnkuIA4XRRGTmO5mx9sp424wYKtzSse+ENDIuQCzJ8VGSKxVD7Sb9vB87Wi5NIz0VUVHAbzjo
dgm4v2+/d3SxHXrOMcedvuvJvJMJ5Z6BI2IA4Bgq27tMaXGdiLRcTZH9IgcepzOL74Uc41vfU7DA
vowOUoLmljmbVFTEHndAM4MJZ885LtFlUtrlasZHFCg22gvybamggaVpOphry/leDoBNaQbWOjnd
0pvM/MG2ugsGb+1qOFAdXnKOwnJflFFxEyb2eWMiEshk6E/D9LMyugtiLo16GWeux11+1SMUrqC2
ncN7wIUuzpvm0MUzKXG6tc8LHOp+cWl9jJ9k0mHi0XjWtEEQnoKI/M0eRiZprfyQhdaef7nftaEf
wM1CQ+TBsNOSPt70kHM5ivwGqiY8zL175noWMz0HHutwS4/u6wJnqBeX1rbw9HuS/XJwJcZffORY
cLGasNlpmL8D/a70+oMe1umpEunPqaD8wtJ3oHcDveUg5rVxspu9O8bwSW737rhWQI4gdAO1BHgf
jXHnwhts7U7b2ck93NokJki/ejYPNMLJpZBgVljniXHoXqlNVL5N1vVNDvNeV8YHAYVL3JruWy7M
C+8oLiZ3LFMubs5BW4REP7k48Vu1Mc7JKV/klf5zKOMS+1QFb9mjRTVs0lZ4t6Hoovi+bNAk2Esc
fS1giDFuZjlfEeQ/mghyw4yOQyM42MciWyWVSWxxZR/4VMtLjacOi+l88GRHelDCP+rrq85Pt69Y
t670EaBYzObSlbzNy34mKNCPvgJZPpiiP9Ve6WHSnIj1g8RItfkDdVaAWxFLrE/cWYUSLzslY6Y1
b3wlbPL+PQsldQJwOCsazWEB6nfPzpNDgaOeS8Sw4c2uwlOLdmUq+TRBR42UoNooadUusFk9m0pw
JY7FW6nMVXzb9KxTg4z7rTeRaM2s3vaotpxcPwebH6JXZlcHvxXikqkB6CP3hikF9a1jcNnGWkaq
9TfZ0rh3e3C9PEyT82AeQjI4aJwU3tE3pvQwi3aP6edSJaQdSSU8o3Et9Lqb9hyI9LP27lbTqUYO
lGDNabPUBO5Z3hHuIkxIeIjQt0sldPdK8haqzwX4MPTQhkmAQBY3ucuPvPhQ9bx3a9zTPRHOC6d8
C6uEmCPcvJUexXeTktwnJb7blntJveZNzORrMQaQrNk4xzx0v6eZY6JVIn6m5Pwa5X9fYE8PNJuL
jRL9CyX/J+wBfLUQIMqz2wVqSWCwLWjU2qCdPwu1RhjZJzC1v7nUsayB109NK4+uWj2QVHxnql2E
lpwRsJTU+D7MJL8DreyKFisNKYD+qsm6DWZjem0nLzlKJnaVHHqr1ALEUauQVi1FTLYjFRcnU61L
YvYmhlqgjGqVUrNTKdRyJfy1Zvm1cGHzMrOBcdjERJVPnDUdOpbsDgXvaQp0R1rRu+WkORej8OjG
kSFZPWMXLetmuNigVaxeeEjEpRgXpp2shoIDHgFsp6v9Hink4caWI6TkGO5oODZWo+QaNNgRZ+hU
P+bjgbqCZaecf/1Upijn8XubxtzpElJNRj4IfFz5dG8KJD/+zRqX2qrrTqSAkO49NV8xZQIhh4Xg
+Us7ZbHRLGrgWnGeanFwx/ZZk/bGpEDiLpgPZWcld5LFzNrFR7GJOZ27SNubmn6iyOdTxD70lG1/
J3p3MXAqhmXrLfLm5pErbIUcpjqxp5VJ4mD1GTl9ta6GOl43dnV2CdKCYeKNDEi9MFmjbXUt2eno
7Csm83vP5BSyOR54qSoSVzySmgsWeA221q2pswkRSNuboGmubhp96UT6LJAnY0I85j14sXUI4nFX
+SwX8tHN7uBanyKfAlRxyzN+FMRwaU+Ek7eEnRM66z3oDkpPNoS7BhuOUd34PXVuiSYH8dRheZ3X
jj17S/xEBFvYFCT5E7iQ72UkOeti0dkWF9QkS9n/ZdvRqe9TQQEH83RKojLuqgqvBe4IfZ3m5pMf
z9RWdm9kzWUbtcwcLFR+juxo5UfVXi+ax6KEiaw0/5fjZWkObyww9wFp5Qeb0Vsxpi5xRkhEbobe
D4GaKxaVPdYDSM1Zt3SGJyjBEmy1ABXVGjhWB6B1AGxF8VnRURyvwTavmWJf+7B98I1DJf3iXNuU
/8qWjD1Rgcix5N4k9UbIyjph/3vS5+KlsfnU9U1tbQMbBAnt7+ooElf7MSgu1wHQ9cTBULwuOytF
746/Vi2K6G0Df61Iw0OMp3VJyCj3p+EHOXXlxs6zTwkY3GTx8yCmh2CazoLQvFzP2P6BfY0NvAKL
EpIOs+DnzEqXa5KAOnYxn7CneJewe4RQ8kztIJUJ404PEVmmvWf81C3CayqeKEtSkHZkFdL4pJBn
F9W9Mwpcwt6jbUAq+emuqI6VQqUrBU0Tn/AVKIxaKKBakBOwaBRkjfmRxYEEsoe/JivBX0mFZLew
2fMvSBtau1HYdukYPyarkMuO6SNUaDfx9MOJnhmYLX8jGTVvwBnX1oypTYCWCiDEJaR4pJBxXcHj
QAuQzQoo9xRaXirG3AE2t4aYKFSDIJ7YHG/rzsTl6hrZl26UYOoKWC8Vuh7ml3wEZR+ZT2VQtXsf
yn1WuDt5tqpDZN8qEL5XSPyo4Pg4xJWKc9CqweZTBdDXUVST5oLYQF1YsuoUaB/2CrnPeBBG5qw9
+vMpG/4fe2eyXLeRpeFXcdQeagCJMaKrFnceSF5SEimKGwRpUZhnIDE8Wm/7xfpLUbJlSnbY1qIY
HXW9cpAiefMmMs/5zz/MVMJFc5Z2HfOtyZ8YkY6wNyLmMvH4ro3N6eAMwU3bupz0hGuMuH6WSgIA
x3Ezl7l3GzofM42A3wzrodAKrP1EypPSEdhKUSCVtmD+pDIQvEdNMWoh6d40IQqjghnxWVJnRLiH
g3nRG9YAztN1e8fBTgHio1CUDSHbHvd5853K/kIZwDtvQiRXMZ/sUIp1r5HwGzkDZbZzHbRIfEMm
LKxSKHc5diwLE5r0vu0ukxa/1MrV3kfFQyo9QBEdLqFREGsTZt1tP7Vcj/YEt6Bi/DT7/QADQM1R
PmbSfpx1+JyV8oGQ3W1OqNwJv4ecTfK+riOBJ8Sor3v9oc+r7Wz53dJwlcd/i5tEWYSnbtQufZWF
g03WbdtO5OmaVCDo6ndDacCtByWdOCfHFirJ2LGnA+KnUxMSjlv37xKcKDezHtyCXWD1OvnXZgvp
JS5IuCD8otwihT6b3GLjld2xRTgNv485UgslwE09gajL3JJ7hnR6wHoZgMVFrLERtjyas4OJcVGd
lcLv91M3ru1aXjAIPuQmfLv2xIdsHKfRPelFcx2lRrhTHPMORTKO0cVuNq9qfbwPtfoCsLA+08ip
tlrMWaA6u0oKADRKGE+AVuadQJ6M18EJzx9K6mEC0ChvUVsfsrTwNnqXEsVW4O9l5YTCxyUnCmcS
AdRA5XGernAIOqvhT+f2Fue0k2yjZmN11E3NTKqDSmXHB+s/vht/0tLRZJ4Dk+4PwIHH7n//5+E+
e4YNPP2zXzVqJl031o62rUOq9RFC/QIPALKTtsWox9aVh/2v0yYwAM8C4dQtE+jAtF2a+i/wgKsY
fcoq33A9JVL7S/AA3vvfwAPKPx8+H3+HazruM+cNb/DLxEjgpJSp1W8JxcFNKNYfwlGcgzHjHuvi
wZanxmkYo+GibhBKofVkh8r8oBf6G8LezYVnjzdIUczlNEfbshj9FUbkSAKgX9M1RIdKc648rsFN
rEzizKKoDoxiqwOSa8JlpEWgzqDftHX5viAZ8NjEl5jbQNFN5uQgyrvMD2rILz7X6Ej7IQL6hsFf
Zh4kXyXR1rN5NzDSIi6F56bgVENq4TwY3uRvuaMBKcrpdVnN91iKn83YGC74LT0saW2ZRj5IY4DD
wN4YO31bWt42xANryDFMi/RWO4zavJFFneztkOgKN8WOoCGOnI96OE+H2N4bWX2ZoujC34rLnFij
kLpRN49pxLs3o12eJsEajX1Ed9bf0pbigTDpx5ohNTV5dhO2LvbXXgIWUZLOGOJO7MVH25MSVU82
KSXFVPbZuvdxhxyokhd+0LxjwnRHWYMtk8CJnhsTXhSqdoHQDuK9v8TpAN5Kl12RHIQEu8ogKicX
RgVPRczuiUz7K2FCCEcuvvEjayUTLJxzY6s38/uKsKsFfc95a/iX7WxjAqkHTMsSrJvzBmqmbVEi
zkawjwApFvg8OFCLQSOiAD5278HaMggYQZtA89GeenFlJdhWlDoamC5vH0KZZwtIYhcatoW70dLO
tXjKdgxDr8tZnGm2hhqaCT2KG58yiUoULsawt1P/whrL62wemkMGn3pZNs1Rp2eip9Xxo/aSak/2
Jb3pRO6OV9j1EfDmpk7BlBNGFojec79P741cc4isgeBSKir5oGH2ELnzz9M4JttpxGV46jFyaAFP
/Ci+SprhcbYPZCFyDmfg2kkmj70WFaeeYCT0ww9Vf+uTC7mr/CQ7TFq3sSdza+Tp1sdcYQdeXK8C
713vAuqUWrpMrJF2rGyMtWEhzQ8STLlKBwlk2E4bL4+x4cY2AvqBfep8I1rVRiSXzLHgfOlzcxn6
M7d23d42GKFeM6h8U0wj+pdKUQSpjWtB2YXWOxy6cs/gKVzmVlVDlfDJmfSSm5j+HSxZbM3xqm2Q
zPddYOwA31nlZN+NfNTkeMVg2+O+GedxlVaET1CpntU+gFrSiLUMKP2s4THuLW9Xt0azaY3k2CBX
tzElxv8+3pte6FxOFQbNem6vqtK7y/U52LZZ5h9TJnqdJbAaz8XJmx196wn0Sf37Mgf8cmS4DSJH
f9tm/gfRdxMiMah07tCdh7n0VhHvZlV5VBBdjfebLue1Jjobo+suPM0NVt55N+3DdLxMq/7kGKJ+
09hIbFo/u4uqtzpqiEsZYv4P2eossBmnYkMKmTYfjwlQAi3/RzyFliTnXDhFHR9TYWVr7LD3sakv
u9q/FmJ0915Dsk4sxQ5so15gzPHR4W86ogRbTGMQ4MbRv/YUdDiDIeqG8rpXsGKmAEayFh8CXJ9d
9FYZglwNIFLHDVEBk0E/mEjli2sf/UlsIWvscTshxQi0yCgNZ5E4TXvwixBPtBhliGaO0M+Md7OC
ROswexOBkUqwUk2BprWCT1twVLgDjwO4Kg+WICrQustAXBnzMS/0Of1dB7DPd6TykN3nUWy89x3G
OrVbYVej9IRkzVlneuV0iuK5jeip19UT7MtkWQHBNohwLOnAHDDiWoHFDJHpC4ADQJH9UBBFjInF
KKSxgaGBo3ucIGj9BD8TYBsmxjupgGmyi9RAh8woVczAF1iTl45ZBnXOoAoeh8on8sdLWVOIQbZd
6cn4sx/bB1vwScKrD+E5DO+w2hCbWeNn9Wa/Jb2ELs6W771C3NoQdCqzX3pJKteZVV4lxszo1IxC
RuIbDHm9JTrNdtWlAHGBcXLnVlXTlVwJRD4W+kkCluSmMwaxw5kKJzWIyMKuaNd06yNY+vvAgUI5
mzbyScw9x9DT1mHaWMQWuIQNzi0fMlktqaezjyfzxIzSBxuAxmUlxQN/G54Ubn0WpvDJAqd9LUlR
mYlAWbhZ+ZAXuHYWSIlBqc+K2fdXSJKSRZ9bKlMQzq/L2FrC627bfIBJ2uSbyLca1ecvPKPUl7oH
29HDvgGJCfZ5TrQjQDS97kfvYZ5hCA/hEsNTsZ91iNY9YGja3HlesdWjsQUA60mnRI9ohzF+Ujlc
uG5uACCRWzc5sb2THwRLK4UVwJCjWggvqohBUdpFbBGju0nvxbokzWqRdpTH2OiDbMbKgQenO+aH
9ajTAlW9zmgfTiJ6gxZ61tStPfgAhwD2b2+HNSLsMNqFgQi3Zhddpxp+MKzPtVF68gIvFRnJdNv5
mE5VAwlgBXfNMvBiB6915xyr0WpZaYmykFeMEDlqUEvLZh8Q3gGrjxM9j46jazt42BMojJyZDx2u
LUB/s1NGe0jbMduYy55WIkFIQ/JD0wlvga0oLqatOz0UZzpmR+skek0IAxLVgLcXm51YZln4uiF4
Y9PjAoylZL9yNdrToaW17euUC4HsDB2LJMyr4go+Be1uI5O7eXDT9dToM1SJ5qGek/d1alyKXqNr
BRrjsML3F7svKMlee9lYrUHSh4uFFGSUuS4hz7rhg913mAxXfbopML8OCW3EGm6bRKMF3Gs81jgS
ZJ3TbuuunWlPwA5tkxsxFjYGgRQOJpET88j4oXUQEWApu5ywj1q4EwoFZCk7ByeeVTTgfCglYt5O
YxNkGdRyq/s5N9J7MaJySlPMrorA+djGo7fM5xERE3DpQlpJi5/ZhFkyhA494+OZcrF0CWxZFoEm
D0NBCopowlu782+thCQep0Bx08dcrkF8Rl+7FH7hbixpGuQ67FtpxBuPh2GWOIMlrYEdj32fTC2o
8EQ4tqvsTSu63NXYJDh6l/ukkjsgrnwNzQI9+2i9yaMAXFXNE9KMVAekd3jeUnAOJqSCbtNr2Gun
CfgVHNh1HPNTw0k/D6XhLQJXxjya5XqSkDB7tWL4a8kFyMdOMk9ftGPicZCEBKrMLvRixjbs8qSk
1ccP0sXHaMAoeC3R1SFihf5g9PaDSQGwQkWxGJ0eFIQyc6o6k22DddmQV+EawxUsfBWL2QC7p63H
Iw2Jbtzb0It1WkUu0GQim8XK/XuwhDvBBxum2EjHon9oa/EhxX4bvKpAyaaAe5dUEPV+SoYj+Kup
EA6bE8WDQZN9/BT+V7a4qxVclbsmdQ6cZfdmpEGHxDUVQcGVFA0agTEmtjzQVn7cBtz9UCaw3SG1
jzxSF20upyKBLqjCkclQOnswecKBrchMDY0HLbHhY3eJNqPeJXJYQW9LVrHv4I9tTPgakTG16qoR
vwumiUv2LErY8jCkQ7hGZHI+muYZpzimXGoyFAKehKMFMlfZA6UlR4kdzsc8mMi6sJvhQLnzkNod
9Tg5tlhTAJdWybSOe7Kd/Io4CqOTnPrDuPM4uMjlA5dHnKHvpR1vjK5Kzmw3ujT1wd47PlT4Khos
ctUp2tz5QzzFzWF27RDB9fAQ5L08azhmbNJOkjaRr0Vgn3qvCU44uW81JYGeSPY9NHJ0tzq+pcg4
kJPHXv+2CsojDlGoWUaiLKtEEtWaF/46SxHwx82DN5GcFdQapxokWDqQC8+2sVztsbsRDk7jznzV
Couo8rzJNq4WbxmHYOnp3g1Ty1SL6n+R+MTPmx3jDUO/CiFUHqLJ3nA9u0vI9whG4vpgzSaUZ0Zm
PGnlVe0MgC99AB86hh81zq22RyB+noFJ7XvyzOj/3H1M9Dry1xq2iS7uNELOREI9JSfODGOampPf
RnhvIyux9Z53mO0yY5SHAp/5hZu2a4B187x3K9yvw0dPcqszQ0NQoHxvdb+E390Oy//QJP4kTUI3
LXCL30dCbuLs/qfXj99AIU//7heahOFYjoHU2YRWpugIv0AhOPnAq+VLlg7NTpmU/sKUsAzS/Gyy
AdEbGgKHm1+ZEnzJMBSDF8cevsdFEvmv//6NR0377P9/Kvr8soyLrv3nP2znW8MeiL/wJIQF+0Jn
KPhbpkTJb3eDktwH9BSn2IvPQlT2HMmWvqQMfpPNlCaTc0T2Pm3xmmFcGF97kAULlXE7q7RbLaJk
7dC7L1wiLledzVVHNgTRuTgcT/lSs322aPXQE6M7qDxdh2BdmERU/ypr17OZeqr03Ujl8FYzZTH5
CjAO0WoVbYd2bTQCKOVvkyF+V3u2tZYE+yJkuEtU0m/oZLdT3LmbiBDgSAwOk5z0PfOCnWmXN3Px
vrdlfD5J4haqcLQ3TlOPm6pK39ZMF/YJccM1k+GUE8ec4o0WW+Z5PBINep6jrAwQuG7NdD6vlLtz
Ctlh3xsWUhFQ6pl2ZQPD4E3BwHhjpbG7maxZgMGv2jG9Fr3iNYzEnOaAtsvCS7eu1FYONySGd2ay
if2VU+G607RNQ0IoEQqyHd46wZraCUcyq2z3sH73FBs30xRu3Ti0tzVwUeaTSE2aoFXhV0D6tOYa
6QJX0tsydBHK+P6j0UbzcdRd5iAh6LVnVOtAmBn852IX9AHcCMeidmqw7eEmt9AsDPV00r1gMxNl
pwUamyHqlrUrEVRUoDO8g5i7N/tZZP2qD/vXQl36E6jDSg6X8eS+rePS2YeaQZoyvurYz8frKaIb
d6a6XQs4Aib0Ga3Dhs2mVjHt115jtweC7c7G1k63gYFRg8EAQ1rcHJEV9Mtbu43MI1rWFbRDmJBe
fVGX4q2sk5UnjWDVt2Rez/2tOYkH5FxcablxkRvYHnUEc5H9hZXNBAO3Jxk2ipJ4k9o26hKJSrLO
3+YJQ/WCSfOWVgFWBlELiMlaYHm7lJdS1KgItWod+p22jKkkF65XAEVLa915cm3GycMcJVfOHKCi
l3a7cNn1i5pE7aUTh5deUa6j0rlMmcKsUNh8yKW+M1GptoGDxIsj2wnhIhpb9li/maqcIAUQLTQz
wSUSP3S8WMF1FiHlQ7D3AZO6zN2003zeaPJDNHvJnjhu+OntY1Y14QGXuHO7mcuL3Mp7kgyCTWFY
K3ozbqrUYrcbaq8Y0QV5a1tTkKlBroO7HAy/OhSGeVM0IS2M2x3NPC3XZRjfVI0I132UvA1d0S4r
wzMhcqPPJNm7W9MLiLKujthHbhxpPo5drB2GYN4O5BJMFno4ja50IT2ixSknBMRqu0l3pTdxSSPh
04wEl1xYZVQw/KPyPh6gDfF3oXgbCebNyJ30E4xKbOdewAQC7FOYYgaiU4fmVUg/3xEEtzMxa1y2
BRHBCS6s42BeW07zrhyRZRuYam7zKnkd5jb3vmY+FjoNMGHVMw2N6SIjKzBUpxNlEHiNmQFeJdI5
Mdvd+hLvPhTQuzDcBOIq4Fcdm7T2CWrIVdyBh7jTeb+N2/IWgvmD4xXUmlp2GVElMwHDwD4PzCs9
6j5mJjnIUxLeBh2hgFl+aXT1cMBPBeBkkMEOKoaS2n5IjY+1i8tEHBb3mjBvAMCDBZZesJLkkG0S
shdpBteWPtHZ1TEZjl1+hVfOdvTjYGctEphPcB+8vU1WiS4FgsWR2kTOzV024lnPcNI6p/QrIV/n
WOgbUF7GtvWXkXVd5LVNfetGO+I0PAU0MnQz0MQKrK4W6aHuyJYpL6252gmND8mGCxaP2N3GmWrF
7zpMkPGzCNaTP1Owe84bEjHPwIVLFcL8LvX5XVqU3rhDovQG1SWtcL/WEOZhiVKftIkDE28xpvKf
mrrGwHmnHI+5gS2rnlrtMqkTkn1qjG+9/j4ZdP0oarnPCCQK4mHVdl22b2ZG4a5inRHYGE3htQar
yZ+RJVk1zrJBw/Sz2XJ0gbrWuJqUmGi9PtiVo1CbhBpbR7RVEmqu4RCkl9mb2MlvXFPS0VAuDwBt
XRKfybiByQGqUiXWx6nWP3RW+dEuUJVJF43gAIadJ2daZH6YHfxpaYqZ66fDIwypLfYhmHOAQoBp
Al5BYe7m26LR1TJ3p/qNJkVwGkNrPxvo86wOdxKvGq4DOUM+gCJMdNOCBEh7VUvtNLbWZVXUIDUa
XFpgZ4vHC9/T5GAXslgXvYHlbsYAjdwYoP2cU6BNdKyWR8IECoewiMDl9DCJQIDPvulEWGyLxCGx
jw2MTII2klEhs2OtW2J2nwsnf2956YOeheapIl5hMYMyITWJICWSNETmSOrs4sRF9sGULyehyiPs
AuAxqTdRm5+moV4KNuKyghuCNAdCkUGOdYm69wLuyrmVEiijo6TX9bXXzvlyDnzwVEmVG7nRRo7O
67FBKu8IkrRGM90wR6SfIYHOQd6cIzFd92m0JjnjMe6KyzjIdcIPTrogE2tEskNBAJtiLlXMnLzX
KuIEK+NoBRhzjrLc94kzHwlqTRIzhHGFqgSLmPMGmUk4RsiIUZ0uvK44Ovi40Ddpi1nDsxQnAnQq
SrFSKu0KMpftrNQsUulaWhqknUTq0ijNS6TULzwEzFiVIqa2YFSESiWjK71MDumrLB33baJdaJiM
b2ylrcFlFwadNp/F9mMw8sknSodTlpYD152NTt7QCnXiOg8EAazRNlEqnv9flf9/PRW9q/vufv2p
or/q4ca+foTt1/1SAquvfqp935Z/75u+1NLf/0E//dmpKhYmz6eqn/6sT3/zH/2U7L6Lu/4DOXwo
7uA543qFfOnTi0pekQg+f1kj08Blegp5+vPXqeRpXr5apt9biD9+j08r+sff80fv4GmJ9h/++Q/X
swyGu896qr+zDqZwHdNGI/j1AnivLMf1bGEzKf70evpNL2oBzO80lX95AQx8Xpmru7oB1Z4XI/Sv
18F95WA0ijDz6atsvX/TRvi57IlM4JEM47L4mi9g+PzJv2msf2cNnv2EXx8G5f7jmXSs9jdPgc8X
PNVpP72eWvgXtAn40Pj7rOd63t9ZgWfpm7+uADiAjVmvhabwlzf69S5wXqGvUDklzueFeHJqekEL
wXGgw37+czvhd9dBcO5BMOFc8Z72+7NTwX3lWxyZoBifH4enrfei1gGMxfzRdVDhNMA3Ju38d9fB
eyXQ1jickJ/3wws8HQWe0T+8Dup0VF7Q3pdr4LenI+ugExGreyT8fHq9wOdCuJb7o9ckJ6RvkSsA
2+rpffIDvz4fyNDVDccWOH9/fv2bbolnT/bX5YKwdUXN+jM3xbOf8us5CavM0ZEyowV7Wodvzgeq
Ep/L9Mt2eYH7gSACpWD7oXXgvvCYgpto8p4+72cXp8d+cMg4Nr5cnC/xfPhO3vRfvTe5L8D1+Q/7
9k+vZ9UTqDymvK4Dle3p9QLLaJJsxI+eD9wXDmNB14Zy+en1bD+wTDA3UWN+/rKSWL60dkJ8J07h
L+8H/xWKU/b+l3WgMPv6nESYym7hAcQn5Mt+eWnr8D0jzr+xDiBduk5f9Tv7wTF12zEQ6T69XuJz
QXv1w/eFEjBzCJri++vgvzIoojgmv9STTwXLi6onP3v//Oh9AT/aNbkyvrsfqKNsky70S/vxEs8H
LrtvlO5/47kwEayjw+IA/O3BYHEyQEr/XG/rL67TdL3vsfn/8gKozsGBbfnlwf9mHSitDBuPwM8H
w19Yhz/x1ADlqe/6OXu8b/71fwAAAP//</cx:binary>
              </cx:geoCache>
            </cx:geography>
          </cx:layoutPr>
        </cx:series>
      </cx:plotAreaRegion>
    </cx:plotArea>
    <cx:legend pos="r" align="min"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strDim type="cat">
        <cx:f>_xlchart.v5.35</cx:f>
        <cx:nf>_xlchart.v5.34</cx:nf>
      </cx:strDim>
      <cx:numDim type="colorVal">
        <cx:f>_xlchart.v5.37</cx:f>
        <cx:nf>_xlchart.v5.36</cx:nf>
      </cx:numDim>
    </cx:data>
  </cx:chartData>
  <cx:chart>
    <cx:plotArea>
      <cx:plotAreaRegion>
        <cx:series layoutId="regionMap" uniqueId="{8671570F-A959-4E8A-BBD8-90A5CA973BCF}">
          <cx:tx>
            <cx:txData>
              <cx:f>_xlchart.v5.36</cx:f>
              <cx:v>Empresas</cx:v>
            </cx:txData>
          </cx:tx>
          <cx:dataId val="0"/>
          <cx:layoutPr>
            <cx:geography viewedRegionType="dataOnly" cultureLanguage="pt-PT" cultureRegion="PT" attribution="Com tecnologia Bing">
              <cx:geoCache provider="{E9337A44-BEBE-4D9F-B70C-5C5E7DAFC167}">
                <cx:binary>7HzZct24suWvOPzcVGEiCJw4dSMaJPegrdmSLfuFIcsSCU4gCXD8g/slHf0L/Xp+rHPbkktSqaY+
FR3XEVflsEPEBjeIhcxcKzNZ/7yd/nFb3t10b6aqrO0/bqef32bONf/46Sd7m91VN/ag0redsebe
Hdya6idzf69v73760t2Muk5/Igizn26zm87dTW//459wt/TOHJnbG6dNfd7fdfPFne1LZ39n7NWh
NzdfKl1H2rpO3zr889vVTWfevrmrnXbz5dzc/fz22Sfevvnp5X1+9Z1vSliW67/AXBocEBbAfzxA
X3/o2zelqdOHYU8cYOrTgEsiv/3wx+8+ualg/h+t5utabr586e6shUf5+u/jrGfrfrx4a/ra7Xcr
hY37+e2Z6Vyf3pRv32hrwm9jodmv/Ozy66P+9Hyr/+OfLy7Aw7+48gSNlzv1R0O/AuO9tnf94478
+2gwdBBIIQIqHnY7eI5GcCACJFEQBK+j8YfLeR2Oh2kv8Hi4+mMB8j+HO/132sceEQLnn/j4ORTi
AExG+NRnD1CQx2PwzTD+eCGvY/E47wUYj5d/LDT+9Z+D6W4eN+bftw8qDjiiknEuv3mrF6CAfTAs
SYAeQRGP3/0NlD9ez+ugPM57Acrj5R8LlL1L/RsjCMMHBEIIARv5ZgkvfJY4oD7xERH4wVBeYPKH
y3kdkodpLxB5uPpjAaLu8r/TRsAIiAQTIOI3bEQyiC88eAj4CCL+NzbxzUb+aDWvw/Ft1gs0vl38
wcDobtKb+l//629EBCzER5Iy+WgCLyyEHwhfMoCMv24h6s8s6Tdg+WXqS2x+GfkBAXo8sv9+SNmD
4xOJpHiMGS/jPEWSIyToN2tCL9zXV3B+bzm/A8zb53zy57cPN/uxAHl3U7ub7l//u/q9XfiLqkQe
EAnUSviw28/lCAsCAArhBzTAlJ46rz+1ltcReTL1hak8GfmxkAlvrLsrzRs4VvXt3xjyqTwADsYC
Xz6EGOC+T1EKwN9h7lP8KGPkc5T+/Lpeh+rl/Bd4vRz+rw3ab67uqcR/9qG/KvHlARcEy8B/EXeC
AwkDIpD0Ie68MKY9mfqmvX97Ka8D9MvMZwv/Ly/nQ6Orz3+nYAH5SBCjBNjvq2QMyDH1Aw5K8gGC
FyryTyzodQS+T3xpG49P+GMBs+5vui9/JyVDB5whP/AZ+rbxvzINQiTxA/wwLF9E/T9ez+uwPM57
gcrj5R8LlCNtP5u/ERQIKwhhKgn1XwVFHmCwFIbpo3Jhz8PKH6/ndVAe570A5fHyDwYK5L/03wtK
gAMfgbk8uKjnsV4cACED6SLYAyN7ISeP/nA9vwHKw7yXoDxc/rFA2cfDm/Iu7e4eT+y/L1zAWvA+
CwapyVetJTjgBPkc48e8y4vM/Z9b0+vgPJ37AqCnQz8WSO91efPm4m5fa3jKd54931+kXl/FJeS+
gke98qK6AhhR7AeUPNgOwo/f/S0X86eW9DpET6Y+e4Kf3z4Z+bEAenfn/vV/Pv+d+EA+mVKOAZ4H
3/YruQmZZuzz75mZFwz5z6zodXh+mfkCnV8Gfixw3uub+ubNF/PmQX09HuR/39GBEYkAsssMkmhf
f15wNQFqE1ACXvAA4gsO/VdW9jpYv77DC9B+/YH/z+D9donze/E3unE38deq8ZMq5++Pft0NqGO/
mPp77vGb59x++fltIAiwAv+Jx9zf5lm25tfb9sr0O0hi/PwWCtFQ9qQCYYGoL4TgcArGu4chIZBA
MhAUkkY+45BuqCHiZj+/ZeQAM5/TwMeEoABRcLDW9F+HMNSS9soLQUWVggum3+v2Z6acU1N/35yH
39/UfXVmdO3sz28x3Kj59rH9w/qcc0HFXskFkF0HrwHctLm9uYDegP2n/4dNm6VsCt4r3M5h5fGj
3I+lbOLR0o1M61WdL/HoD5FB42bePdm1V74caly//nbfp0AFIOmPBWPo+bcHXoJGz9Tw7Q4noU5m
p0qiVZ50bpWMJhZ5e4fzIQ37IiGqbW9H225Gr87jtuPXXuqVMZm5U56VTeSjLCT+uiuXd1ONL2jS
H6fOS6OCmi++Rn6oWa7DeXFEZTV/X3t+VLCmjlPkLqfR3ovO1KGE5grlJ20eZTzpojxfjnBSJ2oa
55j63spMLYkaLVQBmcCwn9NR9a66X7qijrGeUqVbWYYTzlcYsyLkWdsoM5ehJaxfd1Lb2E/4NbO9
PKzrLIjyxAvHRO+Y6KazbBryY2HZYSOmCGXMWwVJokPD2RfYxOtmaAOVD8eVS8MsSH1VBtMu4ONH
hudgl45jpXS3zLCFNt3091JfjSVC8ZwOVWy9vjvieXtvPE/vcLmoWbrmvBKr0S10q2lznrgmOLQj
386y95VLSb5J5Rg1fZWrdGymDaP9dpza4lgkyUlL+afKH3QkSxvixmGVWnIxIisP07k6rLCp1l7d
COWSC43ZGHaJvwmw9yFIfBkae+/liQmLrtTKDnm6SZm9NaVNtqlth3DZeCl+R5cu1LzD267MV7Yt
ZeTKsovIVGwwqagyZJjDtF3ukIAzxJncUL9u4mJk3TaH+KgqrxlUPU03Ohu2rUFLOJYK7C49LQnZ
9LPzjjQrPpQkC/uhTN8hNsETLvlWMz9RGWo/jl4ybd072rH2OIsmLXXImTesxUiadS/nkwzjM4lJ
rwqU3rURl/kQF6jnYTppsS3xcFd1QpGiOuoJtcpD5aBIKexaymrtKs0OUXeDFw1fTG20BORwrsRp
V2aHmqfvCoyjQcxZBEfSqtGVaVh22Is63Meilmaz1MOkqmJQeNA70gm6bSf/o4c6qpZpCTZzk6yX
tP/skslTQVr4ocFeaK046kwv167v7p233DUWJVFO+xuMTaMqnaMwyc7GRTaHbqg3pTS5qv3UqSxw
Tk1M0DXS4rgc/WVVuuE6cItKTX68yJGss2VbVL1USXMMxdf3lZHBRhp/R3I7qbELbqag1JGWqY5w
aUg4MV8fyqUM3VzkapCpXaeEKCIys0rzHow9A3sqErC+BAWn3dhFmItalV7cIL28S2R/1iy1apOp
uijxeZ6O5Vmgt12woDjQlVZBl9YnaaNmZ+8K6/dx2o2nQU/jgPexTqcd7Ol6EPbc5QuYtnRk82GQ
Q7Mq5t6qSZqrpm5WYxniaV4ZMEU2JqOyWfbZ9+0JyrNTKYbrtlwF7XIc9GksvCHq0n6V2vlkFvS0
R/kJmbOjJSnXTesORb/NbHk1FPp84UHMm+yUlJ+mkr5v+uWYTfdNN23Bxs/aoV5z32x6I1eEFYuS
WMdWwHl1Pph7EsEOr6e+jZO5/uAF+H03LdcdS09M2cUpLnau90561J9kOb0EYXZGDKsVF5Va/PmY
6ukISrLnqa7XTLhOVYEXakE289yfVPm4TfCyq9LlE+uWM38aTnq5KvN5VzV62wSwuSxYde10WqfJ
RYD0UdKg4zRaxuKsYvmZQPpE8Gq3+PKiMfq0bvhRh8yWMhR3fhuhyUXZmF7TYl6Rlpy1dihUj6nq
vPRdw/lhmnebJF9WCbOHJkVHbso/IYl3AuPTustPLDc7IUjY2x1qj3HJNqQudjMtjpCp16LNz1xQ
R2kNPhyePOD2wnTTCpzF2sg65OZqv7ui/1AQetj5y1kmssirliMrplbpmn7KZnTW0kjU3sf9DniN
3O4fjsj8dCzns1DDBu+ftGqLoz4hO72QT+VCNwk8dcdPAlRGM0nAKx9mpT0MWnsm/CD8GkUfqNGz
mH5rmrnTafbQjvf91/+4NBX8+dox9svFfTffL78dP7YB/u6n1ndmL+Hsyw/tV/P9Xr/0pu2p0fdG
tRd061vj4G9wsd8d/LNEjcLxAtL8vXHwV0TtZUXlKU17mPxA06CWzamA9gLJCAYitL/vd5pGBKSJ
JBQifCh4Ayf7haahA4agEAFlCuhto8CgvtM0SHP4hO9FcgBKDJp/8F+hadAn9JIpBRzt0/HwB1gj
2tPIpzytIhCe5oQZxUawr/FSgm8La+ASkZvgKFtXH9co+ZgMfqFI3jTnni891edeHmNiWUjJOJ0T
K1uVllxp38S8n/uQDqSKswptUGPJrq0iv51xPC+pCTnpwrKawsVVIWOT3HrMAJmq7HXjtWGFcaaI
XWwYqCw5hZYzdFSgsg11zjadpiKquVW89ZuolfMMtCWIsqBMoybLhBJdXsZIyybMPafyJUEh8pOL
ZaovCzSvcVqrhHc8bsfMV0XanZrJE+Gs889iFmd9VouNnMskrvjoK79mO2nbZSerm7IiJEzzJldm
IjtXiOXbX3ju0W5A3qapgvKIB2DMGS3WMu+ro7Z5N1ZZvUuLodrVJat22CFf8UncB4hYJWlEUSpX
Zugz5bIArbgIelV73IXNPNuoiea6Y6onvF8nN2RIUuUP86LqQTrV0+E6L+froKTdymO63Cx4uOrd
+Clhea7YUG0Hw8uIWi+NtefXYZcX7UqXnYJOWlVmnrISu7CbxLVt7KwqeqjLge/8zEGw/KKTsVXU
d8umt12q2jwlaugbdNiZxVeyPecG6PIgRR267rJCwJZJoF3cOS+uYMlqaMZA2Xz5jEfEI8aSbtXN
QRK1RaLjqh7qsCiSJLJCY0WS4gO9ZksRbJjFZQQZpHXL2Rhzj9iIe42SSTOeNbkfyqE7bGxfqd5H
Reib7GM625O2KKIuW8bV0FTHCFjA3KWfMl6pfExO8yBTAWlXdIQPzKOfh7Mf7CTKtkkNzCOfvuiU
bzzL1nw2l4vTl5iSKdIYX7V2CqfJpuE8yThP5b3XsjRigRePeCqjEQdEBc0QyxSkTZsd1YtrwsLV
WGG6rWm3bPDkbpNJHGU6Y2FC+usJiW47L4euh4CZEhuWdtAqm5etXw5XyxI1shQqd23YMOpWZdvP
ALvyxTBFgc/9uF2SSFdJzI1HQzy34xoncNhZuYStJrWyi2OrohG7PiBd1Lqljvm9qKrthFHyvhjL
dNWJ9H1mkiJcfDCYKajG9bREhDYiDOrRU6yduUKO87DTLpLaNMdzW2Jl7EIjW01rTf1FjaKGk1J0
bAM+DCjM2CtpxYmcC7pxAreqKayNuinVikozqDmhn3JSlGrO0kxxS9b+sAyHQ1Ve9ohf+gRMHU99
NLn7kbZtVOUdh+MyhT3P0lORlEoM1aaftD3VHs1XSS5gEd5UxoustktvCNjssKyGxMRtkTK1dM2w
7pLhpiCkjHUiPvSVf0bLolA087ydoH2vRA03znIZBy2Rp8OCQGO0OFo6IO9Vwj8xFlSqQ8suQzpV
HYjyyMNl3Eh36H0wU1nusGeSEATHGUPpqc4Ei75uj3CBv041vdPefD8Y3Gz8ivgbkXMdi9QMcaXn
QmENWoPy4ZAE07u5dPk6X7p1U9BmY1XF3Kms5K2/zPyQmGNuex31YLfRIP0spH5iN3TKgBrNAyiv
XufxvrVn7efNSTLYddFkIsqbgIdY8BEkkyZbU3hZuGTNFhcyRKDeglokIbwFgNWSyY+gMUqVLBNY
O6JXxo3wtDDOu1qEYu99shHulIFDNk2+0aS8ZZSe5rwxn9saPIObZapGVnjR5JnqxEsKt2rKOYgT
wAlUqTkrfMRU64HjIEtVxNC9p1I3uwhSEGVMkw8uGeO+sCT2IJkf+YMrTuZmAOEzol0gZxourb2V
Fk46zmAPujrKTTcqjw+rMmvyMBk4UoXuzxj2cKgbDfGic1oNOctWY4ey8x6eVg2+r+ZKqiKxw6rX
aSRIeTjmto7oxCDKJDTq/TRXRONp603tJh3CPM/Op64iIRl9UGZVWa380cyhFWeQcrjts+owBaFS
B32hGls5GBhiWsqwdKRV4zRvC5NvwVkfFwmOvamgairVUsxbZkzkCXPR6voK1zFty3sziat+w4Bu
qoIhrPz+fqrdtMqcL0JUuesejrgNZLEaivZKOPoFl60y43RTLGTecj/pIZIPgAgFsdr70yqw1ipT
L5+Wjt/NwcDVgoYkTJLpCGvqwsxapDCrN+bak6Q6GrAFCj/ayKS5Vj0rtnmrldw7XpEikAmoWJdO
vguqcjUvsM8OyU6lUNFUw0jACqpopuImn+hVQjOVTiApKfuYanToNydmyFaT7+2CAUJ+LVYBavsw
sac1Pk9dEDX1EA1DlqiOlxdWJruhLm67eutq2iuvrS6Kpb5ftKyiIRkjTGaqyjZfQprZLePJORCv
Qx81d1l2nuSlCfsO3JkbktWS5O8rH14ywTS5liY5phSnK+mhbVMEfTiSpVXzIJLN0jQGUjr049SZ
sJxQH1WMi7AKxBg6AQHUeW0ZVSYPlz79QLnQcdJyCNKk+ewquYPdsIcpmt51vmIyt6uOTRdkBt8C
p1jhJrnpfT7EvMzeDf4qaSU/dAs8W5Z8BiF10VRoi8ePAx3CxpMDMLRsVEttz0XWbnPqZ1HqBZBU
EkWkdV+uxqL/KPRymlfk0owUwWJkrqZ2gSSTyEPkzBCOfneasXLtpXkROkaZqhHQpqAcQjF3uWpK
jUPhZlgwWwKQMnMMIepUtnOi2oAixXH7vhu2rhzTzeL3x21jgrPZkSY0bJZxlYRl2c+rRryXfIgc
7S4TL6+OdMHcNunnjSkaepjzZeuhSq9Rm0ulg/yLZ+076VlvlWDQNsLgYW0scDw+abPOTbvymzxV
gmTAXhpyigbXRpC42VTI5GuMa6Q6Gai2nDU8hz3R9aRjh3Eb+/4tpzZuzQI+gaZLBOyx8q6YbQKF
IE5o1F+UjN0JrYtoXMwtYeS4n9JD3jbv/RoexVSoiuue5kdyOcQFZqBG2WpuuqvW54faiZOEDlsk
ypVYiIxHpIFTmLCe7Zcx6ZbIwSZVmkRGZBRILW+nDqCyihbLthvz0Bb6shr1p342xdbt41ohCRy3
QzPO3fnAstOxwZC/NAZH0k3phjZTKBOI4sswzeAa3GaojV5jBrlFIyY1B9UMAXcEj9f0F3hos3C0
vIuznvpq8vwLWvShaKeT/9aLv/1W2TPJRxCBavJv68XH1olXJn1P50N9AN5iCiArzxkGTfZdJ4Lg
21e1QUBCXISsg4BU+0M6H8QghYyUFJRBx3RAOKziIZ2/fzUE2hQo0BH219P50MHwQieCIoHqOWNQ
TcAB9NLD+p7qRFPInlS13OewyXVdE5B4o7ySvDrxhRlVmtjzSmepyvu14ODT02yDq1qoufQKNTY0
hjgcpdSzkfb0Z3irRXk5vxzyvlaBHiVk2vehVF4QD2+6Jbtv6Nwqgs7ZdFpO8r3VoggbkVZKLt3G
RzUkLVt3a6zUipf3OneFgjbZY8Tt2Ty119lYh6I0EyRpua9qSj+1mFyBMal+Oa2TCf7NYFpS+6rn
wXsM/lAJtElqlipXm3uQDbs+G1w4VWjdBy0Ns2XOVLfsQGd+WaYiVQgXl0EyFsp3sSNVs/ZL66tx
AWWygDrOadWqornndAAnzIkqPAskZc5Q2Bv+qSvZBT+HYg0NzZJNKnCaq96O90tOz2peelGDlm09
zieumkU8MDOrLtNtOAgeJxWdlKt6T+XNqdV+dYSbNFVyCq4EbVeQEL4uxqRXne8jNZTuMMj8z4g3
ftjki1TG6zYCgbcfCgfhRiefhvyENtaFgYibjl8l+UxUQwKQkbrUwHq0aozhYV6BNhDgcaJuAfKe
eulHneanS21UVWv+od2rUCpBS/JcwNdMQD5zczkXtj0aIaHJK3RT64u0r8xG06lTvgE8RboRg4Oc
mTytxwHvZs+d9hC0OwJOeDhZ3BQ3VPZbUjdHfZaSCK7saomW1VixUmkyhW3Wr0ZJ14NXsEM3Lhs2
OtghZLiSxu2WoF55iXc0t4VZ9865kMwgjbTwrhAsY+Pp7KMnC7uCbMaHgue1MkkNJMAVm9nWoDYQ
BCU/MOFk8JcxS5PNRLq1s7OJLG+uk7QGejF5ZxW8SXrKoM5CgsaP4K0sFw5wMAb0OWUT5CbbDJaY
AJ3wq7Auk+kUQXYXNyKPaV3vwHnfiRTfe2ANEo1xNTHQyAmugcFZux7n4Trrq/Sky4peobGAakL9
uWoC72Nhg9i5M2qQt62hxqSkSIdN5pIG7IrOEDauMLIlMJeWxKwk8YL0oGhQrXCXuFB3mVWJIB/Y
YHvFvKI4TqC2ADnsK0md25ISjVB2KMlJ7fUYEru4PbLpaEK01O9T3bF4KaGUAGnlRYGk0Ss+DZWq
jK/DrGImLuZpVFO9EWUC+ZOULaHXdHMceMO1x5LiqPVBCwz2gjiv3rQdGhQKGhdW1RyzUa8947PV
CG3wYZZAvWcidIuMnsMcBe/hWO4NPZAh1z5eC2FXwVgrqG92SqTZsk49A2ikUjVpd+zx7n3iQ0wH
S5nDCYSWElnvTsScf9SyQ0fAiu6XpJ3irt/1ufWPlyGCWhNeTbQ14KiGUzmcuQmUfD0KtpK6uy7b
MqzdsoCDKPKTua1vPMdnpccetrq+YjCmBkbXJNjKRrLjwqOH2Msa5UR7miMdNQadaC6vltI7tNJQ
FRdFcE6m0Q/zKRgVJGg+OkN2oJUh2lf4M7MLlFKgvjdY1kZQK/LDBGhdA3TZLypl2PsSZFlokyaP
JnqOfVAZM+wOnEW4w9Smq76rQVJ5H1JWjBGUl8/1OO0mITdt3R/Xk1kUQuMllG/3aR+hgBrVofZu
TMVbkE2DD8XIBUoaYxrWNA3bnJ/xVt7xFNzroId3pg1WPbWnk1cXUEqAVJlj77DHPpviYhH6Y1/k
H0a/3ZUTjVHFTuf+XV7aE5zna0/OYeBVVYRtf2FysZamdKoqCVILz267sQn3d1g4pJsGyJEB2cGh
KabPiddwqNRu9eITtXj4NKmbUtWFtlHJq6Pa9p+JcSyEc3QyiQrULXB6h09B5t9XaPGjupULsK4I
Zy0kCQdvz4rdoCyhUdvWJ7hvJSR2wBehueuVFZu0CkDtJlWIPPgcFvtg0za7mvD1QrPb/RexoT7J
kEmUP62hBl6AOBv2OZwJStJZHc5Vr9XUuXNd2QsdyAz2te7U0nefaEl2U+M2FbB71VfwLngqZwYV
JApuKQ3uaj/LlF8IFNJ2k3UgqE0/He3pfgo5hWTpb1taqbJjkI3C+igd+ca01c54UO3zRZ+qIgsF
Gu6pW4qo4lDnC8iopAcVaY+ezEk+hRj19423YZmVIZtAP4uuvAmGcmsFfW8R89UTSvRK1X5PmZ61
DADFIHtq4UODuJTQ1PCcYujanxE3tFFwAKDWDNoxGzLFsimCNodNr6tRNRTf4LS4YF29Qa0+tmMX
NlN7JlN4WjqO92m6q7J+N1dgE0l2NFt+OAVD2MqgUEsbJlAFnC87iTb/T2sH+sYJ9OZQ8qLdAeE0
WOaKNKrgkLgTtgEtAbWwr1vNmuyiIHzbd8FJMLEj048RuBRZnBtaXxFkbwNiP+mAHPVSH5qluprb
7vM8rxIEfhnOJlT6IQNpe+oUS/ghZFPWv798+srWw/tcsPkM+u+g4xhKEc/YnZ25rvZb3/mDDYeg
PRlxcTXOPApIplc4GZBK53SLIMccWpcfJTMIQm9vJaMgi6JmOUclUR0FZTrSu9HBYQZHfTKM7UbU
pgizGQqrrCM6rJALay2nME878FZDmKSohZorSKJlkJA3rtxZCxlQSIxUMn0XzCVSlJTbr4/839Wt
bw1mt0//txGPvWf7zhwsoefyt5XKvl316Tsu36d8r2dhQUBxQH9PwAT62lv0UM+i8OJzgCkT0ofz
HyCoJD3vOtqPgI7ZS5hfZAo6QPBCIYERnxF4/0b8lXIW3lernnYdUQzLQwJeVoCXeDi8Y/L8HI+Q
QVwYygPwlrne9s2XiXZqNAs7tcTxuGTyUmTWi4PensjKQG+K6f1tXxXrwTaXdSrlIeZmy4WdVg0P
5ujJXr7i4tjejp6tj32tsknuI9B7UBF8sb4GCuIZSLrQm3ixSvu8W1k0QWoFyukEcjFDKVaZFJuh
A/Hga5Ofdylmse/p86Zx5DBYsi2vNBSYgfR2GHQ8b3seE9lfFoLUIRJVe+rX2yWdst1iq9NW1PMJ
l91NayiPkjzNtlXHXDyks1shU7EI1W1/mLb6Bs14Oqlpmb5vy/w8pTyFikphIgM+N+Ut20q6pGfD
SOlJVwcxJN0uqB6rP9qi/RY83yKBwQvBEYM2e4bx3lU9aRxroQQT+OT/cncmS47zWJZ+IphxAoct
B82SS/IhPGID8z8inCDAAZwAkE9fR57dXZl/lmVld1rWoje0cHkMLpEA7j3nOzegqQrc7M2iZXz8
utThFB970817ClcN7sHgZjJg9TcnLMOCeqaHezPYrANEdZQoJcrStUe+AGpxZV0e7axhZFTkpix5
H2m9HOXssVtE5qd1NvVLF7ogOUiwHW0ZoWNV7MzbNlzTWHQQl/gCiXSCRsy3EcAb1C+mgS/hR0dR
m+jbig1ynXl1gN4Zos/1nZyUvrovlIR/8eX/Mrflv3iIoj9v1lhij4CuD+4IgBvyUn/6hFD2NCX3
TQbTjls772UN2bbkxtxF7bOLnvx8nak4atZPXapWyIY9zJyczK04BrMRR5T150nTi7KB3LjzIAom
bXmuh/BpAQ1yDqexPvMG0IGw3vbrpamCxZZoy4uOWufmzYnM64Cozdonzs0+Lg2lUQq3b9iB71lT
Gmh5SxYo6KIMP5d6vMKdUbdhdU5mLdVRWb/7y4W66n99GTJVtMoNjgyK4WVYqQ8Kpqt2Zhp2kqvu
LKO4OxM2OZks/WQzof4UcSd/0JpGm6CRZYZPzN1ZR9nTUvG9jqtxrx9ffb0EicKeFHySA0zjwodk
eiTtMh0n1bdH2BwUrW+2wDu6qIgNJ9aN/90e4P2ZTQRRB8IdoKWLpAKKhT894EQmY43li6Y1Jk7u
dV594Ty64mNZ0mT2h23pdBO4yFi8Gn+iKDX7+qUZnU3PnbFg1MK+Qwf5XJvp0E5TfO9XqNtBtVzq
FiKl8pW8jBJGTXypte7f1OK0qezC7tx6sMihgTbbvo3NWQVG/DeFRPyoc/5m9aL2SXAw+AEwU7zF
P21wehUydNEZZNaYP4KEm8K23J5ZsFT7ssSScmyqXUufuWHfg6V9G123upGQ/eRV3B8cwvjt66VV
RyRNwhk82OO1r0sTRiYPNWgBtjjbmvjVGxtnvtNCBnnMpHgjYxduSFIVMpiDLNDU3r8ukV72imh9
MY1d7nOnw0PvrQ+XHL+DD/Vy9yM+ZxNOgK1fpuBZxyvwJOcaDozkU2LC/OvLr0s0iGjTRXF51P1C
LsyMVcZCP/wIE3qVS8xfvQC+YwvsbqhD2FgJOpZ4kd9dWOo3x527qwt3z7J+UwYhpCI7JGOORybB
P6KKBnLKa93VohhL39u3rhPu3Rrm6+qsYJ58mA8DTquNE833sPWCJ1AR5VsZegfYVd1tFn35pnhX
KLeldxOoX//4DKP/xS0O/SD08Pji/kbh4/t/tUHHSRVWDjoMKFFUw/uPbmUTyJduQQO0ju9lG9Hv
JVr8kYsU+3V0+MsFQkLqxOVFerQ+2GBQ8HOAYBG78gzH2g3+dnz6uoBpjE9+HXS7ZkjuENjLPte1
90ODLAVZEQWnRg/tYYmmYzXYEXgsqs5w9N13vj6pOUEdHT7AB5QjRyeY2K6M5reytpBPlvgPyBLB
L9ntpwEmterac0mF5lmvCi5G58DJngh3OMg6gT2/OCs7cL//35eoD/N//HG67t/VBICCQkQvodM+
MO4/tz2WwLoaOq/LjC14GMwHqGxRnRrD9aEBiFNDNNTTnvthKlpK7/XjErsv6Eydm9BReZnjfgcV
E4b//7n0ZsqVZXrTTyHMWxQ1r700206E7jfaw7aPG7Ps26GDh8fpYak7vcXmCS+e48CH6UM7cHZJ
t94bFzQx8RkpQABGZzdQpw59xG2Qcw97MbZZ7QffEhdLhCRmyZjonVPv/1rCKNyhhLJp3wbDbXxc
qKcNoDow1ZB8in6K0Ve7aCvidbg5ieyP8xw4EFaZs8EntaYKYFze2ebN4/ZI3DG8CsOnpzCaD1Xv
0uPXZV0ZPdaE/6A2SbaKjeQ8S5+cgSrA5vd2ZKrZdVmC6jYs63YBg3OmFCjBuLi7hAAPjB4XgB5u
tky+vED+mDZWt/SpATddiETNN8fRTp4o0lyCgeg9KwWsxBn98OTWT5RXMM7oVJ86HZiH2FjnY912
P0xl32dlh7stVXvmidNnKwvaH6qeXhqvM6eRL+L2denWBeBr7x2aYW1tyiJ6NItPz0aQnzGgw5//
+Knz/24RI8QYJTh/PB++AzLZf7uIo7X22mWO6owPuaVa3Ru9qt2gmJMK3PAznb32WCeQASbPkSlv
Zo2iUu71Mqqjb+tx10ztJ3RM68DsSqadrKJvDKLsyQz8l6wSsuUkuLXLrZNlkst2lJtRueQeLMbs
JqAfVbUkp69L03OzAZkA3JuH+lX5fjaYav32j98ynv4/dweYFRei8sLu9RhxgjLqb990n0xmjgPo
I87jrAfq83Wp4UwLHnp34wXuuYTaNtZ0BJLAQb/Ah927FepNCqT2jRqnPRGWGLSttnqLoXkfjI5E
9vXdkIV6XwcRzUbj8zfLONu6c0bXqoNd6NavsYBBEo3FzPryrp16uhPfqfEvdfbw9eXYAy2YOE9w
SDr008KfPdsO590yxddBxUC22jEAoL1sWzbZrB37zNXW7NXavwk9vECuK0GU9L8EQz6g5P2PTl72
I69+xdJADJZLscrkB3vohPCFRzp9X/zkfURFm82/JxJ/thrymZKQugmcUi6XH9bHgeZ3cMA7nJjN
agCglctHbyqeOX63jcJSZtYHrb+GAfS60suqelYwYwFl9CZ+ivchW38kU2vSpa0ubk+KqWmvYtDf
xUB3MpIfce9vkz5mqUt1nXW9nLJOrNjD/cbdaBNfhriZtpSRj7XtoVauIfRkXp1JA8lLRGXKCYIC
qpPPLlWbWSeooih7E5V4H8hLGPbPeomCvQAQng7t9GMaGpnr0HwjLXoHMteZ6CfwJJY8iRiJkdkZ
6jRo7KsICIiAcFONZuvp9RnuWCrIK08AMPE2ObNF3WQ0qcKWeuu4KkhRDeQ4jLuiqyBE97ZrNs3Q
k3Rw2Xbw2m+9P/q5B7w8g8YHeQdg5K4O1noHWEBmM853wJNp7w/Vtnf9jSthB6wcsDrp6S4R8Kn0
nIBlU+VPZ0gJieJffQjdc5nFxgNjtnGnBmGHO0uCcRPUxF6oLoe0prNTuN0Teh7sTk0eRyJ+bT1b
NIlTzAGYuHhu6b4eNO58NW/doTb5AHA182bgjZ4G0qErAFvkFLCSH1oK3m8G02+4I9BPZ24d6e1s
Z7B8UZdSZcsTUfKIdwZvIqi7lHmsSvvZA1w2kG29OE+Ocj85UQAovbLacC6HjKztfZidF0G2s9aQ
52O1Cz2VexAme6vXvafogSe1SoUNrzEwyRSfJ0lVjwCGAHxCF8+9eHJ9WwfdFmNA50zOeB0HYrQJ
sevtqDd2qQX2FqDZ3WlLbaF1Rqr2LZniD4QKTF7tWOefQx/+1TQ509ba4YE4Rp/1wI6GwpK3kA2W
AQWGCXA7+zA8l7z24ZlxcnXX5562f4xluBUcuumKLWSsVMrKJNgtq9jMc58CFz4rm1xnT3TFOHvb
ibswDmEmWCHfiON8kMDgLCq/1R0HMOfsdKhT+VJxd0zrqU/SuYueJls9WTdeDtO3OVFYhir5DrZn
mzQLAVakc/U4qEDd2fknj767ZJzzyiwK4Rb3oO1vOdfd9wY/uLEl9LxORzcQTP7gPDULskjGYaB+
eyzmhXZ3TyYfoVzhz5o+yaFjiDQsuyAtSVzmdRzoTVQR96wd+9l2tksd2y6vtBK7sezKbEhwEPrz
aPPOOB7CKSXPXF/+UpIHBwPOtVibHjEOhtiCWfpb0pkWsIbeIV31x2jqdiuEPfoL38SsnQsAb+jy
SuSN6qT94VdLvxOqfltVeG0O7ABVsisGY3dNj5XWxr5XuFAsUt0ncDnKTVjJ3zEgzhp2qV6ntmAt
jF4a3pcYnOpE6zBblnDZrXmnqyAdeuMdVMueu1sjESiBhxVnY8N+zEG3n2u2Zp0JPUSz6BtKD3JO
jEvONqK7UEdxinMf+Z4kRRYmOLC4f2fREJ8gwVxwwz9F/Yh8qIqkvUfWfOmzbiLzzVjwRSHtU6cB
Dri0+hyFC/Z0T+EmJPOOzuBMdLSdezocwnqrIxjms8Rf00TsvQSPuxdLv2kUqzPFHZW3TufAYJhe
RybCnfQUkG0vzB1f/Z6rc+LeqyX8FJyWmwoRBSRZ5hXhPRfnCWvOg1rXTcCWb5NC1mb1jJsreN/Z
GJq+iAasXJdA29XV5G9Gw365fvM7jqv6vZGsQLoQoZpqba6tf6Vj+0pIfx+8sN+W8jKM862aNr3x
X9rOq3KmqudoCuAX641CTG6vvXXcUln/nsah2jTWgkgMbfnEIgtrZAx+sxoxw3hsZZbEz3Nsll3s
sThtwDLdWwBSNaXTdvbssZ+qKE2EZGmNwA68qxVP5carQarOvnsnMcq9zqIgskvm9G781AcvbtCD
L9SkAbRV38TiuPtK5F8eqRrBq9UStF7U7tqmiwoIQM7WIxw81i8vXvs9r7EhmrVq9kHfQ/hnYdbY
zimSQXQbLAXV659Jh1/Uuo62yjp/cBUPTxMrgUq28wsO27f+QfkkOvLPQ0XO1PA6VQ67aS8yl6Ct
mmIW8jeoBA07skEObQA6H9AlFxUaMGexrzFark3jdz/9GWbeJNpX33g35j8LtpZAvMY36veiMDGY
Ozqu59kjBW41Kzhp52xGosX0iCz2gOwRg5syGszAIRKw1RH8dYKy+DgS9W6MTVCRJH8A49sNAgwS
ky3Oh278qav5pKF0pMMQAw6wOirAxZpMVU0DB5ZtVIubsgrh50bLJDfc0h3sZQKnWjfLeUb3nHl1
YHbhVMp8Bgm3p9Y9/5Nsv1jD6yAIwmL/k2x/GFAwjQNQk3+N7Y+bSO4qZv9Ftn+I6vAIkRD1w1+x
/bqFF5gE4v9Dtp9HUyrH+W/YfrPKFzlZgPSJ/5osJmMWJnY9x4UJyac3rWXOA1ZEwMX/k+2XFTBC
Uv0V21+VB0S1/h1s/7omuatIQZiAfjWIf5rtxw4FZPMorKiO/HEpGySaZxrtl9HLGtN1m95BzoQp
V2YonxRCmQUU8BqegUr5i2cHs5OtJsVqEbEcfCIyYF6bxE1gmq5ICztdWGVJDTi2euRB3C/EQIvN
EtMntK+oUlsUR8t0XS3yJRrEC3D9aEOkcAux9t8qpk+mTnaiYtcGQGQhZqApFAQXXH8fZGuzPkni
fVv7ohtnQF6aP3UtMhmxGbcxEQCLHUgFs9CHEKdUMTrhFkuDZn3jztiR+x8mDuE6KhTyPm3AJQTB
DGJnL0jQpK5EkoWwYICmw39y5d/rTrVIvoZjFqjuA70pNpyqt7nXoKD1Sjc8OLLdrEDWNqtAm1Av
wy+fd/KBJgwpApChNicm/MuKgRqZkMhMeghxn9cQ1UA7gPTE0YAuCLlz7fRo3/IWPyTK+G5KfWR0
0sBt+sxw7uZytTdB2/Xgr6Am4tLsOwcsseBJNiwh6kJaHftl/WhcE6RuCaCURsWYjCE8eT4V4Rhh
z+/R2/B1PYSOireuE3xfFgDLOjklTXjT8wrOW8Qh/JEhyAEekCwBWn+ag3q/6PFV8bogS7VuZAnY
TcFciYJqzkfp/HCJqQ9kQC46rvofY+tVkKgNjFwvAUubBE9s+R518kn0pE/JyqOMoC8I3fUDKfGy
GDxvs5brCZxWdawFjiJPYb1N/DKUmA0QrqvJLZJyGYCKtWhKhEeHX9XSpLYJk43j87JQNoqBmfAM
pkv1hlQZ6vonSf3yWk72NUBgSNm2KYYWfyqOoKKxm7Uklw6/N1VGxeLfdaUeEQEebEE7LOkyoAOO
ZGLutCV7nUBql+PJdb0Pr9R7lzYhTj9duFMrdk7Q5hGyQ7sBWQ30ssDH5h4RYwsYjyHX6sT0NhD+
HRV4ruLgB4Ppk2FS+qv0gp3UI80RGnrS9lsMQiBb39kMsA7LgsBiRNZiDR56wpLojHsnKYm77Vj4
OjfqWlJv/VWXBmEEMgM29678wba1vDwrNejDwsLdAubRmzk+VLLsozSmeHO2bhCtqIZ8bMNorye2
DZsEHc6qCkTY3kYVfGCFIUiSoJutnWHJqNOMOV/5R112KM1Ntvopq9YadamMNvXMDrRmKDUT9P6u
S1JeTkM283ep6p0y+AvIjP57IhNHIYx14NdTVtL1lyjVe+kj4x2Z+TQLocBcoxEKkesY1+C5mSdk
ch2zR7bnRcIz44IfAwl8KvZGmXOMd8hZuX5bOv/FvkCz6nIPYbsDUJp9Bb8rW4npN2QFyx9pg+Sc
893t6QXuLstihu1qnZvfJUrSod7QkiEXb/TPLrDtvhuHPfIkG5BN08W7xrOjUijIIADBvcOGmbFJ
wjLdEwIXYtI+IDTuIfbYQfPQaCxLeu0RAo9jACcBEkqgDMFnijAu5irIe40WqytjbBMA+1Kv8bNK
D+Fu0tEJRc0zA+QBV00Xo4l0MUPqcT3sizBsaC83xrBntl74QiAPLFV/VKauUzn0ORxR8SQH80sb
BCQRHzkkFpFtqZEXSwb3iNp6wmn2Ocbmtbe9Pg5xtZn08Mlb22xbgp2cOd/HrjqSZgLX+diKyskR
ECdiH7kNB24hTabChoU2/IjnFYoAAYvqVWfBUPPXlf/hL0DcFP6TD6GbLImwzjCwQq/womF2sE1s
A+xKwTW0AckCipsUzl2Gt7CZunDNG0DyqdeVd2d2Ra6H+jXyJ9D7XNlC9gy9LUfUR0rAPhXSgIuq
wBSueByJM+LUuqIOhocFkS3vGXytyWs3gcfp4zfin9PyPhBZTLO7MV7zfQgOUdRExcLomjPCiiou
kbssLZLx4SslnBznBQq10/kRvhfgR527jUra54YNDb7STV7h71k7yN+hcVGRon4dDBIZ6Gsfzwnm
PDA33GMNSWz1a3Ai/TYhKkCDLb20LsejguGW9XoFHYagX2HgMkeEbnhlr2VbHYJ5trl2nJxKSAQK
VhQid82nRS2tw3cS1kfpZ4LJ6jDJ/smP63cjW4l6pLxOjIoNHdzftZdcwTLiaQNJ54y8R00Nzos1
9Y+R2E3SGDw6kOpwr+UPzp8mA1bQkTG6J4QHwZXlWApvMihtsZZagRj2T3YKZI4k7ZRihoQGRJag
xZtlTlf2B9ybIXVbzk89Zzliys9zvVbXu9JOe1CzuiNydSaPyLwtp3P9R8szwK4JFhvd63rpMh6O
UxoOIt6ACM7a8qUb3BcClHf2Ns3K0CG4oA7n9qNK+n07TzsVeALChcTp140H1Y8SmFDztMrAblo3
QF+CbvbrK2nhII8RObdzuPV8DCwZNU4k42LiROt6b+1Q+vnDOvIaCY2urN7U4Jfo3MRLGfljpgCY
oDnRS+rwYSo4zuoOVJ8/LZtQe7/BwZGDYevWSJYtAeu3hAIx0bFycghivs1bOshdFy9FLesg5R5K
63CyyHkN+EPdR2UgC+Hn6sEauiatEUBLRJ8LGn74HA6w8jEjxcM4jqYvvVtpRjhs0DbgiQG8wgyS
RqCyscZ7DcIB6UOoBW6ylNtGiXvZgBTjrfN7bIBg2wA0rrd6ERTidmNWp88hf7+2CwberDp8kj7d
JrrbUDTmu7LcTONtcJzlOMg+KSbedAD0IV3o8PsW/xXNO6aQIJTUghom9XWO7CNswzHZh3k3h0+f
ADSRqhXlO5uQk62bqzv15pAYCYjfaLZryvA0j+Mv6X72ESj+qsQm4ntvceSyNK7BuRGNLUKAvJAt
sF8H/rXqK3C4U3ObKr61ScV2AeIF5cGxS7ynI9AV7UeptB7D9jP8qC0Y5JPjBNDwkWfH+h/yxm3x
yY8gGHnw2jY98i9zxHfKDeNLYDvkVV0grf7isFQeeriLcXcNYIT4BDeJkmdM3kEJibieMshVDxjB
0s2kWBKghFUcPrOpOzUU7juLkzccpNiluHyLjKj3xFcQAh3U2AwSf2T7J7JgF0MuKcDZj6rVr3VQ
OJ09NgjupI4MRuzHKHFcs2ahGj+EcZyjwfqbxUS3oXXzEopLGsFeiGZ+tutUb9YgDoqBjXTTDmpG
zMsHJQB1wvfRyhsAKqD4Lv85DyeB77CLqv7fPA9HQCjPVmjA/zPzcHDqRg9i6/9pHs7iVgfBqucK
FYn9V+bh0JVs43H4A8cBSUNwRP/0PByCxAp4mcMom93/9TycVaDxEuW/ZR6ON42559J/aR4OkH90
AH83BAdGy2tDKi8dWaBSf+4/4UCUKeN1XlLrXU2MGI0Oos9GNtkQu09Aned0HlSZjiHKZVib4H56
xH8NJK3SDgpnGfuGgp8VDPXKzGh9jlT1M5ZLsMWQL8xmeDQrZARVm6DqNAMYvMl3X0zcuy+u6LYe
KmaEIS3spRj0aYmpFGBXnOUazcuhDdvyjuNj2sOtB+wd8KRgoyUZaER2oShcLrGzrgVGwphMqA5t
zJIcAZBMF58hU9+X3alyo+FCYsO30qDDIm+tUZ+lwAnkdnQ6YeOe025gyxb5JUjpQfKbcnH0+ng4
icamwwyux7qKX1Vft9ApFcp2iOpF6es/iOmObbi0e9C6kOukO1zaxqWP+VnTT2FTJCj91PFbZ1vC
G91MCZzOgUITqOp2yIfYMWfTz809wVibHlUhxupsm6kf7zAKC712BvMt2hC2tOhE7uH11n16ZKr3
Uxnqp4pK8xRP4YDUP2rWWXzMzUSvQgziXvkrxaAe/h6PpLp/XYRGVpIHaNoxwXDPw6pGVn1Rd/QH
wB4ChokAHYMjXdER8x1azIqruN0yVy03Eyv/OtdoJdzvGlTDAUMMqptclbgRFLKpndi8e3zT1E1w
IAiUXl2tVa57AdtUBeQKrcsUdJZhbns+5cSMSIwg+nNPHpdhDLAGubk4kg73pFvYEW/+vZkajCGT
DiZkNF78zKKfpULPDJMcMQ4cZyeXkiAf/KA/hYh1h2aG98DasxfZs7N6+rmpX5dY9Xf01OaZO/6Q
L2qttl9fAvDuUi+oms2SRL+6GYOwMievMVzhpabB8BLI7lMmrXOK+3F4iVsvAsfYYF7S45vl1GOK
Wbm+LL64Oz1PvhnPnSBI980uWbX/QjFcChaGs2ExSlBH+HY7+qFF6iton70StxC9CKY+lWP7HHkz
yfyFBJcmwOMiVRa+I4TefXoV8m4AG5szpxrGzkrCPBSlvSS8Kgs+8utaihEGevTh6wDhNjhcWT/E
u0EG8a0NYHJYHf5i6KgfQ9gCLJoPW/MfpXD06+BXLtiA6CZi4uZuN/Xgp4DIz8PYbh/66YnTXhyC
B6vX9N5JiUYBkPXmz2HwXiISOveYHL0K+oUuzXe1NBsfLvEp8KGUB8QcVhG/8NJvYZZSsEMzlrUd
LpGArfxIaGf4iZetmQooQMPrMJX9s0Sn5LrnuVr0t85lHUjKixPROh/cxhyWMikzt/fK44S6KWyd
8lSBHMtr+hILPyNRhwbZH8UuJNE9IbK7UMJGGGaGF5JI70xqvS9rfPT4UFjammZCHt3N+mileLbK
qtAhbKmgI4XLFPtGUW4dHNrFWUU/lQhKpPg6cpdieFkM8Q7+EEuIbq0tJl/xE+SVmxEIHDPHellc
We8M3NbNBwEkDjb5AvWi7oBgtduBijDt6NBvTU/obQnr9gnDZTa2R6i/ndt7K1V01EFyoLpFvhki
Upo8IA9vLk8zAo5Fs0z3YfkyUjzYHnHXn/y1oYces8oGTmsApE1WItd6bBL4Hq2n9cavMIDC84MW
pPL6A/sv20UyIvu5Ehq1cojMVtLc3WXqkASFh9mF7/6I8YFUAZFWExIUcV9dAIm+C4zPu3QDkgVJ
28TbFT3/dhz7q5wAqJQD/zSjG1++LsiB7qK+IQj0dQhQxr9HTG+bVgHHvY/+kJARaK2Qbm1jWLHW
C04VzqIEww0vMomLxUvKAzIStBiScJdgAFwhR/OIuuJBVSSKcpeFe78sTYZuGvhLeJWktftk8hKw
uOSkOCiYpSTNjk3QQVcrVI6hPUgzabUcIxLJzA0r9AL9A+Vldty0WMf7qom2per9n03r52rRaeOO
zrfaXZYT/EFAEMLKZ9qFGGUg4uPXpavASZPy26Cb9hY1ZXBvvZLk8fxeAmTZOLBRDpXn8p3XjT+c
LsIsi0b8CjzUEXG5hLcYRGXaJQ9hZ4VQO0bTqUUWx64jUEct81B6ziVJIMX0irB8lW17DR1wXRGd
eO7UMPjRbA0fXjL9Sp7c1ai7xKkcmBoTCDu/guwZzjBXoxoMyxDnfGmijShnIHzt8Nw0v9uy3S1y
XZ48GapXZsgv0oNVJ2K5VBZNRSzlXlUeP9VUZqVHxdkhQ6q0T9+WqaWnPsYMGkFWLNFFnVdevfoT
HD4jS/cmpxBW3OpKpJziEtV46W7bRiXnVosGO94MLRoxm8IC3QUZoW5AYVaMwJDBXceY5tcRb+89
GhSEqvi5jYLyHIFMjOu5CD1NC0wYYCfVehgEx5CnotwxucQOtU38ZbmtNtjzVUWX0o5m0431dBKC
ou6szUY8Xrd+O4CDSINRBte6g5GYjP4KbR4BM1VF2KIEUoXj0vPURVP5WqqHti4Cc1raIDrawXOR
+dduWo0B2cULW9/qwNkS7lUf2URdc3bZsuZV2XuId0UCY6AIFuW8yL3p6vb4dUFIE2JD68FSNQBg
kxnkf4wBWex1dpuoRYgUdjn286Co/4O981qOHDu39BNBsTc8biZi0ltm0psbBFkswntgwzz9+VBS
t6p7Ri3pGMWcmHNTEdXVSTKZmcC//7XWtyrDv8sj32PiYNEkZxJJFngPjd14D0X1qkPQupiTezdJ
LvH5BKNCDaWJ5xkv4+gK6xAbwQ2nec6GVRXdNrsJPT9IDXnLXkw7S9HjlZDGAb6OgaRfP02o3NvQ
5TU3HDcDoNOxdary7OSKbBdi7wHDmj1kgcyPOSuylZ92mBBNs7j4SVderI68dCCznd48hNlQH5vE
xz8rgue+tcYbPqS3ijDIl8tBtGqCVZ6Df1KTZa3+OucUvbVHRf9xT/DcUn8TXXfIkdRXtp9ZK0KQ
FpjVAIOx6LZ8NWtR27DIutotH51eqPWkeSCOjMxcVnoao3ri9zNFKa7ch1qub/nw4A0MKbUTlxtb
sw9Oy7aRz1Wyaqtq2ECs8LdZ6oxriBvNhgcExyhsnGXcts6DrfwtpoYMu40VPwXThkS8fTAK+3vq
jdtsCIs7GUKqBVZIRg3y07JptGKVdmJc1Y6dAdBK1dkf1rZy7z1AYnlhW/eGxz6qDqL3NEzZAgZ5
fap8TC+duJilDHZjLe4zaQenngFpWb/UTmRtSqeTD34uuSD6GjtYWC0HgGbLltTEIlJksk3BLpuI
s7cOAlZHuCqgEaUZuzo/BqpC+mTDLh+lQeKI8yq4kYXrV84ynUr94g1hvpja0NiZGWlnnxzgoiIA
fsX2htZftzc//qb7lVzgvXS3TZ7HhyLy301LddjPBpvdRNjt+nAqtpgDjSX71fKu8soS1/gn3tD8
QrAwP6chRMpmsk6YL/gDmWk5EbjHURKoq47R6OombgtNyroGZncnnFreAOjoH/r4QQ+F/vjjL7lx
X3qafkkD/cFiPj6XVk5agUD+6+iUew4xipVdlG4bq/JvG2vMbv/YAYnGg8HxZ3e+Q3WxqRvsCFxL
J6o1RxN+sm5XSaga5WMgijC+4J5pxK0d297Cgde5NuOyPXpzGCKSOXiDLshW+TjwIQqBCXmZuzJ8
0W24pRSLpMottqpTzxoNz0poPGVxkLKUkM5yrAkENkVpsXkpfNaLtXFkIT0bNjb47h0Xt72TtGfO
J8W1HOILmSV1/vGHNiCG5QN2mh9/FfFHGQHhy3RHHf3AXTWqaXYFBIQjppxwX0dhdPQAUO/HPK4O
WfNmKW5XXWVjNRRdHm7MuH3JyHK1sZtd1fxH2PDengxJBBfRCStLmKQbw2CzScYQv7KdP6aqtY5u
CDohKhTGVt9+GrpaEmifFqyvk93EyEEcGf8qEFmFE5F5nq9jvhqOtwPJM0tw4oiFTy4Klwxzqor2
OR/IxBdJmt+U/aRYyhXDUkv84q5jQ7xy08HZ/HjnGdHVdVrtXAXDi+4P8ROSDPmNIQ0OrfE8YKy5
+/GHazKMkazRN8WxCNP0pvDb6pSE4ap1tOK+bGE6//H75/8wDTs2rmvTcWzwH5at2zPz++e3Tx45
hVBslrluoCbWUQFwzijWHyqZtNfObi0i6Tn+DMH/E8dtf8g8Lm66zpaqJGbDCxZvnGQoyUXE1jl0
y3rBRSW6jk6dw21SILXM2r9oBlHxLh04mjhiE/oY4Er54jVFt8pb7l8NcWmVJiWwIOKjHL5ZUkvj
GpIb+HNK9G9mrczfY8x5yuBVpMSrIT3L/P1TFpXbt2XV1sSrC8UW1S5WiTeuDFXoa1/CJcgHTI6N
zvFa+vDrnBzuQ+NHl5Z7M9wIjG+FqNtDhB+u9OzmGZ6RdigqkawC5ovXDnDKIlU3WZdgiB+J2bsF
jwtC+yas35Xw36a8bG+kXqNDVg020mK4GAyOz6HZiYNfZc9uIg4yQ8ogg+IfZYaDE9UqPrITeOZE
lN3/8bvg9/ElAPHEtF1wM/xWiOn9LuETlLoexor3smZA1QWs/N3OtK9IMudX0Dd4JXAHKCtgH2/I
6O+8BX/kh35zBeO7Gy4vBPZuQxpzQcjPb0Ez95o+ikCP+aP5nmrR22Cbe5XF3qqa4nCRSO2gI6nC
KEaEBUtjDu9m6oLhaLvm72S+/2+/CBYUUP0lZZnOTHb9+UfhMqjFBUhy7rT559BAFOZEl6jQQmjr
jnYo8HqbU0fuXv/zb+Ffll3+fxO6SySWKNzfjib/0i79G4jSnx/0l3Cy8ycaMSya/QgSS3BJDgb/
X2G7NoUA1GkBQ3IR5Oc+gr9ClHhP8Si4RgJnzxzI41IydyIAUeIzzMPmxPMc7rf/mXSy+yO7+pt3
rwCRxoWTqLPNz+L9Lrk5JNY0APonfCJGugdYooGu/pB1AwgERSrMk80Y91/KYulqxP7Bicpdl/mL
0pHIjj7RnPA1Fvn53+3c5at7FABwRv0vdO5mGUhGE+cuKebfOncNrwWRbub/Uedunm0GwZH9P8W5
K4vQ2AS18c87d33Z3Q+69um7YbI0GmwAUFtGgFLcsDGqbIo09IB0yPNUi6PffOAqLh9aPfis4rbZ
mrBx11EC5MhroxUDIUTljE1LVrorK/TafYqj1cwduUgyFiZInNPS6b2dykxFSEc7xFb6romhXwMN
yjiWBQbnCHakxlrTq2ClAKUuXNhECy8aJyIq1q1hzJYNgS445F/R5FXbMSzUqgmdD4KR3JIMqEnC
ZwGQ1w2m6ksR3gkfZwUn4ImlevlV2RbBB2W3Z30K6GFwxc6NelCDZGHwTtjl0ii7W4u41doPhhG6
bzxjvKyDPjSPus6wr+ffXAVZ0JQ68CTBbyARy4Lbl0gJ5vema2+mwX0q5QjKfww+8YNfAxivV0fW
F6NO/U1k2OW2B99idnVIkKC3VrKKHsyaPokuRv2OTeebRmYP6665QAUUvczWIkdAJahl97gcKsf7
0hndRjedbjOtu08rgGFD8WknWrQapPXm6+ZbB7u1MDDmCpOzhQh5dkHHiOe73/xJ/5xqtMGyBZLj
GW/zx3qZ4bVZihDcKkFOschYfdmDdWybAlJMMz5K3Mie2UOVCYjgmXp/Cxjho5kw2sRGfKCkfN21
5l3LIhc6NNppNlM2m5NmBRHCoN0zJOEz6YvhcRjHPRl0sTYgYJ48FonL3OEF112XVg0Sky2qsW9+
tX1604hcw3PhPI862OAh0uJTPvI9hwDamVc6j7qKfJ7akCxjIFw1PrFdIMNs18MgR0P25wACNjZd
r+TWB2W69PIV3ogEb/XYgSx1+21piNu0lezDfevBi0oiBWCDV7Wmecuqr89NgBkhSMWmjvI1DmBz
GRY0VmAMU7CdsWqWkXqWk4s5pC3wHc3WYbPBeyfyGRKWuTmPrAOgsqQd3CHF+t12L5Cphj1x1EcJ
aGRfDfO+2+eo0AWXuGMxProRjqEkuymCEnc62aHWwscDk4g5DjibLxrGFsBbywidZaUMjpTh9OKU
UKe1cnwljvkUucZ5EKjy0qVcwVfRmcmLT05FGIu13aiRoiNw+tbX+bfaXOKpasneEpUqW3dh41X+
AaPgzDF918ge7Tub3A5tmz7+aCtl4AvkwQyL5z53t51f24exrS18fwgKwJ13Q8RSvm6nz6gRj1z0
vJOW+lgE0K4N1jOc9O0m/yZAWywlBo48SB16O7qzVxZX5YWf5qA8xjTenYIdc5LHwabSvJgpleO0
CaMcDulZVSSUcCEeYJBaK2s+BucVe0KW3DdqIM+oGlewFcMTZHqffZS8y2JCyJBPruZ/jP10zAGh
LZ0wuph52l2x7+grD5QdUihEI1VExS6txBfaSr1oHA4ppS2rpZFAlhsjFotpdldbVX0Kt74p7prm
9UvHvlVV8p17eYsuNpOFMYGuteClzUn9MGNjIQlCPpLNpB8ml9m563dWfAncYG87Y0/Uc8AvHutc
XSiEsJmOcZ51b1WWg3KXezMxznXRbKK86N87Q1B5wvgdR19NGibnYKZicOA9xaBJFyCbl2PV4VFM
uB5zOcoIgIuLGxUGawVhc+GlaAMGxb6qulX1iW3ixrbwKnRGgashQRQ0i2hTZ36/q9lvdIHnr8j8
KowRxl7ZXXaouaB5OEDWQyLRc2E7rmGOTYvOs+KFn9+x9yhWZqLvfb+Llzag4kMW5YsbWYzWYVJ9
ROAZpl2QDCMUVkwmtezu0iD55uq89mFm/rhQk34T2VM6ZvswikiG2VvpVtr9MPj+zgqgdTVpeQQt
/8XFreJCb+yoOJHLuiqdfRk6j6EulnXt7RN/TNdWXkW0eMibvoYjn31BDgvxwHr9seKjnblFtEjj
jnKSbFrySk9X6d4nbfymFUTFq7Gu7pumuQSpuiZeQhoZucIfo+DiDGwXAhQy8jkci6DCrdIpqVbo
JuD/nb49i5jtYteyskq9z7EK5APJ0YBV7gSF49Wt2kXjhXKbZcalMQ1gjCyA6zT1jimB7m1RuG+F
mJd1iPZ6Qqx4PNR6sBisac3Cr5XxsW5kvUEwcXdW/93hJH/QWg6xHvFkA5xtjHq30RxzWA1QXAN3
ilbN4HPEk068H6ZrV2T6rq4x6MrhlmF0i7ZTLtsse0oCaOjsLdHHNJScQkh6S/qcWKZvbQAEznzb
XTYOOHkm476SKn7k3PeiuYCBHTHVV1kA7S1lyN3Mk+EKxqB16XvDXjpZtNZqeLUlbDzwNwBk7CrZ
y3qQ68gcAEkUGsxf2lU6VC1rqFYuF76dAH7TlhLcfrNpayc5WD2JRBm82Nq7XuKDyiojuyRFp47C
mU7JmGE8tQ5R3X93w+g2bRggbHviXZ+q4zAMgFec6ZvSsCznTqDwAnJxF9DPCGp1ybvQ1V7FAIIT
IrCe+UQeCw62deN75WmIx1Otfxqx8WHzFjedYC0qgS4x2SfHniT3zpSESOSfLQygtpd8BSRrZof2
uu2PZcSaDv7+sLBEe9+O+hbdge6flutzmvXftHZLr9MHT+CaUzpwlFSmLAIKCWqqb1hR5iOfEve7
xrktoMEisQAslpUD/sEO92HvNGcX2ABat9q28QgCPcoOQNOMvZVHn2oMqSb4TMZwCXUZTmi4G1V1
cbn2PVrF+BF0/ufEKmuqoose5dHsL4AAPW0gO8TLKjCvwjGPJaavNWzMsbvSTuZf0qZfOROXlwDr
INsiAR95yvipJ9D9kCmhNE/lg2ZkdDDIWlu2XhktLOieVhq0G8iGXOgiLowBy96DwAY+2GV9UzVY
86U9LlWNp5R9g9gL4X5x72s2mRMto4vGqwv1z36TflJjtHfpJqpfOO8Qjwu1dcU1GT9bTEA0jqkr
YH/P++vFVNWXSIitydaYaBhjBvFZA+R5/k0NDxVuzTGVLNVRYEH9iV2UMGu0eXdoex9TwzDsBiqk
EJFbPpRVsdR8AmteH59jNp3rSreirZ6Nj/qEfz1qy4fIcdZljqrtsHsATOPRnzZhAvXJSyWzzVx+
6eO4G2z5rnz/dr6/YP64t32fO4+BV93UMrXh+nc1Mr/Y5xq+tMGHyGj4Kbd/78BleWGlZnRjDCRt
3ZSxMdUJE3ov3mg/DmbVL+JKHYo2o1YiJ4lsgWJZmYPzvXYH4+yFuL1LcN81xvQt9uO9X2T1RXOs
2VbcL3MzZ9DGx3yOreJZVSD3DK2+AT1QHaE0vkgRAm+3kuD049j8L1sf/FzZ87/+exX7eM588P/b
O4ZF/R68/4xLmzsUfzzm1xWDC7nLBGL2F6oyC6hfVwwsFoQlpIWxzbOx3v26YpgrO6lUFUxYUFws
Q7Ir+suKgX9i9zAvGIQ7t3aKf2rFYP5YIfy8YrBZfvADm6ZHQyjf7HdbKdbxo+WKEj9l4D2aoJFo
GduKintD095hRvePxTjlW1b3X6HMlxJteOuMzypwqDXR1l0VC3hbxR41ICBCKY9OpcimDO+4gJol
wP+nMWJOcgtaK6Lyamu9OI91eQWs9KWSEDFRVOuoK49C5RxXIANrvptsIna4rQFbMJbunQRIsMmU
TyGIxx13MrLlQP3NWk/0S9FBd0nPVALqNzV63TKtK2vZcreqJwo5ohL9qCguwEeqjecEmP6zeDcC
Ia7KoFkl0R5j7geHy2M9xMywg0FhDBdFiepygaX5kRt29pqNBwQ0KMBxnwL+xPunm3QhaDrsZiPI
tzp2mYxbqebUVAradnbB6xUTneRmVPiULOjtNjMXPrb8ouOaZdNmsza1EI1S1Musca01bOYqr5rV
2JjXqg2vpkQh7G24r7UwbzQ1vTbj+GiqiGCV5HTnKWsfd5F2qe/Nsb0UtSCUOr10rC3tACoH91nA
0an3XnU0vSX9987nrkVCvVrQDfdJIvIUzVt020Ufs/MNweSvqRKfKRn7qW23NWjbfRdHJ0L061CZ
gFzVcLaJg5Ccva851edNVays0gHfWwPT9n19Sf5KFXcpZSsLx5Vkjllb4PBa99zzOUJRXwM8QFrR
4xhsjNwb1wxg0yLpZQoiZUAWgnBv9fv/DBdrSY/mXPCYl94z/Ry7amYSd/5dUFAF6U9htiUYe+iN
2DuYhbij+AEexBxSsYnqRJn5lsTeTaEHybkoWyoRw2HXKuTNgEI9hId4VyW1hQOCa/NcVxnTWwnZ
mA4fdzN5bXmro0ybRJyPwGC/mi6tT1FeZus+AqtQ6g/6tyFLg11lMTCZTZthMMQ5Q+fKa+YMR29K
rAVxLpIa52ou23Qa8RLE+qfmcLBIuGduCIGvHMjRKZrwmXP5cDXrEJlLI0sGgMdUKU/Mt1+queqz
6Ydua9rJMnIyBsWBPg5IAJtqPk/qc1momGtDFf2hai4STQIo423jLIo4hZ49+pQgjWt9rh9N6CGN
5kJSe64mJdpUwveG9tvTW6pN7UNqUmRa0Gga0Ww6eqXOcoWyU47c1lIE2WevwASaNKKONKM2NKTO
rnLsUXVhlqsug1iKIpKu6xonWUE7TRGWO/w2aq5dZQETMKhW330+PSRBoO5Q2onniv6EsfcJ7+R8
xOVipmN5Hbw0+czRbN1RZWUjKk/dWx6DD1gJaD41sN/EO3jBXoQfTlAtNdhUsgZC17csGfYJhnuV
dnis6lVpPmfI8hVLmbB/nRK6FbSQpqnXZv5erI/ir6LZRhpNSjiFdKrBjrTtcIi9j0rORNziRVHx
nmM90zx3YuPYV70+THCKK+3Vbp8t+MD8cIFnLPTdaF8qGAmZGHk+6Jo8Kp8vytZHmNCFpdsbjwuN
p8f0Nn7DTrDlN0v1abisKUUZymYtfPh1aby1PwqBUlm+NYmzamObGhhvi+VgNbxzTVuRaW0EvUwJ
zJXuBi7KzpjcLSinBeCpRQrrYFIATtjMugGecVqqTM2h9cdbVNGmc85l1uzMbnSW0DmGBzNN4qNh
AGtrEOt3kRsTjHUVySu97ck9lISs+vxJGGl8aVyawWotv0a+loDvnnZJkEqWHgbQjeBzLAne4YQ1
6Xcxym2AMe7eMaYX6nUbjuFRuHajWz6F3qGa+ELDYMbr1GYUa/PcWzpOFC0K3b0KGl/QY32m+zTp
2C3YR7sK8wtEGX6bBRuTkaXjwpXGkx65mEALETKzlSQmHPTogCl0lTlGfAYKiBEL4c5l1qbSqdjX
pY3xq/DuQqPZQG1xlmHnvjlo1c1oNvsxaZ8wHGxNs6kXppE/1HmADkfOYw201ljQNndj5ONBOMnH
GI/YHet4FdSIoVLBhRE0cbISWuShd1PWNtfsKN+XRQ8/op9tSdr0bmAm3Gc2bE9S6sUyM/E7SzE8
NVVDI2kQBbCv8n7n4+Xc+r16NlRlwntP+2Vkkl6rQvOGHjZcP6H3YPLpH5hSFtJhFe0iti97ztTc
sSYIQQnXaRFIpk54QqTrY+AFxEPUOStbsHcZ+GuQxWvLSevlgN1MK4d9nPeQeWdD1P+Mof9YX4jJ
eYW57G+Pof9bfY/q4rdz6F8e9GtfCOOiO3dHknezdJjNP82hlCJSJeJRfW1DB52/1S8gXvknQROl
++dHoETBovtlDhXQex2GXcZXB/Qqldq/VGz+hUn6R/Xf5vz9f2M1sR0UOGC/jMLggMUP4vRPXgHK
ky06XrN6IYJb+PzpMRLDnW5r4a4rOQCORb3ijFdsZAAe3YzgNdm1sYXwaeJFctiCWFBpilrz1m5R
c54L/XFVzbU5E3bOHd7vTScrf21gCVlg5SmXrOmmxdtDinS9iNxw12bDe0vd09oMnTviXRTuELAi
NtZTBDSRtaOJOSAC27rLeuI+SYTANiuXOx+izUDaYOZSyLC7VhmEXUfPbmsPAkZGO5awuu95pXHd
GQrjthdbdxSkd1OWd3atAJAHzQ67MC2/ihaHkTWPIanMaGWPJMBOVAfYyKe/famJ0KWdpE2sdE9A
ciDQGfwI3cDiKDYMlnPcfeK932AMy+k2WySKLzQEwV2srC/cmiv6j7Y+99q10CnSxvPyLZlFGHPg
f+7YbZctwPkEx2YmgBz6WGPWYyT3gad5Rz0Z7nqA+kFku/smYaQlw+VVqD+OLo9k/Nwte4FgZdEp
LlPfXCrVF5t6YPIdagpC+7L4QFVqNwWxXRJdsc+N4uQmzTWyfIOEJP79AZM00ECnJUA8J8q0tVcS
d5qm4BtZAA+URw0UKrjNBMGBqsySBe5KbtOKjlDPX1sA42GeP2UNxA+3GONtgiX36CIwYfABadp0
eLdCXNAszIdPrGvWLZWQ7TKOUv3kNU72UAubl8YBVtsG+bquBu4AylqN9twBQvPe5CTHuNyJQQvg
gwhv6zQ1k3bTB3s5kveTGF0E0CqZgdth0cTmnvxdd6gNGUKtmcSiakBq9VlzE7T+JouFs6sU6eop
1k9YHot1F3A5TtpMLQrCmYvEZkoDSv9CFAxtr4npN+CWQighfbYKfeGNA9l7VXH378atgbcoUvqJ
iz9uNOYW+BXjOaTcKdCSdg9L+a1sam7+mfHYT+VXry7mWH2xd07WIkm+sxfdp6TSt31fcbv1ZwMU
6LGyfi/ibuON7UeqIK3HORBTPQHTO45nj8BmlJpHN+vOWt89R2kLuIrTl92M4XE2/GbuoM/mChpx
2IwRdRa3kUhPo6zvWLxeOFqggIru7Gr61gU4jFoCi1S4O9L++4w+1zWBhxfLHt/dVn3YXROdVPst
1yZynUNVHcDw7tqxKJdWKql1C3xnYVn6uJosyq7aMtwEySg2QVhTCkixZMZLdkpKmaIIYITERxXv
qMFe5CDJlzJX3Mj89KAcBrGm4B2FYf6usrgpq9y5oUKEWZ+QvpHkdwOnHhf68rqJvQnr7vTVS2II
yWDKLWCHZNF61ks3Q13A8lCordm3esUVTMX5g2d8mAWCGbvVe2GF7y1HJCzDdcOLow6DR0VRQVLZ
lIykMbAHipNOgQEyz6ZW1uyDYzdgSGOtuU5Fsva6GIoSlc+S/xiK/D4RWMl5a6f5wVXFlx/xb0pz
CeKqM6mKzRB7915pI1HRVBFPzqNXKDpEg4CS96rhENYwpRnW0rIhBNGme1R2vG/VXT+mHo3zPjyO
OadtILQ4zoZSY9TYsmPpbiSg0oYEWjLOmswgTYCttI6qZ5Ydq8GiEUAvrF1saLT40qvYehonlVpf
VoOkvHbyEAkfgzRwgK445trurJNv1/o6Hxnk+7g7Ep5Q+Jrie1fk8VKVR3hc8b2Qs6rHzqH12Ek6
eUY2yPl0at/d6k33Zvro4/xkaao4txT6B0hYhL3K8vDWYgJKoJ7kcoDonESkVppz3xgkMqzgm+f2
s/CgSwpkkv5UIljd19K576e4fCuNnOGyR3xs64FRrGNNynperaOMeFiIz3BhyLSDhzZ0SMozJTCq
2D/k/UmHJwNyYpBbPS3RBzkJtrFRHW2z7XHM4eDoxmzFL7nZpCWCPPPvhQsXRDBWv9xt4KyI0ASf
BbaL91B/tcchPXOF4Tuu+s7L7rm8cbi0DdzZ/Uk4ZJP9wHolKFC8WU+QEKYb18yP5JXBoFqhPFhG
vBzSvt4Nk1EeyeISckf/Yxhm60DojvIYy4HrUsUnEMoUxEWc7/9nyPsHh7yZgf1HQ97ie/y7VSMr
xfkhv1YteAaZKsrdCEHT7+bhS/rrqlE69twZzsIRTP5sdPrFzeT+CVK0EAJ/72ySM/EY/eJmcvgn
ZjI8Uo6OFfifqw6nkOV3Ix44VeEaTIqWjoPjR6vDzwa4cXI7A6tbir+jv4mi+JPxglnGlwe359MK
5O1ah4ZYjLR/wUvV2CH1B4NdAzC8z6Kx33WdWgL7ewLlcBPD/CRbXl07jxOMm4RnynnPc3S96Wx8
HYF2kCWTRxqzd1N2tLJJpO9UeKfHHscgfdjghAE6CoaQULeY1jTkYAIWqb1ic0XfdMoV33iWPtG1
kPToKqRTO9tOYd0ceZ4EMoX8SBPw/h5mfiLhBPQdlHOXGWKtp+MCMAIlzHXU467Ekl75PCHg+7uw
gMpnYcPtRfkeV2n0bInvZQBUVvU6qAPuBTFrA+IHBfzNBOK7hWTgW1RGpnRfUdS5D+JMYH+hMAxD
LA79zVBEahul2U0W0m/HsO6gmoQsJz3mHiuhejaNvDfOv9ySBwIg4KJLgasAYOwFhPyFaIO2AM9H
gcPMGbJNtTbVqpKpPOZlw9ruH2aj9jbisUnEAiHz77FRJaVx6DP/YjZqZE2Q0n1jJyLWeY0393z/
92Wjoh9r217pl/8KNqoxs1HN/5/YqIU3jYfoETITVjrLfu0kwMyc3XwXkdv7AzZqgsuyDF8bPJft
DJnNqKg0jHxHGdthElRP22X7pYuAxBOMlxCpN8PJ2eLobAhOLLtZtdNn/Q5zwss4K3r6rO31iHwJ
Yl8xq37FrP8FQTCgz7J2nrXBEJGwmdVCMeuGPgJiMyuJFpKiPWuL06wylrPemCA8jrMC6SNFFkiS
djbLjQwkMcpmixf5pvL4izzUJsKI1BQnEpf/Ukd6wYxYXIMmIGYOO35RCbta6sM9dW31pkMq7ZFM
9Qx4qjt+kZg3ZkXVS/EhTb6DA4MmQVLwjKoG1TMiKB84/68yXz1GxhhtlepwSljhua5pbtJp4aQ7
EIiuZ/lLOXBKpY0YEKjfHqrMueizElywEaiKHs41jpZ+eCD0/a2btWPSPit9VpOTtNXYA+ZfZmyw
A0dxzvMIHJGvVqMvvYU9Oj7BOPOuRKhuEaz1Wbm2e4OMMVp2fMkZIs1Z4ZZI3d6sefez+q0z3xH6
pjR3VsYlEnk4a+XhrJpHHfp5O1n4IgSA/Vlb72aVPTDR2/s2f4Dlywp51uK1H6p8ij7f6/gM3Vmz
58y6YsXtUy9zzYtdNWv70yzyz2L/rPoL5H8g6fNCMFoIjAECgwDy9yetyx/9IzbFaCouDVYCDUsB
DYtL/7OffQY2hgN3dh5EWBC62YtAFqXbNn29ZnvZnMM22FN+rK3wQlO7YdHrSX47ba3v6exywDfC
KIvxgSo2NIHZC4Eh6FpijnCyLQvzb93smWgIPC9DnCFMkPcw8fEMaPaE4n4Us+OiEAmr0eiLxvp9
ULrnsgKsY6S9ZOlonuTs2yBLEqyho/OafWjZZ9r2p6woThO9YDb8f5QBOgBHUa96jexT6sbl3lGc
tScjRter62PSqmSZTH19MAY6MUhIlnXd75XFRJBOmYeyXsFwpVekdyXBLPE49ZRCe753Dhgf6Bgd
b/oWqgANeh9FaqtlAYxs49e32lhd7AJvpZxXMR2CHTHGt2SYvVkE5kCekcwepb83TTjpXWpj7oyR
11w6ozlDjsa2ld7V6MpzNbJaQml4zcNMbjnq+qG5MltvQ43D3H2gXWPduuglhsDaDG+8gtGoKqN9
1sa3Q5jxKw7B/LUtFCEDESCLj5vKoKi+NSe2ttP0Vk7lczBY6CU2IwD1J+mazvNY14Y1HBpKjSpe
wC9Z8KakM0ZbaLWDybpKn0ofQC6Bz6PbTzn8iO4ld1uKb9vSX5P/jUM8jSMdQ8eoa1g/kKtnSzGl
a5FW9CxE1p6DcE8dpEFVdZyszICpqcurGDzeuEn1WDuoLMIYUbRbDtpbSOdiOyAy+ivAhWIVNRrM
VrIXeUENJD2kp7yc3pu0p70vdADx1N7WKM2PjI00KeyWsUek5UWmE2UWfMwyN+HT0FM+CPinCwFT
4DRZZUBszmbxZsZTfGB1ARAkuhb+GOBOSl/LbHxS7sheKVRYXh1VHtC8y0NcU2JAQwwff8+8TVVw
cEqefdYHAn/KwMF6Cre9jVdQKPXk60Q2RDTeYxLLiL6zNiipqiOYqm7g/V6kk7F4aGS/Drk4t5H4
SAyI9IVPIjxseohMRb8El2uQLoNB4KnceImC75mXwjrSYv3MjmxdwCggzj2ow9TuUjXSVMvKbRUO
wQrXSn3pR23kk8NOED7DQsbyrWlhJxBzqZHVwfqVSGhloZf7ofRPI/HsvaHURNrUZvnf6hcEqg0S
3wFrzs00aA+y/JAOREeveZFadlKT9t1uNRxTastQvuBMOrMIi2usADyl3sPU+MRqi1VEhC6AYcR8
/sNdZav8DazkvuB33pv6Ts1sEfJ0+JovNfurUqRvRd/TSANrEfcO52Al7Zs8MgkiD09Z9m/sncly
5Ea6pd+l95ABDsABLHoTiDkYZHBIThsYkwPmecYL9YP0i/XnWZKqpL63Suq+ZtVtpoW0yEwyIyMI
93845zvTOUSfmuv5RYr0qhPO8d7KzVsv5RxyiOosgk3u2tcd80OcPNpxMor7LIK0YKdX2WRvAwsH
45y4fhcfoyHd5DZ2t9k92hLIfGGspCzJ19SQGtyY4SHrPYAL3Xqeig1eVFCo2nZI5Vbgbib01to1
VfMslvJemapzubOa8j7X0g8kfqiI8pPp8TmV7Oma+GNJxUOWD+c5QTkxqys0gCpRWHsaoatew2fa
IbQP2k1Rlpeg7c+D0VxLmFYTIFVyzPZjQ00vBdAwEoSqdt31AKxGPL2xuR6G/WwxGOuZR5e7kfjQ
kTg62NbrumGyNY6gXMNrCHAPWJCvcda9ml23HrTh3P389rJOJYvl1CXNMzqTbc5JUZveQ2EFRzUk
+vFfOKynnoEOvz/2BULG/NXS0IYSykDnsEtk96jrxmYpsoL42WHbjIzLEh4zegDE9qW3NUtY7Z7p
NhuTraR51bvFAyid9TKE917qXGlt8q6nlAcEEZBTTFop6D0GGcMHOo8O4kOVJ9+6hASjmuRU3+LJ
pMu4M5P3ImkZ1Y7vScYxJR3HWVlDopD+pGBZHfvVbqhuvAvBDw2kHjJ/hzl/b6eOhOGb5FJ6zga6
zvTMitdIbLlqnADh7lgRndPucGaIzSi6GsD6rjdC8eRyzOteY99PbnHLeQ88U0zfcgLPNik8TZSw
66gRDHsj9733am3HUXrN0NlayUX/PMd9/NFCRfAbPOVZgNx/rvFQo6IzieYuKcxwYDMZPZvjlx1G
X/1QfeZ94zdDxMOWoQZNtXtsaTOtHRM0Wxf7CqVAhyO7NJNs27tyZ0NVQWGi1vsDSm5B/2uMLCD7
4GUekQO7xgKnUi0YXGFc+Nv5SvJjY3PYT0V5gKdK72qMYtWBW/Dzzrm44B/YE8p7t4XXARCiAYGs
7XKUFNWkZAAivsu16t0zpqesbk5zLfr7MdLeWeFsHIwMTP21F61pH9lL9euyY3SZtlWxbudG31fO
1ahO2gKp57HVxlcCpZlRp88WbtANxBMLOQ9ujSrTbqY0W/01a/ojsyaDYY8LD+qfDpuUsK34n//j
NxOnv3/hryMn6IbK6yb/t3RP5yfWeYL9IKGfzJeE/Rt1m+fyG8yibAuZm2Dh+MtWkYUjSTto5hhj
mdgkrT+zVWQN+buREy/LcngBNko5YTH64vf/YasYmdyzFg/bCvM+lWWgndjbhz7AO7FOSnOveUax
/oEgzrHacG79v4QgtqaWSh22z+7/HEGMvGsg14F09P8rBLHTM+OShQt5/9+CIDaF8RYBhGD/ysLk
vxBBHIS0SQMmxz+DIEa7Ox48K/nXCGIwVeXaYLp2/C9HEJs4yVGEE2DPkPjfhCCec3ldYwT8DYI4
Gu3q5E6Ysv4FghiWonHqbbwg/xJBzArp1FbTf4wgtiQEHmR1/zYEcWsv0s+M+P9TBHGQ7Li1/0ME
sUX1utG0P4MgDsv05ACX+XciiAmkGdhZ239HEJdDSaYTPsk/hCDWX5hi/zkE8aJPQLXD+g8hiPFq
bzMrh0UUV+V1XxTnySYjIrOrT4HQK5v05FBrw4duT2cbnw9xbTfuGBxaiy3AlF/SrKbXT4OLUWHu
gTMGGLgw+22Q6rjYLgFw/lWa2WeDTJpswKlWRx9A7ct1WMqLU5Qb/rbL3OaGP4QYA+eUYDEZO6TI
RdFtP4TfJ9lv6MA3zIPSdYwPfWWFleZr0q42iVb5o+H1FxscyV40RH71IaIExiq48eaMNMIRPLtd
++w2ldHEjbYCJC1hKrC9FzS5VbjsMmTAPq8AaTPzNmM2v8N7eu5jd+c6Ax4bBBF1ZDwkcXXNnKA9
elSrXopO+4qddY9PQhtWEVoQz+DLs3ZOd0kWXjmN3R5NYd9NNEwLV/pISQ4YCC0oLXRcKgVuCzAv
1r/KHpA3ac/2Qdb2Qz9eSABo1mAB0TV4zV1Cpq6RJe+9xRhvgWaJ8bIloJQFcxBopEKEIUJsbzt2
442JPL1OCLTLw+Ypz4Tl0++ul6zYe0Bi8IEa1cYJs9OoO8hQ2mg5dZ4Ht8wR0JL058QBBl44s7m1
mrlic8yAKXC38UPByb6boDVPqfZoh9aBsUV7wODXr/FLO1kPjZR9Daq/hhnfkK1mcx0VI5DvwMH+
w9u46MmuEHjU2gk5j0XI80qv4m8D6QjRCMG9duQWj3ixLbUmOQZecIZFkG7iNkV8E8t6M1fhaRpv
9TSodnPQkMyIaTIgfQs6CYgllgM7gww23pyROFzNa9bJoYgJv9QIDDNkejHH7q1c+neG4g135vBt
7syJhZXGJNHLwRqm9f0SfOZOC1CZFADlpCUufj4CRN0PqNP2iaPHqyqn+UY5Mkcw0DWXX5Ejgk07
n58TWPobz8v7KyQ2fgSMTHa977E5CyeIMmOOaXKIYTfl+sbukpeqgxU10T5akgDhjp8hPuKt3gXp
btLNSxKWJ3hkLxPKMq9rN/Os68iiECsQrPWOsnWlUT4ysevF2mCD75nX8VyJ+zlhHCrr6YqYM8aj
27B0wcamIfbwdmTAMDnVGtbeJjZCHmRoTm3mHAhW/PyrqfkjTY3jCuYM/3SB/hi3n/1vRZI/f82v
Zh3QHVgyUR8ibZQ/eBy/btBNmhUd/ZqNVUYYKnX37yJJoSNcpG2xWLL/TiTJYcNK/lcB5Z9qZ3Qa
o9+JJKGVILdEu+TQ2rCQ/007g8LQ0XsTyflcpN42RS4TDhj9JkeHohsb/SpsECq2FkP1VkE1Pfaw
AGdGvOg3aOsJbXLFttf061KrrtHGP3lciC4CqBQtTF0tZAdyi9nxcIRb9d550adu9e/d0iNFG6PX
6crujxF0TxEkV3kFEUCb2Gh4DKZgE60GoNjvFpHbZosXKNZq9NpOBp3U1c5LjLWxDu0Rvu3NCI6f
E9shry6s2GI/O0pmLxt47Hk5IzCf5G1YEHCMILCLBp51N6sfwuim7gvYD1Y9b2oQ70W0MWU5bkwN
BRFUrBdwBgWww7Up6VbYfAEYrTyVpx2sCBISUN1MvJCV9oooXT9MqQenAORUaayCBlmkHBCaJ3sj
TVMkZMV1EA0SgNTUrw1dSg7OKvKX1roTA0MM5KlKf9OsEhtYRE6f6Rd6YWDJbm6X8Qm2XX+yPHPn
Gs6DKTDkaOSyrx03+mrLJ1eAripVikMpWbh5CxruiLWXxpogl5NfNtHdUJk+GT4ql41pPMJsJPee
wDWrrOWCuLpmaHcTCnl9iUjlY2ppLZZzlDEX46w+dFyQm6Amm9nGFmm3HREooDIJicq+em1x2H8j
LvOYXg0GZoM+nBnSZ85l6OFzfoU2i6Ao2Yk5rA7gRdf5mMZbvglWYSc4N4jTOKpxbDrJpbUQfaJ3
KjZur72Gk/No0ZJv5wzpKssOQoey9pInfGloAKDQx+rVHY0XjlQBxhLWlSiPhCqNHa7MNDo1Hpk1
bo7PN9KwIoD8Q3qJWOtRaoa+nfLopq+tZc/RCyjM4ec+fU+0fLwZa+tQEBvvDsBM9OJRO4T59Gxn
k/vuRTDWtDm4lm3a8q4Oh6hsL4QqBocYhwKuau+QuAj0J0GWTYjGcB8uzEKDLQoK5Fqt5xLnh6Q/
Nl2ADfU1wdQHLNMLkTrFZ5Y1Bks5mJjmqGH6kePK8pjKMYxjk1m327pOTsuYy0tp6tdpZ5KWCkMR
oj8+90ja5jZyl52IMe9bWlasvRDBWAXj7ErgyMLNPFIptcCMG6NaS4uV02j3xmo04G+YKc+IwT4y
X7A0SFxhmFNmdxMZZnuE/Y3qK2OHoWo8p1jZU3fGh/isWS0SNvfao+IxMeupqNFdCYkDFg2blDJw
HkgsjO5qkQ5XMIjeEk9/qbLWACJs8iq50wV3e4jNHbChvjZ3vbr6677t/coaCj9QhUFNhaCpUiGj
ZlhU8WD8KCPG24WqIkwoLxJVaDiq5OAhPVeqCIGMcM9zVWzDvOCnPFQeDWCvRol5Lmims0hQHvep
2FCbEFrehL04CwKNWgs0BJxiiMmnBrLtoa7SBykSYH7kOGxJMQWLEGTx2bSfgyF/rIWgLk5fYnOU
fizE+1wAlg275DltaEnBKr+O9UDqzmJttDR8CuuHwcBlhDgnp5ao803LuUfC07SKleNqzDR5RWnG
6mVeNlYKQsWZ55vJDBFCF9FT4lbfQ9iJXtjnflYFz3b6FLksarUSSFzfUdGDtgOjHWjhNbuS6eS2
SFOMBxkNHurvZd6BqQT0iUsyQ+5YUpZYXjFuWORfyXG5SdgygXnPDmVJ+qFb4EfqNXDD7Fw4raye
XQd1amkQUbo40O4FMGEHysBcOeE2WkJUWBhlsJUMWLnxe+UDXUE+svIN+qHZAbDvy8wvOpgNuZTH
LoKIXOfmuKqyxNssOtKGNgazMnbNlm11NpooDiIqW2PcwS9yuXiabx6kKpS2JedqRpnUDBtyR15H
TfvuslwClF9+Jk33wo63lglnZJcjJO49EMftViBCZoOycIyEt2HV+KnSKQOUP7ht9NkpBXNpF1/D
cEM2+RcirW+kNhHdh+RZC9A+h4igE8TQrlJFe0ofHSGUFgim0a2SkB3htZramXUcSTyyeOrDDqCA
iY6be4OpUzU/u5qHvGkcUGU7yLsArXKwL1pBs6RfVUrF3Wets9faYDsg8KazyNa1O/CHGONvO009
kzYNSb5BRMn3VUrxEcm4PpNWioJcs8m3sVOcWmzgwj1oB6H05iilZn+SnFyVvTan4VwtMt90KYjX
wbb9QOnWU6Vg71yXK3NO7NsWeXusdO6dUrwbSvue4sEl7ixrTo5SxgMLiA5m8GgpzXyKnleK2m9t
audK6eqD0oX7aVyEBMvR2uhkCTL/XtU46ej0WCUXKx2Zfota3zwaQlcaYWmiHGgvkQsNG+5RmZF6
7blztw1F9j2TluTlxtbK0apyi5qNxEKsAovyDJgN7oEC8idY8ogBX+I3POZahNNgwHJgYD2wJuGd
ZvTgnnIlZMqf8IMtXWJZ6LAumMrDkCg3A0bA9zTAsZl39FM5emxrttcpFgi6tju94NgAtVWtRGh2
vCF7XXyPlXuiUz6KSTkqtII9qqFcFil2C3RzV643PBvKh5EpR0atvBkCb8WPZUqCbWNR/o2+sRry
hyGiKm9Hmo4ICLodMeni1lHW6jYidYQf6SGM4G2J9HbWCArUMY04mEdGTCTMsECAKV9Jrxwm9fIl
ksr1S5ddus6lsVpmgN9NGiykhKplT2DdRSkL+kjv3yJsLKnys9xfN5LbRIuw7SUxPBpAYkSwhgfR
1OhIonCGTsNA/Ecuuvm5BIKN7DiUMMXJgJ2MiQMBpBg41CYBEp/BCdXcwP+rU/ljnQrthfinnYpf
xvn35je7F8ACf/uqX3sVxxRqRWKDCXD5UOkFfu1VPLoY6Un9b62Kg2vrl15F/wmkgGlRddpA9H9o
cH9R+3o/eQK7o8v3RfBq2H8KLCCF6kV+CxbAagZ00wJhSHOmXsQ/rl48SDxGrGs8ZQ5WyqLMHyeh
QYyREoNMVeIvvvXa9jPwHBbxwW0ydoe0TiiIen4YF3daaykxfXpbfwEtvWsZbyGOOfRF+t54wcl0
i7uxT0hmJnZ+bN21E9557Y0kSxghyBatA9t5UEIl3J1MvyZn+cg05UXDG9FznsWT+W0y3Te5FOtm
gBGjS+jDAWFv0xIzC8uzLeOTewl0vk1NhfmwqLUwY+Y5PHgP27FVGu2aUInbBJvQlfVq4wnyNE56
hRQGRTKRLDXgScYWuiKi+LO0jFcJvoiZiTvBbHcGTN0MjMsEMI8bzAcr1t9Q0qyczvzo0/pbQ8rI
VtDipfrwHHY2TjN6ka1FWl+HD8h2a5J5WQG73xICP6ZuU9fVt9Ar74hpWQ8ckwaVVVnihgkMwrmh
3oOlIan6YBs2nuUo8Ntg3HhW3YEC7Nmp2zQfEVnogf7euBdrLGc/ybN8mwecS1nIHK1IklvSphqv
2SPGmQ45a9pVKQNz7cDUK/OJWEWRHbuYbIugHbYorvi2OKFzbB5To0fkTKBUcgiC4WTL2pVtaAYz
0P4iHAH+LqoSOsZhm5bM9Cysx5NFhOdEyaDXmJ292fTLVChUqvTRwqfXS+KAYihnsdFD+Fjm0n+O
vbWqxVMOkH49E2PrR3p4yqzomGtPokXCYgiO1VA3YerV+tpwsZDYxRhu+6ygRCLH9aBbr7OJ0Aoe
VeyXd241B8cBBcAhi+qbysrIslvQg8Am28f0WGUGMDzgHWwNmu/GmIiBcNpNlLfcdAxr6zESsLvs
c5nO29mEt17F5JagpCQlb0skWHtklpg5JKaAG/A96x34b7kt1MxqHO1NZ/dXJTKhlROHxl7vuGZc
is46hsFAUT+dmd8NwLW1lybWiHJJ7H0uuvsgKXYUbLh8D11Bzq1ISjSMpvvaRTpd8IBAjABe+gKi
7hcNayMThwSfEYoH4yuw9Zclghm5MFvmblvHjkZuYjpvGtWCR9ENnrjqYUqoAZGL+iE1fzxkEl8e
Ms+OYAczBS7m1s+9avFbM0TUwrd3S1jFA0MANQ5wADOpAdmmXnLyaKc8pG/CfuhlxntQV9RiTBMJ
ylmhA8uIwE2ujMw9ZvnRO5Yh/Gg1ljCYT/TMKQrmFVLNLdQAo/bGp7lPBGmaPj9ip45JR8XEY2Dy
MTIBySP0WvaZp2jJlYMf4z5RPRjraKpS7lhUVpTx4wS4OgQY7YKzmBvP3WbqEuzVdWiri5EPwNvO
6rJEaZfAhucCLYrFJFzkEwkdgBDuWENdtuC9Ej8O8WxzDeeECGx6DKmzcqbGeURqp2HNvEkFcX7K
wQqo01xVKdnDDMmtdTmkJmKzaieU95XHmGhmJUWtQ8BIyiEbYZVNszk7tcYlVp6cUblzjB8+HQw7
lnLuhFkQ+Yly80zK15OJEC0loLK9xPRTK/ePpXxAaDNOTqAv19lLqXxCGoYhQzmHeixE5TyZJIhS
lrdTft+M5LfMq9gssnMp+wuQq3plKEeSp7xJmnIpkZJtHQHhoXbGwZQqLxMaHOADuJsc5XPqleNp
oS7N47jetQD8dobyRU3KIWVilUIOzFxbNv2G2N4e2gOOqkR5qyzlsiK0kXdXOa8C5cGqlRtrUr6s
FoNWrZxaqfJsdcq95VnefEc2IjY9EwhUq1qRJXSdgy57/Zan/B4YFT4PGwhY6tBu9bKHmO4K6xLq
dXbWatpasfM4oe4Amro+0dLIX6OI47WSyQbbO6ptiF7EHsfWLZZZv8lMYjy1ojolpFM9LI9FjuWB
JNALBe26rfRdHkXEZGlO5BeYhSX7F5QxM6kcy7NohoxYvG2e8kfwPxe+N+0N8izXJUmum6Aj32Qx
weCB/uI0iHW/Ff1+ccdqa8dTuyvijt2NG2HP16yNPWn1Oa3UyesE4crQOWLHvk18HI+BuRDqXKUf
YtGb+yU30C4aKieZrCtus3wNDkRETAlqABcWvfU6QG5BcJFjcoTld2xs5CqdIsYUiXvNjGRbVBAP
6T6hw6JsP6XWuF7C2N47hWKiCtR1FrQANxC0Pxl5AH3xgmk580eUXL7UiO7EvJIGH3nmbnK9h3pZ
TNphNM7uiIzVNUS6KTJ4f5PZIcclpBXn8YuH1+0q90LwfXM5HGzclMLNU57J7pZLhmegesaV82PW
dQEvVm84qVw+VLLh3L7iUm7xMgpznVrWiIcngajjmjF8OhbPZca9ETcQJWNLX0N2cc+kCbC30x8j
yWKI54+JUYEa37O4WZuGY5BeEWD/ezjMXyi8ON/H/oUAtfCEPz9iGkcAtzSzR5cYhEcl0S3iCkZi
RA1Qu3iayLhgIFSZW1rN597usfIs+lukRXdjMLy01U2K5J22FXndmOQHKfLyWhSOhjQZumPXF6dF
seKyvDvNBvHVGjraVWGzNYy5g2DzYLkNk1PSK5wQOkEmVi+wnmb0xOPRsi2xZjd3ppjUVlVAt90b
ciUjLls6oCcvfnAKdAd4gK/0JqmPOAgwdQ/yWwwjgwEJ/XkdG5VfLNvEMluc17yzNDao8OgzgeWN
iA8Joa9s+4koOGfX9bEiznBg9IsLc8NCA1hkbz0THl+v5V2nofK2dQhRZd5mJ8NjlknHw7ebW59s
qQmcm1usR7KaZIbBv56iTxtR4EaMBZibQLfuSW1+15XXyyk+yTFlnJKVJ8/r3kyrfUzOkzd9FAOy
VrR6X7p2Ljsb2z9nWbHIaBMK75oJygey5r8Aa3+Drj/M1ed//29vH4BFkW+zSnvvfrt/IVJEEAjw
n5Mttm+/51r8/CW/tkGWLmBGuBgAHFtYKpDh722QJ11FeCed0KBB4bd+MT06P/FnBQI0iz9gOzqv
4Zc2SP5E4+SCXcd28GOd82dWNo761/ymDcL0KGmDOJLwT6JBo+/7xzYI1e8yRx4LXhNGIE0XRcDE
ipOarV9JgwSvok2CddhSSTtjAFogdW4BoBFkL1UNqYFXJFxlGUFRwD5+zTTPOmj3bnkxJOVW0/bX
3hIE50KG30V5oWHUdnYJd9KUvbZLvf7QzG3jkx+WXGCDkiED/iw2WqzAhbjLhhED4CxDJsO1CmVf
abX+UEcxAX/55K7ZrVs7wmauIgvCEDCy5UrTk+c+EMm5cPtb19r2ItJP3jgSVOEEoMewJdRUrAfZ
D/e6SyrYNOk3UVfO5GBp21yvm0MntBe0xiwI5idmaWR6zJj2Q8Cru+id/IyIc3RgWzOiA9eWjdTb
d46uHTE9r2V6fQAG9+GmeDc1ytEl9V5Zoub0EwypupfZ9J7bvGF88snY5YsyCzF1WfqEn7WrKJ1f
JzP6Jkx+JStxWOQLdukinN/qkX+zbpY7R1KDT3xYPsrBnVeGArRBT2mRcWHWo3vjHmSwvHpYqtnC
xdcGQuguL4gHGl6Sxmb+kr65tbnDZUEmoM0VXuJU9csEN5Zp5sZ2GN3rxs27nR1ob2j6b+MfUxhO
ljMUJoobGoFIoxStyvTeUEOlwWt2TlrhIetcIn7rta0MmmbEJE7Ds0k4oXKWGjeZg9WgnvCFhBZk
A+xMFVpHe5SvnclukHpiJj0qyFZ2NTooHWhnSV6+npV51HPzbTvkCr+yjpS9NIzEoTX19GoU03Do
y/5YuQFRKktSbnBO1CsvvU9KsrmB3DGwyz610Iqexrh4M6S+9bhncYB1exkw1U08dlZEgwx+GEG1
ENMEUUVtzZRhtqEiiEp6gykbEIyHy3e3GElF9KL2FGiEkSMw4EVVnZRYC4ynIE3uUp1oM2XVbeqA
PB1AWZtGGXkNZemlY5m2PYhux7jlJz3cE0QfU2KY/JAzfOxwBjfKIgxwcOvgGXbwDufxENITV5dU
2Yr1PA6382B+muKtwncs8/BDKLEzfmRrUGPqqboqOlAexNBf2gHDUNDqx9wBYyUbEPR2fz0jVxZK
txwRPB2ZRN5bmdduvPTZVhrnDrFzqVTPtMUkwTtXndJDZ0oZXfZw6TF595wK7eNoR6+u0lHz3TcT
wupFKaxzpNYBkusC6bWDBLtWWuy+du9EEbBJQqXtKb12ooTbfYUDuvUuwLoywDKouwul854RfOtK
+V32IY0G6hok4T/gM+2Ei0q2JPYNgfMy1dkDHQRkBiUpr0Z+S6nMCVWC4Y7uvCqQ6XON9kEr9gnT
Y1bQ89oO3Hueep8w9YZBaU3blH9ayNrF+DWKqx6YA+ofVO+EWDBO1ZC150oT3yKObzO4jxFy+U3t
TJ+Mrq2VQEo/KE39jLg+Vir7Qunts2gLnJWEu374BnrBgc9f3BpKo4/jb6t69qeFrMqphFzQ8edi
hP2pUvijXFphVZMrM1+79jI+h1JuiuvsplPugBGbQKn8AqVyDgQXpPg3zALgh/9wFqDygV5j4cRQ
vgMDEMlSN1hv3idsCTYfZ1wwAup/OBawLkxifF1idPwfGraGNM159pTTIdUbULRR/h657pXZBDB6
BE9l/TBHZwtbmHJMWMo7UUXu1m7CaNcqX0WLwSLFaKErxwVzPLLXu03YH3SjkmvZ0SN1AcYGWlMN
8m/Nqh5Ein2KjJofLx5+d1guOWH0mehJ/hbObcTdwbYmuwYQeDU631WTCyAz5yPApRpMn73BFC9m
0rJ0wTl1wR4GhnPjlO5LZ7BvZOq1r7LuNmGk4LtN8TCN9QYP4Lhqv0c6FFzpEkppOcQQTQ9RtjwE
3vDNo/0HAjwqxo/+ihX77IxvQexc8Foxi0q0d8PqKDLru2yMHkwMYn6Zy5nHGMOrM37vS16PPQWD
78w5wcZLDMJSrIfa7MgA/uwlGLi55XUTHKXjzaq/kylXMHJYPpdOHLPiyQ2ikfU7aiuDJEaunxZF
ePZlU2X4dak91dL5wLj7Q3HkF1HbblwzgMU06Cd4HUwCIzySVuK8dyI621W3M5v5QZoEP+a27g9N
d9OOzjsozFeRBPQXwbEBEC17fm4k45yVPjnvIAde4UZ/r4MtOMVtbaU9YxLjGhfLc1kT0ycNjVNc
UYuBLIXjY+yc0mpfjMXH4JJBMBb3dcnsc3B2Q4O3N56057j0bmsnAYx9TxLZyoifi7z4Hoec6xVJ
S8RkHMYofAkbl8lV+CIbsTUAlopwfMJNdW01y2dWFtdFkB4mk/aslXdhkF1ze5N/ee6upmKY6ECb
m1am5ykzHqbCeZ9M73EMnlBZoBYxj7adr3tNMdb9IGoPNvQWndnE0Gq3VWEf6vSpHfqnfjQuhcOW
TzfjE68F/GV1F10w4pm2elaNDVTH9QwJNk2BIhfWc9AsW1nzaZnvfTwBXrYeK6tf1o2ELT0hbhsd
+HVMDgEqVhPV6XuSim3TFe1Gy7snBRHLmRVnlfhoU0kmAFOMqr0pVaPaKSq/mzDqyWPTp3m7sSX9
UtmxqkmBtqBmBooEuGFF+jqCjGlOfG2eMfRW+Kjm6MYOW5oES/8UkMX5LpxGog1XpKIyypKBvioN
BC5B8DSxJLKTuNx2Nqt3N7W+d03HwKRm0qEN+TcKIci0S3S7uPqdWTfjhkDBrwFlwDwZr1buvTNs
Ttej81IVMSvn/FpIBkZE6F4Jg9kr7ZCdVleyjR5VsBdDt2g/9CFpZOX9PBf7jN3cWifGru5ndHwo
dVlXPwshC5/NcOgXk/vRMqTDE3ctJcOCNhjg9bc3HhN3vwmY3XD2XI8AuoOOCcKwyI2U8YdWOLdF
U93TXWEBTcYHLxCf3gTio8JmPqX8PVKzT3E1caYRQOCH1fIICmfDoiODf0O07ETjF+TDw1xqjLVT
bMe6/sB08kB0thIG8X6mmt3xXh2cikfXIyYOfGHJDPdDOrwWWeqfzswhCCJqjVWebLz83unnV3MG
xa/rO+SAICFjcXBivr3HZMuFdZNkuFZpBJmlRd5zhnPz2GXm/Y/X7KQ4qyln1zkaz3NQIWzQ3OSa
Ikop3AuEUE50n8wSFus0PQxu/xoXffUU0OfbhZtsUq/Nd1KGRMWi59wm2XxMjRGxQzaf+qn/5o2N
fZzdSdskKaflX0u2P7hkY/eEfu4/by13/Vvz8fa7fvRvX/SrvYnsQu55abNNM6VussP6ubl0fsKb
RJqbB9vLIgpEx031y47N+Mlg8oWU0HB0wgBVy/dzc2kBTTR1W/2a5+i0ncafaS7Z5/2uuSTVg2cD
HLgLMhGyD8Sff2wu4zSK+0EgvZtCJvPtsxV2pJq3c8cexmNLkSPlLRCW6ZNlreDrVBcx5xuvtZzN
MjXdtiuXHApdra2rnlU93RtH62yV30vDvoE4+V7bI2A11LSaNzLWBIw6Zy0jM4MaoejIXNfNb3lt
MGkXE2PayHvJMuWoxSnk62l3FYWBD330wPw7RlbQiMPE1mlFSriEF0BEaG91uyxAUBUDFZNZmWyG
DCT00ufhOhnzbs88PGJX6HHbt8grxAzjx5HHyMNiaHU37J9Ss9rHS7OD8IxeLdTvk3Y6Rvoys1mi
73YY4bMUkTEhAgHYMTJ497FtfFnS/kxlLHd17S3cnJG9tsb4BiAP7NiSf96UZafgqfS6Y2MAMytn
dx3qkFFrfTmx9STHr0VYUuEfCgpCbp1oORZd490YmrNB20ulVSuwL1wF5nDoYILcvMyTfEqEwGcb
DG8s+IcduRaU1kEJMm1YtnOPIXpGFz1aJrb9xF3oBc1kK0rgX64s9i2D0bxrw5uK9LAsaVBUmEz3
x+4rMRAqWkK/4iLDi108GLk7HGth7maP+witCJXYIF8tMG8rE7I3Abno+qKMbeDUt+ZexWDDRGIs
YVp+z223H1iOrX68Pe2APgbw+hqKJZ1pOFdnTesoCNnmMhlF4lcgfTNMpAoj8jQnJ03HTrINC4vU
Z5j5CDidC8jQg8eBmZ9lnZIpiU+R+l+Y1/sRsNhhBsHGxo7thg5TMqgMvKoV95PZb9JekEfkwq5+
INZs3GceYffLhDCoMbWECS9+aYNB3bCAWtKp6nwvQ81DANSKn07YFMGQbGfXvmEa46m912mcu8sy
dXjNwRKyYZJbImgJx17qJyAhV1Qy+yQmzzyPod72Jh1N63GCe+idiKe5STXVWmzKtucuHyLA59aO
9lDhznHUhnp4YDswHGVkh+RhEK6DcscnDIqPSKtfSQRWsOaO1D47D/3askgGKw+zw+S9Zvuy1wKW
P7MevUeVeRckOdI9bOK+VZVvlYF0kIJ2WiNoTzYsLOVRT4vtAmRjSzg00pi5+TCjMl0bvLpVeiLv
GmydZl0vHFh+QkDtWky1OMtw8SdylVcyNQoGHCR2DXp9aap1wYvcUI9A2AoUEMrIa39k0UFVMgH3
h0VoLu3N5IYELOvxBlI5ac8zs5aeFBdEq2+5QZdihP25tnkYaMaIdaFNka3Doq9m7h0ty7GBKsx6
3XmZ/xd7Z7LcOJJ16XfpPdIww7HoDedBpCRSooYNTCEpMAOOeXijfo5+sf48sobM/K2sq/ZVZpVl
WZmKkBikw++53zlngjvr/TufOJW+m6mKTQTvK1lT3EHE/dJ3elp6bXYUffOMt2WtTTERL2FFCldt
EH4ZE1OQ6u+GNmQHrc4tjqrqvSj7eDuaOnXQJlmGuW/fB9ObV+L9roi8SQikXqV4QB1lBvULlgCc
6dqx6Jy1BpZfKT6/dSgTgdeXgPuJIvgnxfKPiuqnC4cgTkB/XiChuP8ZAwBOS/MaWGeTFRYklTKZ
+hayBWESXvvpU6i8cjPGA+5NRNraJLj7bymGgwnjAWBoukVn25DWGC8czAltk3+2AwvqVmRvdCus
c5njYyi6fhdhbcDts3L1dulP4aHw4cagcu/IGsM57fSvAMrMDAFMdDwG0YFYSPZHMEGC/2c2MFeE
mdghWE6cEZAMWC8K5cHQg+9IeTIkh5DRYKmvbOSUcWifK+XgkFg50oETGmXMuFjt9Aag/eEmHjvq
ygkvPEGeUPOpZZld5kTT25qKLxWAphXAaQB4Ckb/agOijopI1UFT085LN1X0ECtmlT4KsZ5SNjGZ
IlqdlMplG7isV7Rrr7hXRxGwILe0AgPFeoqONRQnm0VTfSeBqRaWomgBlvkup2mbRTMrlDkCLUm9
kkYzUjckIK6uiFx4qGOoJQ3V4qw4QtXAB8W76BXJa4L0portHYF8haJ9bbDfMZFnm4cB31G5Bd7l
GVbW1a4afODR9ZBiN8kKqiy0YK75W7GPp6llLlasMdBxDXzM68zHQPHIgQKTFaEcgSqHB919FhN7
wJIhbazsfaq45h7AOaDcaFFhTxpgo5Eczy70+CbPXeMmegxYbe7AyXJZIWNBzjtv1A4Yb/IlfQad
PMRA1o2irb3BeJvBrzUdDjtTRLYHms0WH+xN0doDMa2bMnduAM/vLnPTulZst/SjB7xpKzrPAUsV
/q048EwR4T6PEEMx4lqYbDU73sdfHPUPY+Y8mBVB9VSZTUvZExChaHOT2vkd8eI/q1Awd1dZum9p
l8wlHWRD2FPuSGJNrMPGAI96hxmonaAVd9X25bbLCdmfQkH/m0mcnmLhfaD4nrQUBBf0I+QTzgzt
sVME/WCY2w6RfdmDFA2lfhiUKclX3H1bvliJ9j0XFh0hscdU0DlPpW5upWm1xyJ5kZF8LBXLT3Oa
u+wZydZpj+fCYEgzB8S5QpqXBoJwaSpfQKkcAsGA+kI6z3lMFfLaxjsXDqNSQMYImdErRCNRsIZU
2EZQN3wmeNIRFaPvwgkdTCbt3UBlWG1AYU8R06GDtDeJZBnxENO0ha9AkcTY6AocKSFIYG+DbQFT
UsCWTLEwVi60SaiwE6EAlMoYVwD5ZJygKg9DTtoItIqhsBUdfqVUIIvj1/d1KJF6GxkcygeRQwnM
Cn4BmjUbW99DdUD/+DLcMF+zLZ45dGJSXxdTN8N2zeLbHF9S+BqeecdRATeZQm+k+UKs16JQSM4M
m/PfqebfnGpMQ8Ul/Oup5o4k+PivU83vX/S3qYaOYqg8MiAI+9Q96Od/th77vznggcCDjCeszlyX
gePvU41OWTI7LLZpnuEyEzHw/H1l5v/Gco1JR+hw0Dqr4v9kqvmfkQ2Gigh1GZMIpYcr/vNMo8ug
KULTVGsk90JgGu++Lv2qh+5iyehp7obg9xH5X3a2/4+OcNczPMtgHwg2qV4S/c+/I5cGocURexN/
VM6fCSBG1nLtuzNZ0PqPQSOJPCq2YRetTeF9EG1xavL5zZj634nYf/mduL9+qz9Ck55uCJJRGeWg
YwQutD9/K6nFxojHG1WhspwJG3VZ5rBNT+Nu4zahufUyVOm2bwoeL/5Nx/7IRdfZ+60/LAeSXJFU
6JgvkY+7kqYkWquXPKL6BXFY5a62L3HENFgXZUZ89vQ615y79iSoGVEDylDskmkcFmFul+usxJ/r
jH2+iEht27QtT1OK9qJV6BPXpzse3lpPki9Ghwz2cW24Z29epqh7LJzQaS1a5LA0aLEuXmU/0nsf
x2RHobfLRNuns9i4XviiuwEOrG5+qROJhlnNe1SZeaknkw2NMNZ3Y6ovouCU1Zr26OTQ9FqXFOt2
Eu0qttqEnsdxPltmWe8S4dE4Wxvdg9CXyMDOcvDIe+68dth1WdAum+zgemzR9KZrn4PIe/PTud0b
VP5mI5cJLbvw2I6Wktluk3r8kFVTfnGhTZYn2nenG7LWU20W9cp32nxHtuxNRCwafdFRxNjG1pbp
hkcRau9dVYSPyFQrvouV0+OSaXPzyvrHuk16oAy3eILj8RSlggcUWeXYevFUtwiBJb8EhT/fetc1
x27orlVVuFAkqb8KKHJqHHdv69jPaqZQ+Bk8CL4aYrQiGbdTmnzVs88fcKfFVAqS3ZpluxJ4r/Af
O5/bCr3KfcL4F40YoevWoW1mBsviUF/OBt2/TFCyNdJDW3XXolHB016e8/1QV1wASxLbT1FOb6su
mJAmYHPg4Q+hi4CLSaIpoGV1aKJWP9uezn02fa6q+Mv26PNL8nIzsNtLG4RKl7VhKU3SuGKWp4Ns
Nmy5MCdm7vhEPU+blXeuONidfcM4o+2CH3buWmvXMa6mZrf72iJOT4QWkqwmXzwtehaNbp2wFWPz
SDc0nlA4nMIE1txTXfZcZwfxXaNl1mSqAgS5kmSOLdHxGJ7jmwvtGrb2hMUxQwdxl45gQElj6xaq
LuTMfihiPDFOYWP9MH3oEPTMRS16a2+P5Fm27cET+WU2w0+H7WaQ596hDreEtF97x+3Xjgh/aJzG
i25kQeHNF7L6m02Bp8WhErfKuZvl/tE25Q8TeAlklNojy4lfOgbbkW9hNXqZht0vGvEEaGI5Ovi/
jQRThEmYd98Q+9in2i7UTHI8J61b4mrZ47fkiR2H5yiP3hhCIUj5kxi1M9armCxGfGpqnBbyDGPz
sx4JDJugX9ITrTW3ACIGK9XRVYhMCSuj8pF72Bn6be2rpXAaji7CwWX6HfcwPoOlfbdZVK5IABtX
gwJyHIXmmFzApIJ1XIXt8AMh/RT2Jae/eUn6xwe79lNucKiUJbnmnQKAOoUC8Ul5kbPIF4bBhicJ
5LLkubQkIYrYM8Cl00wNr4MvJPBSrO8dIjBezWd60aPFrGAkAyrJVXiSiJ+42L5MvlpBzKMK3auX
pkKawqE+Yfk1V7U1HGaFPcnwjaUbzJYCokJDLSUUJKVDS9WOeJjR0Xk7cUOtIr85YvZZSnpKKq1W
sTQ6NZetKM62ke5LhWTpUVltU/3eZkbidL20ufVBRxwOHGguR2FdvgK8hEK9XAV99cQTrCOqqxQO
5sGFJQoQsxQq5uYBEfXQY6xMsYlR0ZbK/DMuCdxsFWqG7GRzrO8zBaH5vPMWBATe8O6fbLcRp8mZ
V9VMX3wYTBzbdstI7A/xNvBZkCUKdmPTwwhcOgs6Vjb0CYU097FBrxUk14fTQ6SwuUi+soiqmGn7
R0uBdS6EXapQu0JBd8x2oGD5m7CcepuRqbxMEhrrdX+gWaJ3xjUvuGuV2r5QQF8B2Ydv6WtiJUln
6qjAP5O/IUW1eBthAlkeQCgrTDCCFxQKHNQVQpi6FNB7nnYI4D4XpQINE4jDFvIwpb8aeyowYgaV
CNppLYNQp9PUnJJVnua0c4GcZvNydsp8ZSc5B0/TP+sKeLR+oY8wkLlRZ3uepGhiCRd81pjkwhFn
p9BJV0GUXjsf8W+eKTwol07Li8b7siKclvi8RDdpqa+dbZkpljBUxbda8u50uXFq7afcFv0WPblb
FdnwmlQzX+V/W3bwWovyKzRovhqJUj2aDXoWjkCaKbiMkNFhciyAK/O/lC7P69ZNCi4q7VuW8ANh
d/KQTPT7aSU1nu+ZbIBOawG1J67s7j7T6fjr7yt7/B6mgVApgaIUzfxQLqSASD7SAoB5sLFZdkjA
JVmXa5imThmN1sIdUkLEvV0xk/gJv/g0ATY23r32c3RrGmCcgPzM2d/UfYVP3CGJp9WH96z28HEY
3cvshs7CSYara6OH9jHyB5oCj3V6t6WM5RJ5ne5hK/qSU/jEYpzWjOaJagf8cT4Ni2FZgVJLJChf
LJ2wxoDQxmxudWymPf6GMZXPg5KEeTAi9eCnSgjArDTQ97bur5VgV2rdgcLwm1vmW+DXQDYDr5Wj
/SSVd09fFgUzLubupGlvclq3WNjdjtOlbHmA6GheSHGtjc/9izKXB6ovrnHHnNRrvB61MzM3F8Rx
Uoy75LgiF7GdgoWv49PSdH4WM8yZETPubclIep4HHK/51xxeFxOPBZVZMRqWoY/dPcyWQa7RRl5S
PNSzC6MARj3l8MZIQ99nCaauCYl/rjDQ1PBfer9T5eg895ju8sBfzh+RqnTDZfAByc4tIJXfpXqu
x3emalfOWo5lJ/PfmUBHqj47VCNt07HxjET5kTYp9TtS9XN/M5NPIDE6MYdp/aC50WmcJ8WwGjfX
9K+DFvOyhEBG8YjQajwGnb1KrOCqteJrlJe+iK8IcKxHO0H3DK7dNZQ26A+7tFYprlPwjKZw7xs5
B6F3K2a2bLatf4ZNdm3MZ2LGbgksP4m+D2NbOKc8PSSxs7XgbhZW8RwNHcIsBxrMh4Q56pLzrFmk
aUaUGFGV5MnE2TRjZC9F/4Az4H6wqpKfJzE3mk4fHgkcVXecgmpca3H6M8KKedekJHibSXsekrlm
w+txuwa73SSjvGWlPBleiF03KA//nWb/vWnW9HST6fNfT7MPZd1+ZN9h/f3nPd3fvvAfezo6w9RI
6xDSIQBE/9h8YdnMkrqBtY2ESf76j4nW8n9zFc3hMdbyVSzl/jnRit9I1/Bsna/ktvcfTrTwnoxt
fx7rGKVZCpoqg5Bv8S8zbUA7qBFrTQ5vx/arkTFlr6Y2Ey3KGaN1j8OoLegbVTnscisnslc9lyd1
aMoPF4Zz53TAR0AeXeXU6IXb3sNq0aX8MrkXvIa625LxV21yyfNTRjoCPvZwym3a5yZI3F1qyopf
jJQIS37L5uRG13hyfybcC0mSLSzsYd28MCoDPCTIT7Wc540dTC+tRKaazcFY2bFaxgRVtfZqblwG
xabLPm4pnxmCLwO0q2Zb8+oVGsuHkEdTPFOabj04TfHM2vFSm261DdMzgu1j3NKCZT0VpRmvAhlf
vda+G5x+I7ks7HtzbrZOmuGGrqn8HcdhhWUvvA+8EWd5Y38H5NvSsVHgkxLXTgzTTpgBMQEyiy8F
M2nmOKQDmOOxarlM+gmcF8/JZokQhW8N0xYVip1lXJDBe8zyNVaUCbqcnKzKfjLsqkBG1HLCHrLH
ZNKNfQwjpaUpaT0YC8lyLkgh3xV56a07PIVbUyNjJP4yxVztowxnzDDHGAQrCky6wF3mY6mved6U
nEQrWfWfPs6ZVdZn3rb0xx95WDT3dJ6vk6DonkBRb1WvkvN7zzq5pX/KFUQo9eCxN73hbBdxvu6S
9FtGUb/xoR+GrEZHth2VEcLzW5/GZ5GaNJlb5afVIZU2tXxOJ/sxsK5JMIfQEc3NsapkPQiP518z
nzpTW/NHjX9YK7plx319qEAJCaNeWU4BS2V3PBp83rle6S40eIsjVNXrMIxU6zb+D73qdnWST4sg
xX8zlM0nHse7jrqkBY5ubD1j761DMhaW4Br5r448WfCHMicJrkuMkSsSeJ0dGy3aJec+n06dIL2A
1Nlh57ZhyoIYl7ozGqd0DvSlVreELDOA8qKyRI0igb0RtMkiqYUwARCRnHd/XVDe18MvT2Q8NJUa
WotBv8vm+4KnMXBhYVCWyhIIM3fzGjolnXX26O91FHPippeeyVBRM5tnRWPwu6x0HhtH35l2Cfov
InXXUSFTrAdIJD5fFRvBbHyUYWkTVMI1O3EdGiNMv+ShaKY8g8VbNSQq5C2nmMpxVw7q/VKT5HfV
q7nUphW+H5J1rGmXJQgjtgOcKraxjSysjd4r/q5pWZpes2sMdJbIYjfR0A6QyOxm5SCjtR6wt+9/
dOYgFi7IGwW6qLuzpz23WBRX0TwlR8Kp+lUathu7wcw/9yRa4aTf2Q4rhTR/9+uhWmgZRHM9HTwv
u3NEyzzgFke7rU5u24x89pu3wSbNe9Y0arg/655xWzeNb9+x4yWBf91O1L2zZM9xzc2OCzt2DqTx
Pr9LzPZGKW67J8bbX3Y4gxeVKEmOK6xvbM7H1GUkbHomB5p330rdvozWxG04TpxlVdjRXciNd0hC
qGL3tU7IH8fnFq804D7DQUmwnbam+pbwORu6lQCcglZcDC7SjE5cMjGOVdZLWBNmLJSvkrXGdKsR
ivxANFCr3JrLzNnOzkRLV5zjxs3Yt+TK0WLyjc2eeSm6Zi/Bgw9WNXvHcKgx1rUHDvz4zExIZkZG
5HxWyO+qcmeu3vMZUSPcGIMLKNoMGksMxKc5TUHduwTPoO38HMb6LLiDbNkOyoOgZGShtz3lgB4T
GGEo3spgL7ozymer2NRd1u/Dmmi/OCOlyFCFZfBLK98nDKCI2gGfUHLSZJ8czEy+mzZvb4P0ZC8f
I/hz50wnEo2Qvn1opyhae4DQzKJKJ5tNmrgzR+z1ZvzgzP50Knw5lgkOzGyG+yyVun/n6uZzn5pf
fjBpy75yqx1c6Wps2dLlru4e+kJsWTsTahIaB5MykSWR1MEiVz7GmZLmfTGY35BTpO9pM3n3LUZN
AwZ/1Pp2zfFMIdtnLu33UYNTrgsPDL8CVNCrrcGLfJL1gHWCKKtEWCfP7m41HlVr8JpVPL/Sz80G
e2B6jj34FC7fOYtu+ZP9e7lqlLhEEcFjEUp2hX2an6tJ0PLdGfucP4p7soqp6YZkrMpqP9Xmc9eJ
cd+23as3ZlSbW9l8YA3EIoyQno1oSXIoiYjfUJpNayZN1AtVZrGAo4cq9VquxehFYUn7Wjb2NjYo
9mhhpm/4y7tkCq40DReUH5crolBwelrW00iXE2ZW8xEP07BNp+7S9nmKQEMcUEatCPFMxnaMWNEb
c0BVlEcMrk2hOIxGLcgb0cj/5xEdVEWwjGb/OROYOvIJ3+zAAHo3mjkdDqX3wkSPWaAi3Aohge3P
LgrJyxICRdEhVI9hIKAR3Cfu32FFOEzTvi/HZzNCY9QHl2wkOLZlejYTTPHCShGqydQkmc+9MGyu
+wL396zMur7zwza6R54V9M8UOkN8RxU2FX2jGoyHxHOOHX7KmSFpjoCBsr5VyA2xm1PnvvsJSo2V
9su8dr7y5otUnmCX1uhARB1VvGA8QHPP+fZNrNqG8x6naUIQ3xdeEw5trbuOIpsfc4Rv10Co5Ecp
6bFhTx8Oy6aioItYHItjBX1BHIrY+WxRNhd2xTerV/FTOmFnt7qaigeiDZFIsd7WWbBxDWoWgjx7
8F3voSqTL4jOGChT3HrE/A2OduoRIu0Ypam+rF19PVWDuWLPskzM4tMwQ/psmmcztg+6TlmNH47T
yqaFem3K7tFWySV8VOONF/PSB4XQd8YcbkO8pifpsjXkcvjTbiX+1W5GpW8vZnyf1817GtMSSozV
SFEfiTDC8H9QCtYjkKf1Nq+rn4lELObkeW1HzEUxTlxiPTmLGv7EE5339WitHX16DEYOJy808mUA
CIS/OfuwiuiYGCxkyWfaeVwTl2kJylX6gYGUR0lS5Ld7O5eCdEQfIgF/pIMMt6om/WBX/rRmr9ls
ZRgoWks+5cFHb01Hv55P9NP6JAOwWnBL1RZG+7TZADX5IkrZZWhfvtFd/zto/ZuDlstu6/83aP2l
QNr8/Wv+YbQTBACwkGO+shymoj/OWB5eOQhJzmFPBRQy/vx9a2j8ZqP3qVwREhx+AY9/3xrCQvoY
81ziRvhychX/swJpobZ0f5yx+IV0Nc9x1+A/RJj8eXXW1PQukypAu3NopYsZmwj5I3d+2/9wqY21
qI/NfSdDrjDg34PdWDkXr6N+x6Nytte7U6c6aGvKaCu7vUSU0xah/tiDh9I4gcOpm6Ac6Zt5QJ+O
jhMSKvG09o6KwpeGSo1I1d9Sg4tockJ8/hmrflxJQQ0RpcOPWIc6o75rFxeg6WJYFW7/5gz1d4Oi
uACh+jRKVMKRmWRGD237iq4G7OktiVncc8QGnorTn7JjuIhDChCkQrZAnOnJsTOkQumvY9NV18WO
0qlGUGCDzERuLikW9HQQ35WpIK9MRXrRWjOtzZLDUdj0tWYEpkKaRRst5V5dUAFb9llOmCDNg3MR
b3DcMNa0FjOWTl9pyzqyUAFj8JF7zWrqdepq1qYqt7nh82ifLeIciNSy2T/aoc/uyvQkj5QUc0r5
k5Au/S4BmndN1XhsMUFa8h6YUjx1BpkL8xyvo7mrVzxCS4xGWsrwkI7rmPME79lEoqoFMxal0W6Q
Pn0cGIc2KF5bmUhrV4bMS7kBD1mkxFNFCKhurTMxRPIYBwS9oi15hDDhniBtLvKS+qmnQxlL9DYj
sC9325/lQFpUTZH6UY8uKYIzSQnbwbfJUrHcZ92k1R6AqCE5d9xPaNMkxLBPcES35pq1KmSLeW/w
u1Ohkw/HSFPGRKnoIYdln4Ybq51v4wRDCg03LRnqUK90rrAOvh4YuqfBF8bCqiL7nNjtuWsJTGZZ
RP7c0L9ozpBtQ7MYdiaK5RHkj9oS0rJugTvfW6rDhij1aO9VsO1hO37UA6NuWRInbcbFno0K2Ffm
nSefGuOWkvWxgzmduYKXdp1QPj09Gl76wy6mQ+LLc8QbZFFUIExs41mWBPLJsZuayOVyO7nVjRtt
s7e4S7LPfofU84DL6g1D66WRLm4hPOD7UqgGs9DewP6sci69pH1gFM5LVNXQl3Jtql7krta7nW9Y
t5knoco5IM9MD0twGzO/h1rEnx2oZS/JPbooyLU03Yc+0PjCokClt1jIMZkl63rGmhFpvX/w48dS
E/zWDC1LYc2v9LkkV+AFuR0az2a+IkxlypMv8kAJtsG0V9fzjnKIdNdoxUMr+IUMMvaI3C5usy2d
MzlhAxHHvXZIRBKuWtfydrZF1ImTpcnRqerxCZ3QW5IUsCka+8Mfx32QZnciLJ4I+LjSD4aTqQ4m
2uSSm/onvaDHl/81brMmXkZN29pNdAXfPWaDvSMV5ayT482/kBnNzrW757mYafd0D6p8J/eKY+rX
lOocmIr3scP/JVFiB/pmfP1u4r+Glt0lWXPouSyGmjhM3kzQGvpI6RySQj75efaOOrAl+eccJoTC
JJJPYnhIy4r6r+zmucVjO8d7rr5Y/OVWK7gFejOh0+naCcUhKq1bo1nHuEpfqSg+2rtaTpu0N65l
iRCVWcc2iq9ulZ9ajYgc9uq217IWFk9sifeG6F5sP7mnu5XT8maL6k7v87NeWvehpz1m5nxqebHm
zNhCZNPPvsDdRzBov7Hq58Rlv1okt9Rk8RroW8978RiNB4cdpkRnYpvwTUzUFQeLnddPMeFSre/d
OnqF8ni69F2ziwbjQNx1m35amvnpD82SAlq4Ls/f1674DGPv1ZXzs99UkILTuo85q9JtGleP6vvo
7InPRoIOneC50u12U3h9T4pQsyME4VTGOBitiyiKO08bVsE8PFs8BzJDnrWwe+uZDJ05vzMQvIi+
5M7XOztduHhVq0cycO/YkALKkp6edI9d0e2YHTcyGp95VOytyKImEmMxKQ8oUo8CqrdvSxL3wstg
I6Tpqz50T0ETPOETxNM5t08efZGFw0BnYiJLIutsJBnzW5AubMe5BqK496rq1dUIs2Bs6aV44Bb3
TnJkQwqLXx6bOv0og/lqqa5yYf0AwHgyVIc5UXWP7uDNp7zkATnW4hULD88oT6PXzpqLbUIdeq16
0XEjMExQlR6oznTNXhnGLB+TxD/XqlW9oV69VT3rdBQRaaxlB1N1sNdzFCwJ0VhI1c/uOsR/NzXO
5qxBq9d6OAYtrJcaOh1dW0m0mZwWNYPW91T1v9uqCX6UqVxmerzrVEv8f2+T/+ZtEhWb69e/lu2v
H0X7Uf/f/5P/RbX//ev+eaOEGqM8iMRZS8XD/c1a4/9GzLbjE+lgcKHUuU/+4zqJZM/10/Z9i0If
FpAKDmuAmKL//b8sJHvLMHzPcsC58N/8R81B1A395TrJZsKyeGz6jKougRB8E3+01tCVbHudV0qY
JvXuIbF6aALyFnvrBX1owdloLWK3GvjoaimSrkmeU+tMWxSKt94d3mDnc0nfmkyz8cEBjXcVn2p3
wZ7hnkuIA4XRRGTmO5mx9sp424wYKtzSse+ENDIuQCzJ8VGSKxVD7Sb9vB87Wi5NIz0VUVHAbzjo
dgm4v2+/d3SxHXrOMcedvuvJvJMJ5Z6BI2IA4Bgq27tMaXGdiLRcTZH9IgcepzOL74Uc41vfU7DA
vowOUoLmljmbVFTEHndAM4MJZ885LtFlUtrlasZHFCg22gvybamggaVpOphry/leDoBNaQbWOjnd
0pvM/MG2ugsGb+1qOFAdXnKOwnJflFFxEyb2eWMiEshk6E/D9LMyugtiLo16GWeux11+1SMUrqC2
ncN7wIUuzpvm0MUzKXG6tc8LHOp+cWl9jJ9k0mHi0XjWtEEQnoKI/M0eRiZprfyQhdaef7nftaEf
wM1CQ+TBsNOSPt70kHM5ivwGqiY8zL175noWMz0HHutwS4/u6wJnqBeX1rbw9HuS/XJwJcZffORY
cLGasNlpmL8D/a70+oMe1umpEunPqaD8wtJ3oHcDveUg5rVxspu9O8bwSW737rhWQI4gdAO1BHgf
jXHnwhts7U7b2ck93NokJki/ejYPNMLJpZBgVljniXHoXqlNVL5N1vVNDvNeV8YHAYVL3JruWy7M
C+8oLiZ3LFMubs5BW4REP7k48Vu1Mc7JKV/klf5zKOMS+1QFb9mjRTVs0lZ4t6Hoovi+bNAk2Esc
fS1giDFuZjlfEeQ/mghyw4yOQyM42MciWyWVSWxxZR/4VMtLjacOi+l88GRHelDCP+rrq85Pt69Y
t670EaBYzObSlbzNy34mKNCPvgJZPpiiP9Ve6WHSnIj1g8RItfkDdVaAWxFLrE/cWYUSLzslY6Y1
b3wlbPL+PQsldQJwOCsazWEB6nfPzpNDgaOeS8Sw4c2uwlOLdmUq+TRBR42UoNooadUusFk9m0pw
JY7FW6nMVXzb9KxTg4z7rTeRaM2s3vaotpxcPwebH6JXZlcHvxXikqkB6CP3hikF9a1jcNnGWkaq
9TfZ0rh3e3C9PEyT82AeQjI4aJwU3tE3pvQwi3aP6edSJaQdSSU8o3Et9Lqb9hyI9LP27lbTqUYO
lGDNabPUBO5Z3hHuIkxIeIjQt0sldPdK8haqzwX4MPTQhkmAQBY3ucuPvPhQ9bx3a9zTPRHOC6d8
C6uEmCPcvJUexXeTktwnJb7blntJveZNzORrMQaQrNk4xzx0v6eZY6JVIn6m5Pwa5X9fYE8PNJuL
jRL9CyX/J+wBfLUQIMqz2wVqSWCwLWjU2qCdPwu1RhjZJzC1v7nUsayB109NK4+uWj2QVHxnql2E
lpwRsJTU+D7MJL8DreyKFisNKYD+qsm6DWZjem0nLzlKJnaVHHqr1ALEUauQVi1FTLYjFRcnU61L
YvYmhlqgjGqVUrNTKdRyJfy1Zvm1cGHzMrOBcdjERJVPnDUdOpbsDgXvaQp0R1rRu+WkORej8OjG
kSFZPWMXLetmuNigVaxeeEjEpRgXpp2shoIDHgFsp6v9Hink4caWI6TkGO5oODZWo+QaNNgRZ+hU
P+bjgbqCZaecf/1Upijn8XubxtzpElJNRj4IfFz5dG8KJD/+zRqX2qrrTqSAkO49NV8xZQIhh4Xg
+Us7ZbHRLGrgWnGeanFwx/ZZk/bGpEDiLpgPZWcld5LFzNrFR7GJOZ27SNubmn6iyOdTxD70lG1/
J3p3MXAqhmXrLfLm5pErbIUcpjqxp5VJ4mD1GTl9ta6GOl43dnV2CdKCYeKNDEi9MFmjbXUt2eno
7Csm83vP5BSyOR54qSoSVzySmgsWeA221q2pswkRSNuboGmubhp96UT6LJAnY0I85j14sXUI4nFX
+SwX8tHN7uBanyKfAlRxyzN+FMRwaU+Ek7eEnRM66z3oDkpPNoS7BhuOUd34PXVuiSYH8dRheZ3X
jj17S/xEBFvYFCT5E7iQ72UkOeti0dkWF9QkS9n/ZdvRqe9TQQEH83RKojLuqgqvBe4IfZ3m5pMf
z9RWdm9kzWUbtcwcLFR+juxo5UfVXi+ax6KEiaw0/5fjZWkObyww9wFp5Qeb0Vsxpi5xRkhEbobe
D4GaKxaVPdYDSM1Zt3SGJyjBEmy1ABXVGjhWB6B1AGxF8VnRURyvwTavmWJf+7B98I1DJf3iXNuU
/8qWjD1Rgcix5N4k9UbIyjph/3vS5+KlsfnU9U1tbQMbBAnt7+ooElf7MSgu1wHQ9cTBULwuOytF
746/Vi2K6G0Df61Iw0OMp3VJyCj3p+EHOXXlxs6zTwkY3GTx8yCmh2CazoLQvFzP2P6BfY0NvAKL
EpIOs+DnzEqXa5KAOnYxn7CneJewe4RQ8kztIJUJ404PEVmmvWf81C3CayqeKEtSkHZkFdL4pJBn
F9W9Mwpcwt6jbUAq+emuqI6VQqUrBU0Tn/AVKIxaKKBakBOwaBRkjfmRxYEEsoe/JivBX0mFZLew
2fMvSBtau1HYdukYPyarkMuO6SNUaDfx9MOJnhmYLX8jGTVvwBnX1oypTYCWCiDEJaR4pJBxXcHj
QAuQzQoo9xRaXirG3AE2t4aYKFSDIJ7YHG/rzsTl6hrZl26UYOoKWC8Vuh7ml3wEZR+ZT2VQtXsf
yn1WuDt5tqpDZN8qEL5XSPyo4Pg4xJWKc9CqweZTBdDXUVST5oLYQF1YsuoUaB/2CrnPeBBG5qw9
+vMpG/4fe2eyXLeRpeFXcdQeagCJMaKrFnceSF5SEimKGwRpUZhnIDE8Wm/7xfpLUbJlSnbY1qIY
HXW9cpAiefMmMs/5zz/MVMJFc5Z2HfOtyZ8YkY6wNyLmMvH4ro3N6eAMwU3bupz0hGuMuH6WSgIA
x3Ezl7l3GzofM42A3wzrodAKrP1EypPSEdhKUSCVtmD+pDIQvEdNMWoh6d40IQqjghnxWVJnRLiH
g3nRG9YAztN1e8fBTgHio1CUDSHbHvd5853K/kIZwDtvQiRXMZ/sUIp1r5HwGzkDZbZzHbRIfEMm
LKxSKHc5diwLE5r0vu0ukxa/1MrV3kfFQyo9QBEdLqFREGsTZt1tP7Vcj/YEt6Bi/DT7/QADQM1R
PmbSfpx1+JyV8oGQ3W1OqNwJv4ecTfK+riOBJ8Sor3v9oc+r7Wz53dJwlcd/i5tEWYSnbtQufZWF
g03WbdtO5OmaVCDo6ndDacCtByWdOCfHFirJ2LGnA+KnUxMSjlv37xKcKDezHtyCXWD1OvnXZgvp
JS5IuCD8otwihT6b3GLjld2xRTgNv485UgslwE09gajL3JJ7hnR6wHoZgMVFrLERtjyas4OJcVGd
lcLv91M3ru1aXjAIPuQmfLv2xIdsHKfRPelFcx2lRrhTHPMORTKO0cVuNq9qfbwPtfoCsLA+08ip
tlrMWaA6u0oKADRKGE+AVuadQJ6M18EJzx9K6mEC0ChvUVsfsrTwNnqXEsVW4O9l5YTCxyUnCmcS
AdRA5XGernAIOqvhT+f2Fue0k2yjZmN11E3NTKqDSmXHB+s/vht/0tLRZJ4Dk+4PwIHH7n//5+E+
e4YNPP2zXzVqJl031o62rUOq9RFC/QIPALKTtsWox9aVh/2v0yYwAM8C4dQtE+jAtF2a+i/wgKsY
fcoq33A9JVL7S/AA3vvfwAPKPx8+H3+HazruM+cNb/DLxEjgpJSp1W8JxcFNKNYfwlGcgzHjHuvi
wZanxmkYo+GibhBKofVkh8r8oBf6G8LezYVnjzdIUczlNEfbshj9FUbkSAKgX9M1RIdKc648rsFN
rEzizKKoDoxiqwOSa8JlpEWgzqDftHX5viAZ8NjEl5jbQNFN5uQgyrvMD2rILz7X6Ej7IQL6hsFf
Zh4kXyXR1rN5NzDSIi6F56bgVENq4TwY3uRvuaMBKcrpdVnN91iKn83YGC74LT0saW2ZRj5IY4DD
wN4YO31bWt42xANryDFMi/RWO4zavJFFneztkOgKN8WOoCGOnI96OE+H2N4bWX2ZoujC34rLnFij
kLpRN49pxLs3o12eJsEajX1Ed9bf0pbigTDpx5ohNTV5dhO2LvbXXgIWUZLOGOJO7MVH25MSVU82
KSXFVPbZuvdxhxyokhd+0LxjwnRHWYMtk8CJnhsTXhSqdoHQDuK9v8TpAN5Kl12RHIQEu8ogKicX
RgVPRczuiUz7K2FCCEcuvvEjayUTLJxzY6s38/uKsKsFfc95a/iX7WxjAqkHTMsSrJvzBmqmbVEi
zkawjwApFvg8OFCLQSOiAD5278HaMggYQZtA89GeenFlJdhWlDoamC5vH0KZZwtIYhcatoW70dLO
tXjKdgxDr8tZnGm2hhqaCT2KG58yiUoULsawt1P/whrL62wemkMGn3pZNs1Rp2eip9Xxo/aSak/2
Jb3pRO6OV9j1EfDmpk7BlBNGFojec79P741cc4isgeBSKir5oGH2ELnzz9M4JttpxGV46jFyaAFP
/Ci+SprhcbYPZCFyDmfg2kkmj70WFaeeYCT0ww9Vf+uTC7mr/CQ7TFq3sSdza+Tp1sdcYQdeXK8C
713vAuqUWrpMrJF2rGyMtWEhzQ8STLlKBwlk2E4bL4+x4cY2AvqBfep8I1rVRiSXzLHgfOlzcxn6
M7d23d42GKFeM6h8U0wj+pdKUQSpjWtB2YXWOxy6cs/gKVzmVlVDlfDJmfSSm5j+HSxZbM3xqm2Q
zPddYOwA31nlZN+NfNTkeMVg2+O+GedxlVaET1CpntU+gFrSiLUMKP2s4THuLW9Xt0azaY3k2CBX
tzElxv8+3pte6FxOFQbNem6vqtK7y/U52LZZ5h9TJnqdJbAaz8XJmx196wn0Sf37Mgf8cmS4DSJH
f9tm/gfRdxMiMah07tCdh7n0VhHvZlV5VBBdjfebLue1Jjobo+suPM0NVt55N+3DdLxMq/7kGKJ+
09hIbFo/u4uqtzpqiEsZYv4P2eossBmnYkMKmTYfjwlQAi3/RzyFliTnXDhFHR9TYWVr7LD3sakv
u9q/FmJ0915Dsk4sxQ5so15gzPHR4W86ogRbTGMQ4MbRv/YUdDiDIeqG8rpXsGKmAEayFh8CXJ9d
9FYZglwNIFLHDVEBk0E/mEjli2sf/UlsIWvscTshxQi0yCgNZ5E4TXvwixBPtBhliGaO0M+Md7OC
ROswexOBkUqwUk2BprWCT1twVLgDjwO4Kg+WICrQustAXBnzMS/0Of1dB7DPd6TykN3nUWy89x3G
OrVbYVej9IRkzVlneuV0iuK5jeip19UT7MtkWQHBNohwLOnAHDDiWoHFDJHpC4ADQJH9UBBFjInF
KKSxgaGBo3ucIGj9BD8TYBsmxjupgGmyi9RAh8woVczAF1iTl45ZBnXOoAoeh8on8sdLWVOIQbZd
6cn4sx/bB1vwScKrD+E5DO+w2hCbWeNn9Wa/Jb2ELs6W771C3NoQdCqzX3pJKteZVV4lxszo1IxC
RuIbDHm9JTrNdtWlAHGBcXLnVlXTlVwJRD4W+kkCluSmMwaxw5kKJzWIyMKuaNd06yNY+vvAgUI5
mzbyScw9x9DT1mHaWMQWuIQNzi0fMlktqaezjyfzxIzSBxuAxmUlxQN/G54Ubn0WpvDJAqd9LUlR
mYlAWbhZ+ZAXuHYWSIlBqc+K2fdXSJKSRZ9bKlMQzq/L2FrC627bfIBJ2uSbyLca1ecvPKPUl7oH
29HDvgGJCfZ5TrQjQDS97kfvYZ5hCA/hEsNTsZ91iNY9YGja3HlesdWjsQUA60mnRI9ohzF+Ujlc
uG5uACCRWzc5sb2THwRLK4UVwJCjWggvqohBUdpFbBGju0nvxbokzWqRdpTH2OiDbMbKgQenO+aH
9ajTAlW9zmgfTiJ6gxZ61tStPfgAhwD2b2+HNSLsMNqFgQi3Zhddpxp+MKzPtVF68gIvFRnJdNv5
mE5VAwlgBXfNMvBiB6915xyr0WpZaYmykFeMEDlqUEvLZh8Q3gGrjxM9j46jazt42BMojJyZDx2u
LUB/s1NGe0jbMduYy55WIkFIQ/JD0wlvga0oLqatOz0UZzpmR+skek0IAxLVgLcXm51YZln4uiF4
Y9PjAoylZL9yNdrToaW17euUC4HsDB2LJMyr4go+Be1uI5O7eXDT9dToM1SJ5qGek/d1alyKXqNr
BRrjsML3F7svKMlee9lYrUHSh4uFFGSUuS4hz7rhg913mAxXfbopML8OCW3EGm6bRKMF3Gs81jgS
ZJ3TbuuunWlPwA5tkxsxFjYGgRQOJpET88j4oXUQEWApu5ywj1q4EwoFZCk7ByeeVTTgfCglYt5O
YxNkGdRyq/s5N9J7MaJySlPMrorA+djGo7fM5xERE3DpQlpJi5/ZhFkyhA494+OZcrF0CWxZFoEm
D0NBCopowlu782+thCQep0Bx08dcrkF8Rl+7FH7hbixpGuQ67FtpxBuPh2GWOIMlrYEdj32fTC2o
8EQ4tqvsTSu63NXYJDh6l/ukkjsgrnwNzQI9+2i9yaMAXFXNE9KMVAekd3jeUnAOJqSCbtNr2Gun
CfgVHNh1HPNTw0k/D6XhLQJXxjya5XqSkDB7tWL4a8kFyMdOMk9ftGPicZCEBKrMLvRixjbs8qSk
1ccP0sXHaMAoeC3R1SFihf5g9PaDSQGwQkWxGJ0eFIQyc6o6k22DddmQV+EawxUsfBWL2QC7p63H
Iw2Jbtzb0It1WkUu0GQim8XK/XuwhDvBBxum2EjHon9oa/EhxX4bvKpAyaaAe5dUEPV+SoYj+Kup
EA6bE8WDQZN9/BT+V7a4qxVclbsmdQ6cZfdmpEGHxDUVQcGVFA0agTEmtjzQVn7cBtz9UCaw3SG1
jzxSF20upyKBLqjCkclQOnswecKBrchMDY0HLbHhY3eJNqPeJXJYQW9LVrHv4I9tTPgakTG16qoR
vwumiUv2LErY8jCkQ7hGZHI+muYZpzimXGoyFAKehKMFMlfZA6UlR4kdzsc8mMi6sJvhQLnzkNod
9Tg5tlhTAJdWybSOe7Kd/Io4CqOTnPrDuPM4uMjlA5dHnKHvpR1vjK5Kzmw3ujT1wd47PlT4Khos
ctUp2tz5QzzFzWF27RDB9fAQ5L08azhmbNJOkjaRr0Vgn3qvCU44uW81JYGeSPY9NHJ0tzq+pcg4
kJPHXv+2CsojDlGoWUaiLKtEEtWaF/46SxHwx82DN5GcFdQapxokWDqQC8+2sVztsbsRDk7jznzV
Couo8rzJNq4WbxmHYOnp3g1Ty1SL6n+R+MTPmx3jDUO/CiFUHqLJ3nA9u0vI9whG4vpgzSaUZ0Zm
PGnlVe0MgC99AB86hh81zq22RyB+noFJ7XvyzOj/3H1M9Dry1xq2iS7uNELOREI9JSfODGOampPf
RnhvIyux9Z53mO0yY5SHAp/5hZu2a4B187x3K9yvw0dPcqszQ0NQoHxvdb+E390Oy//QJP4kTUI3
LXCL30dCbuLs/qfXj99AIU//7heahOFYjoHU2YRWpugIv0AhOPnAq+VLlg7NTpmU/sKUsAzS/Gyy
AdEbGgKHm1+ZEnzJMBSDF8cevsdFEvmv//6NR0377P9/Kvr8soyLrv3nP2znW8MeiL/wJIQF+0Jn
KPhbpkTJb3eDktwH9BSn2IvPQlT2HMmWvqQMfpPNlCaTc0T2Pm3xmmFcGF97kAULlXE7q7RbLaJk
7dC7L1wiLledzVVHNgTRuTgcT/lSs322aPXQE6M7qDxdh2BdmERU/ypr17OZeqr03Ujl8FYzZTH5
CjAO0WoVbYd2bTQCKOVvkyF+V3u2tZYE+yJkuEtU0m/oZLdT3LmbiBDgSAwOk5z0PfOCnWmXN3Px
vrdlfD5J4haqcLQ3TlOPm6pK39ZMF/YJccM1k+GUE8ec4o0WW+Z5PBINep6jrAwQuG7NdD6vlLtz
Ctlh3xsWUhFQ6pl2ZQPD4E3BwHhjpbG7maxZgMGv2jG9Fr3iNYzEnOaAtsvCS7eu1FYONySGd2ay
if2VU+G607RNQ0IoEQqyHd46wZraCUcyq2z3sH73FBs30xRu3Ti0tzVwUeaTSE2aoFXhV0D6tOYa
6QJX0tsydBHK+P6j0UbzcdRd5iAh6LVnVOtAmBn852IX9AHcCMeidmqw7eEmt9AsDPV00r1gMxNl
pwUamyHqlrUrEVRUoDO8g5i7N/tZZP2qD/vXQl36E6jDSg6X8eS+rePS2YeaQZoyvurYz8frKaIb
d6a6XQs4Aib0Ga3Dhs2mVjHt115jtweC7c7G1k63gYFRg8EAQ1rcHJEV9Mtbu43MI1rWFbRDmJBe
fVGX4q2sk5UnjWDVt2Rez/2tOYkH5FxcablxkRvYHnUEc5H9hZXNBAO3Jxk2ipJ4k9o26hKJSrLO
3+YJQ/WCSfOWVgFWBlELiMlaYHm7lJdS1KgItWod+p22jKkkF65XAEVLa915cm3GycMcJVfOHKCi
l3a7cNn1i5pE7aUTh5deUa6j0rlMmcKsUNh8yKW+M1GptoGDxIsj2wnhIhpb9li/maqcIAUQLTQz
wSUSP3S8WMF1FiHlQ7D3AZO6zN2003zeaPJDNHvJnjhu+OntY1Y14QGXuHO7mcuL3Mp7kgyCTWFY
K3ozbqrUYrcbaq8Y0QV5a1tTkKlBroO7HAy/OhSGeVM0IS2M2x3NPC3XZRjfVI0I132UvA1d0S4r
wzMhcqPPJNm7W9MLiLKujthHbhxpPo5drB2GYN4O5BJMFno4ja50IT2ixSknBMRqu0l3pTdxSSPh
04wEl1xYZVQw/KPyPh6gDfF3oXgbCebNyJ30E4xKbOdewAQC7FOYYgaiU4fmVUg/3xEEtzMxa1y2
BRHBCS6s42BeW07zrhyRZRuYam7zKnkd5jb3vmY+FjoNMGHVMw2N6SIjKzBUpxNlEHiNmQFeJdI5
Mdvd+hLvPhTQuzDcBOIq4Fcdm7T2CWrIVdyBh7jTeb+N2/IWgvmD4xXUmlp2GVElMwHDwD4PzCs9
6j5mJjnIUxLeBh2hgFl+aXT1cMBPBeBkkMEOKoaS2n5IjY+1i8tEHBb3mjBvAMCDBZZesJLkkG0S
shdpBteWPtHZ1TEZjl1+hVfOdvTjYGctEphPcB+8vU1WiS4FgsWR2kTOzV024lnPcNI6p/QrIV/n
WOgbUF7GtvWXkXVd5LVNfetGO+I0PAU0MnQz0MQKrK4W6aHuyJYpL6252gmND8mGCxaP2N3GmWrF
7zpMkPGzCNaTP1Owe84bEjHPwIVLFcL8LvX5XVqU3rhDovQG1SWtcL/WEOZhiVKftIkDE28xpvKf
mrrGwHmnHI+5gS2rnlrtMqkTkn1qjG+9/j4ZdP0oarnPCCQK4mHVdl22b2ZG4a5inRHYGE3htQar
yZ+RJVk1zrJBw/Sz2XJ0gbrWuJqUmGi9PtiVo1CbhBpbR7RVEmqu4RCkl9mb2MlvXFPS0VAuDwBt
XRKfybiByQGqUiXWx6nWP3RW+dEuUJVJF43gAIadJ2daZH6YHfxpaYqZ66fDIwypLfYhmHOAQoBp
Al5BYe7m26LR1TJ3p/qNJkVwGkNrPxvo86wOdxKvGq4DOUM+gCJMdNOCBEh7VUvtNLbWZVXUIDUa
XFpgZ4vHC9/T5GAXslgXvYHlbsYAjdwYoP2cU6BNdKyWR8IECoewiMDl9DCJQIDPvulEWGyLxCGx
jw2MTII2klEhs2OtW2J2nwsnf2956YOeheapIl5hMYMyITWJICWSNETmSOrs4sRF9sGULyehyiPs
AuAxqTdRm5+moV4KNuKyghuCNAdCkUGOdYm69wLuyrmVEiijo6TX9bXXzvlyDnzwVEmVG7nRRo7O
67FBKu8IkrRGM90wR6SfIYHOQd6cIzFd92m0JjnjMe6KyzjIdcIPTrogE2tEskNBAJtiLlXMnLzX
KuIEK+NoBRhzjrLc94kzHwlqTRIzhHGFqgSLmPMGmUk4RsiIUZ0uvK44Ovi40Ddpi1nDsxQnAnQq
SrFSKu0KMpftrNQsUulaWhqknUTq0ijNS6TULzwEzFiVIqa2YFSESiWjK71MDumrLB33baJdaJiM
b2ylrcFlFwadNp/F9mMw8sknSodTlpYD152NTt7QCnXiOg8EAazRNlEqnv9flf9/PRW9q/vufv2p
or/q4ca+foTt1/1SAquvfqp935Z/75u+1NLf/0E//dmpKhYmz6eqn/6sT3/zH/2U7L6Lu/4DOXwo
7uA543qFfOnTi0pekQg+f1kj08Blegp5+vPXqeRpXr5apt9biD9+j08r+sff80fv4GmJ9h/++Q/X
swyGu896qr+zDqZwHdNGI/j1AnivLMf1bGEzKf70evpNL2oBzO80lX95AQx8Xpmru7oB1Z4XI/Sv
18F95WA0ijDz6atsvX/TRvi57IlM4JEM47L4mi9g+PzJv2msf2cNnv2EXx8G5f7jmXSs9jdPgc8X
PNVpP72eWvgXtAn40Pj7rOd63t9ZgWfpm7+uADiAjVmvhabwlzf69S5wXqGvUDklzueFeHJqekEL
wXGgw37+czvhd9dBcO5BMOFc8Z72+7NTwX3lWxyZoBifH4enrfei1gGMxfzRdVDhNMA3Ju38d9fB
eyXQ1jickJ/3wws8HQWe0T+8Dup0VF7Q3pdr4LenI+ugExGreyT8fHq9wOdCuJb7o9ckJ6RvkSsA
2+rpffIDvz4fyNDVDccWOH9/fv2bbolnT/bX5YKwdUXN+jM3xbOf8us5CavM0ZEyowV7Wodvzgeq
Ep/L9Mt2eYH7gSACpWD7oXXgvvCYgpto8p4+72cXp8d+cMg4Nr5cnC/xfPhO3vRfvTe5L8D1+Q/7
9k+vZ9UTqDymvK4Dle3p9QLLaJJsxI+eD9wXDmNB14Zy+en1bD+wTDA3UWN+/rKSWL60dkJ8J07h
L+8H/xWKU/b+l3WgMPv6nESYym7hAcQn5Mt+eWnr8D0jzr+xDiBduk5f9Tv7wTF12zEQ6T69XuJz
QXv1w/eFEjBzCJri++vgvzIoojgmv9STTwXLi6onP3v//Oh9AT/aNbkyvrsfqKNsky70S/vxEs8H
LrtvlO5/47kwEayjw+IA/O3BYHEyQEr/XG/rL67TdL3vsfn/8gKozsGBbfnlwf9mHSitDBuPwM8H
w19Yhz/x1ADlqe/6OXu8b/71fwAAAP//</cx:binary>
              </cx:geoCache>
            </cx:geography>
          </cx:layoutPr>
        </cx:series>
      </cx:plotAreaRegion>
    </cx:plotArea>
    <cx:legend pos="r" align="ctr"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strDim type="cat">
        <cx:f>_xlchart.v5.43</cx:f>
        <cx:nf>_xlchart.v5.42</cx:nf>
      </cx:strDim>
      <cx:numDim type="colorVal">
        <cx:f>_xlchart.v5.45</cx:f>
        <cx:nf>_xlchart.v5.44</cx:nf>
      </cx:numDim>
    </cx:data>
  </cx:chartData>
  <cx:chart>
    <cx:plotArea>
      <cx:plotAreaRegion>
        <cx:plotSurface>
          <cx:spPr>
            <a:solidFill>
              <a:srgbClr val="FFC000"/>
            </a:solidFill>
          </cx:spPr>
        </cx:plotSurface>
        <cx:series layoutId="regionMap" uniqueId="{7D85024E-A40A-4138-AA05-C850460FF396}">
          <cx:tx>
            <cx:txData>
              <cx:f>_xlchart.v5.44</cx:f>
              <cx:v>Estabele-
cimentos</cx:v>
            </cx:txData>
          </cx:tx>
          <cx:dataId val="0"/>
          <cx:layoutPr>
            <cx:geography viewedRegionType="dataOnly" cultureLanguage="pt-PT" cultureRegion="PT" attribution="Com tecnologia Bing">
              <cx:geoCache provider="{E9337A44-BEBE-4D9F-B70C-5C5E7DAFC167}">
                <cx:binary>7HzZct24suWvOPzcVGEiCJw4dSMaJPegrdmSLfuFIcsSCU4gCXD8g/slHf0L/Xp+rHPbkktSqaY+
FR3XEVflsEPEBjeIhcxcKzNZ/7yd/nFb3t10b6aqrO0/bqef32bONf/46Sd7m91VN/ag0redsebe
Hdya6idzf69v73760t2Muk5/Igizn26zm87dTW//459wt/TOHJnbG6dNfd7fdfPFne1LZ39n7NWh
NzdfKl1H2rpO3zr889vVTWfevrmrnXbz5dzc/fz22Sfevvnp5X1+9Z1vSliW67/AXBocEBbAfzxA
X3/o2zelqdOHYU8cYOrTgEsiv/3wx+8+ualg/h+t5utabr586e6shUf5+u/jrGfrfrx4a/ra7Xcr
hY37+e2Z6Vyf3pRv32hrwm9jodmv/Ozy66P+9Hyr/+OfLy7Aw7+48gSNlzv1R0O/AuO9tnf94478
+2gwdBBIIQIqHnY7eI5GcCACJFEQBK+j8YfLeR2Oh2kv8Hi4+mMB8j+HO/132sceEQLnn/j4ORTi
AExG+NRnD1CQx2PwzTD+eCGvY/E47wUYj5d/LDT+9Z+D6W4eN+bftw8qDjiiknEuv3mrF6CAfTAs
SYAeQRGP3/0NlD9ez+ugPM57Acrj5R8LlL1L/RsjCMMHBEIIARv5ZgkvfJY4oD7xERH4wVBeYPKH
y3kdkodpLxB5uPpjAaLu8r/TRsAIiAQTIOI3bEQyiC88eAj4CCL+NzbxzUb+aDWvw/Ft1gs0vl38
wcDobtKb+l//629EBCzER5Iy+WgCLyyEHwhfMoCMv24h6s8s6Tdg+WXqS2x+GfkBAXo8sv9+SNmD
4xOJpHiMGS/jPEWSIyToN2tCL9zXV3B+bzm/A8zb53zy57cPN/uxAHl3U7ub7l//u/q9XfiLqkQe
EAnUSviw28/lCAsCAArhBzTAlJ46rz+1ltcReTL1hak8GfmxkAlvrLsrzRs4VvXt3xjyqTwADsYC
Xz6EGOC+T1EKwN9h7lP8KGPkc5T+/Lpeh+rl/Bd4vRz+rw3ab67uqcR/9qG/KvHlARcEy8B/EXeC
AwkDIpD0Ie68MKY9mfqmvX97Ka8D9MvMZwv/Ly/nQ6Orz3+nYAH5SBCjBNjvq2QMyDH1Aw5K8gGC
FyryTyzodQS+T3xpG49P+GMBs+5vui9/JyVDB5whP/AZ+rbxvzINQiTxA/wwLF9E/T9ez+uwPM57
gcrj5R8LlCNtP5u/ERQIKwhhKgn1XwVFHmCwFIbpo3Jhz8PKH6/ndVAe570A5fHyDwYK5L/03wtK
gAMfgbk8uKjnsV4cACED6SLYAyN7ISeP/nA9vwHKw7yXoDxc/rFA2cfDm/Iu7e4eT+y/L1zAWvA+
CwapyVetJTjgBPkc48e8y4vM/Z9b0+vgPJ37AqCnQz8WSO91efPm4m5fa3jKd54931+kXl/FJeS+
gke98qK6AhhR7AeUPNgOwo/f/S0X86eW9DpET6Y+e4Kf3z4Z+bEAenfn/vV/Pv+d+EA+mVKOAZ4H
3/YruQmZZuzz75mZFwz5z6zodXh+mfkCnV8Gfixw3uub+ubNF/PmQX09HuR/39GBEYkAsssMkmhf
f15wNQFqE1ACXvAA4gsO/VdW9jpYv77DC9B+/YH/z+D9donze/E3unE38deq8ZMq5++Pft0NqGO/
mPp77vGb59x++fltIAiwAv+Jx9zf5lm25tfb9sr0O0hi/PwWCtFQ9qQCYYGoL4TgcArGu4chIZBA
MhAUkkY+45BuqCHiZj+/ZeQAM5/TwMeEoABRcLDW9F+HMNSS9soLQUWVggum3+v2Z6acU1N/35yH
39/UfXVmdO3sz28x3Kj59rH9w/qcc0HFXskFkF0HrwHctLm9uYDegP2n/4dNm6VsCt4r3M5h5fGj
3I+lbOLR0o1M61WdL/HoD5FB42bePdm1V74caly//nbfp0AFIOmPBWPo+bcHXoJGz9Tw7Q4noU5m
p0qiVZ50bpWMJhZ5e4fzIQ37IiGqbW9H225Gr87jtuPXXuqVMZm5U56VTeSjLCT+uiuXd1ONL2jS
H6fOS6OCmi++Rn6oWa7DeXFEZTV/X3t+VLCmjlPkLqfR3ovO1KGE5grlJ20eZTzpojxfjnBSJ2oa
55j63spMLYkaLVQBmcCwn9NR9a66X7qijrGeUqVbWYYTzlcYsyLkWdsoM5ehJaxfd1Lb2E/4NbO9
PKzrLIjyxAvHRO+Y6KazbBryY2HZYSOmCGXMWwVJokPD2RfYxOtmaAOVD8eVS8MsSH1VBtMu4ONH
hudgl45jpXS3zLCFNt3091JfjSVC8ZwOVWy9vjvieXtvPE/vcLmoWbrmvBKr0S10q2lznrgmOLQj
386y95VLSb5J5Rg1fZWrdGymDaP9dpza4lgkyUlL+afKH3QkSxvixmGVWnIxIisP07k6rLCp1l7d
COWSC43ZGHaJvwmw9yFIfBkae+/liQmLrtTKDnm6SZm9NaVNtqlth3DZeCl+R5cu1LzD267MV7Yt
ZeTKsovIVGwwqagyZJjDtF3ukIAzxJncUL9u4mJk3TaH+KgqrxlUPU03Ohu2rUFLOJYK7C49LQnZ
9LPzjjQrPpQkC/uhTN8hNsETLvlWMz9RGWo/jl4ybd072rH2OIsmLXXImTesxUiadS/nkwzjM4lJ
rwqU3rURl/kQF6jnYTppsS3xcFd1QpGiOuoJtcpD5aBIKexaymrtKs0OUXeDFw1fTG20BORwrsRp
V2aHmqfvCoyjQcxZBEfSqtGVaVh22Is63Meilmaz1MOkqmJQeNA70gm6bSf/o4c6qpZpCTZzk6yX
tP/skslTQVr4ocFeaK046kwv167v7p233DUWJVFO+xuMTaMqnaMwyc7GRTaHbqg3pTS5qv3UqSxw
Tk1M0DXS4rgc/WVVuuE6cItKTX68yJGss2VbVL1USXMMxdf3lZHBRhp/R3I7qbELbqag1JGWqY5w
aUg4MV8fyqUM3VzkapCpXaeEKCIys0rzHow9A3sqErC+BAWn3dhFmItalV7cIL28S2R/1iy1apOp
uijxeZ6O5Vmgt12woDjQlVZBl9YnaaNmZ+8K6/dx2o2nQU/jgPexTqcd7Ol6EPbc5QuYtnRk82GQ
Q7Mq5t6qSZqrpm5WYxniaV4ZMEU2JqOyWfbZ9+0JyrNTKYbrtlwF7XIc9GksvCHq0n6V2vlkFvS0
R/kJmbOjJSnXTesORb/NbHk1FPp84UHMm+yUlJ+mkr5v+uWYTfdNN23Bxs/aoV5z32x6I1eEFYuS
WMdWwHl1Pph7EsEOr6e+jZO5/uAF+H03LdcdS09M2cUpLnau90561J9kOb0EYXZGDKsVF5Va/PmY
6ukISrLnqa7XTLhOVYEXakE289yfVPm4TfCyq9LlE+uWM38aTnq5KvN5VzV62wSwuSxYde10WqfJ
RYD0UdKg4zRaxuKsYvmZQPpE8Gq3+PKiMfq0bvhRh8yWMhR3fhuhyUXZmF7TYl6Rlpy1dihUj6nq
vPRdw/lhmnebJF9WCbOHJkVHbso/IYl3AuPTustPLDc7IUjY2x1qj3HJNqQudjMtjpCp16LNz1xQ
R2kNPhyePOD2wnTTCpzF2sg65OZqv7ui/1AQetj5y1kmssirliMrplbpmn7KZnTW0kjU3sf9DniN
3O4fjsj8dCzns1DDBu+ftGqLoz4hO72QT+VCNwk8dcdPAlRGM0nAKx9mpT0MWnsm/CD8GkUfqNGz
mH5rmrnTafbQjvf91/+4NBX8+dox9svFfTffL78dP7YB/u6n1ndmL+Hsyw/tV/P9Xr/0pu2p0fdG
tRd061vj4G9wsd8d/LNEjcLxAtL8vXHwV0TtZUXlKU17mPxA06CWzamA9gLJCAYitL/vd5pGBKSJ
JBQifCh4Ayf7haahA4agEAFlCuhto8CgvtM0SHP4hO9FcgBKDJp/8F+hadAn9JIpBRzt0/HwB1gj
2tPIpzytIhCe5oQZxUawr/FSgm8La+ASkZvgKFtXH9co+ZgMfqFI3jTnni891edeHmNiWUjJOJ0T
K1uVllxp38S8n/uQDqSKswptUGPJrq0iv51xPC+pCTnpwrKawsVVIWOT3HrMAJmq7HXjtWGFcaaI
XWwYqCw5hZYzdFSgsg11zjadpiKquVW89ZuolfMMtCWIsqBMoybLhBJdXsZIyybMPafyJUEh8pOL
ZaovCzSvcVqrhHc8bsfMV0XanZrJE+Gs889iFmd9VouNnMskrvjoK79mO2nbZSerm7IiJEzzJldm
IjtXiOXbX3ju0W5A3qapgvKIB2DMGS3WMu+ro7Z5N1ZZvUuLodrVJat22CFf8UncB4hYJWlEUSpX
Zugz5bIArbgIelV73IXNPNuoiea6Y6onvF8nN2RIUuUP86LqQTrV0+E6L+froKTdymO63Cx4uOrd
+Clhea7YUG0Hw8uIWi+NtefXYZcX7UqXnYJOWlVmnrISu7CbxLVt7KwqeqjLge/8zEGw/KKTsVXU
d8umt12q2jwlaugbdNiZxVeyPecG6PIgRR267rJCwJZJoF3cOS+uYMlqaMZA2Xz5jEfEI8aSbtXN
QRK1RaLjqh7qsCiSJLJCY0WS4gO9ZksRbJjFZQQZpHXL2Rhzj9iIe42SSTOeNbkfyqE7bGxfqd5H
Reib7GM625O2KKIuW8bV0FTHCFjA3KWfMl6pfExO8yBTAWlXdIQPzKOfh7Mf7CTKtkkNzCOfvuiU
bzzL1nw2l4vTl5iSKdIYX7V2CqfJpuE8yThP5b3XsjRigRePeCqjEQdEBc0QyxSkTZsd1YtrwsLV
WGG6rWm3bPDkbpNJHGU6Y2FC+usJiW47L4euh4CZEhuWdtAqm5etXw5XyxI1shQqd23YMOpWZdvP
ALvyxTBFgc/9uF2SSFdJzI1HQzy34xoncNhZuYStJrWyi2OrohG7PiBd1Lqljvm9qKrthFHyvhjL
dNWJ9H1mkiJcfDCYKajG9bREhDYiDOrRU6yduUKO87DTLpLaNMdzW2Jl7EIjW01rTf1FjaKGk1J0
bAM+DCjM2CtpxYmcC7pxAreqKayNuinVikozqDmhn3JSlGrO0kxxS9b+sAyHQ1Ve9ohf+gRMHU99
NLn7kbZtVOUdh+MyhT3P0lORlEoM1aaftD3VHs1XSS5gEd5UxoustktvCNjssKyGxMRtkTK1dM2w
7pLhpiCkjHUiPvSVf0bLolA087ydoH2vRA03znIZBy2Rp8OCQGO0OFo6IO9Vwj8xFlSqQ8suQzpV
HYjyyMNl3Eh36H0wU1nusGeSEATHGUPpqc4Ei75uj3CBv041vdPefD8Y3Gz8ivgbkXMdi9QMcaXn
QmENWoPy4ZAE07u5dPk6X7p1U9BmY1XF3Kms5K2/zPyQmGNuex31YLfRIP0spH5iN3TKgBrNAyiv
XufxvrVn7efNSTLYddFkIsqbgIdY8BEkkyZbU3hZuGTNFhcyRKDeglokIbwFgNWSyY+gMUqVLBNY
O6JXxo3wtDDOu1qEYu99shHulIFDNk2+0aS8ZZSe5rwxn9saPIObZapGVnjR5JnqxEsKt2rKOYgT
wAlUqTkrfMRU64HjIEtVxNC9p1I3uwhSEGVMkw8uGeO+sCT2IJkf+YMrTuZmAOEzol0gZxourb2V
Fk46zmAPujrKTTcqjw+rMmvyMBk4UoXuzxj2cKgbDfGic1oNOctWY4ey8x6eVg2+r+ZKqiKxw6rX
aSRIeTjmto7oxCDKJDTq/TRXRONp603tJh3CPM/Op64iIRl9UGZVWa380cyhFWeQcrjts+owBaFS
B32hGls5GBhiWsqwdKRV4zRvC5NvwVkfFwmOvamgairVUsxbZkzkCXPR6voK1zFty3sziat+w4Bu
qoIhrPz+fqrdtMqcL0JUuesejrgNZLEaivZKOPoFl60y43RTLGTecj/pIZIPgAgFsdr70yqw1ipT
L5+Wjt/NwcDVgoYkTJLpCGvqwsxapDCrN+bak6Q6GrAFCj/ayKS5Vj0rtnmrldw7XpEikAmoWJdO
vguqcjUvsM8OyU6lUNFUw0jACqpopuImn+hVQjOVTiApKfuYanToNydmyFaT7+2CAUJ+LVYBavsw
sac1Pk9dEDX1EA1DlqiOlxdWJruhLm67eutq2iuvrS6Kpb5ftKyiIRkjTGaqyjZfQprZLePJORCv
Qx81d1l2nuSlCfsO3JkbktWS5O8rH14ywTS5liY5phSnK+mhbVMEfTiSpVXzIJLN0jQGUjr049SZ
sJxQH1WMi7AKxBg6AQHUeW0ZVSYPlz79QLnQcdJyCNKk+ewquYPdsIcpmt51vmIyt6uOTRdkBt8C
p1jhJrnpfT7EvMzeDf4qaSU/dAs8W5Z8BiF10VRoi8ePAx3CxpMDMLRsVEttz0XWbnPqZ1HqBZBU
EkWkdV+uxqL/KPRymlfk0owUwWJkrqZ2gSSTyEPkzBCOfneasXLtpXkROkaZqhHQpqAcQjF3uWpK
jUPhZlgwWwKQMnMMIepUtnOi2oAixXH7vhu2rhzTzeL3x21jgrPZkSY0bJZxlYRl2c+rRryXfIgc
7S4TL6+OdMHcNunnjSkaepjzZeuhSq9Rm0ulg/yLZ+076VlvlWDQNsLgYW0scDw+abPOTbvymzxV
gmTAXhpyigbXRpC42VTI5GuMa6Q6Gai2nDU8hz3R9aRjh3Eb+/4tpzZuzQI+gaZLBOyx8q6YbQKF
IE5o1F+UjN0JrYtoXMwtYeS4n9JD3jbv/RoexVSoiuue5kdyOcQFZqBG2WpuuqvW54faiZOEDlsk
ypVYiIxHpIFTmLCe7Zcx6ZbIwSZVmkRGZBRILW+nDqCyihbLthvz0Bb6shr1p342xdbt41ohCRy3
QzPO3fnAstOxwZC/NAZH0k3phjZTKBOI4sswzeAa3GaojV5jBrlFIyY1B9UMAXcEj9f0F3hos3C0
vIuznvpq8vwLWvShaKeT/9aLv/1W2TPJRxCBavJv68XH1olXJn1P50N9AN5iCiArzxkGTfZdJ4Lg
21e1QUBCXISsg4BU+0M6H8QghYyUFJRBx3RAOKziIZ2/fzUE2hQo0BH219P50MHwQieCIoHqOWNQ
TcAB9NLD+p7qRFPInlS13OewyXVdE5B4o7ySvDrxhRlVmtjzSmepyvu14ODT02yDq1qoufQKNTY0
hjgcpdSzkfb0Z3irRXk5vxzyvlaBHiVk2vehVF4QD2+6Jbtv6Nwqgs7ZdFpO8r3VoggbkVZKLt3G
RzUkLVt3a6zUipf3OneFgjbZY8Tt2Ty119lYh6I0EyRpua9qSj+1mFyBMal+Oa2TCf7NYFpS+6rn
wXsM/lAJtElqlipXm3uQDbs+G1w4VWjdBy0Ns2XOVLfsQGd+WaYiVQgXl0EyFsp3sSNVs/ZL66tx
AWWygDrOadWqornndAAnzIkqPAskZc5Q2Bv+qSvZBT+HYg0NzZJNKnCaq96O90tOz2peelGDlm09
zieumkU8MDOrLtNtOAgeJxWdlKt6T+XNqdV+dYSbNFVyCq4EbVeQEL4uxqRXne8jNZTuMMj8z4g3
ftjki1TG6zYCgbcfCgfhRiefhvyENtaFgYibjl8l+UxUQwKQkbrUwHq0aozhYV6BNhDgcaJuAfKe
eulHneanS21UVWv+od2rUCpBS/JcwNdMQD5zczkXtj0aIaHJK3RT64u0r8xG06lTvgE8RboRg4Oc
mTytxwHvZs+d9hC0OwJOeDhZ3BQ3VPZbUjdHfZaSCK7saomW1VixUmkyhW3Wr0ZJ14NXsEM3Lhs2
OtghZLiSxu2WoF55iXc0t4VZ9865kMwgjbTwrhAsY+Pp7KMnC7uCbMaHgue1MkkNJMAVm9nWoDYQ
BCU/MOFk8JcxS5PNRLq1s7OJLG+uk7QGejF5ZxW8SXrKoM5CgsaP4K0sFw5wMAb0OWUT5CbbDJaY
AJ3wq7Auk+kUQXYXNyKPaV3vwHnfiRTfe2ANEo1xNTHQyAmugcFZux7n4Trrq/Sky4peobGAakL9
uWoC72Nhg9i5M2qQt62hxqSkSIdN5pIG7IrOEDauMLIlMJeWxKwk8YL0oGhQrXCXuFB3mVWJIB/Y
YHvFvKI4TqC2ADnsK0md25ISjVB2KMlJ7fUYEru4PbLpaEK01O9T3bF4KaGUAGnlRYGk0Ss+DZWq
jK/DrGImLuZpVFO9EWUC+ZOULaHXdHMceMO1x5LiqPVBCwz2gjiv3rQdGhQKGhdW1RyzUa8947PV
CG3wYZZAvWcidIuMnsMcBe/hWO4NPZAh1z5eC2FXwVgrqG92SqTZsk49A2ikUjVpd+zx7n3iQ0wH
S5nDCYSWElnvTsScf9SyQ0fAiu6XpJ3irt/1ufWPlyGCWhNeTbQ14KiGUzmcuQmUfD0KtpK6uy7b
MqzdsoCDKPKTua1vPMdnpccetrq+YjCmBkbXJNjKRrLjwqOH2Msa5UR7miMdNQadaC6vltI7tNJQ
FRdFcE6m0Q/zKRgVJGg+OkN2oJUh2lf4M7MLlFKgvjdY1kZQK/LDBGhdA3TZLypl2PsSZFlokyaP
JnqOfVAZM+wOnEW4w9Smq76rQVJ5H1JWjBGUl8/1OO0mITdt3R/Xk1kUQuMllG/3aR+hgBrVofZu
TMVbkE2DD8XIBUoaYxrWNA3bnJ/xVt7xFNzroId3pg1WPbWnk1cXUEqAVJlj77DHPpviYhH6Y1/k
H0a/3ZUTjVHFTuf+XV7aE5zna0/OYeBVVYRtf2FysZamdKoqCVILz267sQn3d1g4pJsGyJEB2cGh
KabPiddwqNRu9eITtXj4NKmbUtWFtlHJq6Pa9p+JcSyEc3QyiQrULXB6h09B5t9XaPGjupULsK4I
Zy0kCQdvz4rdoCyhUdvWJ7hvJSR2wBehueuVFZu0CkDtJlWIPPgcFvtg0za7mvD1QrPb/RexoT7J
kEmUP62hBl6AOBv2OZwJStJZHc5Vr9XUuXNd2QsdyAz2te7U0nefaEl2U+M2FbB71VfwLngqZwYV
JApuKQ3uaj/LlF8IFNJ2k3UgqE0/He3pfgo5hWTpb1taqbJjkI3C+igd+ca01c54UO3zRZ+qIgsF
Gu6pW4qo4lDnC8iopAcVaY+ezEk+hRj19423YZmVIZtAP4uuvAmGcmsFfW8R89UTSvRK1X5PmZ61
DADFIHtq4UODuJTQ1PCcYujanxE3tFFwAKDWDNoxGzLFsimCNodNr6tRNRTf4LS4YF29Qa0+tmMX
NlN7JlN4WjqO92m6q7J+N1dgE0l2NFt+OAVD2MqgUEsbJlAFnC87iTb/T2sH+sYJ9OZQ8qLdAeE0
WOaKNKrgkLgTtgEtAbWwr1vNmuyiIHzbd8FJMLEj048RuBRZnBtaXxFkbwNiP+mAHPVSH5qluprb
7vM8rxIEfhnOJlT6IQNpe+oUS/ghZFPWv798+srWw/tcsPkM+u+g4xhKEc/YnZ25rvZb3/mDDYeg
PRlxcTXOPApIplc4GZBK53SLIMccWpcfJTMIQm9vJaMgi6JmOUclUR0FZTrSu9HBYQZHfTKM7UbU
pgizGQqrrCM6rJALay2nME878FZDmKSohZorSKJlkJA3rtxZCxlQSIxUMn0XzCVSlJTbr4/839Wt
bw1mt0//txGPvWf7zhwsoefyt5XKvl316Tsu36d8r2dhQUBxQH9PwAT62lv0UM+i8OJzgCkT0ofz
HyCoJD3vOtqPgI7ZS5hfZAo6QPBCIYERnxF4/0b8lXIW3lernnYdUQzLQwJeVoCXeDi8Y/L8HI+Q
QVwYygPwlrne9s2XiXZqNAs7tcTxuGTyUmTWi4PensjKQG+K6f1tXxXrwTaXdSrlIeZmy4WdVg0P
5ujJXr7i4tjejp6tj32tsknuI9B7UBF8sb4GCuIZSLrQm3ixSvu8W1k0QWoFyukEcjFDKVaZFJuh
A/Hga5Ofdylmse/p86Zx5DBYsi2vNBSYgfR2GHQ8b3seE9lfFoLUIRJVe+rX2yWdst1iq9NW1PMJ
l91NayiPkjzNtlXHXDyks1shU7EI1W1/mLb6Bs14Oqlpmb5vy/w8pTyFikphIgM+N+Ut20q6pGfD
SOlJVwcxJN0uqB6rP9qi/RY83yKBwQvBEYM2e4bx3lU9aRxroQQT+OT/cncmS47zWJZ+IphxAoct
B82SS/IhPGID8z8inCDAAZwAkE9fR57dXZl/lmVld1rWoje0cHkMLpEA7j3nOzegqQrc7M2iZXz8
utThFB970817ClcN7sHgZjJg9TcnLMOCeqaHezPYrANEdZQoJcrStUe+AGpxZV0e7axhZFTkpix5
H2m9HOXssVtE5qd1NvVLF7ogOUiwHW0ZoWNV7MzbNlzTWHQQl/gCiXSCRsy3EcAb1C+mgS/hR0dR
m+jbig1ynXl1gN4Zos/1nZyUvrovlIR/8eX/Mrflv3iIoj9v1lhij4CuD+4IgBvyUn/6hFD2NCX3
TQbTjls772UN2bbkxtxF7bOLnvx8nak4atZPXapWyIY9zJyczK04BrMRR5T150nTi7KB3LjzIAom
bXmuh/BpAQ1yDqexPvMG0IGw3vbrpamCxZZoy4uOWufmzYnM64Cozdonzs0+Lg2lUQq3b9iB71lT
Gmh5SxYo6KIMP5d6vMKdUbdhdU5mLdVRWb/7y4W66n99GTJVtMoNjgyK4WVYqQ8Kpqt2Zhp2kqvu
LKO4OxM2OZks/WQzof4UcSd/0JpGm6CRZYZPzN1ZR9nTUvG9jqtxrx9ffb0EicKeFHySA0zjwodk
eiTtMh0n1bdH2BwUrW+2wDu6qIgNJ9aN/90e4P2ZTQRRB8IdoKWLpAKKhT894EQmY43li6Y1Jk7u
dV594Ty64mNZ0mT2h23pdBO4yFi8Gn+iKDX7+qUZnU3PnbFg1MK+Qwf5XJvp0E5TfO9XqNtBtVzq
FiKl8pW8jBJGTXypte7f1OK0qezC7tx6sMihgTbbvo3NWQVG/DeFRPyoc/5m9aL2SXAw+AEwU7zF
P21wehUydNEZZNaYP4KEm8K23J5ZsFT7ssSScmyqXUufuWHfg6V9G123upGQ/eRV3B8cwvjt66VV
RyRNwhk82OO1r0sTRiYPNWgBtjjbmvjVGxtnvtNCBnnMpHgjYxduSFIVMpiDLNDU3r8ukV72imh9
MY1d7nOnw0PvrQ+XHL+DD/Vy9yM+ZxNOgK1fpuBZxyvwJOcaDozkU2LC/OvLr0s0iGjTRXF51P1C
LsyMVcZCP/wIE3qVS8xfvQC+YwvsbqhD2FgJOpZ4kd9dWOo3x527qwt3z7J+UwYhpCI7JGOORybB
P6KKBnLKa93VohhL39u3rhPu3Rrm6+qsYJ58mA8DTquNE833sPWCJ1AR5VsZegfYVd1tFn35pnhX
KLeldxOoX//4DKP/xS0O/SD08Pji/kbh4/t/tUHHSRVWDjoMKFFUw/uPbmUTyJduQQO0ju9lG9Hv
JVr8kYsU+3V0+MsFQkLqxOVFerQ+2GBQ8HOAYBG78gzH2g3+dnz6uoBpjE9+HXS7ZkjuENjLPte1
90ODLAVZEQWnRg/tYYmmYzXYEXgsqs5w9N13vj6pOUEdHT7AB5QjRyeY2K6M5reytpBPlvgPyBLB
L9ntpwEmterac0mF5lmvCi5G58DJngh3OMg6gT2/OCs7cL//35eoD/N//HG67t/VBICCQkQvodM+
MO4/tz2WwLoaOq/LjC14GMwHqGxRnRrD9aEBiFNDNNTTnvthKlpK7/XjErsv6Eydm9BReZnjfgcV
E4b//7n0ZsqVZXrTTyHMWxQ1r700206E7jfaw7aPG7Ps26GDh8fpYak7vcXmCS+e48CH6UM7cHZJ
t94bFzQx8RkpQABGZzdQpw59xG2Qcw97MbZZ7QffEhdLhCRmyZjonVPv/1rCKNyhhLJp3wbDbXxc
qKcNoDow1ZB8in6K0Ve7aCvidbg5ieyP8xw4EFaZs8EntaYKYFze2ebN4/ZI3DG8CsOnpzCaD1Xv
0uPXZV0ZPdaE/6A2SbaKjeQ8S5+cgSrA5vd2ZKrZdVmC6jYs63YBg3OmFCjBuLi7hAAPjB4XgB5u
tky+vED+mDZWt/SpATddiETNN8fRTp4o0lyCgeg9KwWsxBn98OTWT5RXMM7oVJ86HZiH2FjnY912
P0xl32dlh7stVXvmidNnKwvaH6qeXhqvM6eRL+L2denWBeBr7x2aYW1tyiJ6NItPz0aQnzGgw5//
+Knz/24RI8QYJTh/PB++AzLZf7uIo7X22mWO6owPuaVa3Ru9qt2gmJMK3PAznb32WCeQASbPkSlv
Zo2iUu71Mqqjb+tx10ztJ3RM68DsSqadrKJvDKLsyQz8l6wSsuUkuLXLrZNlkst2lJtRueQeLMbs
JqAfVbUkp69L03OzAZkA3JuH+lX5fjaYav32j98ynv4/dweYFRei8sLu9RhxgjLqb990n0xmjgPo
I87jrAfq83Wp4UwLHnp34wXuuYTaNtZ0BJLAQb/Ah927FepNCqT2jRqnPRGWGLSttnqLoXkfjI5E
9vXdkIV6XwcRzUbj8zfLONu6c0bXqoNd6NavsYBBEo3FzPryrp16uhPfqfEvdfbw9eXYAy2YOE9w
SDr008KfPdsO590yxddBxUC22jEAoL1sWzbZrB37zNXW7NXavwk9vECuK0GU9L8EQz6g5P2PTl72
I69+xdJADJZLscrkB3vohPCFRzp9X/zkfURFm82/JxJ/thrymZKQugmcUi6XH9bHgeZ3cMA7nJjN
agCglctHbyqeOX63jcJSZtYHrb+GAfS60suqelYwYwFl9CZ+ivchW38kU2vSpa0ubk+KqWmvYtDf
xUB3MpIfce9vkz5mqUt1nXW9nLJOrNjD/cbdaBNfhriZtpSRj7XtoVauIfRkXp1JA8lLRGXKCYIC
qpPPLlWbWSeooih7E5V4H8hLGPbPeomCvQAQng7t9GMaGpnr0HwjLXoHMteZ6CfwJJY8iRiJkdkZ
6jRo7KsICIiAcFONZuvp9RnuWCrIK08AMPE2ObNF3WQ0qcKWeuu4KkhRDeQ4jLuiqyBE97ZrNs3Q
k3Rw2Xbw2m+9P/q5B7w8g8YHeQdg5K4O1noHWEBmM853wJNp7w/Vtnf9jSthB6wcsDrp6S4R8Kn0
nIBlU+VPZ0gJieJffQjdc5nFxgNjtnGnBmGHO0uCcRPUxF6oLoe0prNTuN0Teh7sTk0eRyJ+bT1b
NIlTzAGYuHhu6b4eNO58NW/doTb5AHA182bgjZ4G0qErAFvkFLCSH1oK3m8G02+4I9BPZ24d6e1s
Z7B8UZdSZcsTUfKIdwZvIqi7lHmsSvvZA1w2kG29OE+Ocj85UQAovbLacC6HjKztfZidF0G2s9aQ
52O1Cz2VexAme6vXvafogSe1SoUNrzEwyRSfJ0lVjwCGAHxCF8+9eHJ9WwfdFmNA50zOeB0HYrQJ
sevtqDd2qQX2FqDZ3WlLbaF1Rqr2LZniD4QKTF7tWOefQx/+1TQ509ba4YE4Rp/1wI6GwpK3kA2W
AQWGCXA7+zA8l7z24ZlxcnXX5562f4xluBUcuumKLWSsVMrKJNgtq9jMc58CFz4rm1xnT3TFOHvb
ibswDmEmWCHfiON8kMDgLCq/1R0HMOfsdKhT+VJxd0zrqU/SuYueJls9WTdeDtO3OVFYhir5DrZn
mzQLAVakc/U4qEDd2fknj767ZJzzyiwK4Rb3oO1vOdfd9wY/uLEl9LxORzcQTP7gPDULskjGYaB+
eyzmhXZ3TyYfoVzhz5o+yaFjiDQsuyAtSVzmdRzoTVQR96wd+9l2tksd2y6vtBK7sezKbEhwEPrz
aPPOOB7CKSXPXF/+UpIHBwPOtVibHjEOhtiCWfpb0pkWsIbeIV31x2jqdiuEPfoL38SsnQsAb+jy
SuSN6qT94VdLvxOqfltVeG0O7ABVsisGY3dNj5XWxr5XuFAsUt0ncDnKTVjJ3zEgzhp2qV6ntmAt
jF4a3pcYnOpE6zBblnDZrXmnqyAdeuMdVMueu1sjESiBhxVnY8N+zEG3n2u2Zp0JPUSz6BtKD3JO
jEvONqK7UEdxinMf+Z4kRRYmOLC4f2fREJ8gwVxwwz9F/Yh8qIqkvUfWfOmzbiLzzVjwRSHtU6cB
Dri0+hyFC/Z0T+EmJPOOzuBMdLSdezocwnqrIxjms8Rf00TsvQSPuxdLv2kUqzPFHZW3TufAYJhe
RybCnfQUkG0vzB1f/Z6rc+LeqyX8FJyWmwoRBSRZ5hXhPRfnCWvOg1rXTcCWb5NC1mb1jJsreN/Z
GJq+iAasXJdA29XV5G9Gw365fvM7jqv6vZGsQLoQoZpqba6tf6Vj+0pIfx+8sN+W8jKM862aNr3x
X9rOq3KmqudoCuAX641CTG6vvXXcUln/nsah2jTWgkgMbfnEIgtrZAx+sxoxw3hsZZbEz3Nsll3s
sThtwDLdWwBSNaXTdvbssZ+qKE2EZGmNwA68qxVP5carQarOvnsnMcq9zqIgskvm9G781AcvbtCD
L9SkAbRV38TiuPtK5F8eqRrBq9UStF7U7tqmiwoIQM7WIxw81i8vXvs9r7EhmrVq9kHfQ/hnYdbY
zimSQXQbLAXV659Jh1/Uuo62yjp/cBUPTxMrgUq28wsO27f+QfkkOvLPQ0XO1PA6VQ67aS8yl6Ct
mmIW8jeoBA07skEObQA6H9AlFxUaMGexrzFark3jdz/9GWbeJNpX33g35j8LtpZAvMY36veiMDGY
Ozqu59kjBW41Kzhp52xGosX0iCz2gOwRg5syGszAIRKw1RH8dYKy+DgS9W6MTVCRJH8A49sNAgwS
ky3Oh278qav5pKF0pMMQAw6wOirAxZpMVU0DB5ZtVIubsgrh50bLJDfc0h3sZQKnWjfLeUb3nHl1
YHbhVMp8Bgm3p9Y9/5Nsv1jD6yAIwmL/k2x/GFAwjQNQk3+N7Y+bSO4qZv9Ftn+I6vAIkRD1w1+x
/bqFF5gE4v9Dtp9HUyrH+W/YfrPKFzlZgPSJ/5osJmMWJnY9x4UJyac3rWXOA1ZEwMX/k+2XFTBC
Uv0V21+VB0S1/h1s/7omuatIQZiAfjWIf5rtxw4FZPMorKiO/HEpGySaZxrtl9HLGtN1m95BzoQp
V2YonxRCmQUU8BqegUr5i2cHs5OtJsVqEbEcfCIyYF6bxE1gmq5ICztdWGVJDTi2euRB3C/EQIvN
EtMntK+oUlsUR8t0XS3yJRrEC3D9aEOkcAux9t8qpk+mTnaiYtcGQGQhZqApFAQXXH8fZGuzPkni
fVv7ohtnQF6aP3UtMhmxGbcxEQCLHUgFs9CHEKdUMTrhFkuDZn3jztiR+x8mDuE6KhTyPm3AJQTB
DGJnL0jQpK5EkoWwYICmw39y5d/rTrVIvoZjFqjuA70pNpyqt7nXoKD1Sjc8OLLdrEDWNqtAm1Av
wy+fd/KBJgwpApChNicm/MuKgRqZkMhMeghxn9cQ1UA7gPTE0YAuCLlz7fRo3/IWPyTK+G5KfWR0
0sBt+sxw7uZytTdB2/Xgr6Am4tLsOwcsseBJNiwh6kJaHftl/WhcE6RuCaCURsWYjCE8eT4V4Rhh
z+/R2/B1PYSOireuE3xfFgDLOjklTXjT8wrOW8Qh/JEhyAEekCwBWn+ag3q/6PFV8bogS7VuZAnY
TcFciYJqzkfp/HCJqQ9kQC46rvofY+tVkKgNjFwvAUubBE9s+R518kn0pE/JyqOMoC8I3fUDKfGy
GDxvs5brCZxWdawFjiJPYb1N/DKUmA0QrqvJLZJyGYCKtWhKhEeHX9XSpLYJk43j87JQNoqBmfAM
pkv1hlQZ6vonSf3yWk72NUBgSNm2KYYWfyqOoKKxm7Uklw6/N1VGxeLfdaUeEQEebEE7LOkyoAOO
ZGLutCV7nUBql+PJdb0Pr9R7lzYhTj9duFMrdk7Q5hGyQ7sBWQ30ssDH5h4RYwsYjyHX6sT0NhD+
HRV4ruLgB4Ppk2FS+qv0gp3UI80RGnrS9lsMQiBb39kMsA7LgsBiRNZiDR56wpLojHsnKYm77Vj4
OjfqWlJv/VWXBmEEMgM29678wba1vDwrNejDwsLdAubRmzk+VLLsozSmeHO2bhCtqIZ8bMNorye2
DZsEHc6qCkTY3kYVfGCFIUiSoJutnWHJqNOMOV/5R112KM1Ntvopq9YadamMNvXMDrRmKDUT9P6u
S1JeTkM283ep6p0y+AvIjP57IhNHIYx14NdTVtL1lyjVe+kj4x2Z+TQLocBcoxEKkesY1+C5mSdk
ch2zR7bnRcIz44IfAwl8KvZGmXOMd8hZuX5bOv/FvkCz6nIPYbsDUJp9Bb8rW4npN2QFyx9pg+Sc
893t6QXuLstihu1qnZvfJUrSod7QkiEXb/TPLrDtvhuHPfIkG5BN08W7xrOjUijIIADBvcOGmbFJ
wjLdEwIXYtI+IDTuIfbYQfPQaCxLeu0RAo9jACcBEkqgDMFnijAu5irIe40WqytjbBMA+1Kv8bNK
D+Fu0tEJRc0zA+QBV00Xo4l0MUPqcT3sizBsaC83xrBntl74QiAPLFV/VKauUzn0ORxR8SQH80sb
BCQRHzkkFpFtqZEXSwb3iNp6wmn2Ocbmtbe9Pg5xtZn08Mlb22xbgp2cOd/HrjqSZgLX+diKyskR
ECdiH7kNB24hTabChoU2/IjnFYoAAYvqVWfBUPPXlf/hL0DcFP6TD6GbLImwzjCwQq/womF2sE1s
A+xKwTW0AckCipsUzl2Gt7CZunDNG0DyqdeVd2d2Ra6H+jXyJ9D7XNlC9gy9LUfUR0rAPhXSgIuq
wBSueByJM+LUuqIOhocFkS3vGXytyWs3gcfp4zfin9PyPhBZTLO7MV7zfQgOUdRExcLomjPCiiou
kbssLZLx4SslnBznBQq10/kRvhfgR527jUra54YNDb7STV7h71k7yN+hcVGRon4dDBIZ6Gsfzwnm
PDA33GMNSWz1a3Ai/TYhKkCDLb20LsejguGW9XoFHYagX2HgMkeEbnhlr2VbHYJ5trl2nJxKSAQK
VhQid82nRS2tw3cS1kfpZ4LJ6jDJ/smP63cjW4l6pLxOjIoNHdzftZdcwTLiaQNJ54y8R00Nzos1
9Y+R2E3SGDw6kOpwr+UPzp8mA1bQkTG6J4QHwZXlWApvMihtsZZagRj2T3YKZI4k7ZRihoQGRJag
xZtlTlf2B9ybIXVbzk89Zzliys9zvVbXu9JOe1CzuiNydSaPyLwtp3P9R8szwK4JFhvd63rpMh6O
UxoOIt6ACM7a8qUb3BcClHf2Ns3K0CG4oA7n9qNK+n07TzsVeALChcTp140H1Y8SmFDztMrAblo3
QF+CbvbrK2nhII8RObdzuPV8DCwZNU4k42LiROt6b+1Q+vnDOvIaCY2urN7U4Jfo3MRLGfljpgCY
oDnRS+rwYSo4zuoOVJ8/LZtQe7/BwZGDYevWSJYtAeu3hAIx0bFycghivs1bOshdFy9FLesg5R5K
63CyyHkN+EPdR2UgC+Hn6sEauiatEUBLRJ8LGn74HA6w8jEjxcM4jqYvvVtpRjhs0DbgiQG8wgyS
RqCyscZ7DcIB6UOoBW6ylNtGiXvZgBTjrfN7bIBg2wA0rrd6ERTidmNWp88hf7+2CwberDp8kj7d
JrrbUDTmu7LcTONtcJzlOMg+KSbedAD0IV3o8PsW/xXNO6aQIJTUghom9XWO7CNswzHZh3k3h0+f
ADSRqhXlO5uQk62bqzv15pAYCYjfaLZryvA0j+Mv6X72ESj+qsQm4ntvceSyNK7BuRGNLUKAvJAt
sF8H/rXqK3C4U3ObKr61ScV2AeIF5cGxS7ynI9AV7UeptB7D9jP8qC0Y5JPjBNDwkWfH+h/yxm3x
yY8gGHnw2jY98i9zxHfKDeNLYDvkVV0grf7isFQeeriLcXcNYIT4BDeJkmdM3kEJibieMshVDxjB
0s2kWBKghFUcPrOpOzUU7juLkzccpNiluHyLjKj3xFcQAh3U2AwSf2T7J7JgF0MuKcDZj6rVr3VQ
OJ09NgjupI4MRuzHKHFcs2ahGj+EcZyjwfqbxUS3oXXzEopLGsFeiGZ+tutUb9YgDoqBjXTTDmpG
zMsHJQB1wvfRyhsAKqD4Lv85DyeB77CLqv7fPA9HQCjPVmjA/zPzcHDqRg9i6/9pHs7iVgfBqucK
FYn9V+bh0JVs43H4A8cBSUNwRP/0PByCxAp4mcMom93/9TycVaDxEuW/ZR6ON42559J/aR4OkH90
AH83BAdGy2tDKi8dWaBSf+4/4UCUKeN1XlLrXU2MGI0Oos9GNtkQu09Aned0HlSZjiHKZVib4H56
xH8NJK3SDgpnGfuGgp8VDPXKzGh9jlT1M5ZLsMWQL8xmeDQrZARVm6DqNAMYvMl3X0zcuy+u6LYe
KmaEIS3spRj0aYmpFGBXnOUazcuhDdvyjuNj2sOtB+wd8KRgoyUZaER2oShcLrGzrgVGwphMqA5t
zJIcAZBMF58hU9+X3alyo+FCYsO30qDDIm+tUZ+lwAnkdnQ6YeOe025gyxb5JUjpQfKbcnH0+ng4
icamwwyux7qKX1Vft9ApFcp2iOpF6es/iOmObbi0e9C6kOukO1zaxqWP+VnTT2FTJCj91PFbZ1vC
G91MCZzOgUITqOp2yIfYMWfTz809wVibHlUhxupsm6kf7zAKC712BvMt2hC2tOhE7uH11n16ZKr3
Uxnqp4pK8xRP4YDUP2rWWXzMzUSvQgziXvkrxaAe/h6PpLp/XYRGVpIHaNoxwXDPw6pGVn1Rd/QH
wB4ChokAHYMjXdER8x1azIqruN0yVy03Eyv/OtdoJdzvGlTDAUMMqptclbgRFLKpndi8e3zT1E1w
IAiUXl2tVa57AdtUBeQKrcsUdJZhbns+5cSMSIwg+nNPHpdhDLAGubk4kg73pFvYEW/+vZkajCGT
DiZkNF78zKKfpULPDJMcMQ4cZyeXkiAf/KA/hYh1h2aG98DasxfZs7N6+rmpX5dY9Xf01OaZO/6Q
L2qttl9fAvDuUi+oms2SRL+6GYOwMievMVzhpabB8BLI7lMmrXOK+3F4iVsvAsfYYF7S45vl1GOK
Wbm+LL64Oz1PvhnPnSBI980uWbX/QjFcChaGs2ExSlBH+HY7+qFF6iton70StxC9CKY+lWP7HHkz
yfyFBJcmwOMiVRa+I4TefXoV8m4AG5szpxrGzkrCPBSlvSS8Kgs+8utaihEGevTh6wDhNjhcWT/E
u0EG8a0NYHJYHf5i6KgfQ9gCLJoPW/MfpXD06+BXLtiA6CZi4uZuN/Xgp4DIz8PYbh/66YnTXhyC
B6vX9N5JiUYBkPXmz2HwXiISOveYHL0K+oUuzXe1NBsfLvEp8KGUB8QcVhG/8NJvYZZSsEMzlrUd
LpGArfxIaGf4iZetmQooQMPrMJX9s0Sn5LrnuVr0t85lHUjKixPROh/cxhyWMikzt/fK44S6KWyd
8lSBHMtr+hILPyNRhwbZH8UuJNE9IbK7UMJGGGaGF5JI70xqvS9rfPT4UFjammZCHt3N+mileLbK
qtAhbKmgI4XLFPtGUW4dHNrFWUU/lQhKpPg6cpdieFkM8Q7+EEuIbq0tJl/xE+SVmxEIHDPHellc
We8M3NbNBwEkDjb5AvWi7oBgtduBijDt6NBvTU/obQnr9gnDZTa2R6i/ndt7K1V01EFyoLpFvhki
Upo8IA9vLk8zAo5Fs0z3YfkyUjzYHnHXn/y1oYces8oGTmsApE1WItd6bBL4Hq2n9cavMIDC84MW
pPL6A/sv20UyIvu5Ehq1cojMVtLc3WXqkASFh9mF7/6I8YFUAZFWExIUcV9dAIm+C4zPu3QDkgVJ
28TbFT3/dhz7q5wAqJQD/zSjG1++LsiB7qK+IQj0dQhQxr9HTG+bVgHHvY/+kJARaK2Qbm1jWLHW
C04VzqIEww0vMomLxUvKAzIStBiScJdgAFwhR/OIuuJBVSSKcpeFe78sTYZuGvhLeJWktftk8hKw
uOSkOCiYpSTNjk3QQVcrVI6hPUgzabUcIxLJzA0r9AL9A+Vldty0WMf7qom2per9n03r52rRaeOO
zrfaXZYT/EFAEMLKZ9qFGGUg4uPXpavASZPy26Cb9hY1ZXBvvZLk8fxeAmTZOLBRDpXn8p3XjT+c
LsIsi0b8CjzUEXG5hLcYRGXaJQ9hZ4VQO0bTqUUWx64jUEct81B6ziVJIMX0irB8lW17DR1wXRGd
eO7UMPjRbA0fXjL9Sp7c1ai7xKkcmBoTCDu/guwZzjBXoxoMyxDnfGmijShnIHzt8Nw0v9uy3S1y
XZ48GapXZsgv0oNVJ2K5VBZNRSzlXlUeP9VUZqVHxdkhQ6q0T9+WqaWnPsYMGkFWLNFFnVdevfoT
HD4jS/cmpxBW3OpKpJziEtV46W7bRiXnVosGO94MLRoxm8IC3QUZoW5AYVaMwJDBXceY5tcRb+89
GhSEqvi5jYLyHIFMjOu5CD1NC0wYYCfVehgEx5CnotwxucQOtU38ZbmtNtjzVUWX0o5m0431dBKC
ou6szUY8Xrd+O4CDSINRBte6g5GYjP4KbR4BM1VF2KIEUoXj0vPURVP5WqqHti4Cc1raIDrawXOR
+dduWo0B2cULW9/qwNkS7lUf2URdc3bZsuZV2XuId0UCY6AIFuW8yL3p6vb4dUFIE2JD68FSNQBg
kxnkf4wBWex1dpuoRYgUdjn286Co/4O981qOHDu39BNBsTc8biZi0ltm0psbBFkswntgwzz9+VBS
t6p7Ri3pGMWcmHNTEdXVSTKZmcC//7XWtyrDv8sj32PiYNEkZxJJFngPjd14D0X1qkPQupiTezdJ
LvH5BKNCDaWJ5xkv4+gK6xAbwQ2nec6GVRXdNrsJPT9IDXnLXkw7S9HjlZDGAb6OgaRfP02o3NvQ
5TU3HDcDoNOxdary7OSKbBdi7wHDmj1kgcyPOSuylZ92mBBNs7j4SVderI68dCCznd48hNlQH5vE
xz8rgue+tcYbPqS3ijDIl8tBtGqCVZ6Df1KTZa3+OucUvbVHRf9xT/DcUn8TXXfIkdRXtp9ZK0KQ
FpjVAIOx6LZ8NWtR27DIutotH51eqPWkeSCOjMxcVnoao3ri9zNFKa7ch1qub/nw4A0MKbUTlxtb
sw9Oy7aRz1Wyaqtq2ECs8LdZ6oxriBvNhgcExyhsnGXcts6DrfwtpoYMu40VPwXThkS8fTAK+3vq
jdtsCIs7GUKqBVZIRg3y07JptGKVdmJc1Y6dAdBK1dkf1rZy7z1AYnlhW/eGxz6qDqL3NEzZAgZ5
fap8TC+duJilDHZjLe4zaQenngFpWb/UTmRtSqeTD34uuSD6GjtYWC0HgGbLltTEIlJksk3BLpuI
s7cOAlZHuCqgEaUZuzo/BqpC+mTDLh+lQeKI8yq4kYXrV84ynUr94g1hvpja0NiZGWlnnxzgoiIA
fsX2htZftzc//qb7lVzgvXS3TZ7HhyLy301LddjPBpvdRNjt+nAqtpgDjSX71fKu8soS1/gn3tD8
QrAwP6chRMpmsk6YL/gDmWk5EbjHURKoq47R6OombgtNyroGZncnnFreAOjoH/r4QQ+F/vjjL7lx
X3qafkkD/cFiPj6XVk5agUD+6+iUew4xipVdlG4bq/JvG2vMbv/YAYnGg8HxZ3e+Q3WxqRvsCFxL
J6o1RxN+sm5XSaga5WMgijC+4J5pxK0d297Cgde5NuOyPXpzGCKSOXiDLshW+TjwIQqBCXmZuzJ8
0W24pRSLpMottqpTzxoNz0poPGVxkLKUkM5yrAkENkVpsXkpfNaLtXFkIT0bNjb47h0Xt72TtGfO
J8W1HOILmSV1/vGHNiCG5QN2mh9/FfFHGQHhy3RHHf3AXTWqaXYFBIQjppxwX0dhdPQAUO/HPK4O
WfNmKW5XXWVjNRRdHm7MuH3JyHK1sZtd1fxH2PDengxJBBfRCStLmKQbw2CzScYQv7KdP6aqtY5u
CDohKhTGVt9+GrpaEmifFqyvk93EyEEcGf8qEFmFE5F5nq9jvhqOtwPJM0tw4oiFTy4Klwxzqor2
OR/IxBdJmt+U/aRYyhXDUkv84q5jQ7xy08HZ/HjnGdHVdVrtXAXDi+4P8ROSDPmNIQ0OrfE8YKy5
+/GHazKMkazRN8WxCNP0pvDb6pSE4ap1tOK+bGE6//H75/8wDTs2rmvTcWzwH5at2zPz++e3Tx45
hVBslrluoCbWUQFwzijWHyqZtNfObi0i6Tn+DMH/E8dtf8g8Lm66zpaqJGbDCxZvnGQoyUXE1jl0
y3rBRSW6jk6dw21SILXM2r9oBlHxLh04mjhiE/oY4Er54jVFt8pb7l8NcWmVJiWwIOKjHL5ZUkvj
GpIb+HNK9G9mrczfY8x5yuBVpMSrIT3L/P1TFpXbt2XV1sSrC8UW1S5WiTeuDFXoa1/CJcgHTI6N
zvFa+vDrnBzuQ+NHl5Z7M9wIjG+FqNtDhB+u9OzmGZ6RdigqkawC5ovXDnDKIlU3WZdgiB+J2bsF
jwtC+yas35Xw36a8bG+kXqNDVg020mK4GAyOz6HZiYNfZc9uIg4yQ8ogg+IfZYaDE9UqPrITeOZE
lN3/8bvg9/ElAPHEtF1wM/xWiOn9LuETlLoexor3smZA1QWs/N3OtK9IMudX0Dd4JXAHKCtgH2/I
6O+8BX/kh35zBeO7Gy4vBPZuQxpzQcjPb0Ez95o+ikCP+aP5nmrR22Cbe5XF3qqa4nCRSO2gI6nC
KEaEBUtjDu9m6oLhaLvm72S+/2+/CBYUUP0lZZnOTHb9+UfhMqjFBUhy7rT559BAFOZEl6jQQmjr
jnYo8HqbU0fuXv/zb+Ffll3+fxO6SySWKNzfjib/0i79G4jSnx/0l3Cy8ycaMSya/QgSS3BJDgb/
X2G7NoUA1GkBQ3IR5Oc+gr9ClHhP8Si4RgJnzxzI41IydyIAUeIzzMPmxPMc7rf/mXSy+yO7+pt3
rwCRxoWTqLPNz+L9Lrk5JNY0APonfCJGugdYooGu/pB1AwgERSrMk80Y91/KYulqxP7Bicpdl/mL
0pHIjj7RnPA1Fvn53+3c5at7FABwRv0vdO5mGUhGE+cuKebfOncNrwWRbub/Uedunm0GwZH9P8W5
K4vQ2AS18c87d33Z3Q+69um7YbI0GmwAUFtGgFLcsDGqbIo09IB0yPNUi6PffOAqLh9aPfis4rbZ
mrBx11EC5MhroxUDIUTljE1LVrorK/TafYqj1cwduUgyFiZInNPS6b2dykxFSEc7xFb6romhXwMN
yjiWBQbnCHakxlrTq2ClAKUuXNhECy8aJyIq1q1hzJYNgS445F/R5FXbMSzUqgmdD4KR3JIMqEnC
ZwGQ1w2m6ksR3gkfZwUn4ImlevlV2RbBB2W3Z30K6GFwxc6NelCDZGHwTtjl0ii7W4u41doPhhG6
bzxjvKyDPjSPus6wr+ffXAVZ0JQ68CTBbyARy4Lbl0gJ5vema2+mwX0q5QjKfww+8YNfAxivV0fW
F6NO/U1k2OW2B99idnVIkKC3VrKKHsyaPokuRv2OTeebRmYP6665QAUUvczWIkdAJahl97gcKsf7
0hndRjedbjOtu08rgGFD8WknWrQapPXm6+ZbB7u1MDDmCpOzhQh5dkHHiOe73/xJ/5xqtMGyBZLj
GW/zx3qZ4bVZihDcKkFOschYfdmDdWybAlJMMz5K3Mie2UOVCYjgmXp/Cxjho5kw2sRGfKCkfN21
5l3LIhc6NNppNlM2m5NmBRHCoN0zJOEz6YvhcRjHPRl0sTYgYJ48FonL3OEF112XVg0Sky2qsW9+
tX1604hcw3PhPI862OAh0uJTPvI9hwDamVc6j7qKfJ7akCxjIFw1PrFdIMNs18MgR0P25wACNjZd
r+TWB2W69PIV3ogEb/XYgSx1+21piNu0lezDfevBi0oiBWCDV7Wmecuqr89NgBkhSMWmjvI1DmBz
GRY0VmAMU7CdsWqWkXqWk4s5pC3wHc3WYbPBeyfyGRKWuTmPrAOgsqQd3CHF+t12L5Cphj1x1EcJ
aGRfDfO+2+eo0AWXuGMxProRjqEkuymCEnc62aHWwscDk4g5DjibLxrGFsBbywidZaUMjpTh9OKU
UKe1cnwljvkUucZ5EKjy0qVcwVfRmcmLT05FGIu13aiRoiNw+tbX+bfaXOKpasneEpUqW3dh41X+
AaPgzDF918ge7Tub3A5tmz7+aCtl4AvkwQyL5z53t51f24exrS18fwgKwJ13Q8RSvm6nz6gRj1z0
vJOW+lgE0K4N1jOc9O0m/yZAWywlBo48SB16O7qzVxZX5YWf5qA8xjTenYIdc5LHwabSvJgpleO0
CaMcDulZVSSUcCEeYJBaK2s+BucVe0KW3DdqIM+oGlewFcMTZHqffZS8y2JCyJBPruZ/jP10zAGh
LZ0wuph52l2x7+grD5QdUihEI1VExS6txBfaSr1oHA4ppS2rpZFAlhsjFotpdldbVX0Kt74p7prm
9UvHvlVV8p17eYsuNpOFMYGuteClzUn9MGNjIQlCPpLNpB8ml9m563dWfAncYG87Y0/Uc8AvHutc
XSiEsJmOcZ51b1WWg3KXezMxznXRbKK86N87Q1B5wvgdR19NGibnYKZicOA9xaBJFyCbl2PV4VFM
uB5zOcoIgIuLGxUGawVhc+GlaAMGxb6qulX1iW3ixrbwKnRGgashQRQ0i2hTZ36/q9lvdIHnr8j8
KowRxl7ZXXaouaB5OEDWQyLRc2E7rmGOTYvOs+KFn9+x9yhWZqLvfb+Llzag4kMW5YsbWYzWYVJ9
ROAZpl2QDCMUVkwmtezu0iD55uq89mFm/rhQk34T2VM6ZvswikiG2VvpVtr9MPj+zgqgdTVpeQQt
/8XFreJCb+yoOJHLuiqdfRk6j6EulnXt7RN/TNdWXkW0eMibvoYjn31BDgvxwHr9seKjnblFtEjj
jnKSbFrySk9X6d4nbfymFUTFq7Gu7pumuQSpuiZeQhoZucIfo+DiDGwXAhQy8jkci6DCrdIpqVbo
JuD/nb49i5jtYteyskq9z7EK5APJ0YBV7gSF49Wt2kXjhXKbZcalMQ1gjCyA6zT1jimB7m1RuG+F
mJd1iPZ6Qqx4PNR6sBisac3Cr5XxsW5kvUEwcXdW/93hJH/QWg6xHvFkA5xtjHq30RxzWA1QXAN3
ilbN4HPEk068H6ZrV2T6rq4x6MrhlmF0i7ZTLtsse0oCaOjsLdHHNJScQkh6S/qcWKZvbQAEznzb
XTYOOHkm476SKn7k3PeiuYCBHTHVV1kA7S1lyN3Mk+EKxqB16XvDXjpZtNZqeLUlbDzwNwBk7CrZ
y3qQ68gcAEkUGsxf2lU6VC1rqFYuF76dAH7TlhLcfrNpayc5WD2JRBm82Nq7XuKDyiojuyRFp47C
mU7JmGE8tQ5R3X93w+g2bRggbHviXZ+q4zAMgFec6ZvSsCznTqDwAnJxF9DPCGp1ybvQ1V7FAIIT
IrCe+UQeCw62deN75WmIx1Otfxqx8WHzFjedYC0qgS4x2SfHniT3zpSESOSfLQygtpd8BSRrZof2
uu2PZcSaDv7+sLBEe9+O+hbdge6flutzmvXftHZLr9MHT+CaUzpwlFSmLAIKCWqqb1hR5iOfEve7
xrktoMEisQAslpUD/sEO92HvNGcX2ABat9q28QgCPcoOQNOMvZVHn2oMqSb4TMZwCXUZTmi4G1V1
cbn2PVrF+BF0/ufEKmuqoose5dHsL4AAPW0gO8TLKjCvwjGPJaavNWzMsbvSTuZf0qZfOROXlwDr
INsiAR95yvipJ9D9kCmhNE/lg2ZkdDDIWlu2XhktLOieVhq0G8iGXOgiLowBy96DwAY+2GV9UzVY
86U9LlWNp5R9g9gL4X5x72s2mRMto4vGqwv1z36TflJjtHfpJqpfOO8Qjwu1dcU1GT9bTEA0jqkr
YH/P++vFVNWXSIitydaYaBhjBvFZA+R5/k0NDxVuzTGVLNVRYEH9iV2UMGu0eXdoex9TwzDsBiqk
EJFbPpRVsdR8AmteH59jNp3rSreirZ6Nj/qEfz1qy4fIcdZljqrtsHsATOPRnzZhAvXJSyWzzVx+
6eO4G2z5rnz/dr6/YP64t32fO4+BV93UMrXh+nc1Mr/Y5xq+tMGHyGj4Kbd/78BleWGlZnRjDCRt
3ZSxMdUJE3ov3mg/DmbVL+JKHYo2o1YiJ4lsgWJZmYPzvXYH4+yFuL1LcN81xvQt9uO9X2T1RXOs
2VbcL3MzZ9DGx3yOreJZVSD3DK2+AT1QHaE0vkgRAm+3kuD049j8L1sf/FzZ87/+exX7eM588P/b
O4ZF/R68/4xLmzsUfzzm1xWDC7nLBGL2F6oyC6hfVwwsFoQlpIWxzbOx3v26YpgrO6lUFUxYUFws
Q7Ir+suKgX9i9zAvGIQ7t3aKf2rFYP5YIfy8YrBZfvADm6ZHQyjf7HdbKdbxo+WKEj9l4D2aoJFo
GduKintD095hRvePxTjlW1b3X6HMlxJteOuMzypwqDXR1l0VC3hbxR41ICBCKY9OpcimDO+4gJol
wP+nMWJOcgtaK6Lyamu9OI91eQWs9KWSEDFRVOuoK49C5RxXIANrvptsIna4rQFbMJbunQRIsMmU
TyGIxx13MrLlQP3NWk/0S9FBd0nPVALqNzV63TKtK2vZcreqJwo5ohL9qCguwEeqjecEmP6zeDcC
Ia7KoFkl0R5j7geHy2M9xMywg0FhDBdFiepygaX5kRt29pqNBwQ0KMBxnwL+xPunm3QhaDrsZiPI
tzp2mYxbqebUVAradnbB6xUTneRmVPiULOjtNjMXPrb8ouOaZdNmsza1EI1S1Musca01bOYqr5rV
2JjXqg2vpkQh7G24r7UwbzQ1vTbj+GiqiGCV5HTnKWsfd5F2qe/Nsb0UtSCUOr10rC3tACoH91nA
0an3XnU0vSX9987nrkVCvVrQDfdJIvIUzVt020Ufs/MNweSvqRKfKRn7qW23NWjbfRdHJ0L061CZ
gFzVcLaJg5Ccva851edNVays0gHfWwPT9n19Sf5KFXcpZSsLx5Vkjllb4PBa99zzOUJRXwM8QFrR
4xhsjNwb1wxg0yLpZQoiZUAWgnBv9fv/DBdrSY/mXPCYl94z/Ry7amYSd/5dUFAF6U9htiUYe+iN
2DuYhbij+AEexBxSsYnqRJn5lsTeTaEHybkoWyoRw2HXKuTNgEI9hId4VyW1hQOCa/NcVxnTWwnZ
mA4fdzN5bXmro0ybRJyPwGC/mi6tT1FeZus+AqtQ6g/6tyFLg11lMTCZTZthMMQ5Q+fKa+YMR29K
rAVxLpIa52ou23Qa8RLE+qfmcLBIuGduCIGvHMjRKZrwmXP5cDXrEJlLI0sGgMdUKU/Mt1+queqz
6Ydua9rJMnIyBsWBPg5IAJtqPk/qc1momGtDFf2hai4STQIo423jLIo4hZ49+pQgjWt9rh9N6CGN
5kJSe64mJdpUwveG9tvTW6pN7UNqUmRa0Gga0Ww6eqXOcoWyU47c1lIE2WevwASaNKKONKM2NKTO
rnLsUXVhlqsug1iKIpKu6xonWUE7TRGWO/w2aq5dZQETMKhW330+PSRBoO5Q2onniv6EsfcJ7+R8
xOVipmN5Hbw0+czRbN1RZWUjKk/dWx6DD1gJaD41sN/EO3jBXoQfTlAtNdhUsgZC17csGfYJhnuV
dnis6lVpPmfI8hVLmbB/nRK6FbSQpqnXZv5erI/ir6LZRhpNSjiFdKrBjrTtcIi9j0rORNziRVHx
nmM90zx3YuPYV70+THCKK+3Vbp8t+MD8cIFnLPTdaF8qGAmZGHk+6Jo8Kp8vytZHmNCFpdsbjwuN
p8f0Nn7DTrDlN0v1abisKUUZymYtfPh1aby1PwqBUlm+NYmzamObGhhvi+VgNbxzTVuRaW0EvUwJ
zJXuBi7KzpjcLSinBeCpRQrrYFIATtjMugGecVqqTM2h9cdbVNGmc85l1uzMbnSW0DmGBzNN4qNh
AGtrEOt3kRsTjHUVySu97ck9lISs+vxJGGl8aVyawWotv0a+loDvnnZJkEqWHgbQjeBzLAne4YQ1
6Xcxym2AMe7eMaYX6nUbjuFRuHajWz6F3qGa+ELDYMbr1GYUa/PcWzpOFC0K3b0KGl/QY32m+zTp
2C3YR7sK8wtEGX6bBRuTkaXjwpXGkx65mEALETKzlSQmHPTogCl0lTlGfAYKiBEL4c5l1qbSqdjX
pY3xq/DuQqPZQG1xlmHnvjlo1c1oNvsxaZ8wHGxNs6kXppE/1HmADkfOYw201ljQNndj5ONBOMnH
GI/YHet4FdSIoVLBhRE0cbISWuShd1PWNtfsKN+XRQ8/op9tSdr0bmAm3Gc2bE9S6sUyM/E7SzE8
NVVDI2kQBbCv8n7n4+Xc+r16NlRlwntP+2Vkkl6rQvOGHjZcP6H3YPLpH5hSFtJhFe0iti97ztTc
sSYIQQnXaRFIpk54QqTrY+AFxEPUOStbsHcZ+GuQxWvLSevlgN1MK4d9nPeQeWdD1P+Mof9YX4jJ
eYW57G+Pof9bfY/q4rdz6F8e9GtfCOOiO3dHknezdJjNP82hlCJSJeJRfW1DB52/1S8gXvknQROl
++dHoETBovtlDhXQex2GXcZXB/Qqldq/VGz+hUn6R/Xf5vz9f2M1sR0UOGC/jMLggMUP4vRPXgHK
ky06XrN6IYJb+PzpMRLDnW5r4a4rOQCORb3ijFdsZAAe3YzgNdm1sYXwaeJFctiCWFBpilrz1m5R
c54L/XFVzbU5E3bOHd7vTScrf21gCVlg5SmXrOmmxdtDinS9iNxw12bDe0vd09oMnTviXRTuELAi
NtZTBDSRtaOJOSAC27rLeuI+SYTANiuXOx+izUDaYOZSyLC7VhmEXUfPbmsPAkZGO5awuu95pXHd
GQrjthdbdxSkd1OWd3atAJAHzQ67MC2/ihaHkTWPIanMaGWPJMBOVAfYyKe/famJ0KWdpE2sdE9A
ciDQGfwI3cDiKDYMlnPcfeK932AMy+k2WySKLzQEwV2srC/cmiv6j7Y+99q10CnSxvPyLZlFGHPg
f+7YbZctwPkEx2YmgBz6WGPWYyT3gad5Rz0Z7nqA+kFku/smYaQlw+VVqD+OLo9k/Nwte4FgZdEp
LlPfXCrVF5t6YPIdagpC+7L4QFVqNwWxXRJdsc+N4uQmzTWyfIOEJP79AZM00ECnJUA8J8q0tVcS
d5qm4BtZAA+URw0UKrjNBMGBqsySBe5KbtOKjlDPX1sA42GeP2UNxA+3GONtgiX36CIwYfABadp0
eLdCXNAszIdPrGvWLZWQ7TKOUv3kNU72UAubl8YBVtsG+bquBu4AylqN9twBQvPe5CTHuNyJQQvg
gwhv6zQ1k3bTB3s5kveTGF0E0CqZgdth0cTmnvxdd6gNGUKtmcSiakBq9VlzE7T+JouFs6sU6eop
1k9YHot1F3A5TtpMLQrCmYvEZkoDSv9CFAxtr4npN+CWQighfbYKfeGNA9l7VXH378atgbcoUvqJ
iz9uNOYW+BXjOaTcKdCSdg9L+a1sam7+mfHYT+VXry7mWH2xd07WIkm+sxfdp6TSt31fcbv1ZwMU
6LGyfi/ibuON7UeqIK3HORBTPQHTO45nj8BmlJpHN+vOWt89R2kLuIrTl92M4XE2/GbuoM/mChpx
2IwRdRa3kUhPo6zvWLxeOFqggIru7Gr61gU4jFoCi1S4O9L++4w+1zWBhxfLHt/dVn3YXROdVPst
1yZynUNVHcDw7tqxKJdWKql1C3xnYVn6uJosyq7aMtwEySg2QVhTCkixZMZLdkpKmaIIYITERxXv
qMFe5CDJlzJX3Mj89KAcBrGm4B2FYf6usrgpq9y5oUKEWZ+QvpHkdwOnHhf68rqJvQnr7vTVS2II
yWDKLWCHZNF61ks3Q13A8lCordm3esUVTMX5g2d8mAWCGbvVe2GF7y1HJCzDdcOLow6DR0VRQVLZ
lIykMbAHipNOgQEyz6ZW1uyDYzdgSGOtuU5Fsva6GIoSlc+S/xiK/D4RWMl5a6f5wVXFlx/xb0pz
CeKqM6mKzRB7915pI1HRVBFPzqNXKDpEg4CS96rhENYwpRnW0rIhBNGme1R2vG/VXT+mHo3zPjyO
OadtILQ4zoZSY9TYsmPpbiSg0oYEWjLOmswgTYCttI6qZ5Ydq8GiEUAvrF1saLT40qvYehonlVpf
VoOkvHbyEAkfgzRwgK445trurJNv1/o6Hxnk+7g7Ep5Q+Jrie1fk8VKVR3hc8b2Qs6rHzqH12Ek6
eUY2yPl0at/d6k33Zvro4/xkaao4txT6B0hYhL3K8vDWYgJKoJ7kcoDonESkVppz3xgkMqzgm+f2
s/CgSwpkkv5UIljd19K576e4fCuNnOGyR3xs64FRrGNNynperaOMeFiIz3BhyLSDhzZ0SMozJTCq
2D/k/UmHJwNyYpBbPS3RBzkJtrFRHW2z7XHM4eDoxmzFL7nZpCWCPPPvhQsXRDBWv9xt4KyI0ASf
BbaL91B/tcchPXOF4Tuu+s7L7rm8cbi0DdzZ/Uk4ZJP9wHolKFC8WU+QEKYb18yP5JXBoFqhPFhG
vBzSvt4Nk1EeyeISckf/Yxhm60DojvIYy4HrUsUnEMoUxEWc7/9nyPsHh7yZgf1HQ97ie/y7VSMr
xfkhv1YteAaZKsrdCEHT7+bhS/rrqlE69twZzsIRTP5sdPrFzeT+CVK0EAJ/72ySM/EY/eJmcvgn
ZjI8Uo6OFfifqw6nkOV3Ix44VeEaTIqWjoPjR6vDzwa4cXI7A6tbir+jv4mi+JPxglnGlwe359MK
5O1ah4ZYjLR/wUvV2CH1B4NdAzC8z6Kx33WdWgL7ewLlcBPD/CRbXl07jxOMm4RnynnPc3S96Wx8
HYF2kCWTRxqzd1N2tLJJpO9UeKfHHscgfdjghAE6CoaQULeY1jTkYAIWqb1ic0XfdMoV33iWPtG1
kPToKqRTO9tOYd0ceZ4EMoX8SBPw/h5mfiLhBPQdlHOXGWKtp+MCMAIlzHXU467Ekl75PCHg+7uw
gMpnYcPtRfkeV2n0bInvZQBUVvU6qAPuBTFrA+IHBfzNBOK7hWTgW1RGpnRfUdS5D+JMYH+hMAxD
LA79zVBEahul2U0W0m/HsO6gmoQsJz3mHiuhejaNvDfOv9ySBwIg4KJLgasAYOwFhPyFaIO2AM9H
gcPMGbJNtTbVqpKpPOZlw9ruH2aj9jbisUnEAiHz77FRJaVx6DP/YjZqZE2Q0n1jJyLWeY0393z/
92Wjoh9r217pl/8KNqoxs1HN/5/YqIU3jYfoETITVjrLfu0kwMyc3XwXkdv7AzZqgsuyDF8bPJft
DJnNqKg0jHxHGdthElRP22X7pYuAxBOMlxCpN8PJ2eLobAhOLLtZtdNn/Q5zwss4K3r6rO31iHwJ
Yl8xq37FrP8FQTCgz7J2nrXBEJGwmdVCMeuGPgJiMyuJFpKiPWuL06wylrPemCA8jrMC6SNFFkiS
djbLjQwkMcpmixf5pvL4izzUJsKI1BQnEpf/Ukd6wYxYXIMmIGYOO35RCbta6sM9dW31pkMq7ZFM
9Qx4qjt+kZg3ZkXVS/EhTb6DA4MmQVLwjKoG1TMiKB84/68yXz1GxhhtlepwSljhua5pbtJp4aQ7
EIiuZ/lLOXBKpY0YEKjfHqrMueizElywEaiKHs41jpZ+eCD0/a2btWPSPit9VpOTtNXYA+ZfZmyw
A0dxzvMIHJGvVqMvvYU9Oj7BOPOuRKhuEaz1Wbm2e4OMMVp2fMkZIs1Z4ZZI3d6sefez+q0z3xH6
pjR3VsYlEnk4a+XhrJpHHfp5O1n4IgSA/Vlb72aVPTDR2/s2f4Dlywp51uK1H6p8ij7f6/gM3Vmz
58y6YsXtUy9zzYtdNWv70yzyz2L/rPoL5H8g6fNCMFoIjAECgwDy9yetyx/9IzbFaCouDVYCDUsB
DYtL/7OffQY2hgN3dh5EWBC62YtAFqXbNn29ZnvZnMM22FN+rK3wQlO7YdHrSX47ba3v6exywDfC
KIvxgSo2NIHZC4Eh6FpijnCyLQvzb93smWgIPC9DnCFMkPcw8fEMaPaE4n4Us+OiEAmr0eiLxvp9
ULrnsgKsY6S9ZOlonuTs2yBLEqyho/OafWjZZ9r2p6woThO9YDb8f5QBOgBHUa96jexT6sbl3lGc
tScjRter62PSqmSZTH19MAY6MUhIlnXd75XFRJBOmYeyXsFwpVekdyXBLPE49ZRCe753Dhgf6Bgd
b/oWqgANeh9FaqtlAYxs49e32lhd7AJvpZxXMR2CHTHGt2SYvVkE5kCekcwepb83TTjpXWpj7oyR
11w6ozlDjsa2ld7V6MpzNbJaQml4zcNMbjnq+qG5MltvQ43D3H2gXWPduuglhsDaDG+8gtGoKqN9
1sa3Q5jxKw7B/LUtFCEDESCLj5vKoKi+NSe2ttP0Vk7lczBY6CU2IwD1J+mazvNY14Y1HBpKjSpe
wC9Z8KakM0ZbaLWDybpKn0ofQC6Bz6PbTzn8iO4ld1uKb9vSX5P/jUM8jSMdQ8eoa1g/kKtnSzGl
a5FW9CxE1p6DcE8dpEFVdZyszICpqcurGDzeuEn1WDuoLMIYUbRbDtpbSOdiOyAy+ivAhWIVNRrM
VrIXeUENJD2kp7yc3pu0p70vdADx1N7WKM2PjI00KeyWsUek5UWmE2UWfMwyN+HT0FM+CPinCwFT
4DRZZUBszmbxZsZTfGB1ARAkuhb+GOBOSl/LbHxS7sheKVRYXh1VHtC8y0NcU2JAQwwff8+8TVVw
cEqefdYHAn/KwMF6Cre9jVdQKPXk60Q2RDTeYxLLiL6zNiipqiOYqm7g/V6kk7F4aGS/Drk4t5H4
SAyI9IVPIjxseohMRb8El2uQLoNB4KnceImC75mXwjrSYv3MjmxdwCggzj2ow9TuUjXSVMvKbRUO
wQrXSn3pR23kk8NOED7DQsbyrWlhJxBzqZHVwfqVSGhloZf7ofRPI/HsvaHURNrUZvnf6hcEqg0S
3wFrzs00aA+y/JAOREeveZFadlKT9t1uNRxTastQvuBMOrMIi2usADyl3sPU+MRqi1VEhC6AYcR8
/sNdZav8DazkvuB33pv6Ts1sEfJ0+JovNfurUqRvRd/TSANrEfcO52Al7Zs8MgkiD09Z9m/sncly
5Ea6pd+l95ABDsABLHoTiDkYZHBIThsYkwPmecYL9YP0i/XnWZKqpL63Suq+ZtVtpoW0yEwyIyMI
93845zvTOUSfmuv5RYr0qhPO8d7KzVsv5RxyiOosgk3u2tcd80OcPNpxMor7LIK0YKdX2WRvAwsH
45y4fhcfoyHd5DZ2t9k92hLIfGGspCzJ19SQGtyY4SHrPYAL3Xqeig1eVFCo2nZI5Vbgbib01to1
VfMslvJemapzubOa8j7X0g8kfqiI8pPp8TmV7Oma+GNJxUOWD+c5QTkxqys0gCpRWHsaoatew2fa
IbQP2k1Rlpeg7c+D0VxLmFYTIFVyzPZjQ00vBdAwEoSqdt31AKxGPL2xuR6G/WwxGOuZR5e7kfjQ
kTg62NbrumGyNY6gXMNrCHAPWJCvcda9ml23HrTh3P389rJOJYvl1CXNMzqTbc5JUZveQ2EFRzUk
+vFfOKynnoEOvz/2BULG/NXS0IYSykDnsEtk96jrxmYpsoL42WHbjIzLEh4zegDE9qW3NUtY7Z7p
NhuTraR51bvFAyid9TKE917qXGlt8q6nlAcEEZBTTFop6D0GGcMHOo8O4kOVJ9+6hASjmuRU3+LJ
pMu4M5P3ImkZ1Y7vScYxJR3HWVlDopD+pGBZHfvVbqhuvAvBDw2kHjJ/hzl/b6eOhOGb5FJ6zga6
zvTMitdIbLlqnADh7lgRndPucGaIzSi6GsD6rjdC8eRyzOteY99PbnHLeQ88U0zfcgLPNik8TZSw
66gRDHsj9733am3HUXrN0NlayUX/PMd9/NFCRfAbPOVZgNx/rvFQo6IzieYuKcxwYDMZPZvjlx1G
X/1QfeZ94zdDxMOWoQZNtXtsaTOtHRM0Wxf7CqVAhyO7NJNs27tyZ0NVQWGi1vsDSm5B/2uMLCD7
4GUekQO7xgKnUi0YXGFc+Nv5SvJjY3PYT0V5gKdK72qMYtWBW/Dzzrm44B/YE8p7t4XXARCiAYGs
7XKUFNWkZAAivsu16t0zpqesbk5zLfr7MdLeWeFsHIwMTP21F61pH9lL9euyY3SZtlWxbudG31fO
1ahO2gKp57HVxlcCpZlRp88WbtANxBMLOQ9ujSrTbqY0W/01a/ojsyaDYY8LD+qfDpuUsK34n//j
NxOnv3/hryMn6IbK6yb/t3RP5yfWeYL9IKGfzJeE/Rt1m+fyG8yibAuZm2Dh+MtWkYUjSTto5hhj
mdgkrT+zVWQN+buREy/LcngBNko5YTH64vf/YasYmdyzFg/bCvM+lWWgndjbhz7AO7FOSnOveUax
/oEgzrHacG79v4QgtqaWSh22z+7/HEGMvGsg14F09P8rBLHTM+OShQt5/9+CIDaF8RYBhGD/ysLk
vxBBHIS0SQMmxz+DIEa7Ox48K/nXCGIwVeXaYLp2/C9HEJs4yVGEE2DPkPjfhCCec3ldYwT8DYI4
Gu3q5E6Ysv4FghiWonHqbbwg/xJBzArp1FbTf4wgtiQEHmR1/zYEcWsv0s+M+P9TBHGQ7Li1/0ME
sUX1utG0P4MgDsv05ACX+XciiAmkGdhZ239HEJdDSaYTPsk/hCDWX5hi/zkE8aJPQLXD+g8hiPFq
bzMrh0UUV+V1XxTnySYjIrOrT4HQK5v05FBrw4duT2cbnw9xbTfuGBxaiy3AlF/SrKbXT4OLUWHu
gTMGGLgw+22Q6rjYLgFw/lWa2WeDTJpswKlWRx9A7ct1WMqLU5Qb/rbL3OaGP4QYA+eUYDEZO6TI
RdFtP4TfJ9lv6MA3zIPSdYwPfWWFleZr0q42iVb5o+H1FxscyV40RH71IaIExiq48eaMNMIRPLtd
++w2ldHEjbYCJC1hKrC9FzS5VbjsMmTAPq8AaTPzNmM2v8N7eu5jd+c6Ax4bBBF1ZDwkcXXNnKA9
elSrXopO+4qddY9PQhtWEVoQz+DLs3ZOd0kWXjmN3R5NYd9NNEwLV/pISQ4YCC0oLXRcKgVuCzAv
1r/KHpA3ac/2Qdb2Qz9eSABo1mAB0TV4zV1Cpq6RJe+9xRhvgWaJ8bIloJQFcxBopEKEIUJsbzt2
442JPL1OCLTLw+Ypz4Tl0++ul6zYe0Bi8IEa1cYJs9OoO8hQ2mg5dZ4Ht8wR0JL058QBBl44s7m1
mrlic8yAKXC38UPByb6boDVPqfZoh9aBsUV7wODXr/FLO1kPjZR9Daq/hhnfkK1mcx0VI5DvwMH+
w9u46MmuEHjU2gk5j0XI80qv4m8D6QjRCMG9duQWj3ixLbUmOQZecIZFkG7iNkV8E8t6M1fhaRpv
9TSodnPQkMyIaTIgfQs6CYgllgM7gww23pyROFzNa9bJoYgJv9QIDDNkejHH7q1c+neG4g135vBt
7syJhZXGJNHLwRqm9f0SfOZOC1CZFADlpCUufj4CRN0PqNP2iaPHqyqn+UY5Mkcw0DWXX5Ejgk07
n58TWPobz8v7KyQ2fgSMTHa977E5CyeIMmOOaXKIYTfl+sbukpeqgxU10T5akgDhjp8hPuKt3gXp
btLNSxKWJ3hkLxPKMq9rN/Os68iiECsQrPWOsnWlUT4ysevF2mCD75nX8VyJ+zlhHCrr6YqYM8aj
27B0wcamIfbwdmTAMDnVGtbeJjZCHmRoTm3mHAhW/PyrqfkjTY3jCuYM/3SB/hi3n/1vRZI/f82v
Zh3QHVgyUR8ibZQ/eBy/btBNmhUd/ZqNVUYYKnX37yJJoSNcpG2xWLL/TiTJYcNK/lcB5Z9qZ3Qa
o9+JJKGVILdEu+TQ2rCQ/007g8LQ0XsTyflcpN42RS4TDhj9JkeHohsb/SpsECq2FkP1VkE1Pfaw
AGdGvOg3aOsJbXLFttf061KrrtHGP3lciC4CqBQtTF0tZAdyi9nxcIRb9d550adu9e/d0iNFG6PX
6crujxF0TxEkV3kFEUCb2Gh4DKZgE60GoNjvFpHbZosXKNZq9NpOBp3U1c5LjLWxDu0Rvu3NCI6f
E9shry6s2GI/O0pmLxt47Hk5IzCf5G1YEHCMILCLBp51N6sfwuim7gvYD1Y9b2oQ70W0MWU5bkwN
BRFUrBdwBgWww7Up6VbYfAEYrTyVpx2sCBISUN1MvJCV9oooXT9MqQenAORUaayCBlmkHBCaJ3sj
TVMkZMV1EA0SgNTUrw1dSg7OKvKX1roTA0MM5KlKf9OsEhtYRE6f6Rd6YWDJbm6X8Qm2XX+yPHPn
Gs6DKTDkaOSyrx03+mrLJ1eAripVikMpWbh5CxruiLWXxpogl5NfNtHdUJk+GT4ql41pPMJsJPee
wDWrrOWCuLpmaHcTCnl9iUjlY2ppLZZzlDEX46w+dFyQm6Amm9nGFmm3HREooDIJicq+em1x2H8j
LvOYXg0GZoM+nBnSZ85l6OFzfoU2i6Ao2Yk5rA7gRdf5mMZbvglWYSc4N4jTOKpxbDrJpbUQfaJ3
KjZur72Gk/No0ZJv5wzpKssOQoey9pInfGloAKDQx+rVHY0XjlQBxhLWlSiPhCqNHa7MNDo1Hpk1
bo7PN9KwIoD8Q3qJWOtRaoa+nfLopq+tZc/RCyjM4ec+fU+0fLwZa+tQEBvvDsBM9OJRO4T59Gxn
k/vuRTDWtDm4lm3a8q4Oh6hsL4QqBocYhwKuau+QuAj0J0GWTYjGcB8uzEKDLQoK5Fqt5xLnh6Q/
Nl2ADfU1wdQHLNMLkTrFZ5Y1Bks5mJjmqGH6kePK8pjKMYxjk1m327pOTsuYy0tp6tdpZ5KWCkMR
oj8+90ja5jZyl52IMe9bWlasvRDBWAXj7ErgyMLNPFIptcCMG6NaS4uV02j3xmo04G+YKc+IwT4y
X7A0SFxhmFNmdxMZZnuE/Y3qK2OHoWo8p1jZU3fGh/isWS0SNvfao+IxMeupqNFdCYkDFg2blDJw
HkgsjO5qkQ5XMIjeEk9/qbLWACJs8iq50wV3e4jNHbChvjZ3vbr6677t/coaCj9QhUFNhaCpUiGj
ZlhU8WD8KCPG24WqIkwoLxJVaDiq5OAhPVeqCIGMcM9zVWzDvOCnPFQeDWCvRol5Lmims0hQHvep
2FCbEFrehL04CwKNWgs0BJxiiMmnBrLtoa7SBykSYH7kOGxJMQWLEGTx2bSfgyF/rIWgLk5fYnOU
fizE+1wAlg275DltaEnBKr+O9UDqzmJttDR8CuuHwcBlhDgnp5ao803LuUfC07SKleNqzDR5RWnG
6mVeNlYKQsWZ55vJDBFCF9FT4lbfQ9iJXtjnflYFz3b6FLksarUSSFzfUdGDtgOjHWjhNbuS6eS2
SFOMBxkNHurvZd6BqQT0iUsyQ+5YUpZYXjFuWORfyXG5SdgygXnPDmVJ+qFb4EfqNXDD7Fw4raye
XQd1amkQUbo40O4FMGEHysBcOeE2WkJUWBhlsJUMWLnxe+UDXUE+svIN+qHZAbDvy8wvOpgNuZTH
LoKIXOfmuKqyxNssOtKGNgazMnbNlm11NpooDiIqW2PcwS9yuXiabx6kKpS2JedqRpnUDBtyR15H
TfvuslwClF9+Jk33wo63lglnZJcjJO49EMftViBCZoOycIyEt2HV+KnSKQOUP7ht9NkpBXNpF1/D
cEM2+RcirW+kNhHdh+RZC9A+h4igE8TQrlJFe0ofHSGUFgim0a2SkB3htZramXUcSTyyeOrDDqCA
iY6be4OpUzU/u5qHvGkcUGU7yLsArXKwL1pBs6RfVUrF3Wets9faYDsg8KazyNa1O/CHGONvO009
kzYNSb5BRMn3VUrxEcm4PpNWioJcs8m3sVOcWmzgwj1oB6H05iilZn+SnFyVvTan4VwtMt90KYjX
wbb9QOnWU6Vg71yXK3NO7NsWeXusdO6dUrwbSvue4sEl7ixrTo5SxgMLiA5m8GgpzXyKnleK2m9t
audK6eqD0oX7aVyEBMvR2uhkCTL/XtU46ej0WCUXKx2Zfota3zwaQlcaYWmiHGgvkQsNG+5RmZF6
7blztw1F9j2TluTlxtbK0apyi5qNxEKsAovyDJgN7oEC8idY8ogBX+I3POZahNNgwHJgYD2wJuGd
ZvTgnnIlZMqf8IMtXWJZ6LAumMrDkCg3A0bA9zTAsZl39FM5emxrttcpFgi6tju94NgAtVWtRGh2
vCF7XXyPlXuiUz6KSTkqtII9qqFcFil2C3RzV643PBvKh5EpR0atvBkCb8WPZUqCbWNR/o2+sRry
hyGiKm9Hmo4ICLodMeni1lHW6jYidYQf6SGM4G2J9HbWCArUMY04mEdGTCTMsECAKV9Jrxwm9fIl
ksr1S5ddus6lsVpmgN9NGiykhKplT2DdRSkL+kjv3yJsLKnys9xfN5LbRIuw7SUxPBpAYkSwhgfR
1OhIonCGTsNA/Ecuuvm5BIKN7DiUMMXJgJ2MiQMBpBg41CYBEp/BCdXcwP+rU/ljnQrthfinnYpf
xvn35je7F8ACf/uqX3sVxxRqRWKDCXD5UOkFfu1VPLoY6Un9b62Kg2vrl15F/wmkgGlRddpA9H9o
cH9R+3o/eQK7o8v3RfBq2H8KLCCF6kV+CxbAagZ00wJhSHOmXsQ/rl48SDxGrGs8ZQ5WyqLMHyeh
QYyREoNMVeIvvvXa9jPwHBbxwW0ydoe0TiiIen4YF3daaykxfXpbfwEtvWsZbyGOOfRF+t54wcl0
i7uxT0hmJnZ+bN21E9557Y0kSxghyBatA9t5UEIl3J1MvyZn+cg05UXDG9FznsWT+W0y3Te5FOtm
gBGjS+jDAWFv0xIzC8uzLeOTewl0vk1NhfmwqLUwY+Y5PHgP27FVGu2aUInbBJvQlfVq4wnyNE56
hRQGRTKRLDXgScYWuiKi+LO0jFcJvoiZiTvBbHcGTN0MjMsEMI8bzAcr1t9Q0qyczvzo0/pbQ8rI
VtDipfrwHHY2TjN6ka1FWl+HD8h2a5J5WQG73xICP6ZuU9fVt9Ar74hpWQ8ckwaVVVnihgkMwrmh
3oOlIan6YBs2nuUo8Ntg3HhW3YEC7Nmp2zQfEVnogf7euBdrLGc/ybN8mwecS1nIHK1IklvSphqv
2SPGmQ45a9pVKQNz7cDUK/OJWEWRHbuYbIugHbYorvi2OKFzbB5To0fkTKBUcgiC4WTL2pVtaAYz
0P4iHAH+LqoSOsZhm5bM9Cysx5NFhOdEyaDXmJ292fTLVChUqvTRwqfXS+KAYihnsdFD+Fjm0n+O
vbWqxVMOkH49E2PrR3p4yqzomGtPokXCYgiO1VA3YerV+tpwsZDYxRhu+6ygRCLH9aBbr7OJ0Aoe
VeyXd241B8cBBcAhi+qbysrIslvQg8Am28f0WGUGMDzgHWwNmu/GmIiBcNpNlLfcdAxr6zESsLvs
c5nO29mEt17F5JagpCQlb0skWHtklpg5JKaAG/A96x34b7kt1MxqHO1NZ/dXJTKhlROHxl7vuGZc
is46hsFAUT+dmd8NwLW1lybWiHJJ7H0uuvsgKXYUbLh8D11Bzq1ISjSMpvvaRTpd8IBAjABe+gKi
7hcNayMThwSfEYoH4yuw9Zclghm5MFvmblvHjkZuYjpvGtWCR9ENnrjqYUqoAZGL+iE1fzxkEl8e
Ms+OYAczBS7m1s+9avFbM0TUwrd3S1jFA0MANQ5wADOpAdmmXnLyaKc8pG/CfuhlxntQV9RiTBMJ
ylmhA8uIwE2ujMw9ZvnRO5Yh/Gg1ljCYT/TMKQrmFVLNLdQAo/bGp7lPBGmaPj9ip45JR8XEY2Dy
MTIBySP0WvaZp2jJlYMf4z5RPRjraKpS7lhUVpTx4wS4OgQY7YKzmBvP3WbqEuzVdWiri5EPwNvO
6rJEaZfAhucCLYrFJFzkEwkdgBDuWENdtuC9Ej8O8WxzDeeECGx6DKmzcqbGeURqp2HNvEkFcX7K
wQqo01xVKdnDDMmtdTmkJmKzaieU95XHmGhmJUWtQ8BIyiEbYZVNszk7tcYlVp6cUblzjB8+HQw7
lnLuhFkQ+Yly80zK15OJEC0loLK9xPRTK/ePpXxAaDNOTqAv19lLqXxCGoYhQzmHeixE5TyZJIhS
lrdTft+M5LfMq9gssnMp+wuQq3plKEeSp7xJmnIpkZJtHQHhoXbGwZQqLxMaHOADuJsc5XPqleNp
oS7N47jetQD8dobyRU3KIWVilUIOzFxbNv2G2N4e2gOOqkR5qyzlsiK0kXdXOa8C5cGqlRtrUr6s
FoNWrZxaqfJsdcq95VnefEc2IjY9EwhUq1qRJXSdgy57/Zan/B4YFT4PGwhY6tBu9bKHmO4K6xLq
dXbWatpasfM4oe4Amro+0dLIX6OI47WSyQbbO6ptiF7EHsfWLZZZv8lMYjy1ojolpFM9LI9FjuWB
JNALBe26rfRdHkXEZGlO5BeYhSX7F5QxM6kcy7NohoxYvG2e8kfwPxe+N+0N8izXJUmum6Aj32Qx
weCB/uI0iHW/Ff1+ccdqa8dTuyvijt2NG2HP16yNPWn1Oa3UyesE4crQOWLHvk18HI+BuRDqXKUf
YtGb+yU30C4aKieZrCtus3wNDkRETAlqABcWvfU6QG5BcJFjcoTld2xs5CqdIsYUiXvNjGRbVBAP
6T6hw6JsP6XWuF7C2N47hWKiCtR1FrQANxC0Pxl5AH3xgmk580eUXL7UiO7EvJIGH3nmbnK9h3pZ
TNphNM7uiIzVNUS6KTJ4f5PZIcclpBXn8YuH1+0q90LwfXM5HGzclMLNU57J7pZLhmegesaV82PW
dQEvVm84qVw+VLLh3L7iUm7xMgpznVrWiIcngajjmjF8OhbPZca9ETcQJWNLX0N2cc+kCbC30x8j
yWKI54+JUYEa37O4WZuGY5BeEWD/ezjMXyi8ON/H/oUAtfCEPz9iGkcAtzSzR5cYhEcl0S3iCkZi
RA1Qu3iayLhgIFSZW1rN597usfIs+lukRXdjMLy01U2K5J22FXndmOQHKfLyWhSOhjQZumPXF6dF
seKyvDvNBvHVGjraVWGzNYy5g2DzYLkNk1PSK5wQOkEmVi+wnmb0xOPRsi2xZjd3ppjUVlVAt90b
ciUjLls6oCcvfnAKdAd4gK/0JqmPOAgwdQ/yWwwjgwEJ/XkdG5VfLNvEMluc17yzNDao8OgzgeWN
iA8Joa9s+4koOGfX9bEiznBg9IsLc8NCA1hkbz0THl+v5V2nofK2dQhRZd5mJ8NjlknHw7ebW59s
qQmcm1usR7KaZIbBv56iTxtR4EaMBZibQLfuSW1+15XXyyk+yTFlnJKVJ8/r3kyrfUzOkzd9FAOy
VrR6X7p2Ljsb2z9nWbHIaBMK75oJygey5r8Aa3+Drj/M1ed//29vH4BFkW+zSnvvfrt/IVJEEAjw
n5Mttm+/51r8/CW/tkGWLmBGuBgAHFtYKpDh722QJ11FeCed0KBB4bd+MT06P/FnBQI0iz9gOzqv
4Zc2SP5E4+SCXcd28GOd82dWNo761/ymDcL0KGmDOJLwT6JBo+/7xzYI1e8yRx4LXhNGIE0XRcDE
ipOarV9JgwSvok2CddhSSTtjAFogdW4BoBFkL1UNqYFXJFxlGUFRwD5+zTTPOmj3bnkxJOVW0/bX
3hIE50KG30V5oWHUdnYJd9KUvbZLvf7QzG3jkx+WXGCDkiED/iw2WqzAhbjLhhED4CxDJsO1CmVf
abX+UEcxAX/55K7ZrVs7wmauIgvCEDCy5UrTk+c+EMm5cPtb19r2ItJP3jgSVOEEoMewJdRUrAfZ
D/e6SyrYNOk3UVfO5GBp21yvm0MntBe0xiwI5idmaWR6zJj2Q8Cru+id/IyIc3RgWzOiA9eWjdTb
d46uHTE9r2V6fQAG9+GmeDc1ytEl9V5Zoub0EwypupfZ9J7bvGF88snY5YsyCzF1WfqEn7WrKJ1f
JzP6Jkx+JStxWOQLdukinN/qkX+zbpY7R1KDT3xYPsrBnVeGArRBT2mRcWHWo3vjHmSwvHpYqtnC
xdcGQuguL4gHGl6Sxmb+kr65tbnDZUEmoM0VXuJU9csEN5Zp5sZ2GN3rxs27nR1ob2j6b+MfUxhO
ljMUJoobGoFIoxStyvTeUEOlwWt2TlrhIetcIn7rta0MmmbEJE7Ds0k4oXKWGjeZg9WgnvCFhBZk
A+xMFVpHe5SvnclukHpiJj0qyFZ2NTooHWhnSV6+npV51HPzbTvkCr+yjpS9NIzEoTX19GoU03Do
y/5YuQFRKktSbnBO1CsvvU9KsrmB3DGwyz610Iqexrh4M6S+9bhncYB1exkw1U08dlZEgwx+GEG1
ENMEUUVtzZRhtqEiiEp6gykbEIyHy3e3GElF9KL2FGiEkSMw4EVVnZRYC4ynIE3uUp1oM2XVbeqA
PB1AWZtGGXkNZemlY5m2PYhux7jlJz3cE0QfU2KY/JAzfOxwBjfKIgxwcOvgGXbwDufxENITV5dU
2Yr1PA6382B+muKtwncs8/BDKLEzfmRrUGPqqboqOlAexNBf2gHDUNDqx9wBYyUbEPR2fz0jVxZK
txwRPB2ZRN5bmdduvPTZVhrnDrFzqVTPtMUkwTtXndJDZ0oZXfZw6TF595wK7eNoR6+u0lHz3TcT
wupFKaxzpNYBkusC6bWDBLtWWuy+du9EEbBJQqXtKb12ooTbfYUDuvUuwLoywDKouwul854RfOtK
+V32IY0G6hok4T/gM+2Ei0q2JPYNgfMy1dkDHQRkBiUpr0Z+S6nMCVWC4Y7uvCqQ6XON9kEr9gnT
Y1bQ89oO3Hueep8w9YZBaU3blH9ayNrF+DWKqx6YA+ofVO+EWDBO1ZC150oT3yKObzO4jxFy+U3t
TJ+Mrq2VQEo/KE39jLg+Vir7Qunts2gLnJWEu374BnrBgc9f3BpKo4/jb6t69qeFrMqphFzQ8edi
hP2pUvijXFphVZMrM1+79jI+h1JuiuvsplPugBGbQKn8AqVyDgQXpPg3zALgh/9wFqDygV5j4cRQ
vgMDEMlSN1hv3idsCTYfZ1wwAup/OBawLkxifF1idPwfGraGNM159pTTIdUbULRR/h657pXZBDB6
BE9l/TBHZwtbmHJMWMo7UUXu1m7CaNcqX0WLwSLFaKErxwVzPLLXu03YH3SjkmvZ0SN1AcYGWlMN
8m/Nqh5Ein2KjJofLx5+d1guOWH0mehJ/hbObcTdwbYmuwYQeDU631WTCyAz5yPApRpMn73BFC9m
0rJ0wTl1wR4GhnPjlO5LZ7BvZOq1r7LuNmGk4LtN8TCN9QYP4Lhqv0c6FFzpEkppOcQQTQ9RtjwE
3vDNo/0HAjwqxo/+ihX77IxvQexc8Foxi0q0d8PqKDLru2yMHkwMYn6Zy5nHGMOrM37vS16PPQWD
78w5wcZLDMJSrIfa7MgA/uwlGLi55XUTHKXjzaq/kylXMHJYPpdOHLPiyQ2ikfU7aiuDJEaunxZF
ePZlU2X4dak91dL5wLj7Q3HkF1HbblwzgMU06Cd4HUwCIzySVuK8dyI621W3M5v5QZoEP+a27g9N
d9OOzjsozFeRBPQXwbEBEC17fm4k45yVPjnvIAde4UZ/r4MtOMVtbaU9YxLjGhfLc1kT0ycNjVNc
UYuBLIXjY+yc0mpfjMXH4JJBMBb3dcnsc3B2Q4O3N56057j0bmsnAYx9TxLZyoifi7z4Hoec6xVJ
S8RkHMYofAkbl8lV+CIbsTUAlopwfMJNdW01y2dWFtdFkB4mk/aslXdhkF1ze5N/ee6upmKY6ECb
m1am5ykzHqbCeZ9M73EMnlBZoBYxj7adr3tNMdb9IGoPNvQWndnE0Gq3VWEf6vSpHfqnfjQuhcOW
TzfjE68F/GV1F10w4pm2elaNDVTH9QwJNk2BIhfWc9AsW1nzaZnvfTwBXrYeK6tf1o2ELT0hbhsd
+HVMDgEqVhPV6XuSim3TFe1Gy7snBRHLmRVnlfhoU0kmAFOMqr0pVaPaKSq/mzDqyWPTp3m7sSX9
UtmxqkmBtqBmBooEuGFF+jqCjGlOfG2eMfRW+Kjm6MYOW5oES/8UkMX5LpxGog1XpKIyypKBvioN
BC5B8DSxJLKTuNx2Nqt3N7W+d03HwKRm0qEN+TcKIci0S3S7uPqdWTfjhkDBrwFlwDwZr1buvTNs
Ttej81IVMSvn/FpIBkZE6F4Jg9kr7ZCdVleyjR5VsBdDt2g/9CFpZOX9PBf7jN3cWifGru5ndHwo
dVlXPwshC5/NcOgXk/vRMqTDE3ctJcOCNhjg9bc3HhN3vwmY3XD2XI8AuoOOCcKwyI2U8YdWOLdF
U93TXWEBTcYHLxCf3gTio8JmPqX8PVKzT3E1caYRQOCH1fIICmfDoiODf0O07ETjF+TDw1xqjLVT
bMe6/sB08kB0thIG8X6mmt3xXh2cikfXIyYOfGHJDPdDOrwWWeqfzswhCCJqjVWebLz83unnV3MG
xa/rO+SAICFjcXBivr3HZMuFdZNkuFZpBJmlRd5zhnPz2GXm/Y/X7KQ4qyln1zkaz3NQIWzQ3OSa
Ikop3AuEUE50n8wSFus0PQxu/xoXffUU0OfbhZtsUq/Nd1KGRMWi59wm2XxMjRGxQzaf+qn/5o2N
fZzdSdskKaflX0u2P7hkY/eEfu4/by13/Vvz8fa7fvRvX/SrvYnsQu55abNNM6VussP6ubl0fsKb
RJqbB9vLIgpEx031y47N+Mlg8oWU0HB0wgBVy/dzc2kBTTR1W/2a5+i0ncafaS7Z5/2uuSTVg2cD
HLgLMhGyD8Sff2wu4zSK+0EgvZtCJvPtsxV2pJq3c8cexmNLkSPlLRCW6ZNlreDrVBcx5xuvtZzN
MjXdtiuXHApdra2rnlU93RtH62yV30vDvoE4+V7bI2A11LSaNzLWBIw6Zy0jM4MaoejIXNfNb3lt
MGkXE2PayHvJMuWoxSnk62l3FYWBD330wPw7RlbQiMPE1mlFSriEF0BEaG91uyxAUBUDFZNZmWyG
DCT00ufhOhnzbs88PGJX6HHbt8grxAzjx5HHyMNiaHU37J9Ss9rHS7OD8IxeLdTvk3Y6Rvoys1mi
73YY4bMUkTEhAgHYMTJ497FtfFnS/kxlLHd17S3cnJG9tsb4BiAP7NiSf96UZafgqfS6Y2MAMytn
dx3qkFFrfTmx9STHr0VYUuEfCgpCbp1oORZd490YmrNB20ulVSuwL1wF5nDoYILcvMyTfEqEwGcb
DG8s+IcduRaU1kEJMm1YtnOPIXpGFz1aJrb9xF3oBc1kK0rgX64s9i2D0bxrw5uK9LAsaVBUmEz3
x+4rMRAqWkK/4iLDi108GLk7HGth7maP+witCJXYIF8tMG8rE7I3Abno+qKMbeDUt+ZexWDDRGIs
YVp+z223H1iOrX68Pe2APgbw+hqKJZ1pOFdnTesoCNnmMhlF4lcgfTNMpAoj8jQnJ03HTrINC4vU
Z5j5CDidC8jQg8eBmZ9lnZIpiU+R+l+Y1/sRsNhhBsHGxo7thg5TMqgMvKoV95PZb9JekEfkwq5+
INZs3GceYffLhDCoMbWECS9+aYNB3bCAWtKp6nwvQ81DANSKn07YFMGQbGfXvmEa46m912mcu8sy
dXjNwRKyYZJbImgJx17qJyAhV1Qy+yQmzzyPod72Jh1N63GCe+idiKe5STXVWmzKtucuHyLA59aO
9lDhznHUhnp4YDswHGVkh+RhEK6DcscnDIqPSKtfSQRWsOaO1D47D/3askgGKw+zw+S9Zvuy1wKW
P7MevUeVeRckOdI9bOK+VZVvlYF0kIJ2WiNoTzYsLOVRT4vtAmRjSzg00pi5+TCjMl0bvLpVeiLv
GmydZl0vHFh+QkDtWky1OMtw8SdylVcyNQoGHCR2DXp9aap1wYvcUI9A2AoUEMrIa39k0UFVMgH3
h0VoLu3N5IYELOvxBlI5ac8zs5aeFBdEq2+5QZdihP25tnkYaMaIdaFNka3Doq9m7h0ty7GBKsx6
3XmZ/xd7Z7LcOJJ16XfpPdIww7HoDedBpCRSooYNTCEpMAOOeXijfo5+sf48sobM/K2sq/ZVZpVl
WZmKkBikw++53zlngjvr/TufOJW+m6mKTQTvK1lT3EHE/dJ3elp6bXYUffOMt2WtTTERL2FFCldt
EH4ZE1OQ6u+GNmQHrc4tjqrqvSj7eDuaOnXQJlmGuW/fB9ObV+L9roi8SQikXqV4QB1lBvULlgCc
6dqx6Jy1BpZfKT6/dSgTgdeXgPuJIvgnxfKPiuqnC4cgTkB/XiChuP8ZAwBOS/MaWGeTFRYklTKZ
+hayBWESXvvpU6i8cjPGA+5NRNraJLj7bymGgwnjAWBoukVn25DWGC8czAltk3+2AwvqVmRvdCus
c5njYyi6fhdhbcDts3L1dulP4aHw4cagcu/IGsM57fSvAMrMDAFMdDwG0YFYSPZHMEGC/2c2MFeE
mdghWE6cEZAMWC8K5cHQg+9IeTIkh5DRYKmvbOSUcWifK+XgkFg50oETGmXMuFjt9Aag/eEmHjvq
ygkvPEGeUPOpZZld5kTT25qKLxWAphXAaQB4Ckb/agOijopI1UFT085LN1X0ECtmlT4KsZ5SNjGZ
IlqdlMplG7isV7Rrr7hXRxGwILe0AgPFeoqONRQnm0VTfSeBqRaWomgBlvkup2mbRTMrlDkCLUm9
kkYzUjckIK6uiFx4qGOoJQ3V4qw4QtXAB8W76BXJa4L0portHYF8haJ9bbDfMZFnm4cB31G5Bd7l
GVbW1a4afODR9ZBiN8kKqiy0YK75W7GPp6llLlasMdBxDXzM68zHQPHIgQKTFaEcgSqHB919FhN7
wJIhbazsfaq45h7AOaDcaFFhTxpgo5Eczy70+CbPXeMmegxYbe7AyXJZIWNBzjtv1A4Yb/IlfQad
PMRA1o2irb3BeJvBrzUdDjtTRLYHms0WH+xN0doDMa2bMnduAM/vLnPTulZst/SjB7xpKzrPAUsV
/q048EwR4T6PEEMx4lqYbDU73sdfHPUPY+Y8mBVB9VSZTUvZExChaHOT2vkd8eI/q1Awd1dZum9p
l8wlHWRD2FPuSGJNrMPGAI96hxmonaAVd9X25bbLCdmfQkH/m0mcnmLhfaD4nrQUBBf0I+QTzgzt
sVME/WCY2w6RfdmDFA2lfhiUKclX3H1bvliJ9j0XFh0hscdU0DlPpW5upWm1xyJ5kZF8LBXLT3Oa
u+wZydZpj+fCYEgzB8S5QpqXBoJwaSpfQKkcAsGA+kI6z3lMFfLaxjsXDqNSQMYImdErRCNRsIZU
2EZQN3wmeNIRFaPvwgkdTCbt3UBlWG1AYU8R06GDtDeJZBnxENO0ha9AkcTY6AocKSFIYG+DbQFT
UsCWTLEwVi60SaiwE6EAlMoYVwD5ZJygKg9DTtoItIqhsBUdfqVUIIvj1/d1KJF6GxkcygeRQwnM
Cn4BmjUbW99DdUD/+DLcMF+zLZ45dGJSXxdTN8N2zeLbHF9S+BqeecdRATeZQm+k+UKs16JQSM4M
m/PfqebfnGpMQ8Ul/Oup5o4k+PivU83vX/S3qYaOYqg8MiAI+9Q96Od/th77vznggcCDjCeszlyX
gePvU41OWTI7LLZpnuEyEzHw/H1l5v/Gco1JR+hw0Dqr4v9kqvmfkQ2Gigh1GZMIpYcr/vNMo8ug
KULTVGsk90JgGu++Lv2qh+5iyehp7obg9xH5X3a2/4+OcNczPMtgHwg2qV4S/c+/I5cGocURexN/
VM6fCSBG1nLtuzNZ0PqPQSOJPCq2YRetTeF9EG1xavL5zZj634nYf/mduL9+qz9Ck55uCJJRGeWg
YwQutD9/K6nFxojHG1WhspwJG3VZ5rBNT+Nu4zahufUyVOm2bwoeL/5Nx/7IRdfZ+60/LAeSXJFU
6JgvkY+7kqYkWquXPKL6BXFY5a62L3HENFgXZUZ89vQ615y79iSoGVEDylDskmkcFmFul+usxJ/r
jH2+iEht27QtT1OK9qJV6BPXpzse3lpPki9Ghwz2cW24Z29epqh7LJzQaS1a5LA0aLEuXmU/0nsf
x2RHobfLRNuns9i4XviiuwEOrG5+qROJhlnNe1SZeaknkw2NMNZ3Y6ovouCU1Zr26OTQ9FqXFOt2
Eu0qttqEnsdxPltmWe8S4dE4Wxvdg9CXyMDOcvDIe+68dth1WdAum+zgemzR9KZrn4PIe/PTud0b
VP5mI5cJLbvw2I6Wktluk3r8kFVTfnGhTZYn2nenG7LWU20W9cp32nxHtuxNRCwafdFRxNjG1pbp
hkcRau9dVYSPyFQrvouV0+OSaXPzyvrHuk16oAy3eILj8RSlggcUWeXYevFUtwiBJb8EhT/fetc1
x27orlVVuFAkqb8KKHJqHHdv69jPaqZQ+Bk8CL4aYrQiGbdTmnzVs88fcKfFVAqS3ZpluxJ4r/Af
O5/bCr3KfcL4F40YoevWoW1mBsviUF/OBt2/TFCyNdJDW3XXolHB016e8/1QV1wASxLbT1FOb6su
mJAmYHPg4Q+hi4CLSaIpoGV1aKJWP9uezn02fa6q+Mv26PNL8nIzsNtLG4RKl7VhKU3SuGKWp4Ns
Nmy5MCdm7vhEPU+blXeuONidfcM4o+2CH3buWmvXMa6mZrf72iJOT4QWkqwmXzwtehaNbp2wFWPz
SDc0nlA4nMIE1txTXfZcZwfxXaNl1mSqAgS5kmSOLdHxGJ7jmwvtGrb2hMUxQwdxl45gQElj6xaq
LuTMfihiPDFOYWP9MH3oEPTMRS16a2+P5Fm27cET+WU2w0+H7WaQ596hDreEtF97x+3Xjgh/aJzG
i25kQeHNF7L6m02Bp8WhErfKuZvl/tE25Q8TeAlklNojy4lfOgbbkW9hNXqZht0vGvEEaGI5Ovi/
jQRThEmYd98Q+9in2i7UTHI8J61b4mrZ47fkiR2H5yiP3hhCIUj5kxi1M9armCxGfGpqnBbyDGPz
sx4JDJugX9ITrTW3ACIGK9XRVYhMCSuj8pF72Bn6be2rpXAaji7CwWX6HfcwPoOlfbdZVK5IABtX
gwJyHIXmmFzApIJ1XIXt8AMh/RT2Jae/eUn6xwe79lNucKiUJbnmnQKAOoUC8Ul5kbPIF4bBhicJ
5LLkubQkIYrYM8Cl00wNr4MvJPBSrO8dIjBezWd60aPFrGAkAyrJVXiSiJ+42L5MvlpBzKMK3auX
pkKawqE+Yfk1V7U1HGaFPcnwjaUbzJYCokJDLSUUJKVDS9WOeJjR0Xk7cUOtIr85YvZZSnpKKq1W
sTQ6NZetKM62ke5LhWTpUVltU/3eZkbidL20ufVBRxwOHGguR2FdvgK8hEK9XAV99cQTrCOqqxQO
5sGFJQoQsxQq5uYBEfXQY6xMsYlR0ZbK/DMuCdxsFWqG7GRzrO8zBaH5vPMWBATe8O6fbLcRp8mZ
V9VMX3wYTBzbdstI7A/xNvBZkCUKdmPTwwhcOgs6Vjb0CYU097FBrxUk14fTQ6SwuUi+soiqmGn7
R0uBdS6EXapQu0JBd8x2oGD5m7CcepuRqbxMEhrrdX+gWaJ3xjUvuGuV2r5QQF8B2Ydv6WtiJUln
6qjAP5O/IUW1eBthAlkeQCgrTDCCFxQKHNQVQpi6FNB7nnYI4D4XpQINE4jDFvIwpb8aeyowYgaV
CNppLYNQp9PUnJJVnua0c4GcZvNydsp8ZSc5B0/TP+sKeLR+oY8wkLlRZ3uepGhiCRd81pjkwhFn
p9BJV0GUXjsf8W+eKTwol07Li8b7siKclvi8RDdpqa+dbZkpljBUxbda8u50uXFq7afcFv0WPblb
FdnwmlQzX+V/W3bwWovyKzRovhqJUj2aDXoWjkCaKbiMkNFhciyAK/O/lC7P69ZNCi4q7VuW8ANh
d/KQTPT7aSU1nu+ZbIBOawG1J67s7j7T6fjr7yt7/B6mgVApgaIUzfxQLqSASD7SAoB5sLFZdkjA
JVmXa5imThmN1sIdUkLEvV0xk/gJv/g0ATY23r32c3RrGmCcgPzM2d/UfYVP3CGJp9WH96z28HEY
3cvshs7CSYara6OH9jHyB5oCj3V6t6WM5RJ5ne5hK/qSU/jEYpzWjOaJagf8cT4Ni2FZgVJLJChf
LJ2wxoDQxmxudWymPf6GMZXPg5KEeTAi9eCnSgjArDTQ97bur5VgV2rdgcLwm1vmW+DXQDYDr5Wj
/SSVd09fFgUzLubupGlvclq3WNjdjtOlbHmA6GheSHGtjc/9izKXB6ovrnHHnNRrvB61MzM3F8Rx
Uoy75LgiF7GdgoWv49PSdH4WM8yZETPubclIep4HHK/51xxeFxOPBZVZMRqWoY/dPcyWQa7RRl5S
PNSzC6MARj3l8MZIQ99nCaauCYl/rjDQ1PBfer9T5eg895ju8sBfzh+RqnTDZfAByc4tIJXfpXqu
x3emalfOWo5lJ/PfmUBHqj47VCNt07HxjET5kTYp9TtS9XN/M5NPIDE6MYdp/aC50WmcJ8WwGjfX
9K+DFvOyhEBG8YjQajwGnb1KrOCqteJrlJe+iK8IcKxHO0H3DK7dNZQ26A+7tFYprlPwjKZw7xs5
B6F3K2a2bLatf4ZNdm3MZ2LGbgksP4m+D2NbOKc8PSSxs7XgbhZW8RwNHcIsBxrMh4Q56pLzrFmk
aUaUGFGV5MnE2TRjZC9F/4Az4H6wqpKfJzE3mk4fHgkcVXecgmpca3H6M8KKedekJHibSXsekrlm
w+txuwa73SSjvGWlPBleiF03KA//nWb/vWnW9HST6fNfT7MPZd1+ZN9h/f3nPd3fvvAfezo6w9RI
6xDSIQBE/9h8YdnMkrqBtY2ESf76j4nW8n9zFc3hMdbyVSzl/jnRit9I1/Bsna/ktvcfTrTwnoxt
fx7rGKVZCpoqg5Bv8S8zbUA7qBFrTQ5vx/arkTFlr6Y2Ey3KGaN1j8OoLegbVTnscisnslc9lyd1
aMoPF4Zz53TAR0AeXeXU6IXb3sNq0aX8MrkXvIa625LxV21yyfNTRjoCPvZwym3a5yZI3F1qyopf
jJQIS37L5uRG13hyfybcC0mSLSzsYd28MCoDPCTIT7Wc540dTC+tRKaazcFY2bFaxgRVtfZqblwG
xabLPm4pnxmCLwO0q2Zb8+oVGsuHkEdTPFOabj04TfHM2vFSm261DdMzgu1j3NKCZT0VpRmvAhlf
vda+G5x+I7ks7HtzbrZOmuGGrqn8HcdhhWUvvA+8EWd5Y38H5NvSsVHgkxLXTgzTTpgBMQEyiy8F
M2nmOKQDmOOxarlM+gmcF8/JZokQhW8N0xYVip1lXJDBe8zyNVaUCbqcnKzKfjLsqkBG1HLCHrLH
ZNKNfQwjpaUpaT0YC8lyLkgh3xV56a07PIVbUyNjJP4yxVztowxnzDDHGAQrCky6wF3mY6mved6U
nEQrWfWfPs6ZVdZn3rb0xx95WDT3dJ6vk6DonkBRb1WvkvN7zzq5pX/KFUQo9eCxN73hbBdxvu6S
9FtGUb/xoR+GrEZHth2VEcLzW5/GZ5GaNJlb5afVIZU2tXxOJ/sxsK5JMIfQEc3NsapkPQiP518z
nzpTW/NHjX9YK7plx319qEAJCaNeWU4BS2V3PBp83rle6S40eIsjVNXrMIxU6zb+D73qdnWST4sg
xX8zlM0nHse7jrqkBY5ubD1j761DMhaW4Br5r448WfCHMicJrkuMkSsSeJ0dGy3aJec+n06dIL2A
1Nlh57ZhyoIYl7ozGqd0DvSlVreELDOA8qKyRI0igb0RtMkiqYUwARCRnHd/XVDe18MvT2Q8NJUa
WotBv8vm+4KnMXBhYVCWyhIIM3fzGjolnXX26O91FHPippeeyVBRM5tnRWPwu6x0HhtH35l2Cfov
InXXUSFTrAdIJD5fFRvBbHyUYWkTVMI1O3EdGiNMv+ShaKY8g8VbNSQq5C2nmMpxVw7q/VKT5HfV
q7nUphW+H5J1rGmXJQgjtgOcKraxjSysjd4r/q5pWZpes2sMdJbIYjfR0A6QyOxm5SCjtR6wt+9/
dOYgFi7IGwW6qLuzpz23WBRX0TwlR8Kp+lUathu7wcw/9yRa4aTf2Q4rhTR/9+uhWmgZRHM9HTwv
u3NEyzzgFke7rU5u24x89pu3wSbNe9Y0arg/655xWzeNb9+x4yWBf91O1L2zZM9xzc2OCzt2DqTx
Pr9LzPZGKW67J8bbX3Y4gxeVKEmOK6xvbM7H1GUkbHomB5p330rdvozWxG04TpxlVdjRXciNd0hC
qGL3tU7IH8fnFq804D7DQUmwnbam+pbwORu6lQCcglZcDC7SjE5cMjGOVdZLWBNmLJSvkrXGdKsR
ivxANFCr3JrLzNnOzkRLV5zjxs3Yt+TK0WLyjc2eeSm6Zi/Bgw9WNXvHcKgx1rUHDvz4zExIZkZG
5HxWyO+qcmeu3vMZUSPcGIMLKNoMGksMxKc5TUHduwTPoO38HMb6LLiDbNkOyoOgZGShtz3lgB4T
GGEo3spgL7ozymer2NRd1u/Dmmi/OCOlyFCFZfBLK98nDKCI2gGfUHLSZJ8czEy+mzZvb4P0ZC8f
I/hz50wnEo2Qvn1opyhae4DQzKJKJ5tNmrgzR+z1ZvzgzP50Knw5lgkOzGyG+yyVun/n6uZzn5pf
fjBpy75yqx1c6Wps2dLlru4e+kJsWTsTahIaB5MykSWR1MEiVz7GmZLmfTGY35BTpO9pM3n3LUZN
AwZ/1Pp2zfFMIdtnLu33UYNTrgsPDL8CVNCrrcGLfJL1gHWCKKtEWCfP7m41HlVr8JpVPL/Sz80G
e2B6jj34FC7fOYtu+ZP9e7lqlLhEEcFjEUp2hX2an6tJ0PLdGfucP4p7soqp6YZkrMpqP9Xmc9eJ
cd+23as3ZlSbW9l8YA3EIoyQno1oSXIoiYjfUJpNayZN1AtVZrGAo4cq9VquxehFYUn7Wjb2NjYo
9mhhpm/4y7tkCq40DReUH5crolBwelrW00iXE2ZW8xEP07BNp+7S9nmKQEMcUEatCPFMxnaMWNEb
c0BVlEcMrk2hOIxGLcgb0cj/5xEdVEWwjGb/OROYOvIJ3+zAAHo3mjkdDqX3wkSPWaAi3Aohge3P
LgrJyxICRdEhVI9hIKAR3Cfu32FFOEzTvi/HZzNCY9QHl2wkOLZlejYTTPHCShGqydQkmc+9MGyu
+wL396zMur7zwza6R54V9M8UOkN8RxU2FX2jGoyHxHOOHX7KmSFpjoCBsr5VyA2xm1PnvvsJSo2V
9su8dr7y5otUnmCX1uhARB1VvGA8QHPP+fZNrNqG8x6naUIQ3xdeEw5trbuOIpsfc4Rv10Co5Ecp
6bFhTx8Oy6aioItYHItjBX1BHIrY+WxRNhd2xTerV/FTOmFnt7qaigeiDZFIsd7WWbBxDWoWgjx7
8F3voSqTL4jOGChT3HrE/A2OduoRIu0Ypam+rF19PVWDuWLPskzM4tMwQ/psmmcztg+6TlmNH47T
yqaFem3K7tFWySV8VOONF/PSB4XQd8YcbkO8pifpsjXkcvjTbiX+1W5GpW8vZnyf1817GtMSSozV
SFEfiTDC8H9QCtYjkKf1Nq+rn4lELObkeW1HzEUxTlxiPTmLGv7EE5339WitHX16DEYOJy808mUA
CIS/OfuwiuiYGCxkyWfaeVwTl2kJylX6gYGUR0lS5Ld7O5eCdEQfIgF/pIMMt6om/WBX/rRmr9ls
ZRgoWks+5cFHb01Hv55P9NP6JAOwWnBL1RZG+7TZADX5IkrZZWhfvtFd/zto/ZuDlstu6/83aP2l
QNr8/Wv+YbQTBACwkGO+shymoj/OWB5eOQhJzmFPBRQy/vx9a2j8ZqP3qVwREhx+AY9/3xrCQvoY
81ziRvhychX/swJpobZ0f5yx+IV0Nc9x1+A/RJj8eXXW1PQukypAu3NopYsZmwj5I3d+2/9wqY21
qI/NfSdDrjDg34PdWDkXr6N+x6Nytte7U6c6aGvKaCu7vUSU0xah/tiDh9I4gcOpm6Ac6Zt5QJ+O
jhMSKvG09o6KwpeGSo1I1d9Sg4tockJ8/hmrflxJQQ0RpcOPWIc6o75rFxeg6WJYFW7/5gz1d4Oi
uACh+jRKVMKRmWRGD237iq4G7OktiVncc8QGnorTn7JjuIhDChCkQrZAnOnJsTOkQumvY9NV18WO
0qlGUGCDzERuLikW9HQQ35WpIK9MRXrRWjOtzZLDUdj0tWYEpkKaRRst5V5dUAFb9llOmCDNg3MR
b3DcMNa0FjOWTl9pyzqyUAFj8JF7zWrqdepq1qYqt7nh82ifLeIciNSy2T/aoc/uyvQkj5QUc0r5
k5Au/S4BmndN1XhsMUFa8h6YUjx1BpkL8xyvo7mrVzxCS4xGWsrwkI7rmPME79lEoqoFMxal0W6Q
Pn0cGIc2KF5bmUhrV4bMS7kBD1mkxFNFCKhurTMxRPIYBwS9oi15hDDhniBtLvKS+qmnQxlL9DYj
sC9325/lQFpUTZH6UY8uKYIzSQnbwbfJUrHcZ92k1R6AqCE5d9xPaNMkxLBPcES35pq1KmSLeW/w
u1Ohkw/HSFPGRKnoIYdln4Ybq51v4wRDCg03LRnqUK90rrAOvh4YuqfBF8bCqiL7nNjtuWsJTGZZ
RP7c0L9ozpBtQ7MYdiaK5RHkj9oS0rJugTvfW6rDhij1aO9VsO1hO37UA6NuWRInbcbFno0K2Ffm
nSefGuOWkvWxgzmduYKXdp1QPj09Gl76wy6mQ+LLc8QbZFFUIExs41mWBPLJsZuayOVyO7nVjRtt
s7e4S7LPfofU84DL6g1D66WRLm4hPOD7UqgGs9DewP6sci69pH1gFM5LVNXQl3Jtql7krta7nW9Y
t5knoco5IM9MD0twGzO/h1rEnx2oZS/JPbooyLU03Yc+0PjCokClt1jIMZkl63rGmhFpvX/w48dS
E/zWDC1LYc2v9LkkV+AFuR0az2a+IkxlypMv8kAJtsG0V9fzjnKIdNdoxUMr+IUMMvaI3C5usy2d
MzlhAxHHvXZIRBKuWtfydrZF1ImTpcnRqerxCZ3QW5IUsCka+8Mfx32QZnciLJ4I+LjSD4aTqQ4m
2uSSm/onvaDHl/81brMmXkZN29pNdAXfPWaDvSMV5ayT482/kBnNzrW757mYafd0D6p8J/eKY+rX
lOocmIr3scP/JVFiB/pmfP1u4r+Glt0lWXPouSyGmjhM3kzQGvpI6RySQj75efaOOrAl+eccJoTC
JJJPYnhIy4r6r+zmucVjO8d7rr5Y/OVWK7gFejOh0+naCcUhKq1bo1nHuEpfqSg+2rtaTpu0N65l
iRCVWcc2iq9ulZ9ajYgc9uq217IWFk9sifeG6F5sP7mnu5XT8maL6k7v87NeWvehpz1m5nxqebHm
zNhCZNPPvsDdRzBov7Hq58Rlv1okt9Rk8RroW8978RiNB4cdpkRnYpvwTUzUFQeLnddPMeFSre/d
OnqF8ni69F2ziwbjQNx1m35amvnpD82SAlq4Ls/f1674DGPv1ZXzs99UkILTuo85q9JtGleP6vvo
7InPRoIOneC50u12U3h9T4pQsyME4VTGOBitiyiKO08bVsE8PFs8BzJDnrWwe+uZDJ05vzMQvIi+
5M7XOztduHhVq0cycO/YkALKkp6edI9d0e2YHTcyGp95VOytyKImEmMxKQ8oUo8CqrdvSxL3wstg
I6Tpqz50T0ETPOETxNM5t08efZGFw0BnYiJLIutsJBnzW5AubMe5BqK496rq1dUIs2Bs6aV44Bb3
TnJkQwqLXx6bOv0og/lqqa5yYf0AwHgyVIc5UXWP7uDNp7zkATnW4hULD88oT6PXzpqLbUIdeq16
0XEjMExQlR6oznTNXhnGLB+TxD/XqlW9oV69VT3rdBQRaaxlB1N1sNdzFCwJ0VhI1c/uOsR/NzXO
5qxBq9d6OAYtrJcaOh1dW0m0mZwWNYPW91T1v9uqCX6UqVxmerzrVEv8f2+T/+ZtEhWb69e/lu2v
H0X7Uf/f/5P/RbX//ev+eaOEGqM8iMRZS8XD/c1a4/9GzLbjE+lgcKHUuU/+4zqJZM/10/Z9i0If
FpAKDmuAmKL//b8sJHvLMHzPcsC58N/8R81B1A395TrJZsKyeGz6jKougRB8E3+01tCVbHudV0qY
JvXuIbF6aALyFnvrBX1owdloLWK3GvjoaimSrkmeU+tMWxSKt94d3mDnc0nfmkyz8cEBjXcVn2p3
wZ7hnkuIA4XRRGTmO5mx9sp424wYKtzSse+ENDIuQCzJ8VGSKxVD7Sb9vB87Wi5NIz0VUVHAbzjo
dgm4v2+/d3SxHXrOMcedvuvJvJMJ5Z6BI2IA4Bgq27tMaXGdiLRcTZH9IgcepzOL74Uc41vfU7DA
vowOUoLmljmbVFTEHndAM4MJZ885LtFlUtrlasZHFCg22gvybamggaVpOphry/leDoBNaQbWOjnd
0pvM/MG2ugsGb+1qOFAdXnKOwnJflFFxEyb2eWMiEshk6E/D9LMyugtiLo16GWeux11+1SMUrqC2
ncN7wIUuzpvm0MUzKXG6tc8LHOp+cWl9jJ9k0mHi0XjWtEEQnoKI/M0eRiZprfyQhdaef7nftaEf
wM1CQ+TBsNOSPt70kHM5ivwGqiY8zL175noWMz0HHutwS4/u6wJnqBeX1rbw9HuS/XJwJcZffORY
cLGasNlpmL8D/a70+oMe1umpEunPqaD8wtJ3oHcDveUg5rVxspu9O8bwSW737rhWQI4gdAO1BHgf
jXHnwhts7U7b2ck93NokJki/ejYPNMLJpZBgVljniXHoXqlNVL5N1vVNDvNeV8YHAYVL3JruWy7M
C+8oLiZ3LFMubs5BW4REP7k48Vu1Mc7JKV/klf5zKOMS+1QFb9mjRTVs0lZ4t6Hoovi+bNAk2Esc
fS1giDFuZjlfEeQ/mghyw4yOQyM42MciWyWVSWxxZR/4VMtLjacOi+l88GRHelDCP+rrq85Pt69Y
t670EaBYzObSlbzNy34mKNCPvgJZPpiiP9Ve6WHSnIj1g8RItfkDdVaAWxFLrE/cWYUSLzslY6Y1
b3wlbPL+PQsldQJwOCsazWEB6nfPzpNDgaOeS8Sw4c2uwlOLdmUq+TRBR42UoNooadUusFk9m0pw
JY7FW6nMVXzb9KxTg4z7rTeRaM2s3vaotpxcPwebH6JXZlcHvxXikqkB6CP3hikF9a1jcNnGWkaq
9TfZ0rh3e3C9PEyT82AeQjI4aJwU3tE3pvQwi3aP6edSJaQdSSU8o3Et9Lqb9hyI9LP27lbTqUYO
lGDNabPUBO5Z3hHuIkxIeIjQt0sldPdK8haqzwX4MPTQhkmAQBY3ucuPvPhQ9bx3a9zTPRHOC6d8
C6uEmCPcvJUexXeTktwnJb7blntJveZNzORrMQaQrNk4xzx0v6eZY6JVIn6m5Pwa5X9fYE8PNJuL
jRL9CyX/J+wBfLUQIMqz2wVqSWCwLWjU2qCdPwu1RhjZJzC1v7nUsayB109NK4+uWj2QVHxnql2E
lpwRsJTU+D7MJL8DreyKFisNKYD+qsm6DWZjem0nLzlKJnaVHHqr1ALEUauQVi1FTLYjFRcnU61L
YvYmhlqgjGqVUrNTKdRyJfy1Zvm1cGHzMrOBcdjERJVPnDUdOpbsDgXvaQp0R1rRu+WkORej8OjG
kSFZPWMXLetmuNigVaxeeEjEpRgXpp2shoIDHgFsp6v9Hink4caWI6TkGO5oODZWo+QaNNgRZ+hU
P+bjgbqCZaecf/1Upijn8XubxtzpElJNRj4IfFz5dG8KJD/+zRqX2qrrTqSAkO49NV8xZQIhh4Xg
+Us7ZbHRLGrgWnGeanFwx/ZZk/bGpEDiLpgPZWcld5LFzNrFR7GJOZ27SNubmn6iyOdTxD70lG1/
J3p3MXAqhmXrLfLm5pErbIUcpjqxp5VJ4mD1GTl9ta6GOl43dnV2CdKCYeKNDEi9MFmjbXUt2eno
7Csm83vP5BSyOR54qSoSVzySmgsWeA221q2pswkRSNuboGmubhp96UT6LJAnY0I85j14sXUI4nFX
+SwX8tHN7uBanyKfAlRxyzN+FMRwaU+Ek7eEnRM66z3oDkpPNoS7BhuOUd34PXVuiSYH8dRheZ3X
jj17S/xEBFvYFCT5E7iQ72UkOeti0dkWF9QkS9n/ZdvRqe9TQQEH83RKojLuqgqvBe4IfZ3m5pMf
z9RWdm9kzWUbtcwcLFR+juxo5UfVXi+ax6KEiaw0/5fjZWkObyww9wFp5Qeb0Vsxpi5xRkhEbobe
D4GaKxaVPdYDSM1Zt3SGJyjBEmy1ABXVGjhWB6B1AGxF8VnRURyvwTavmWJf+7B98I1DJf3iXNuU
/8qWjD1Rgcix5N4k9UbIyjph/3vS5+KlsfnU9U1tbQMbBAnt7+ooElf7MSgu1wHQ9cTBULwuOytF
746/Vi2K6G0Df61Iw0OMp3VJyCj3p+EHOXXlxs6zTwkY3GTx8yCmh2CazoLQvFzP2P6BfY0NvAKL
EpIOs+DnzEqXa5KAOnYxn7CneJewe4RQ8kztIJUJ404PEVmmvWf81C3CayqeKEtSkHZkFdL4pJBn
F9W9Mwpcwt6jbUAq+emuqI6VQqUrBU0Tn/AVKIxaKKBakBOwaBRkjfmRxYEEsoe/JivBX0mFZLew
2fMvSBtau1HYdukYPyarkMuO6SNUaDfx9MOJnhmYLX8jGTVvwBnX1oypTYCWCiDEJaR4pJBxXcHj
QAuQzQoo9xRaXirG3AE2t4aYKFSDIJ7YHG/rzsTl6hrZl26UYOoKWC8Vuh7ml3wEZR+ZT2VQtXsf
yn1WuDt5tqpDZN8qEL5XSPyo4Pg4xJWKc9CqweZTBdDXUVST5oLYQF1YsuoUaB/2CrnPeBBG5qw9
+vMpG/4fe2eyXLeRpeFXcdQeagCJMaKrFnceSF5SEimKGwRpUZhnIDE8Wm/7xfpLUbJlSnbY1qIY
HXW9cpAiefMmMs/5zz/MVMJFc5Z2HfOtyZ8YkY6wNyLmMvH4ro3N6eAMwU3bupz0hGuMuH6WSgIA
x3Ezl7l3GzofM42A3wzrodAKrP1EypPSEdhKUSCVtmD+pDIQvEdNMWoh6d40IQqjghnxWVJnRLiH
g3nRG9YAztN1e8fBTgHio1CUDSHbHvd5853K/kIZwDtvQiRXMZ/sUIp1r5HwGzkDZbZzHbRIfEMm
LKxSKHc5diwLE5r0vu0ukxa/1MrV3kfFQyo9QBEdLqFREGsTZt1tP7Vcj/YEt6Bi/DT7/QADQM1R
PmbSfpx1+JyV8oGQ3W1OqNwJv4ecTfK+riOBJ8Sor3v9oc+r7Wz53dJwlcd/i5tEWYSnbtQufZWF
g03WbdtO5OmaVCDo6ndDacCtByWdOCfHFirJ2LGnA+KnUxMSjlv37xKcKDezHtyCXWD1OvnXZgvp
JS5IuCD8otwihT6b3GLjld2xRTgNv485UgslwE09gajL3JJ7hnR6wHoZgMVFrLERtjyas4OJcVGd
lcLv91M3ru1aXjAIPuQmfLv2xIdsHKfRPelFcx2lRrhTHPMORTKO0cVuNq9qfbwPtfoCsLA+08ip
tlrMWaA6u0oKADRKGE+AVuadQJ6M18EJzx9K6mEC0ChvUVsfsrTwNnqXEsVW4O9l5YTCxyUnCmcS
AdRA5XGernAIOqvhT+f2Fue0k2yjZmN11E3NTKqDSmXHB+s/vht/0tLRZJ4Dk+4PwIHH7n//5+E+
e4YNPP2zXzVqJl031o62rUOq9RFC/QIPALKTtsWox9aVh/2v0yYwAM8C4dQtE+jAtF2a+i/wgKsY
fcoq33A9JVL7S/AA3vvfwAPKPx8+H3+HazruM+cNb/DLxEjgpJSp1W8JxcFNKNYfwlGcgzHjHuvi
wZanxmkYo+GibhBKofVkh8r8oBf6G8LezYVnjzdIUczlNEfbshj9FUbkSAKgX9M1RIdKc648rsFN
rEzizKKoDoxiqwOSa8JlpEWgzqDftHX5viAZ8NjEl5jbQNFN5uQgyrvMD2rILz7X6Ej7IQL6hsFf
Zh4kXyXR1rN5NzDSIi6F56bgVENq4TwY3uRvuaMBKcrpdVnN91iKn83YGC74LT0saW2ZRj5IY4DD
wN4YO31bWt42xANryDFMi/RWO4zavJFFneztkOgKN8WOoCGOnI96OE+H2N4bWX2ZoujC34rLnFij
kLpRN49pxLs3o12eJsEajX1Ed9bf0pbigTDpx5ohNTV5dhO2LvbXXgIWUZLOGOJO7MVH25MSVU82
KSXFVPbZuvdxhxyokhd+0LxjwnRHWYMtk8CJnhsTXhSqdoHQDuK9v8TpAN5Kl12RHIQEu8ogKicX
RgVPRczuiUz7K2FCCEcuvvEjayUTLJxzY6s38/uKsKsFfc95a/iX7WxjAqkHTMsSrJvzBmqmbVEi
zkawjwApFvg8OFCLQSOiAD5278HaMggYQZtA89GeenFlJdhWlDoamC5vH0KZZwtIYhcatoW70dLO
tXjKdgxDr8tZnGm2hhqaCT2KG58yiUoULsawt1P/whrL62wemkMGn3pZNs1Rp2eip9Xxo/aSak/2
Jb3pRO6OV9j1EfDmpk7BlBNGFojec79P741cc4isgeBSKir5oGH2ELnzz9M4JttpxGV46jFyaAFP
/Ci+SprhcbYPZCFyDmfg2kkmj70WFaeeYCT0ww9Vf+uTC7mr/CQ7TFq3sSdza+Tp1sdcYQdeXK8C
713vAuqUWrpMrJF2rGyMtWEhzQ8STLlKBwlk2E4bL4+x4cY2AvqBfep8I1rVRiSXzLHgfOlzcxn6
M7d23d42GKFeM6h8U0wj+pdKUQSpjWtB2YXWOxy6cs/gKVzmVlVDlfDJmfSSm5j+HSxZbM3xqm2Q
zPddYOwA31nlZN+NfNTkeMVg2+O+GedxlVaET1CpntU+gFrSiLUMKP2s4THuLW9Xt0azaY3k2CBX
tzElxv8+3pte6FxOFQbNem6vqtK7y/U52LZZ5h9TJnqdJbAaz8XJmx196wn0Sf37Mgf8cmS4DSJH
f9tm/gfRdxMiMah07tCdh7n0VhHvZlV5VBBdjfebLue1Jjobo+suPM0NVt55N+3DdLxMq/7kGKJ+
09hIbFo/u4uqtzpqiEsZYv4P2eossBmnYkMKmTYfjwlQAi3/RzyFliTnXDhFHR9TYWVr7LD3sakv
u9q/FmJ0915Dsk4sxQ5so15gzPHR4W86ogRbTGMQ4MbRv/YUdDiDIeqG8rpXsGKmAEayFh8CXJ9d
9FYZglwNIFLHDVEBk0E/mEjli2sf/UlsIWvscTshxQi0yCgNZ5E4TXvwixBPtBhliGaO0M+Md7OC
ROswexOBkUqwUk2BprWCT1twVLgDjwO4Kg+WICrQustAXBnzMS/0Of1dB7DPd6TykN3nUWy89x3G
OrVbYVej9IRkzVlneuV0iuK5jeip19UT7MtkWQHBNohwLOnAHDDiWoHFDJHpC4ADQJH9UBBFjInF
KKSxgaGBo3ucIGj9BD8TYBsmxjupgGmyi9RAh8woVczAF1iTl45ZBnXOoAoeh8on8sdLWVOIQbZd
6cn4sx/bB1vwScKrD+E5DO+w2hCbWeNn9Wa/Jb2ELs6W771C3NoQdCqzX3pJKteZVV4lxszo1IxC
RuIbDHm9JTrNdtWlAHGBcXLnVlXTlVwJRD4W+kkCluSmMwaxw5kKJzWIyMKuaNd06yNY+vvAgUI5
mzbyScw9x9DT1mHaWMQWuIQNzi0fMlktqaezjyfzxIzSBxuAxmUlxQN/G54Ubn0WpvDJAqd9LUlR
mYlAWbhZ+ZAXuHYWSIlBqc+K2fdXSJKSRZ9bKlMQzq/L2FrC627bfIBJ2uSbyLca1ecvPKPUl7oH
29HDvgGJCfZ5TrQjQDS97kfvYZ5hCA/hEsNTsZ91iNY9YGja3HlesdWjsQUA60mnRI9ohzF+Ujlc
uG5uACCRWzc5sb2THwRLK4UVwJCjWggvqohBUdpFbBGju0nvxbokzWqRdpTH2OiDbMbKgQenO+aH
9ajTAlW9zmgfTiJ6gxZ61tStPfgAhwD2b2+HNSLsMNqFgQi3Zhddpxp+MKzPtVF68gIvFRnJdNv5
mE5VAwlgBXfNMvBiB6915xyr0WpZaYmykFeMEDlqUEvLZh8Q3gGrjxM9j46jazt42BMojJyZDx2u
LUB/s1NGe0jbMduYy55WIkFIQ/JD0wlvga0oLqatOz0UZzpmR+skek0IAxLVgLcXm51YZln4uiF4
Y9PjAoylZL9yNdrToaW17euUC4HsDB2LJMyr4go+Be1uI5O7eXDT9dToM1SJ5qGek/d1alyKXqNr
BRrjsML3F7svKMlee9lYrUHSh4uFFGSUuS4hz7rhg913mAxXfbopML8OCW3EGm6bRKMF3Gs81jgS
ZJ3TbuuunWlPwA5tkxsxFjYGgRQOJpET88j4oXUQEWApu5ywj1q4EwoFZCk7ByeeVTTgfCglYt5O
YxNkGdRyq/s5N9J7MaJySlPMrorA+djGo7fM5xERE3DpQlpJi5/ZhFkyhA494+OZcrF0CWxZFoEm
D0NBCopowlu782+thCQep0Bx08dcrkF8Rl+7FH7hbixpGuQ67FtpxBuPh2GWOIMlrYEdj32fTC2o
8EQ4tqvsTSu63NXYJDh6l/ukkjsgrnwNzQI9+2i9yaMAXFXNE9KMVAekd3jeUnAOJqSCbtNr2Gun
CfgVHNh1HPNTw0k/D6XhLQJXxjya5XqSkDB7tWL4a8kFyMdOMk9ftGPicZCEBKrMLvRixjbs8qSk
1ccP0sXHaMAoeC3R1SFihf5g9PaDSQGwQkWxGJ0eFIQyc6o6k22DddmQV+EawxUsfBWL2QC7p63H
Iw2Jbtzb0It1WkUu0GQim8XK/XuwhDvBBxum2EjHon9oa/EhxX4bvKpAyaaAe5dUEPV+SoYj+Kup
EA6bE8WDQZN9/BT+V7a4qxVclbsmdQ6cZfdmpEGHxDUVQcGVFA0agTEmtjzQVn7cBtz9UCaw3SG1
jzxSF20upyKBLqjCkclQOnswecKBrchMDY0HLbHhY3eJNqPeJXJYQW9LVrHv4I9tTPgakTG16qoR
vwumiUv2LErY8jCkQ7hGZHI+muYZpzimXGoyFAKehKMFMlfZA6UlR4kdzsc8mMi6sJvhQLnzkNod
9Tg5tlhTAJdWybSOe7Kd/Io4CqOTnPrDuPM4uMjlA5dHnKHvpR1vjK5Kzmw3ujT1wd47PlT4Khos
ctUp2tz5QzzFzWF27RDB9fAQ5L08azhmbNJOkjaRr0Vgn3qvCU44uW81JYGeSPY9NHJ0tzq+pcg4
kJPHXv+2CsojDlGoWUaiLKtEEtWaF/46SxHwx82DN5GcFdQapxokWDqQC8+2sVztsbsRDk7jznzV
Couo8rzJNq4WbxmHYOnp3g1Ty1SL6n+R+MTPmx3jDUO/CiFUHqLJ3nA9u0vI9whG4vpgzSaUZ0Zm
PGnlVe0MgC99AB86hh81zq22RyB+noFJ7XvyzOj/3H1M9Dry1xq2iS7uNELOREI9JSfODGOampPf
RnhvIyux9Z53mO0yY5SHAp/5hZu2a4B187x3K9yvw0dPcqszQ0NQoHxvdb+E390Oy//QJP4kTUI3
LXCL30dCbuLs/qfXj99AIU//7heahOFYjoHU2YRWpugIv0AhOPnAq+VLlg7NTpmU/sKUsAzS/Gyy
AdEbGgKHm1+ZEnzJMBSDF8cevsdFEvmv//6NR0377P9/Kvr8soyLrv3nP2znW8MeiL/wJIQF+0Jn
KPhbpkTJb3eDktwH9BSn2IvPQlT2HMmWvqQMfpPNlCaTc0T2Pm3xmmFcGF97kAULlXE7q7RbLaJk
7dC7L1wiLledzVVHNgTRuTgcT/lSs322aPXQE6M7qDxdh2BdmERU/ypr17OZeqr03Ujl8FYzZTH5
CjAO0WoVbYd2bTQCKOVvkyF+V3u2tZYE+yJkuEtU0m/oZLdT3LmbiBDgSAwOk5z0PfOCnWmXN3Px
vrdlfD5J4haqcLQ3TlOPm6pK39ZMF/YJccM1k+GUE8ec4o0WW+Z5PBINep6jrAwQuG7NdD6vlLtz
Ctlh3xsWUhFQ6pl2ZQPD4E3BwHhjpbG7maxZgMGv2jG9Fr3iNYzEnOaAtsvCS7eu1FYONySGd2ay
if2VU+G607RNQ0IoEQqyHd46wZraCUcyq2z3sH73FBs30xRu3Ti0tzVwUeaTSE2aoFXhV0D6tOYa
6QJX0tsydBHK+P6j0UbzcdRd5iAh6LVnVOtAmBn852IX9AHcCMeidmqw7eEmt9AsDPV00r1gMxNl
pwUamyHqlrUrEVRUoDO8g5i7N/tZZP2qD/vXQl36E6jDSg6X8eS+rePS2YeaQZoyvurYz8frKaIb
d6a6XQs4Aib0Ga3Dhs2mVjHt115jtweC7c7G1k63gYFRg8EAQ1rcHJEV9Mtbu43MI1rWFbRDmJBe
fVGX4q2sk5UnjWDVt2Rez/2tOYkH5FxcablxkRvYHnUEc5H9hZXNBAO3Jxk2ipJ4k9o26hKJSrLO
3+YJQ/WCSfOWVgFWBlELiMlaYHm7lJdS1KgItWod+p22jKkkF65XAEVLa915cm3GycMcJVfOHKCi
l3a7cNn1i5pE7aUTh5deUa6j0rlMmcKsUNh8yKW+M1GptoGDxIsj2wnhIhpb9li/maqcIAUQLTQz
wSUSP3S8WMF1FiHlQ7D3AZO6zN2003zeaPJDNHvJnjhu+OntY1Y14QGXuHO7mcuL3Mp7kgyCTWFY
K3ozbqrUYrcbaq8Y0QV5a1tTkKlBroO7HAy/OhSGeVM0IS2M2x3NPC3XZRjfVI0I132UvA1d0S4r
wzMhcqPPJNm7W9MLiLKujthHbhxpPo5drB2GYN4O5BJMFno4ja50IT2ixSknBMRqu0l3pTdxSSPh
04wEl1xYZVQw/KPyPh6gDfF3oXgbCebNyJ30E4xKbOdewAQC7FOYYgaiU4fmVUg/3xEEtzMxa1y2
BRHBCS6s42BeW07zrhyRZRuYam7zKnkd5jb3vmY+FjoNMGHVMw2N6SIjKzBUpxNlEHiNmQFeJdI5
Mdvd+hLvPhTQuzDcBOIq4Fcdm7T2CWrIVdyBh7jTeb+N2/IWgvmD4xXUmlp2GVElMwHDwD4PzCs9
6j5mJjnIUxLeBh2hgFl+aXT1cMBPBeBkkMEOKoaS2n5IjY+1i8tEHBb3mjBvAMCDBZZesJLkkG0S
shdpBteWPtHZ1TEZjl1+hVfOdvTjYGctEphPcB+8vU1WiS4FgsWR2kTOzV024lnPcNI6p/QrIV/n
WOgbUF7GtvWXkXVd5LVNfetGO+I0PAU0MnQz0MQKrK4W6aHuyJYpL6252gmND8mGCxaP2N3GmWrF
7zpMkPGzCNaTP1Owe84bEjHPwIVLFcL8LvX5XVqU3rhDovQG1SWtcL/WEOZhiVKftIkDE28xpvKf
mrrGwHmnHI+5gS2rnlrtMqkTkn1qjG+9/j4ZdP0oarnPCCQK4mHVdl22b2ZG4a5inRHYGE3htQar
yZ+RJVk1zrJBw/Sz2XJ0gbrWuJqUmGi9PtiVo1CbhBpbR7RVEmqu4RCkl9mb2MlvXFPS0VAuDwBt
XRKfybiByQGqUiXWx6nWP3RW+dEuUJVJF43gAIadJ2daZH6YHfxpaYqZ66fDIwypLfYhmHOAQoBp
Al5BYe7m26LR1TJ3p/qNJkVwGkNrPxvo86wOdxKvGq4DOUM+gCJMdNOCBEh7VUvtNLbWZVXUIDUa
XFpgZ4vHC9/T5GAXslgXvYHlbsYAjdwYoP2cU6BNdKyWR8IECoewiMDl9DCJQIDPvulEWGyLxCGx
jw2MTII2klEhs2OtW2J2nwsnf2956YOeheapIl5hMYMyITWJICWSNETmSOrs4sRF9sGULyehyiPs
AuAxqTdRm5+moV4KNuKyghuCNAdCkUGOdYm69wLuyrmVEiijo6TX9bXXzvlyDnzwVEmVG7nRRo7O
67FBKu8IkrRGM90wR6SfIYHOQd6cIzFd92m0JjnjMe6KyzjIdcIPTrogE2tEskNBAJtiLlXMnLzX
KuIEK+NoBRhzjrLc94kzHwlqTRIzhHGFqgSLmPMGmUk4RsiIUZ0uvK44Ovi40Ddpi1nDsxQnAnQq
SrFSKu0KMpftrNQsUulaWhqknUTq0ijNS6TULzwEzFiVIqa2YFSESiWjK71MDumrLB33baJdaJiM
b2ylrcFlFwadNp/F9mMw8sknSodTlpYD152NTt7QCnXiOg8EAazRNlEqnv9flf9/PRW9q/vufv2p
or/q4ca+foTt1/1SAquvfqp935Z/75u+1NLf/0E//dmpKhYmz6eqn/6sT3/zH/2U7L6Lu/4DOXwo
7uA543qFfOnTi0pekQg+f1kj08Blegp5+vPXqeRpXr5apt9biD9+j08r+sff80fv4GmJ9h/++Q/X
swyGu896qr+zDqZwHdNGI/j1AnivLMf1bGEzKf70evpNL2oBzO80lX95AQx8Xpmru7oB1Z4XI/Sv
18F95WA0ijDz6atsvX/TRvi57IlM4JEM47L4mi9g+PzJv2msf2cNnv2EXx8G5f7jmXSs9jdPgc8X
PNVpP72eWvgXtAn40Pj7rOd63t9ZgWfpm7+uADiAjVmvhabwlzf69S5wXqGvUDklzueFeHJqekEL
wXGgw37+czvhd9dBcO5BMOFc8Z72+7NTwX3lWxyZoBifH4enrfei1gGMxfzRdVDhNMA3Ju38d9fB
eyXQ1jickJ/3wws8HQWe0T+8Dup0VF7Q3pdr4LenI+ugExGreyT8fHq9wOdCuJb7o9ckJ6RvkSsA
2+rpffIDvz4fyNDVDccWOH9/fv2bbolnT/bX5YKwdUXN+jM3xbOf8us5CavM0ZEyowV7Wodvzgeq
Ep/L9Mt2eYH7gSACpWD7oXXgvvCYgpto8p4+72cXp8d+cMg4Nr5cnC/xfPhO3vRfvTe5L8D1+Q/7
9k+vZ9UTqDymvK4Dle3p9QLLaJJsxI+eD9wXDmNB14Zy+en1bD+wTDA3UWN+/rKSWL60dkJ8J07h
L+8H/xWKU/b+l3WgMPv6nESYym7hAcQn5Mt+eWnr8D0jzr+xDiBduk5f9Tv7wTF12zEQ6T69XuJz
QXv1w/eFEjBzCJri++vgvzIoojgmv9STTwXLi6onP3v//Oh9AT/aNbkyvrsfqKNsky70S/vxEs8H
LrtvlO5/47kwEayjw+IA/O3BYHEyQEr/XG/rL67TdL3vsfn/8gKozsGBbfnlwf9mHSitDBuPwM8H
w19Yhz/x1ADlqe/6OXu8b/71fwAAAP//</cx:binary>
              </cx:geoCache>
            </cx:geography>
          </cx:layoutPr>
        </cx:series>
      </cx:plotAreaRegion>
    </cx:plotArea>
    <cx:legend pos="r" align="min"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hartEx9.xml><?xml version="1.0" encoding="utf-8"?>
<cx:chartSpace xmlns:a="http://schemas.openxmlformats.org/drawingml/2006/main" xmlns:r="http://schemas.openxmlformats.org/officeDocument/2006/relationships" xmlns:cx="http://schemas.microsoft.com/office/drawing/2014/chartex">
  <cx:chartData>
    <cx:data id="0">
      <cx:strDim type="cat">
        <cx:f>_xlchart.v5.39</cx:f>
        <cx:nf>_xlchart.v5.38</cx:nf>
      </cx:strDim>
      <cx:numDim type="colorVal">
        <cx:f>_xlchart.v5.41</cx:f>
        <cx:nf>_xlchart.v5.40</cx:nf>
      </cx:numDim>
    </cx:data>
  </cx:chartData>
  <cx:chart>
    <cx:plotArea>
      <cx:plotAreaRegion>
        <cx:series layoutId="regionMap" uniqueId="{3A8DE203-C1A2-40A5-8DDC-F8AD0564F2E1}">
          <cx:tx>
            <cx:txData>
              <cx:f>_xlchart.v5.40</cx:f>
              <cx:v>Pessoas ao serviço</cx:v>
            </cx:txData>
          </cx:tx>
          <cx:dataId val="0"/>
          <cx:layoutPr>
            <cx:regionLabelLayout val="none"/>
            <cx:geography viewedRegionType="dataOnly" cultureLanguage="pt-PT" cultureRegion="PT" attribution="Com tecnologia Bing">
              <cx:geoCache provider="{E9337A44-BEBE-4D9F-B70C-5C5E7DAFC167}">
                <cx:binary>7HzZct24suWvOPzcVGEiCJw4dSMaJPegrdmSLfuFIcsSCU4gCXD8g/slHf0L/Xp+rHPbkktSqaY+
FR3XEVflsEPEBjeIhcxcKzNZ/7yd/nFb3t10b6aqrO0/bqef32bONf/46Sd7m91VN/ag0redsebe
Hdya6idzf69v73760t2Muk5/Igizn26zm87dTW//459wt/TOHJnbG6dNfd7fdfPFne1LZ39n7NWh
NzdfKl1H2rpO3zr889vVTWfevrmrnXbz5dzc/fz22Sfevvnp5X1+9Z1vSliW67/AXBocEBbAfzxA
X3/o2zelqdOHYU8cYOrTgEsiv/3wx+8+ualg/h+t5utabr586e6shUf5+u/jrGfrfrx4a/ra7Xcr
hY37+e2Z6Vyf3pRv32hrwm9jodmv/Ozy66P+9Hyr/+OfLy7Aw7+48gSNlzv1R0O/AuO9tnf94478
+2gwdBBIIQIqHnY7eI5GcCACJFEQBK+j8YfLeR2Oh2kv8Hi4+mMB8j+HO/132sceEQLnn/j4ORTi
AExG+NRnD1CQx2PwzTD+eCGvY/E47wUYj5d/LDT+9Z+D6W4eN+bftw8qDjiiknEuv3mrF6CAfTAs
SYAeQRGP3/0NlD9ez+ugPM57Acrj5R8LlL1L/RsjCMMHBEIIARv5ZgkvfJY4oD7xERH4wVBeYPKH
y3kdkodpLxB5uPpjAaLu8r/TRsAIiAQTIOI3bEQyiC88eAj4CCL+NzbxzUb+aDWvw/Ft1gs0vl38
wcDobtKb+l//629EBCzER5Iy+WgCLyyEHwhfMoCMv24h6s8s6Tdg+WXqS2x+GfkBAXo8sv9+SNmD
4xOJpHiMGS/jPEWSIyToN2tCL9zXV3B+bzm/A8zb53zy57cPN/uxAHl3U7ub7l//u/q9XfiLqkQe
EAnUSviw28/lCAsCAArhBzTAlJ46rz+1ltcReTL1hak8GfmxkAlvrLsrzRs4VvXt3xjyqTwADsYC
Xz6EGOC+T1EKwN9h7lP8KGPkc5T+/Lpeh+rl/Bd4vRz+rw3ab67uqcR/9qG/KvHlARcEy8B/EXeC
AwkDIpD0Ie68MKY9mfqmvX97Ka8D9MvMZwv/Ly/nQ6Orz3+nYAH5SBCjBNjvq2QMyDH1Aw5K8gGC
FyryTyzodQS+T3xpG49P+GMBs+5vui9/JyVDB5whP/AZ+rbxvzINQiTxA/wwLF9E/T9ez+uwPM57
gcrj5R8LlCNtP5u/ERQIKwhhKgn1XwVFHmCwFIbpo3Jhz8PKH6/ndVAe570A5fHyDwYK5L/03wtK
gAMfgbk8uKjnsV4cACED6SLYAyN7ISeP/nA9vwHKw7yXoDxc/rFA2cfDm/Iu7e4eT+y/L1zAWvA+
CwapyVetJTjgBPkc48e8y4vM/Z9b0+vgPJ37AqCnQz8WSO91efPm4m5fa3jKd54931+kXl/FJeS+
gke98qK6AhhR7AeUPNgOwo/f/S0X86eW9DpET6Y+e4Kf3z4Z+bEAenfn/vV/Pv+d+EA+mVKOAZ4H
3/YruQmZZuzz75mZFwz5z6zodXh+mfkCnV8Gfixw3uub+ubNF/PmQX09HuR/39GBEYkAsssMkmhf
f15wNQFqE1ACXvAA4gsO/VdW9jpYv77DC9B+/YH/z+D9donze/E3unE38deq8ZMq5++Pft0NqGO/
mPp77vGb59x++fltIAiwAv+Jx9zf5lm25tfb9sr0O0hi/PwWCtFQ9qQCYYGoL4TgcArGu4chIZBA
MhAUkkY+45BuqCHiZj+/ZeQAM5/TwMeEoABRcLDW9F+HMNSS9soLQUWVggum3+v2Z6acU1N/35yH
39/UfXVmdO3sz28x3Kj59rH9w/qcc0HFXskFkF0HrwHctLm9uYDegP2n/4dNm6VsCt4r3M5h5fGj
3I+lbOLR0o1M61WdL/HoD5FB42bePdm1V74caly//nbfp0AFIOmPBWPo+bcHXoJGz9Tw7Q4noU5m
p0qiVZ50bpWMJhZ5e4fzIQ37IiGqbW9H225Gr87jtuPXXuqVMZm5U56VTeSjLCT+uiuXd1ONL2jS
H6fOS6OCmi++Rn6oWa7DeXFEZTV/X3t+VLCmjlPkLqfR3ovO1KGE5grlJ20eZTzpojxfjnBSJ2oa
55j63spMLYkaLVQBmcCwn9NR9a66X7qijrGeUqVbWYYTzlcYsyLkWdsoM5ehJaxfd1Lb2E/4NbO9
PKzrLIjyxAvHRO+Y6KazbBryY2HZYSOmCGXMWwVJokPD2RfYxOtmaAOVD8eVS8MsSH1VBtMu4ONH
hudgl45jpXS3zLCFNt3091JfjSVC8ZwOVWy9vjvieXtvPE/vcLmoWbrmvBKr0S10q2lznrgmOLQj
386y95VLSb5J5Rg1fZWrdGymDaP9dpza4lgkyUlL+afKH3QkSxvixmGVWnIxIisP07k6rLCp1l7d
COWSC43ZGHaJvwmw9yFIfBkae+/liQmLrtTKDnm6SZm9NaVNtqlth3DZeCl+R5cu1LzD267MV7Yt
ZeTKsovIVGwwqagyZJjDtF3ukIAzxJncUL9u4mJk3TaH+KgqrxlUPU03Ohu2rUFLOJYK7C49LQnZ
9LPzjjQrPpQkC/uhTN8hNsETLvlWMz9RGWo/jl4ybd072rH2OIsmLXXImTesxUiadS/nkwzjM4lJ
rwqU3rURl/kQF6jnYTppsS3xcFd1QpGiOuoJtcpD5aBIKexaymrtKs0OUXeDFw1fTG20BORwrsRp
V2aHmqfvCoyjQcxZBEfSqtGVaVh22Is63Meilmaz1MOkqmJQeNA70gm6bSf/o4c6qpZpCTZzk6yX
tP/skslTQVr4ocFeaK046kwv167v7p233DUWJVFO+xuMTaMqnaMwyc7GRTaHbqg3pTS5qv3UqSxw
Tk1M0DXS4rgc/WVVuuE6cItKTX68yJGss2VbVL1USXMMxdf3lZHBRhp/R3I7qbELbqag1JGWqY5w
aUg4MV8fyqUM3VzkapCpXaeEKCIys0rzHow9A3sqErC+BAWn3dhFmItalV7cIL28S2R/1iy1apOp
uijxeZ6O5Vmgt12woDjQlVZBl9YnaaNmZ+8K6/dx2o2nQU/jgPexTqcd7Ol6EPbc5QuYtnRk82GQ
Q7Mq5t6qSZqrpm5WYxniaV4ZMEU2JqOyWfbZ9+0JyrNTKYbrtlwF7XIc9GksvCHq0n6V2vlkFvS0
R/kJmbOjJSnXTesORb/NbHk1FPp84UHMm+yUlJ+mkr5v+uWYTfdNN23Bxs/aoV5z32x6I1eEFYuS
WMdWwHl1Pph7EsEOr6e+jZO5/uAF+H03LdcdS09M2cUpLnau90561J9kOb0EYXZGDKsVF5Va/PmY
6ukISrLnqa7XTLhOVYEXakE289yfVPm4TfCyq9LlE+uWM38aTnq5KvN5VzV62wSwuSxYde10WqfJ
RYD0UdKg4zRaxuKsYvmZQPpE8Gq3+PKiMfq0bvhRh8yWMhR3fhuhyUXZmF7TYl6Rlpy1dihUj6nq
vPRdw/lhmnebJF9WCbOHJkVHbso/IYl3AuPTustPLDc7IUjY2x1qj3HJNqQudjMtjpCp16LNz1xQ
R2kNPhyePOD2wnTTCpzF2sg65OZqv7ui/1AQetj5y1kmssirliMrplbpmn7KZnTW0kjU3sf9DniN
3O4fjsj8dCzns1DDBu+ftGqLoz4hO72QT+VCNwk8dcdPAlRGM0nAKx9mpT0MWnsm/CD8GkUfqNGz
mH5rmrnTafbQjvf91/+4NBX8+dox9svFfTffL78dP7YB/u6n1ndmL+Hsyw/tV/P9Xr/0pu2p0fdG
tRd061vj4G9wsd8d/LNEjcLxAtL8vXHwV0TtZUXlKU17mPxA06CWzamA9gLJCAYitL/vd5pGBKSJ
JBQifCh4Ayf7haahA4agEAFlCuhto8CgvtM0SHP4hO9FcgBKDJp/8F+hadAn9JIpBRzt0/HwB1gj
2tPIpzytIhCe5oQZxUawr/FSgm8La+ASkZvgKFtXH9co+ZgMfqFI3jTnni891edeHmNiWUjJOJ0T
K1uVllxp38S8n/uQDqSKswptUGPJrq0iv51xPC+pCTnpwrKawsVVIWOT3HrMAJmq7HXjtWGFcaaI
XWwYqCw5hZYzdFSgsg11zjadpiKquVW89ZuolfMMtCWIsqBMoybLhBJdXsZIyybMPafyJUEh8pOL
ZaovCzSvcVqrhHc8bsfMV0XanZrJE+Gs889iFmd9VouNnMskrvjoK79mO2nbZSerm7IiJEzzJldm
IjtXiOXbX3ju0W5A3qapgvKIB2DMGS3WMu+ro7Z5N1ZZvUuLodrVJat22CFf8UncB4hYJWlEUSpX
Zugz5bIArbgIelV73IXNPNuoiea6Y6onvF8nN2RIUuUP86LqQTrV0+E6L+froKTdymO63Cx4uOrd
+Clhea7YUG0Hw8uIWi+NtefXYZcX7UqXnYJOWlVmnrISu7CbxLVt7KwqeqjLge/8zEGw/KKTsVXU
d8umt12q2jwlaugbdNiZxVeyPecG6PIgRR267rJCwJZJoF3cOS+uYMlqaMZA2Xz5jEfEI8aSbtXN
QRK1RaLjqh7qsCiSJLJCY0WS4gO9ZksRbJjFZQQZpHXL2Rhzj9iIe42SSTOeNbkfyqE7bGxfqd5H
Reib7GM625O2KKIuW8bV0FTHCFjA3KWfMl6pfExO8yBTAWlXdIQPzKOfh7Mf7CTKtkkNzCOfvuiU
bzzL1nw2l4vTl5iSKdIYX7V2CqfJpuE8yThP5b3XsjRigRePeCqjEQdEBc0QyxSkTZsd1YtrwsLV
WGG6rWm3bPDkbpNJHGU6Y2FC+usJiW47L4euh4CZEhuWdtAqm5etXw5XyxI1shQqd23YMOpWZdvP
ALvyxTBFgc/9uF2SSFdJzI1HQzy34xoncNhZuYStJrWyi2OrohG7PiBd1Lqljvm9qKrthFHyvhjL
dNWJ9H1mkiJcfDCYKajG9bREhDYiDOrRU6yduUKO87DTLpLaNMdzW2Jl7EIjW01rTf1FjaKGk1J0
bAM+DCjM2CtpxYmcC7pxAreqKayNuinVikozqDmhn3JSlGrO0kxxS9b+sAyHQ1Ve9ohf+gRMHU99
NLn7kbZtVOUdh+MyhT3P0lORlEoM1aaftD3VHs1XSS5gEd5UxoustktvCNjssKyGxMRtkTK1dM2w
7pLhpiCkjHUiPvSVf0bLolA087ydoH2vRA03znIZBy2Rp8OCQGO0OFo6IO9Vwj8xFlSqQ8suQzpV
HYjyyMNl3Eh36H0wU1nusGeSEATHGUPpqc4Ei75uj3CBv041vdPefD8Y3Gz8ivgbkXMdi9QMcaXn
QmENWoPy4ZAE07u5dPk6X7p1U9BmY1XF3Kms5K2/zPyQmGNuex31YLfRIP0spH5iN3TKgBrNAyiv
XufxvrVn7efNSTLYddFkIsqbgIdY8BEkkyZbU3hZuGTNFhcyRKDeglokIbwFgNWSyY+gMUqVLBNY
O6JXxo3wtDDOu1qEYu99shHulIFDNk2+0aS8ZZSe5rwxn9saPIObZapGVnjR5JnqxEsKt2rKOYgT
wAlUqTkrfMRU64HjIEtVxNC9p1I3uwhSEGVMkw8uGeO+sCT2IJkf+YMrTuZmAOEzol0gZxourb2V
Fk46zmAPujrKTTcqjw+rMmvyMBk4UoXuzxj2cKgbDfGic1oNOctWY4ey8x6eVg2+r+ZKqiKxw6rX
aSRIeTjmto7oxCDKJDTq/TRXRONp603tJh3CPM/Op64iIRl9UGZVWa380cyhFWeQcrjts+owBaFS
B32hGls5GBhiWsqwdKRV4zRvC5NvwVkfFwmOvamgairVUsxbZkzkCXPR6voK1zFty3sziat+w4Bu
qoIhrPz+fqrdtMqcL0JUuesejrgNZLEaivZKOPoFl60y43RTLGTecj/pIZIPgAgFsdr70yqw1ipT
L5+Wjt/NwcDVgoYkTJLpCGvqwsxapDCrN+bak6Q6GrAFCj/ayKS5Vj0rtnmrldw7XpEikAmoWJdO
vguqcjUvsM8OyU6lUNFUw0jACqpopuImn+hVQjOVTiApKfuYanToNydmyFaT7+2CAUJ+LVYBavsw
sac1Pk9dEDX1EA1DlqiOlxdWJruhLm67eutq2iuvrS6Kpb5ftKyiIRkjTGaqyjZfQprZLePJORCv
Qx81d1l2nuSlCfsO3JkbktWS5O8rH14ywTS5liY5phSnK+mhbVMEfTiSpVXzIJLN0jQGUjr049SZ
sJxQH1WMi7AKxBg6AQHUeW0ZVSYPlz79QLnQcdJyCNKk+ewquYPdsIcpmt51vmIyt6uOTRdkBt8C
p1jhJrnpfT7EvMzeDf4qaSU/dAs8W5Z8BiF10VRoi8ePAx3CxpMDMLRsVEttz0XWbnPqZ1HqBZBU
EkWkdV+uxqL/KPRymlfk0owUwWJkrqZ2gSSTyEPkzBCOfneasXLtpXkROkaZqhHQpqAcQjF3uWpK
jUPhZlgwWwKQMnMMIepUtnOi2oAixXH7vhu2rhzTzeL3x21jgrPZkSY0bJZxlYRl2c+rRryXfIgc
7S4TL6+OdMHcNunnjSkaepjzZeuhSq9Rm0ulg/yLZ+076VlvlWDQNsLgYW0scDw+abPOTbvymzxV
gmTAXhpyigbXRpC42VTI5GuMa6Q6Gai2nDU8hz3R9aRjh3Eb+/4tpzZuzQI+gaZLBOyx8q6YbQKF
IE5o1F+UjN0JrYtoXMwtYeS4n9JD3jbv/RoexVSoiuue5kdyOcQFZqBG2WpuuqvW54faiZOEDlsk
ypVYiIxHpIFTmLCe7Zcx6ZbIwSZVmkRGZBRILW+nDqCyihbLthvz0Bb6shr1p342xdbt41ohCRy3
QzPO3fnAstOxwZC/NAZH0k3phjZTKBOI4sswzeAa3GaojV5jBrlFIyY1B9UMAXcEj9f0F3hos3C0
vIuznvpq8vwLWvShaKeT/9aLv/1W2TPJRxCBavJv68XH1olXJn1P50N9AN5iCiArzxkGTfZdJ4Lg
21e1QUBCXISsg4BU+0M6H8QghYyUFJRBx3RAOKziIZ2/fzUE2hQo0BH219P50MHwQieCIoHqOWNQ
TcAB9NLD+p7qRFPInlS13OewyXVdE5B4o7ySvDrxhRlVmtjzSmepyvu14ODT02yDq1qoufQKNTY0
hjgcpdSzkfb0Z3irRXk5vxzyvlaBHiVk2vehVF4QD2+6Jbtv6Nwqgs7ZdFpO8r3VoggbkVZKLt3G
RzUkLVt3a6zUipf3OneFgjbZY8Tt2Ty119lYh6I0EyRpua9qSj+1mFyBMal+Oa2TCf7NYFpS+6rn
wXsM/lAJtElqlipXm3uQDbs+G1w4VWjdBy0Ns2XOVLfsQGd+WaYiVQgXl0EyFsp3sSNVs/ZL66tx
AWWygDrOadWqornndAAnzIkqPAskZc5Q2Bv+qSvZBT+HYg0NzZJNKnCaq96O90tOz2peelGDlm09
zieumkU8MDOrLtNtOAgeJxWdlKt6T+XNqdV+dYSbNFVyCq4EbVeQEL4uxqRXne8jNZTuMMj8z4g3
ftjki1TG6zYCgbcfCgfhRiefhvyENtaFgYibjl8l+UxUQwKQkbrUwHq0aozhYV6BNhDgcaJuAfKe
eulHneanS21UVWv+od2rUCpBS/JcwNdMQD5zczkXtj0aIaHJK3RT64u0r8xG06lTvgE8RboRg4Oc
mTytxwHvZs+d9hC0OwJOeDhZ3BQ3VPZbUjdHfZaSCK7saomW1VixUmkyhW3Wr0ZJ14NXsEM3Lhs2
OtghZLiSxu2WoF55iXc0t4VZ9865kMwgjbTwrhAsY+Pp7KMnC7uCbMaHgue1MkkNJMAVm9nWoDYQ
BCU/MOFk8JcxS5PNRLq1s7OJLG+uk7QGejF5ZxW8SXrKoM5CgsaP4K0sFw5wMAb0OWUT5CbbDJaY
AJ3wq7Auk+kUQXYXNyKPaV3vwHnfiRTfe2ANEo1xNTHQyAmugcFZux7n4Trrq/Sky4peobGAakL9
uWoC72Nhg9i5M2qQt62hxqSkSIdN5pIG7IrOEDauMLIlMJeWxKwk8YL0oGhQrXCXuFB3mVWJIB/Y
YHvFvKI4TqC2ADnsK0md25ISjVB2KMlJ7fUYEru4PbLpaEK01O9T3bF4KaGUAGnlRYGk0Ss+DZWq
jK/DrGImLuZpVFO9EWUC+ZOULaHXdHMceMO1x5LiqPVBCwz2gjiv3rQdGhQKGhdW1RyzUa8947PV
CG3wYZZAvWcidIuMnsMcBe/hWO4NPZAh1z5eC2FXwVgrqG92SqTZsk49A2ikUjVpd+zx7n3iQ0wH
S5nDCYSWElnvTsScf9SyQ0fAiu6XpJ3irt/1ufWPlyGCWhNeTbQ14KiGUzmcuQmUfD0KtpK6uy7b
MqzdsoCDKPKTua1vPMdnpccetrq+YjCmBkbXJNjKRrLjwqOH2Msa5UR7miMdNQadaC6vltI7tNJQ
FRdFcE6m0Q/zKRgVJGg+OkN2oJUh2lf4M7MLlFKgvjdY1kZQK/LDBGhdA3TZLypl2PsSZFlokyaP
JnqOfVAZM+wOnEW4w9Smq76rQVJ5H1JWjBGUl8/1OO0mITdt3R/Xk1kUQuMllG/3aR+hgBrVofZu
TMVbkE2DD8XIBUoaYxrWNA3bnJ/xVt7xFNzroId3pg1WPbWnk1cXUEqAVJlj77DHPpviYhH6Y1/k
H0a/3ZUTjVHFTuf+XV7aE5zna0/OYeBVVYRtf2FysZamdKoqCVILz267sQn3d1g4pJsGyJEB2cGh
KabPiddwqNRu9eITtXj4NKmbUtWFtlHJq6Pa9p+JcSyEc3QyiQrULXB6h09B5t9XaPGjupULsK4I
Zy0kCQdvz4rdoCyhUdvWJ7hvJSR2wBehueuVFZu0CkDtJlWIPPgcFvtg0za7mvD1QrPb/RexoT7J
kEmUP62hBl6AOBv2OZwJStJZHc5Vr9XUuXNd2QsdyAz2te7U0nefaEl2U+M2FbB71VfwLngqZwYV
JApuKQ3uaj/LlF8IFNJ2k3UgqE0/He3pfgo5hWTpb1taqbJjkI3C+igd+ca01c54UO3zRZ+qIgsF
Gu6pW4qo4lDnC8iopAcVaY+ezEk+hRj19423YZmVIZtAP4uuvAmGcmsFfW8R89UTSvRK1X5PmZ61
DADFIHtq4UODuJTQ1PCcYujanxE3tFFwAKDWDNoxGzLFsimCNodNr6tRNRTf4LS4YF29Qa0+tmMX
NlN7JlN4WjqO92m6q7J+N1dgE0l2NFt+OAVD2MqgUEsbJlAFnC87iTb/T2sH+sYJ9OZQ8qLdAeE0
WOaKNKrgkLgTtgEtAbWwr1vNmuyiIHzbd8FJMLEj048RuBRZnBtaXxFkbwNiP+mAHPVSH5qluprb
7vM8rxIEfhnOJlT6IQNpe+oUS/ghZFPWv798+srWw/tcsPkM+u+g4xhKEc/YnZ25rvZb3/mDDYeg
PRlxcTXOPApIplc4GZBK53SLIMccWpcfJTMIQm9vJaMgi6JmOUclUR0FZTrSu9HBYQZHfTKM7UbU
pgizGQqrrCM6rJALay2nME878FZDmKSohZorSKJlkJA3rtxZCxlQSIxUMn0XzCVSlJTbr4/839Wt
bw1mt0//txGPvWf7zhwsoefyt5XKvl316Tsu36d8r2dhQUBxQH9PwAT62lv0UM+i8OJzgCkT0ofz
HyCoJD3vOtqPgI7ZS5hfZAo6QPBCIYERnxF4/0b8lXIW3lernnYdUQzLQwJeVoCXeDi8Y/L8HI+Q
QVwYygPwlrne9s2XiXZqNAs7tcTxuGTyUmTWi4PensjKQG+K6f1tXxXrwTaXdSrlIeZmy4WdVg0P
5ujJXr7i4tjejp6tj32tsknuI9B7UBF8sb4GCuIZSLrQm3ixSvu8W1k0QWoFyukEcjFDKVaZFJuh
A/Hga5Ofdylmse/p86Zx5DBYsi2vNBSYgfR2GHQ8b3seE9lfFoLUIRJVe+rX2yWdst1iq9NW1PMJ
l91NayiPkjzNtlXHXDyks1shU7EI1W1/mLb6Bs14Oqlpmb5vy/w8pTyFikphIgM+N+Ut20q6pGfD
SOlJVwcxJN0uqB6rP9qi/RY83yKBwQvBEYM2e4bx3lU9aRxroQQT+OT/cncmS47zWJZ+IphxAoct
B82SS/IhPGID8z8inCDAAZwAkE9fR57dXZl/lmVld1rWoje0cHkMLpEA7j3nOzegqQrc7M2iZXz8
utThFB970817ClcN7sHgZjJg9TcnLMOCeqaHezPYrANEdZQoJcrStUe+AGpxZV0e7axhZFTkpix5
H2m9HOXssVtE5qd1NvVLF7ogOUiwHW0ZoWNV7MzbNlzTWHQQl/gCiXSCRsy3EcAb1C+mgS/hR0dR
m+jbig1ynXl1gN4Zos/1nZyUvrovlIR/8eX/Mrflv3iIoj9v1lhij4CuD+4IgBvyUn/6hFD2NCX3
TQbTjls772UN2bbkxtxF7bOLnvx8nak4atZPXapWyIY9zJyczK04BrMRR5T150nTi7KB3LjzIAom
bXmuh/BpAQ1yDqexPvMG0IGw3vbrpamCxZZoy4uOWufmzYnM64Cozdonzs0+Lg2lUQq3b9iB71lT
Gmh5SxYo6KIMP5d6vMKdUbdhdU5mLdVRWb/7y4W66n99GTJVtMoNjgyK4WVYqQ8Kpqt2Zhp2kqvu
LKO4OxM2OZks/WQzof4UcSd/0JpGm6CRZYZPzN1ZR9nTUvG9jqtxrx9ffb0EicKeFHySA0zjwodk
eiTtMh0n1bdH2BwUrW+2wDu6qIgNJ9aN/90e4P2ZTQRRB8IdoKWLpAKKhT894EQmY43li6Y1Jk7u
dV594Ty64mNZ0mT2h23pdBO4yFi8Gn+iKDX7+qUZnU3PnbFg1MK+Qwf5XJvp0E5TfO9XqNtBtVzq
FiKl8pW8jBJGTXypte7f1OK0qezC7tx6sMihgTbbvo3NWQVG/DeFRPyoc/5m9aL2SXAw+AEwU7zF
P21wehUydNEZZNaYP4KEm8K23J5ZsFT7ssSScmyqXUufuWHfg6V9G123upGQ/eRV3B8cwvjt66VV
RyRNwhk82OO1r0sTRiYPNWgBtjjbmvjVGxtnvtNCBnnMpHgjYxduSFIVMpiDLNDU3r8ukV72imh9
MY1d7nOnw0PvrQ+XHL+DD/Vy9yM+ZxNOgK1fpuBZxyvwJOcaDozkU2LC/OvLr0s0iGjTRXF51P1C
LsyMVcZCP/wIE3qVS8xfvQC+YwvsbqhD2FgJOpZ4kd9dWOo3x527qwt3z7J+UwYhpCI7JGOORybB
P6KKBnLKa93VohhL39u3rhPu3Rrm6+qsYJ58mA8DTquNE833sPWCJ1AR5VsZegfYVd1tFn35pnhX
KLeldxOoX//4DKP/xS0O/SD08Pji/kbh4/t/tUHHSRVWDjoMKFFUw/uPbmUTyJduQQO0ju9lG9Hv
JVr8kYsU+3V0+MsFQkLqxOVFerQ+2GBQ8HOAYBG78gzH2g3+dnz6uoBpjE9+HXS7ZkjuENjLPte1
90ODLAVZEQWnRg/tYYmmYzXYEXgsqs5w9N13vj6pOUEdHT7AB5QjRyeY2K6M5reytpBPlvgPyBLB
L9ntpwEmterac0mF5lmvCi5G58DJngh3OMg6gT2/OCs7cL//35eoD/N//HG67t/VBICCQkQvodM+
MO4/tz2WwLoaOq/LjC14GMwHqGxRnRrD9aEBiFNDNNTTnvthKlpK7/XjErsv6Eydm9BReZnjfgcV
E4b//7n0ZsqVZXrTTyHMWxQ1r700206E7jfaw7aPG7Ps26GDh8fpYak7vcXmCS+e48CH6UM7cHZJ
t94bFzQx8RkpQABGZzdQpw59xG2Qcw97MbZZ7QffEhdLhCRmyZjonVPv/1rCKNyhhLJp3wbDbXxc
qKcNoDow1ZB8in6K0Ve7aCvidbg5ieyP8xw4EFaZs8EntaYKYFze2ebN4/ZI3DG8CsOnpzCaD1Xv
0uPXZV0ZPdaE/6A2SbaKjeQ8S5+cgSrA5vd2ZKrZdVmC6jYs63YBg3OmFCjBuLi7hAAPjB4XgB5u
tky+vED+mDZWt/SpATddiETNN8fRTp4o0lyCgeg9KwWsxBn98OTWT5RXMM7oVJ86HZiH2FjnY912
P0xl32dlh7stVXvmidNnKwvaH6qeXhqvM6eRL+L2denWBeBr7x2aYW1tyiJ6NItPz0aQnzGgw5//
+Knz/24RI8QYJTh/PB++AzLZf7uIo7X22mWO6owPuaVa3Ru9qt2gmJMK3PAznb32WCeQASbPkSlv
Zo2iUu71Mqqjb+tx10ztJ3RM68DsSqadrKJvDKLsyQz8l6wSsuUkuLXLrZNlkst2lJtRueQeLMbs
JqAfVbUkp69L03OzAZkA3JuH+lX5fjaYav32j98ynv4/dweYFRei8sLu9RhxgjLqb990n0xmjgPo
I87jrAfq83Wp4UwLHnp34wXuuYTaNtZ0BJLAQb/Ah927FepNCqT2jRqnPRGWGLSttnqLoXkfjI5E
9vXdkIV6XwcRzUbj8zfLONu6c0bXqoNd6NavsYBBEo3FzPryrp16uhPfqfEvdfbw9eXYAy2YOE9w
SDr008KfPdsO590yxddBxUC22jEAoL1sWzbZrB37zNXW7NXavwk9vECuK0GU9L8EQz6g5P2PTl72
I69+xdJADJZLscrkB3vohPCFRzp9X/zkfURFm82/JxJ/thrymZKQugmcUi6XH9bHgeZ3cMA7nJjN
agCglctHbyqeOX63jcJSZtYHrb+GAfS60suqelYwYwFl9CZ+ivchW38kU2vSpa0ubk+KqWmvYtDf
xUB3MpIfce9vkz5mqUt1nXW9nLJOrNjD/cbdaBNfhriZtpSRj7XtoVauIfRkXp1JA8lLRGXKCYIC
qpPPLlWbWSeooih7E5V4H8hLGPbPeomCvQAQng7t9GMaGpnr0HwjLXoHMteZ6CfwJJY8iRiJkdkZ
6jRo7KsICIiAcFONZuvp9RnuWCrIK08AMPE2ObNF3WQ0qcKWeuu4KkhRDeQ4jLuiqyBE97ZrNs3Q
k3Rw2Xbw2m+9P/q5B7w8g8YHeQdg5K4O1noHWEBmM853wJNp7w/Vtnf9jSthB6wcsDrp6S4R8Kn0
nIBlU+VPZ0gJieJffQjdc5nFxgNjtnGnBmGHO0uCcRPUxF6oLoe0prNTuN0Teh7sTk0eRyJ+bT1b
NIlTzAGYuHhu6b4eNO58NW/doTb5AHA182bgjZ4G0qErAFvkFLCSH1oK3m8G02+4I9BPZ24d6e1s
Z7B8UZdSZcsTUfKIdwZvIqi7lHmsSvvZA1w2kG29OE+Ocj85UQAovbLacC6HjKztfZidF0G2s9aQ
52O1Cz2VexAme6vXvafogSe1SoUNrzEwyRSfJ0lVjwCGAHxCF8+9eHJ9WwfdFmNA50zOeB0HYrQJ
sevtqDd2qQX2FqDZ3WlLbaF1Rqr2LZniD4QKTF7tWOefQx/+1TQ509ba4YE4Rp/1wI6GwpK3kA2W
AQWGCXA7+zA8l7z24ZlxcnXX5562f4xluBUcuumKLWSsVMrKJNgtq9jMc58CFz4rm1xnT3TFOHvb
ibswDmEmWCHfiON8kMDgLCq/1R0HMOfsdKhT+VJxd0zrqU/SuYueJls9WTdeDtO3OVFYhir5DrZn
mzQLAVakc/U4qEDd2fknj767ZJzzyiwK4Rb3oO1vOdfd9wY/uLEl9LxORzcQTP7gPDULskjGYaB+
eyzmhXZ3TyYfoVzhz5o+yaFjiDQsuyAtSVzmdRzoTVQR96wd+9l2tksd2y6vtBK7sezKbEhwEPrz
aPPOOB7CKSXPXF/+UpIHBwPOtVibHjEOhtiCWfpb0pkWsIbeIV31x2jqdiuEPfoL38SsnQsAb+jy
SuSN6qT94VdLvxOqfltVeG0O7ABVsisGY3dNj5XWxr5XuFAsUt0ncDnKTVjJ3zEgzhp2qV6ntmAt
jF4a3pcYnOpE6zBblnDZrXmnqyAdeuMdVMueu1sjESiBhxVnY8N+zEG3n2u2Zp0JPUSz6BtKD3JO
jEvONqK7UEdxinMf+Z4kRRYmOLC4f2fREJ8gwVxwwz9F/Yh8qIqkvUfWfOmzbiLzzVjwRSHtU6cB
Dri0+hyFC/Z0T+EmJPOOzuBMdLSdezocwnqrIxjms8Rf00TsvQSPuxdLv2kUqzPFHZW3TufAYJhe
RybCnfQUkG0vzB1f/Z6rc+LeqyX8FJyWmwoRBSRZ5hXhPRfnCWvOg1rXTcCWb5NC1mb1jJsreN/Z
GJq+iAasXJdA29XV5G9Gw365fvM7jqv6vZGsQLoQoZpqba6tf6Vj+0pIfx+8sN+W8jKM862aNr3x
X9rOq3KmqudoCuAX641CTG6vvXXcUln/nsah2jTWgkgMbfnEIgtrZAx+sxoxw3hsZZbEz3Nsll3s
sThtwDLdWwBSNaXTdvbssZ+qKE2EZGmNwA68qxVP5carQarOvnsnMcq9zqIgskvm9G781AcvbtCD
L9SkAbRV38TiuPtK5F8eqRrBq9UStF7U7tqmiwoIQM7WIxw81i8vXvs9r7EhmrVq9kHfQ/hnYdbY
zimSQXQbLAXV659Jh1/Uuo62yjp/cBUPTxMrgUq28wsO27f+QfkkOvLPQ0XO1PA6VQ67aS8yl6Ct
mmIW8jeoBA07skEObQA6H9AlFxUaMGexrzFark3jdz/9GWbeJNpX33g35j8LtpZAvMY36veiMDGY
Ozqu59kjBW41Kzhp52xGosX0iCz2gOwRg5syGszAIRKw1RH8dYKy+DgS9W6MTVCRJH8A49sNAgwS
ky3Oh278qav5pKF0pMMQAw6wOirAxZpMVU0DB5ZtVIubsgrh50bLJDfc0h3sZQKnWjfLeUb3nHl1
YHbhVMp8Bgm3p9Y9/5Nsv1jD6yAIwmL/k2x/GFAwjQNQk3+N7Y+bSO4qZv9Ftn+I6vAIkRD1w1+x
/bqFF5gE4v9Dtp9HUyrH+W/YfrPKFzlZgPSJ/5osJmMWJnY9x4UJyac3rWXOA1ZEwMX/k+2XFTBC
Uv0V21+VB0S1/h1s/7omuatIQZiAfjWIf5rtxw4FZPMorKiO/HEpGySaZxrtl9HLGtN1m95BzoQp
V2YonxRCmQUU8BqegUr5i2cHs5OtJsVqEbEcfCIyYF6bxE1gmq5ICztdWGVJDTi2euRB3C/EQIvN
EtMntK+oUlsUR8t0XS3yJRrEC3D9aEOkcAux9t8qpk+mTnaiYtcGQGQhZqApFAQXXH8fZGuzPkni
fVv7ohtnQF6aP3UtMhmxGbcxEQCLHUgFs9CHEKdUMTrhFkuDZn3jztiR+x8mDuE6KhTyPm3AJQTB
DGJnL0jQpK5EkoWwYICmw39y5d/rTrVIvoZjFqjuA70pNpyqt7nXoKD1Sjc8OLLdrEDWNqtAm1Av
wy+fd/KBJgwpApChNicm/MuKgRqZkMhMeghxn9cQ1UA7gPTE0YAuCLlz7fRo3/IWPyTK+G5KfWR0
0sBt+sxw7uZytTdB2/Xgr6Am4tLsOwcsseBJNiwh6kJaHftl/WhcE6RuCaCURsWYjCE8eT4V4Rhh
z+/R2/B1PYSOireuE3xfFgDLOjklTXjT8wrOW8Qh/JEhyAEekCwBWn+ag3q/6PFV8bogS7VuZAnY
TcFciYJqzkfp/HCJqQ9kQC46rvofY+tVkKgNjFwvAUubBE9s+R518kn0pE/JyqOMoC8I3fUDKfGy
GDxvs5brCZxWdawFjiJPYb1N/DKUmA0QrqvJLZJyGYCKtWhKhEeHX9XSpLYJk43j87JQNoqBmfAM
pkv1hlQZ6vonSf3yWk72NUBgSNm2KYYWfyqOoKKxm7Uklw6/N1VGxeLfdaUeEQEebEE7LOkyoAOO
ZGLutCV7nUBql+PJdb0Pr9R7lzYhTj9duFMrdk7Q5hGyQ7sBWQ30ssDH5h4RYwsYjyHX6sT0NhD+
HRV4ruLgB4Ppk2FS+qv0gp3UI80RGnrS9lsMQiBb39kMsA7LgsBiRNZiDR56wpLojHsnKYm77Vj4
OjfqWlJv/VWXBmEEMgM29678wba1vDwrNejDwsLdAubRmzk+VLLsozSmeHO2bhCtqIZ8bMNorye2
DZsEHc6qCkTY3kYVfGCFIUiSoJutnWHJqNOMOV/5R112KM1Ntvopq9YadamMNvXMDrRmKDUT9P6u
S1JeTkM283ep6p0y+AvIjP57IhNHIYx14NdTVtL1lyjVe+kj4x2Z+TQLocBcoxEKkesY1+C5mSdk
ch2zR7bnRcIz44IfAwl8KvZGmXOMd8hZuX5bOv/FvkCz6nIPYbsDUJp9Bb8rW4npN2QFyx9pg+Sc
893t6QXuLstihu1qnZvfJUrSod7QkiEXb/TPLrDtvhuHPfIkG5BN08W7xrOjUijIIADBvcOGmbFJ
wjLdEwIXYtI+IDTuIfbYQfPQaCxLeu0RAo9jACcBEkqgDMFnijAu5irIe40WqytjbBMA+1Kv8bNK
D+Fu0tEJRc0zA+QBV00Xo4l0MUPqcT3sizBsaC83xrBntl74QiAPLFV/VKauUzn0ORxR8SQH80sb
BCQRHzkkFpFtqZEXSwb3iNp6wmn2Ocbmtbe9Pg5xtZn08Mlb22xbgp2cOd/HrjqSZgLX+diKyskR
ECdiH7kNB24hTabChoU2/IjnFYoAAYvqVWfBUPPXlf/hL0DcFP6TD6GbLImwzjCwQq/womF2sE1s
A+xKwTW0AckCipsUzl2Gt7CZunDNG0DyqdeVd2d2Ra6H+jXyJ9D7XNlC9gy9LUfUR0rAPhXSgIuq
wBSueByJM+LUuqIOhocFkS3vGXytyWs3gcfp4zfin9PyPhBZTLO7MV7zfQgOUdRExcLomjPCiiou
kbssLZLx4SslnBznBQq10/kRvhfgR527jUra54YNDb7STV7h71k7yN+hcVGRon4dDBIZ6Gsfzwnm
PDA33GMNSWz1a3Ai/TYhKkCDLb20LsejguGW9XoFHYagX2HgMkeEbnhlr2VbHYJ5trl2nJxKSAQK
VhQid82nRS2tw3cS1kfpZ4LJ6jDJ/smP63cjW4l6pLxOjIoNHdzftZdcwTLiaQNJ54y8R00Nzos1
9Y+R2E3SGDw6kOpwr+UPzp8mA1bQkTG6J4QHwZXlWApvMihtsZZagRj2T3YKZI4k7ZRihoQGRJag
xZtlTlf2B9ybIXVbzk89Zzliys9zvVbXu9JOe1CzuiNydSaPyLwtp3P9R8szwK4JFhvd63rpMh6O
UxoOIt6ACM7a8qUb3BcClHf2Ns3K0CG4oA7n9qNK+n07TzsVeALChcTp140H1Y8SmFDztMrAblo3
QF+CbvbrK2nhII8RObdzuPV8DCwZNU4k42LiROt6b+1Q+vnDOvIaCY2urN7U4Jfo3MRLGfljpgCY
oDnRS+rwYSo4zuoOVJ8/LZtQe7/BwZGDYevWSJYtAeu3hAIx0bFycghivs1bOshdFy9FLesg5R5K
63CyyHkN+EPdR2UgC+Hn6sEauiatEUBLRJ8LGn74HA6w8jEjxcM4jqYvvVtpRjhs0DbgiQG8wgyS
RqCyscZ7DcIB6UOoBW6ylNtGiXvZgBTjrfN7bIBg2wA0rrd6ERTidmNWp88hf7+2CwberDp8kj7d
JrrbUDTmu7LcTONtcJzlOMg+KSbedAD0IV3o8PsW/xXNO6aQIJTUghom9XWO7CNswzHZh3k3h0+f
ADSRqhXlO5uQk62bqzv15pAYCYjfaLZryvA0j+Mv6X72ESj+qsQm4ntvceSyNK7BuRGNLUKAvJAt
sF8H/rXqK3C4U3ObKr61ScV2AeIF5cGxS7ynI9AV7UeptB7D9jP8qC0Y5JPjBNDwkWfH+h/yxm3x
yY8gGHnw2jY98i9zxHfKDeNLYDvkVV0grf7isFQeeriLcXcNYIT4BDeJkmdM3kEJibieMshVDxjB
0s2kWBKghFUcPrOpOzUU7juLkzccpNiluHyLjKj3xFcQAh3U2AwSf2T7J7JgF0MuKcDZj6rVr3VQ
OJ09NgjupI4MRuzHKHFcs2ahGj+EcZyjwfqbxUS3oXXzEopLGsFeiGZ+tutUb9YgDoqBjXTTDmpG
zMsHJQB1wvfRyhsAKqD4Lv85DyeB77CLqv7fPA9HQCjPVmjA/zPzcHDqRg9i6/9pHs7iVgfBqucK
FYn9V+bh0JVs43H4A8cBSUNwRP/0PByCxAp4mcMom93/9TycVaDxEuW/ZR6ON42559J/aR4OkH90
AH83BAdGy2tDKi8dWaBSf+4/4UCUKeN1XlLrXU2MGI0Oos9GNtkQu09Aned0HlSZjiHKZVib4H56
xH8NJK3SDgpnGfuGgp8VDPXKzGh9jlT1M5ZLsMWQL8xmeDQrZARVm6DqNAMYvMl3X0zcuy+u6LYe
KmaEIS3spRj0aYmpFGBXnOUazcuhDdvyjuNj2sOtB+wd8KRgoyUZaER2oShcLrGzrgVGwphMqA5t
zJIcAZBMF58hU9+X3alyo+FCYsO30qDDIm+tUZ+lwAnkdnQ6YeOe025gyxb5JUjpQfKbcnH0+ng4
icamwwyux7qKX1Vft9ApFcp2iOpF6es/iOmObbi0e9C6kOukO1zaxqWP+VnTT2FTJCj91PFbZ1vC
G91MCZzOgUITqOp2yIfYMWfTz809wVibHlUhxupsm6kf7zAKC712BvMt2hC2tOhE7uH11n16ZKr3
Uxnqp4pK8xRP4YDUP2rWWXzMzUSvQgziXvkrxaAe/h6PpLp/XYRGVpIHaNoxwXDPw6pGVn1Rd/QH
wB4ChokAHYMjXdER8x1azIqruN0yVy03Eyv/OtdoJdzvGlTDAUMMqptclbgRFLKpndi8e3zT1E1w
IAiUXl2tVa57AdtUBeQKrcsUdJZhbns+5cSMSIwg+nNPHpdhDLAGubk4kg73pFvYEW/+vZkajCGT
DiZkNF78zKKfpULPDJMcMQ4cZyeXkiAf/KA/hYh1h2aG98DasxfZs7N6+rmpX5dY9Xf01OaZO/6Q
L2qttl9fAvDuUi+oms2SRL+6GYOwMievMVzhpabB8BLI7lMmrXOK+3F4iVsvAsfYYF7S45vl1GOK
Wbm+LL64Oz1PvhnPnSBI980uWbX/QjFcChaGs2ExSlBH+HY7+qFF6iton70StxC9CKY+lWP7HHkz
yfyFBJcmwOMiVRa+I4TefXoV8m4AG5szpxrGzkrCPBSlvSS8Kgs+8utaihEGevTh6wDhNjhcWT/E
u0EG8a0NYHJYHf5i6KgfQ9gCLJoPW/MfpXD06+BXLtiA6CZi4uZuN/Xgp4DIz8PYbh/66YnTXhyC
B6vX9N5JiUYBkPXmz2HwXiISOveYHL0K+oUuzXe1NBsfLvEp8KGUB8QcVhG/8NJvYZZSsEMzlrUd
LpGArfxIaGf4iZetmQooQMPrMJX9s0Sn5LrnuVr0t85lHUjKixPROh/cxhyWMikzt/fK44S6KWyd
8lSBHMtr+hILPyNRhwbZH8UuJNE9IbK7UMJGGGaGF5JI70xqvS9rfPT4UFjammZCHt3N+mileLbK
qtAhbKmgI4XLFPtGUW4dHNrFWUU/lQhKpPg6cpdieFkM8Q7+EEuIbq0tJl/xE+SVmxEIHDPHellc
We8M3NbNBwEkDjb5AvWi7oBgtduBijDt6NBvTU/obQnr9gnDZTa2R6i/ndt7K1V01EFyoLpFvhki
Upo8IA9vLk8zAo5Fs0z3YfkyUjzYHnHXn/y1oYces8oGTmsApE1WItd6bBL4Hq2n9cavMIDC84MW
pPL6A/sv20UyIvu5Ehq1cojMVtLc3WXqkASFh9mF7/6I8YFUAZFWExIUcV9dAIm+C4zPu3QDkgVJ
28TbFT3/dhz7q5wAqJQD/zSjG1++LsiB7qK+IQj0dQhQxr9HTG+bVgHHvY/+kJARaK2Qbm1jWLHW
C04VzqIEww0vMomLxUvKAzIStBiScJdgAFwhR/OIuuJBVSSKcpeFe78sTYZuGvhLeJWktftk8hKw
uOSkOCiYpSTNjk3QQVcrVI6hPUgzabUcIxLJzA0r9AL9A+Vldty0WMf7qom2per9n03r52rRaeOO
zrfaXZYT/EFAEMLKZ9qFGGUg4uPXpavASZPy26Cb9hY1ZXBvvZLk8fxeAmTZOLBRDpXn8p3XjT+c
LsIsi0b8CjzUEXG5hLcYRGXaJQ9hZ4VQO0bTqUUWx64jUEct81B6ziVJIMX0irB8lW17DR1wXRGd
eO7UMPjRbA0fXjL9Sp7c1ai7xKkcmBoTCDu/guwZzjBXoxoMyxDnfGmijShnIHzt8Nw0v9uy3S1y
XZ48GapXZsgv0oNVJ2K5VBZNRSzlXlUeP9VUZqVHxdkhQ6q0T9+WqaWnPsYMGkFWLNFFnVdevfoT
HD4jS/cmpxBW3OpKpJziEtV46W7bRiXnVosGO94MLRoxm8IC3QUZoW5AYVaMwJDBXceY5tcRb+89
GhSEqvi5jYLyHIFMjOu5CD1NC0wYYCfVehgEx5CnotwxucQOtU38ZbmtNtjzVUWX0o5m0431dBKC
ou6szUY8Xrd+O4CDSINRBte6g5GYjP4KbR4BM1VF2KIEUoXj0vPURVP5WqqHti4Cc1raIDrawXOR
+dduWo0B2cULW9/qwNkS7lUf2URdc3bZsuZV2XuId0UCY6AIFuW8yL3p6vb4dUFIE2JD68FSNQBg
kxnkf4wBWex1dpuoRYgUdjn286Co/4O981qOHDu39BNBsTc8biZi0ltm0psbBFkswntgwzz9+VBS
t6p7Ri3pGMWcmHNTEdXVSTKZmcC//7XWtyrDv8sj32PiYNEkZxJJFngPjd14D0X1qkPQupiTezdJ
LvH5BKNCDaWJ5xkv4+gK6xAbwQ2nec6GVRXdNrsJPT9IDXnLXkw7S9HjlZDGAb6OgaRfP02o3NvQ
5TU3HDcDoNOxdary7OSKbBdi7wHDmj1kgcyPOSuylZ92mBBNs7j4SVderI68dCCznd48hNlQH5vE
xz8rgue+tcYbPqS3ijDIl8tBtGqCVZ6Df1KTZa3+OucUvbVHRf9xT/DcUn8TXXfIkdRXtp9ZK0KQ
FpjVAIOx6LZ8NWtR27DIutotH51eqPWkeSCOjMxcVnoao3ri9zNFKa7ch1qub/nw4A0MKbUTlxtb
sw9Oy7aRz1Wyaqtq2ECs8LdZ6oxriBvNhgcExyhsnGXcts6DrfwtpoYMu40VPwXThkS8fTAK+3vq
jdtsCIs7GUKqBVZIRg3y07JptGKVdmJc1Y6dAdBK1dkf1rZy7z1AYnlhW/eGxz6qDqL3NEzZAgZ5
fap8TC+duJilDHZjLe4zaQenngFpWb/UTmRtSqeTD34uuSD6GjtYWC0HgGbLltTEIlJksk3BLpuI
s7cOAlZHuCqgEaUZuzo/BqpC+mTDLh+lQeKI8yq4kYXrV84ynUr94g1hvpja0NiZGWlnnxzgoiIA
fsX2htZftzc//qb7lVzgvXS3TZ7HhyLy301LddjPBpvdRNjt+nAqtpgDjSX71fKu8soS1/gn3tD8
QrAwP6chRMpmsk6YL/gDmWk5EbjHURKoq47R6OombgtNyroGZncnnFreAOjoH/r4QQ+F/vjjL7lx
X3qafkkD/cFiPj6XVk5agUD+6+iUew4xipVdlG4bq/JvG2vMbv/YAYnGg8HxZ3e+Q3WxqRvsCFxL
J6o1RxN+sm5XSaga5WMgijC+4J5pxK0d297Cgde5NuOyPXpzGCKSOXiDLshW+TjwIQqBCXmZuzJ8
0W24pRSLpMottqpTzxoNz0poPGVxkLKUkM5yrAkENkVpsXkpfNaLtXFkIT0bNjb47h0Xt72TtGfO
J8W1HOILmSV1/vGHNiCG5QN2mh9/FfFHGQHhy3RHHf3AXTWqaXYFBIQjppxwX0dhdPQAUO/HPK4O
WfNmKW5XXWVjNRRdHm7MuH3JyHK1sZtd1fxH2PDengxJBBfRCStLmKQbw2CzScYQv7KdP6aqtY5u
CDohKhTGVt9+GrpaEmifFqyvk93EyEEcGf8qEFmFE5F5nq9jvhqOtwPJM0tw4oiFTy4Klwxzqor2
OR/IxBdJmt+U/aRYyhXDUkv84q5jQ7xy08HZ/HjnGdHVdVrtXAXDi+4P8ROSDPmNIQ0OrfE8YKy5
+/GHazKMkazRN8WxCNP0pvDb6pSE4ap1tOK+bGE6//H75/8wDTs2rmvTcWzwH5at2zPz++e3Tx45
hVBslrluoCbWUQFwzijWHyqZtNfObi0i6Tn+DMH/E8dtf8g8Lm66zpaqJGbDCxZvnGQoyUXE1jl0
y3rBRSW6jk6dw21SILXM2r9oBlHxLh04mjhiE/oY4Er54jVFt8pb7l8NcWmVJiWwIOKjHL5ZUkvj
GpIb+HNK9G9mrczfY8x5yuBVpMSrIT3L/P1TFpXbt2XV1sSrC8UW1S5WiTeuDFXoa1/CJcgHTI6N
zvFa+vDrnBzuQ+NHl5Z7M9wIjG+FqNtDhB+u9OzmGZ6RdigqkawC5ovXDnDKIlU3WZdgiB+J2bsF
jwtC+yas35Xw36a8bG+kXqNDVg020mK4GAyOz6HZiYNfZc9uIg4yQ8ogg+IfZYaDE9UqPrITeOZE
lN3/8bvg9/ElAPHEtF1wM/xWiOn9LuETlLoexor3smZA1QWs/N3OtK9IMudX0Dd4JXAHKCtgH2/I
6O+8BX/kh35zBeO7Gy4vBPZuQxpzQcjPb0Ez95o+ikCP+aP5nmrR22Cbe5XF3qqa4nCRSO2gI6nC
KEaEBUtjDu9m6oLhaLvm72S+/2+/CBYUUP0lZZnOTHb9+UfhMqjFBUhy7rT559BAFOZEl6jQQmjr
jnYo8HqbU0fuXv/zb+Ffll3+fxO6SySWKNzfjib/0i79G4jSnx/0l3Cy8ycaMSya/QgSS3BJDgb/
X2G7NoUA1GkBQ3IR5Oc+gr9ClHhP8Si4RgJnzxzI41IydyIAUeIzzMPmxPMc7rf/mXSy+yO7+pt3
rwCRxoWTqLPNz+L9Lrk5JNY0APonfCJGugdYooGu/pB1AwgERSrMk80Y91/KYulqxP7Bicpdl/mL
0pHIjj7RnPA1Fvn53+3c5at7FABwRv0vdO5mGUhGE+cuKebfOncNrwWRbub/Uedunm0GwZH9P8W5
K4vQ2AS18c87d33Z3Q+69um7YbI0GmwAUFtGgFLcsDGqbIo09IB0yPNUi6PffOAqLh9aPfis4rbZ
mrBx11EC5MhroxUDIUTljE1LVrorK/TafYqj1cwduUgyFiZInNPS6b2dykxFSEc7xFb6romhXwMN
yjiWBQbnCHakxlrTq2ClAKUuXNhECy8aJyIq1q1hzJYNgS445F/R5FXbMSzUqgmdD4KR3JIMqEnC
ZwGQ1w2m6ksR3gkfZwUn4ImlevlV2RbBB2W3Z30K6GFwxc6NelCDZGHwTtjl0ii7W4u41doPhhG6
bzxjvKyDPjSPus6wr+ffXAVZ0JQ68CTBbyARy4Lbl0gJ5vema2+mwX0q5QjKfww+8YNfAxivV0fW
F6NO/U1k2OW2B99idnVIkKC3VrKKHsyaPokuRv2OTeebRmYP6665QAUUvczWIkdAJahl97gcKsf7
0hndRjedbjOtu08rgGFD8WknWrQapPXm6+ZbB7u1MDDmCpOzhQh5dkHHiOe73/xJ/5xqtMGyBZLj
GW/zx3qZ4bVZihDcKkFOschYfdmDdWybAlJMMz5K3Mie2UOVCYjgmXp/Cxjho5kw2sRGfKCkfN21
5l3LIhc6NNppNlM2m5NmBRHCoN0zJOEz6YvhcRjHPRl0sTYgYJ48FonL3OEF112XVg0Sky2qsW9+
tX1604hcw3PhPI862OAh0uJTPvI9hwDamVc6j7qKfJ7akCxjIFw1PrFdIMNs18MgR0P25wACNjZd
r+TWB2W69PIV3ogEb/XYgSx1+21piNu0lezDfevBi0oiBWCDV7Wmecuqr89NgBkhSMWmjvI1DmBz
GRY0VmAMU7CdsWqWkXqWk4s5pC3wHc3WYbPBeyfyGRKWuTmPrAOgsqQd3CHF+t12L5Cphj1x1EcJ
aGRfDfO+2+eo0AWXuGMxProRjqEkuymCEnc62aHWwscDk4g5DjibLxrGFsBbywidZaUMjpTh9OKU
UKe1cnwljvkUucZ5EKjy0qVcwVfRmcmLT05FGIu13aiRoiNw+tbX+bfaXOKpasneEpUqW3dh41X+
AaPgzDF918ge7Tub3A5tmz7+aCtl4AvkwQyL5z53t51f24exrS18fwgKwJ13Q8RSvm6nz6gRj1z0
vJOW+lgE0K4N1jOc9O0m/yZAWywlBo48SB16O7qzVxZX5YWf5qA8xjTenYIdc5LHwabSvJgpleO0
CaMcDulZVSSUcCEeYJBaK2s+BucVe0KW3DdqIM+oGlewFcMTZHqffZS8y2JCyJBPruZ/jP10zAGh
LZ0wuph52l2x7+grD5QdUihEI1VExS6txBfaSr1oHA4ppS2rpZFAlhsjFotpdldbVX0Kt74p7prm
9UvHvlVV8p17eYsuNpOFMYGuteClzUn9MGNjIQlCPpLNpB8ml9m563dWfAncYG87Y0/Uc8AvHutc
XSiEsJmOcZ51b1WWg3KXezMxznXRbKK86N87Q1B5wvgdR19NGibnYKZicOA9xaBJFyCbl2PV4VFM
uB5zOcoIgIuLGxUGawVhc+GlaAMGxb6qulX1iW3ixrbwKnRGgashQRQ0i2hTZ36/q9lvdIHnr8j8
KowRxl7ZXXaouaB5OEDWQyLRc2E7rmGOTYvOs+KFn9+x9yhWZqLvfb+Llzag4kMW5YsbWYzWYVJ9
ROAZpl2QDCMUVkwmtezu0iD55uq89mFm/rhQk34T2VM6ZvswikiG2VvpVtr9MPj+zgqgdTVpeQQt
/8XFreJCb+yoOJHLuiqdfRk6j6EulnXt7RN/TNdWXkW0eMibvoYjn31BDgvxwHr9seKjnblFtEjj
jnKSbFrySk9X6d4nbfymFUTFq7Gu7pumuQSpuiZeQhoZucIfo+DiDGwXAhQy8jkci6DCrdIpqVbo
JuD/nb49i5jtYteyskq9z7EK5APJ0YBV7gSF49Wt2kXjhXKbZcalMQ1gjCyA6zT1jimB7m1RuG+F
mJd1iPZ6Qqx4PNR6sBisac3Cr5XxsW5kvUEwcXdW/93hJH/QWg6xHvFkA5xtjHq30RxzWA1QXAN3
ilbN4HPEk068H6ZrV2T6rq4x6MrhlmF0i7ZTLtsse0oCaOjsLdHHNJScQkh6S/qcWKZvbQAEznzb
XTYOOHkm476SKn7k3PeiuYCBHTHVV1kA7S1lyN3Mk+EKxqB16XvDXjpZtNZqeLUlbDzwNwBk7CrZ
y3qQ68gcAEkUGsxf2lU6VC1rqFYuF76dAH7TlhLcfrNpayc5WD2JRBm82Nq7XuKDyiojuyRFp47C
mU7JmGE8tQ5R3X93w+g2bRggbHviXZ+q4zAMgFec6ZvSsCznTqDwAnJxF9DPCGp1ybvQ1V7FAIIT
IrCe+UQeCw62deN75WmIx1Otfxqx8WHzFjedYC0qgS4x2SfHniT3zpSESOSfLQygtpd8BSRrZof2
uu2PZcSaDv7+sLBEe9+O+hbdge6flutzmvXftHZLr9MHT+CaUzpwlFSmLAIKCWqqb1hR5iOfEve7
xrktoMEisQAslpUD/sEO92HvNGcX2ABat9q28QgCPcoOQNOMvZVHn2oMqSb4TMZwCXUZTmi4G1V1
cbn2PVrF+BF0/ufEKmuqoose5dHsL4AAPW0gO8TLKjCvwjGPJaavNWzMsbvSTuZf0qZfOROXlwDr
INsiAR95yvipJ9D9kCmhNE/lg2ZkdDDIWlu2XhktLOieVhq0G8iGXOgiLowBy96DwAY+2GV9UzVY
86U9LlWNp5R9g9gL4X5x72s2mRMto4vGqwv1z36TflJjtHfpJqpfOO8Qjwu1dcU1GT9bTEA0jqkr
YH/P++vFVNWXSIitydaYaBhjBvFZA+R5/k0NDxVuzTGVLNVRYEH9iV2UMGu0eXdoex9TwzDsBiqk
EJFbPpRVsdR8AmteH59jNp3rSreirZ6Nj/qEfz1qy4fIcdZljqrtsHsATOPRnzZhAvXJSyWzzVx+
6eO4G2z5rnz/dr6/YP64t32fO4+BV93UMrXh+nc1Mr/Y5xq+tMGHyGj4Kbd/78BleWGlZnRjDCRt
3ZSxMdUJE3ov3mg/DmbVL+JKHYo2o1YiJ4lsgWJZmYPzvXYH4+yFuL1LcN81xvQt9uO9X2T1RXOs
2VbcL3MzZ9DGx3yOreJZVSD3DK2+AT1QHaE0vkgRAm+3kuD049j8L1sf/FzZ87/+exX7eM588P/b
O4ZF/R68/4xLmzsUfzzm1xWDC7nLBGL2F6oyC6hfVwwsFoQlpIWxzbOx3v26YpgrO6lUFUxYUFws
Q7Ir+suKgX9i9zAvGIQ7t3aKf2rFYP5YIfy8YrBZfvADm6ZHQyjf7HdbKdbxo+WKEj9l4D2aoJFo
GduKintD095hRvePxTjlW1b3X6HMlxJteOuMzypwqDXR1l0VC3hbxR41ICBCKY9OpcimDO+4gJol
wP+nMWJOcgtaK6Lyamu9OI91eQWs9KWSEDFRVOuoK49C5RxXIANrvptsIna4rQFbMJbunQRIsMmU
TyGIxx13MrLlQP3NWk/0S9FBd0nPVALqNzV63TKtK2vZcreqJwo5ohL9qCguwEeqjecEmP6zeDcC
Ia7KoFkl0R5j7geHy2M9xMywg0FhDBdFiepygaX5kRt29pqNBwQ0KMBxnwL+xPunm3QhaDrsZiPI
tzp2mYxbqebUVAradnbB6xUTneRmVPiULOjtNjMXPrb8ouOaZdNmsza1EI1S1Musca01bOYqr5rV
2JjXqg2vpkQh7G24r7UwbzQ1vTbj+GiqiGCV5HTnKWsfd5F2qe/Nsb0UtSCUOr10rC3tACoH91nA
0an3XnU0vSX9987nrkVCvVrQDfdJIvIUzVt020Ufs/MNweSvqRKfKRn7qW23NWjbfRdHJ0L061CZ
gFzVcLaJg5Ccva851edNVays0gHfWwPT9n19Sf5KFXcpZSsLx5Vkjllb4PBa99zzOUJRXwM8QFrR
4xhsjNwb1wxg0yLpZQoiZUAWgnBv9fv/DBdrSY/mXPCYl94z/Ry7amYSd/5dUFAF6U9htiUYe+iN
2DuYhbij+AEexBxSsYnqRJn5lsTeTaEHybkoWyoRw2HXKuTNgEI9hId4VyW1hQOCa/NcVxnTWwnZ
mA4fdzN5bXmro0ybRJyPwGC/mi6tT1FeZus+AqtQ6g/6tyFLg11lMTCZTZthMMQ5Q+fKa+YMR29K
rAVxLpIa52ou23Qa8RLE+qfmcLBIuGduCIGvHMjRKZrwmXP5cDXrEJlLI0sGgMdUKU/Mt1+queqz
6Ydua9rJMnIyBsWBPg5IAJtqPk/qc1momGtDFf2hai4STQIo423jLIo4hZ49+pQgjWt9rh9N6CGN
5kJSe64mJdpUwveG9tvTW6pN7UNqUmRa0Gga0Ww6eqXOcoWyU47c1lIE2WevwASaNKKONKM2NKTO
rnLsUXVhlqsug1iKIpKu6xonWUE7TRGWO/w2aq5dZQETMKhW330+PSRBoO5Q2onniv6EsfcJ7+R8
xOVipmN5Hbw0+czRbN1RZWUjKk/dWx6DD1gJaD41sN/EO3jBXoQfTlAtNdhUsgZC17csGfYJhnuV
dnis6lVpPmfI8hVLmbB/nRK6FbSQpqnXZv5erI/ir6LZRhpNSjiFdKrBjrTtcIi9j0rORNziRVHx
nmM90zx3YuPYV70+THCKK+3Vbp8t+MD8cIFnLPTdaF8qGAmZGHk+6Jo8Kp8vytZHmNCFpdsbjwuN
p8f0Nn7DTrDlN0v1abisKUUZymYtfPh1aby1PwqBUlm+NYmzamObGhhvi+VgNbxzTVuRaW0EvUwJ
zJXuBi7KzpjcLSinBeCpRQrrYFIATtjMugGecVqqTM2h9cdbVNGmc85l1uzMbnSW0DmGBzNN4qNh
AGtrEOt3kRsTjHUVySu97ck9lISs+vxJGGl8aVyawWotv0a+loDvnnZJkEqWHgbQjeBzLAne4YQ1
6Xcxym2AMe7eMaYX6nUbjuFRuHajWz6F3qGa+ELDYMbr1GYUa/PcWzpOFC0K3b0KGl/QY32m+zTp
2C3YR7sK8wtEGX6bBRuTkaXjwpXGkx65mEALETKzlSQmHPTogCl0lTlGfAYKiBEL4c5l1qbSqdjX
pY3xq/DuQqPZQG1xlmHnvjlo1c1oNvsxaZ8wHGxNs6kXppE/1HmADkfOYw201ljQNndj5ONBOMnH
GI/YHet4FdSIoVLBhRE0cbISWuShd1PWNtfsKN+XRQ8/op9tSdr0bmAm3Gc2bE9S6sUyM/E7SzE8
NVVDI2kQBbCv8n7n4+Xc+r16NlRlwntP+2Vkkl6rQvOGHjZcP6H3YPLpH5hSFtJhFe0iti97ztTc
sSYIQQnXaRFIpk54QqTrY+AFxEPUOStbsHcZ+GuQxWvLSevlgN1MK4d9nPeQeWdD1P+Mof9YX4jJ
eYW57G+Pof9bfY/q4rdz6F8e9GtfCOOiO3dHknezdJjNP82hlCJSJeJRfW1DB52/1S8gXvknQROl
++dHoETBovtlDhXQex2GXcZXB/Qqldq/VGz+hUn6R/Xf5vz9f2M1sR0UOGC/jMLggMUP4vRPXgHK
ky06XrN6IYJb+PzpMRLDnW5r4a4rOQCORb3ijFdsZAAe3YzgNdm1sYXwaeJFctiCWFBpilrz1m5R
c54L/XFVzbU5E3bOHd7vTScrf21gCVlg5SmXrOmmxdtDinS9iNxw12bDe0vd09oMnTviXRTuELAi
NtZTBDSRtaOJOSAC27rLeuI+SYTANiuXOx+izUDaYOZSyLC7VhmEXUfPbmsPAkZGO5awuu95pXHd
GQrjthdbdxSkd1OWd3atAJAHzQ67MC2/ihaHkTWPIanMaGWPJMBOVAfYyKe/famJ0KWdpE2sdE9A
ciDQGfwI3cDiKDYMlnPcfeK932AMy+k2WySKLzQEwV2srC/cmiv6j7Y+99q10CnSxvPyLZlFGHPg
f+7YbZctwPkEx2YmgBz6WGPWYyT3gad5Rz0Z7nqA+kFku/smYaQlw+VVqD+OLo9k/Nwte4FgZdEp
LlPfXCrVF5t6YPIdagpC+7L4QFVqNwWxXRJdsc+N4uQmzTWyfIOEJP79AZM00ECnJUA8J8q0tVcS
d5qm4BtZAA+URw0UKrjNBMGBqsySBe5KbtOKjlDPX1sA42GeP2UNxA+3GONtgiX36CIwYfABadp0
eLdCXNAszIdPrGvWLZWQ7TKOUv3kNU72UAubl8YBVtsG+bquBu4AylqN9twBQvPe5CTHuNyJQQvg
gwhv6zQ1k3bTB3s5kveTGF0E0CqZgdth0cTmnvxdd6gNGUKtmcSiakBq9VlzE7T+JouFs6sU6eop
1k9YHot1F3A5TtpMLQrCmYvEZkoDSv9CFAxtr4npN+CWQighfbYKfeGNA9l7VXH378atgbcoUvqJ
iz9uNOYW+BXjOaTcKdCSdg9L+a1sam7+mfHYT+VXry7mWH2xd07WIkm+sxfdp6TSt31fcbv1ZwMU
6LGyfi/ibuON7UeqIK3HORBTPQHTO45nj8BmlJpHN+vOWt89R2kLuIrTl92M4XE2/GbuoM/mChpx
2IwRdRa3kUhPo6zvWLxeOFqggIru7Gr61gU4jFoCi1S4O9L++4w+1zWBhxfLHt/dVn3YXROdVPst
1yZynUNVHcDw7tqxKJdWKql1C3xnYVn6uJosyq7aMtwEySg2QVhTCkixZMZLdkpKmaIIYITERxXv
qMFe5CDJlzJX3Mj89KAcBrGm4B2FYf6usrgpq9y5oUKEWZ+QvpHkdwOnHhf68rqJvQnr7vTVS2II
yWDKLWCHZNF61ks3Q13A8lCordm3esUVTMX5g2d8mAWCGbvVe2GF7y1HJCzDdcOLow6DR0VRQVLZ
lIykMbAHipNOgQEyz6ZW1uyDYzdgSGOtuU5Fsva6GIoSlc+S/xiK/D4RWMl5a6f5wVXFlx/xb0pz
CeKqM6mKzRB7915pI1HRVBFPzqNXKDpEg4CS96rhENYwpRnW0rIhBNGme1R2vG/VXT+mHo3zPjyO
OadtILQ4zoZSY9TYsmPpbiSg0oYEWjLOmswgTYCttI6qZ5Ydq8GiEUAvrF1saLT40qvYehonlVpf
VoOkvHbyEAkfgzRwgK445trurJNv1/o6Hxnk+7g7Ep5Q+Jrie1fk8VKVR3hc8b2Qs6rHzqH12Ek6
eUY2yPl0at/d6k33Zvro4/xkaao4txT6B0hYhL3K8vDWYgJKoJ7kcoDonESkVppz3xgkMqzgm+f2
s/CgSwpkkv5UIljd19K576e4fCuNnOGyR3xs64FRrGNNynperaOMeFiIz3BhyLSDhzZ0SMozJTCq
2D/k/UmHJwNyYpBbPS3RBzkJtrFRHW2z7XHM4eDoxmzFL7nZpCWCPPPvhQsXRDBWv9xt4KyI0ASf
BbaL91B/tcchPXOF4Tuu+s7L7rm8cbi0DdzZ/Uk4ZJP9wHolKFC8WU+QEKYb18yP5JXBoFqhPFhG
vBzSvt4Nk1EeyeISckf/Yxhm60DojvIYy4HrUsUnEMoUxEWc7/9nyPsHh7yZgf1HQ97ie/y7VSMr
xfkhv1YteAaZKsrdCEHT7+bhS/rrqlE69twZzsIRTP5sdPrFzeT+CVK0EAJ/72ySM/EY/eJmcvgn
ZjI8Uo6OFfifqw6nkOV3Ix44VeEaTIqWjoPjR6vDzwa4cXI7A6tbir+jv4mi+JPxglnGlwe359MK
5O1ah4ZYjLR/wUvV2CH1B4NdAzC8z6Kx33WdWgL7ewLlcBPD/CRbXl07jxOMm4RnynnPc3S96Wx8
HYF2kCWTRxqzd1N2tLJJpO9UeKfHHscgfdjghAE6CoaQULeY1jTkYAIWqb1ic0XfdMoV33iWPtG1
kPToKqRTO9tOYd0ceZ4EMoX8SBPw/h5mfiLhBPQdlHOXGWKtp+MCMAIlzHXU467Ekl75PCHg+7uw
gMpnYcPtRfkeV2n0bInvZQBUVvU6qAPuBTFrA+IHBfzNBOK7hWTgW1RGpnRfUdS5D+JMYH+hMAxD
LA79zVBEahul2U0W0m/HsO6gmoQsJz3mHiuhejaNvDfOv9ySBwIg4KJLgasAYOwFhPyFaIO2AM9H
gcPMGbJNtTbVqpKpPOZlw9ruH2aj9jbisUnEAiHz77FRJaVx6DP/YjZqZE2Q0n1jJyLWeY0393z/
92Wjoh9r217pl/8KNqoxs1HN/5/YqIU3jYfoETITVjrLfu0kwMyc3XwXkdv7AzZqgsuyDF8bPJft
DJnNqKg0jHxHGdthElRP22X7pYuAxBOMlxCpN8PJ2eLobAhOLLtZtdNn/Q5zwss4K3r6rO31iHwJ
Yl8xq37FrP8FQTCgz7J2nrXBEJGwmdVCMeuGPgJiMyuJFpKiPWuL06wylrPemCA8jrMC6SNFFkiS
djbLjQwkMcpmixf5pvL4izzUJsKI1BQnEpf/Ukd6wYxYXIMmIGYOO35RCbta6sM9dW31pkMq7ZFM
9Qx4qjt+kZg3ZkXVS/EhTb6DA4MmQVLwjKoG1TMiKB84/68yXz1GxhhtlepwSljhua5pbtJp4aQ7
EIiuZ/lLOXBKpY0YEKjfHqrMueizElywEaiKHs41jpZ+eCD0/a2btWPSPit9VpOTtNXYA+ZfZmyw
A0dxzvMIHJGvVqMvvYU9Oj7BOPOuRKhuEaz1Wbm2e4OMMVp2fMkZIs1Z4ZZI3d6sefez+q0z3xH6
pjR3VsYlEnk4a+XhrJpHHfp5O1n4IgSA/Vlb72aVPTDR2/s2f4Dlywp51uK1H6p8ij7f6/gM3Vmz
58y6YsXtUy9zzYtdNWv70yzyz2L/rPoL5H8g6fNCMFoIjAECgwDy9yetyx/9IzbFaCouDVYCDUsB
DYtL/7OffQY2hgN3dh5EWBC62YtAFqXbNn29ZnvZnMM22FN+rK3wQlO7YdHrSX47ba3v6exywDfC
KIvxgSo2NIHZC4Eh6FpijnCyLQvzb93smWgIPC9DnCFMkPcw8fEMaPaE4n4Us+OiEAmr0eiLxvp9
ULrnsgKsY6S9ZOlonuTs2yBLEqyho/OafWjZZ9r2p6woThO9YDb8f5QBOgBHUa96jexT6sbl3lGc
tScjRter62PSqmSZTH19MAY6MUhIlnXd75XFRJBOmYeyXsFwpVekdyXBLPE49ZRCe753Dhgf6Bgd
b/oWqgANeh9FaqtlAYxs49e32lhd7AJvpZxXMR2CHTHGt2SYvVkE5kCekcwepb83TTjpXWpj7oyR
11w6ozlDjsa2ld7V6MpzNbJaQml4zcNMbjnq+qG5MltvQ43D3H2gXWPduuglhsDaDG+8gtGoKqN9
1sa3Q5jxKw7B/LUtFCEDESCLj5vKoKi+NSe2ttP0Vk7lczBY6CU2IwD1J+mazvNY14Y1HBpKjSpe
wC9Z8KakM0ZbaLWDybpKn0ofQC6Bz6PbTzn8iO4ld1uKb9vSX5P/jUM8jSMdQ8eoa1g/kKtnSzGl
a5FW9CxE1p6DcE8dpEFVdZyszICpqcurGDzeuEn1WDuoLMIYUbRbDtpbSOdiOyAy+ivAhWIVNRrM
VrIXeUENJD2kp7yc3pu0p70vdADx1N7WKM2PjI00KeyWsUek5UWmE2UWfMwyN+HT0FM+CPinCwFT
4DRZZUBszmbxZsZTfGB1ARAkuhb+GOBOSl/LbHxS7sheKVRYXh1VHtC8y0NcU2JAQwwff8+8TVVw
cEqefdYHAn/KwMF6Cre9jVdQKPXk60Q2RDTeYxLLiL6zNiipqiOYqm7g/V6kk7F4aGS/Drk4t5H4
SAyI9IVPIjxseohMRb8El2uQLoNB4KnceImC75mXwjrSYv3MjmxdwCggzj2ow9TuUjXSVMvKbRUO
wQrXSn3pR23kk8NOED7DQsbyrWlhJxBzqZHVwfqVSGhloZf7ofRPI/HsvaHURNrUZvnf6hcEqg0S
3wFrzs00aA+y/JAOREeveZFadlKT9t1uNRxTastQvuBMOrMIi2usADyl3sPU+MRqi1VEhC6AYcR8
/sNdZav8DazkvuB33pv6Ts1sEfJ0+JovNfurUqRvRd/TSANrEfcO52Al7Zs8MgkiD09Z9m/sncly
5Ea6pd+l95ABDsABLHoTiDkYZHBIThsYkwPmecYL9YP0i/XnWZKqpL63Suq+ZtVtpoW0yEwyIyMI
93845zvTOUSfmuv5RYr0qhPO8d7KzVsv5RxyiOosgk3u2tcd80OcPNpxMor7LIK0YKdX2WRvAwsH
45y4fhcfoyHd5DZ2t9k92hLIfGGspCzJ19SQGtyY4SHrPYAL3Xqeig1eVFCo2nZI5Vbgbib01to1
VfMslvJemapzubOa8j7X0g8kfqiI8pPp8TmV7Oma+GNJxUOWD+c5QTkxqys0gCpRWHsaoatew2fa
IbQP2k1Rlpeg7c+D0VxLmFYTIFVyzPZjQ00vBdAwEoSqdt31AKxGPL2xuR6G/WwxGOuZR5e7kfjQ
kTg62NbrumGyNY6gXMNrCHAPWJCvcda9ml23HrTh3P389rJOJYvl1CXNMzqTbc5JUZveQ2EFRzUk
+vFfOKynnoEOvz/2BULG/NXS0IYSykDnsEtk96jrxmYpsoL42WHbjIzLEh4zegDE9qW3NUtY7Z7p
NhuTraR51bvFAyid9TKE917qXGlt8q6nlAcEEZBTTFop6D0GGcMHOo8O4kOVJ9+6hASjmuRU3+LJ
pMu4M5P3ImkZ1Y7vScYxJR3HWVlDopD+pGBZHfvVbqhuvAvBDw2kHjJ/hzl/b6eOhOGb5FJ6zga6
zvTMitdIbLlqnADh7lgRndPucGaIzSi6GsD6rjdC8eRyzOteY99PbnHLeQ88U0zfcgLPNik8TZSw
66gRDHsj9733am3HUXrN0NlayUX/PMd9/NFCRfAbPOVZgNx/rvFQo6IzieYuKcxwYDMZPZvjlx1G
X/1QfeZ94zdDxMOWoQZNtXtsaTOtHRM0Wxf7CqVAhyO7NJNs27tyZ0NVQWGi1vsDSm5B/2uMLCD7
4GUekQO7xgKnUi0YXGFc+Nv5SvJjY3PYT0V5gKdK72qMYtWBW/Dzzrm44B/YE8p7t4XXARCiAYGs
7XKUFNWkZAAivsu16t0zpqesbk5zLfr7MdLeWeFsHIwMTP21F61pH9lL9euyY3SZtlWxbudG31fO
1ahO2gKp57HVxlcCpZlRp88WbtANxBMLOQ9ujSrTbqY0W/01a/ojsyaDYY8LD+qfDpuUsK34n//j
NxOnv3/hryMn6IbK6yb/t3RP5yfWeYL9IKGfzJeE/Rt1m+fyG8yibAuZm2Dh+MtWkYUjSTto5hhj
mdgkrT+zVWQN+buREy/LcngBNko5YTH64vf/YasYmdyzFg/bCvM+lWWgndjbhz7AO7FOSnOveUax
/oEgzrHacG79v4QgtqaWSh22z+7/HEGMvGsg14F09P8rBLHTM+OShQt5/9+CIDaF8RYBhGD/ysLk
vxBBHIS0SQMmxz+DIEa7Ox48K/nXCGIwVeXaYLp2/C9HEJs4yVGEE2DPkPjfhCCec3ldYwT8DYI4
Gu3q5E6Ysv4FghiWonHqbbwg/xJBzArp1FbTf4wgtiQEHmR1/zYEcWsv0s+M+P9TBHGQ7Li1/0ME
sUX1utG0P4MgDsv05ACX+XciiAmkGdhZ239HEJdDSaYTPsk/hCDWX5hi/zkE8aJPQLXD+g8hiPFq
bzMrh0UUV+V1XxTnySYjIrOrT4HQK5v05FBrw4duT2cbnw9xbTfuGBxaiy3AlF/SrKbXT4OLUWHu
gTMGGLgw+22Q6rjYLgFw/lWa2WeDTJpswKlWRx9A7ct1WMqLU5Qb/rbL3OaGP4QYA+eUYDEZO6TI
RdFtP4TfJ9lv6MA3zIPSdYwPfWWFleZr0q42iVb5o+H1FxscyV40RH71IaIExiq48eaMNMIRPLtd
++w2ldHEjbYCJC1hKrC9FzS5VbjsMmTAPq8AaTPzNmM2v8N7eu5jd+c6Ax4bBBF1ZDwkcXXNnKA9
elSrXopO+4qddY9PQhtWEVoQz+DLs3ZOd0kWXjmN3R5NYd9NNEwLV/pISQ4YCC0oLXRcKgVuCzAv
1r/KHpA3ac/2Qdb2Qz9eSABo1mAB0TV4zV1Cpq6RJe+9xRhvgWaJ8bIloJQFcxBopEKEIUJsbzt2
442JPL1OCLTLw+Ypz4Tl0++ul6zYe0Bi8IEa1cYJs9OoO8hQ2mg5dZ4Ht8wR0JL058QBBl44s7m1
mrlic8yAKXC38UPByb6boDVPqfZoh9aBsUV7wODXr/FLO1kPjZR9Daq/hhnfkK1mcx0VI5DvwMH+
w9u46MmuEHjU2gk5j0XI80qv4m8D6QjRCMG9duQWj3ixLbUmOQZecIZFkG7iNkV8E8t6M1fhaRpv
9TSodnPQkMyIaTIgfQs6CYgllgM7gww23pyROFzNa9bJoYgJv9QIDDNkejHH7q1c+neG4g135vBt
7syJhZXGJNHLwRqm9f0SfOZOC1CZFADlpCUufj4CRN0PqNP2iaPHqyqn+UY5Mkcw0DWXX5Ejgk07
n58TWPobz8v7KyQ2fgSMTHa977E5CyeIMmOOaXKIYTfl+sbukpeqgxU10T5akgDhjp8hPuKt3gXp
btLNSxKWJ3hkLxPKMq9rN/Os68iiECsQrPWOsnWlUT4ysevF2mCD75nX8VyJ+zlhHCrr6YqYM8aj
27B0wcamIfbwdmTAMDnVGtbeJjZCHmRoTm3mHAhW/PyrqfkjTY3jCuYM/3SB/hi3n/1vRZI/f82v
Zh3QHVgyUR8ibZQ/eBy/btBNmhUd/ZqNVUYYKnX37yJJoSNcpG2xWLL/TiTJYcNK/lcB5Z9qZ3Qa
o9+JJKGVILdEu+TQ2rCQ/007g8LQ0XsTyflcpN42RS4TDhj9JkeHohsb/SpsECq2FkP1VkE1Pfaw
AGdGvOg3aOsJbXLFttf061KrrtHGP3lciC4CqBQtTF0tZAdyi9nxcIRb9d550adu9e/d0iNFG6PX
6crujxF0TxEkV3kFEUCb2Gh4DKZgE60GoNjvFpHbZosXKNZq9NpOBp3U1c5LjLWxDu0Rvu3NCI6f
E9shry6s2GI/O0pmLxt47Hk5IzCf5G1YEHCMILCLBp51N6sfwuim7gvYD1Y9b2oQ70W0MWU5bkwN
BRFUrBdwBgWww7Up6VbYfAEYrTyVpx2sCBISUN1MvJCV9oooXT9MqQenAORUaayCBlmkHBCaJ3sj
TVMkZMV1EA0SgNTUrw1dSg7OKvKX1roTA0MM5KlKf9OsEhtYRE6f6Rd6YWDJbm6X8Qm2XX+yPHPn
Gs6DKTDkaOSyrx03+mrLJ1eAripVikMpWbh5CxruiLWXxpogl5NfNtHdUJk+GT4ql41pPMJsJPee
wDWrrOWCuLpmaHcTCnl9iUjlY2ppLZZzlDEX46w+dFyQm6Amm9nGFmm3HREooDIJicq+em1x2H8j
LvOYXg0GZoM+nBnSZ85l6OFzfoU2i6Ao2Yk5rA7gRdf5mMZbvglWYSc4N4jTOKpxbDrJpbUQfaJ3
KjZur72Gk/No0ZJv5wzpKssOQoey9pInfGloAKDQx+rVHY0XjlQBxhLWlSiPhCqNHa7MNDo1Hpk1
bo7PN9KwIoD8Q3qJWOtRaoa+nfLopq+tZc/RCyjM4ec+fU+0fLwZa+tQEBvvDsBM9OJRO4T59Gxn
k/vuRTDWtDm4lm3a8q4Oh6hsL4QqBocYhwKuau+QuAj0J0GWTYjGcB8uzEKDLQoK5Fqt5xLnh6Q/
Nl2ADfU1wdQHLNMLkTrFZ5Y1Bks5mJjmqGH6kePK8pjKMYxjk1m327pOTsuYy0tp6tdpZ5KWCkMR
oj8+90ja5jZyl52IMe9bWlasvRDBWAXj7ErgyMLNPFIptcCMG6NaS4uV02j3xmo04G+YKc+IwT4y
X7A0SFxhmFNmdxMZZnuE/Y3qK2OHoWo8p1jZU3fGh/isWS0SNvfao+IxMeupqNFdCYkDFg2blDJw
HkgsjO5qkQ5XMIjeEk9/qbLWACJs8iq50wV3e4jNHbChvjZ3vbr6677t/coaCj9QhUFNhaCpUiGj
ZlhU8WD8KCPG24WqIkwoLxJVaDiq5OAhPVeqCIGMcM9zVWzDvOCnPFQeDWCvRol5Lmims0hQHvep
2FCbEFrehL04CwKNWgs0BJxiiMmnBrLtoa7SBykSYH7kOGxJMQWLEGTx2bSfgyF/rIWgLk5fYnOU
fizE+1wAlg275DltaEnBKr+O9UDqzmJttDR8CuuHwcBlhDgnp5ao803LuUfC07SKleNqzDR5RWnG
6mVeNlYKQsWZ55vJDBFCF9FT4lbfQ9iJXtjnflYFz3b6FLksarUSSFzfUdGDtgOjHWjhNbuS6eS2
SFOMBxkNHurvZd6BqQT0iUsyQ+5YUpZYXjFuWORfyXG5SdgygXnPDmVJ+qFb4EfqNXDD7Fw4raye
XQd1amkQUbo40O4FMGEHysBcOeE2WkJUWBhlsJUMWLnxe+UDXUE+svIN+qHZAbDvy8wvOpgNuZTH
LoKIXOfmuKqyxNssOtKGNgazMnbNlm11NpooDiIqW2PcwS9yuXiabx6kKpS2JedqRpnUDBtyR15H
TfvuslwClF9+Jk33wo63lglnZJcjJO49EMftViBCZoOycIyEt2HV+KnSKQOUP7ht9NkpBXNpF1/D
cEM2+RcirW+kNhHdh+RZC9A+h4igE8TQrlJFe0ofHSGUFgim0a2SkB3htZramXUcSTyyeOrDDqCA
iY6be4OpUzU/u5qHvGkcUGU7yLsArXKwL1pBs6RfVUrF3Wets9faYDsg8KazyNa1O/CHGONvO009
kzYNSb5BRMn3VUrxEcm4PpNWioJcs8m3sVOcWmzgwj1oB6H05iilZn+SnFyVvTan4VwtMt90KYjX
wbb9QOnWU6Vg71yXK3NO7NsWeXusdO6dUrwbSvue4sEl7ixrTo5SxgMLiA5m8GgpzXyKnleK2m9t
audK6eqD0oX7aVyEBMvR2uhkCTL/XtU46ej0WCUXKx2Zfota3zwaQlcaYWmiHGgvkQsNG+5RmZF6
7blztw1F9j2TluTlxtbK0apyi5qNxEKsAovyDJgN7oEC8idY8ogBX+I3POZahNNgwHJgYD2wJuGd
ZvTgnnIlZMqf8IMtXWJZ6LAumMrDkCg3A0bA9zTAsZl39FM5emxrttcpFgi6tju94NgAtVWtRGh2
vCF7XXyPlXuiUz6KSTkqtII9qqFcFil2C3RzV643PBvKh5EpR0atvBkCb8WPZUqCbWNR/o2+sRry
hyGiKm9Hmo4ICLodMeni1lHW6jYidYQf6SGM4G2J9HbWCArUMY04mEdGTCTMsECAKV9Jrxwm9fIl
ksr1S5ddus6lsVpmgN9NGiykhKplT2DdRSkL+kjv3yJsLKnys9xfN5LbRIuw7SUxPBpAYkSwhgfR
1OhIonCGTsNA/Ecuuvm5BIKN7DiUMMXJgJ2MiQMBpBg41CYBEp/BCdXcwP+rU/ljnQrthfinnYpf
xvn35je7F8ACf/uqX3sVxxRqRWKDCXD5UOkFfu1VPLoY6Un9b62Kg2vrl15F/wmkgGlRddpA9H9o
cH9R+3o/eQK7o8v3RfBq2H8KLCCF6kV+CxbAagZ00wJhSHOmXsQ/rl48SDxGrGs8ZQ5WyqLMHyeh
QYyREoNMVeIvvvXa9jPwHBbxwW0ydoe0TiiIen4YF3daaykxfXpbfwEtvWsZbyGOOfRF+t54wcl0
i7uxT0hmJnZ+bN21E9557Y0kSxghyBatA9t5UEIl3J1MvyZn+cg05UXDG9FznsWT+W0y3Te5FOtm
gBGjS+jDAWFv0xIzC8uzLeOTewl0vk1NhfmwqLUwY+Y5PHgP27FVGu2aUInbBJvQlfVq4wnyNE56
hRQGRTKRLDXgScYWuiKi+LO0jFcJvoiZiTvBbHcGTN0MjMsEMI8bzAcr1t9Q0qyczvzo0/pbQ8rI
VtDipfrwHHY2TjN6ka1FWl+HD8h2a5J5WQG73xICP6ZuU9fVt9Ar74hpWQ8ckwaVVVnihgkMwrmh
3oOlIan6YBs2nuUo8Ntg3HhW3YEC7Nmp2zQfEVnogf7euBdrLGc/ybN8mwecS1nIHK1IklvSphqv
2SPGmQ45a9pVKQNz7cDUK/OJWEWRHbuYbIugHbYorvi2OKFzbB5To0fkTKBUcgiC4WTL2pVtaAYz
0P4iHAH+LqoSOsZhm5bM9Cysx5NFhOdEyaDXmJ292fTLVChUqvTRwqfXS+KAYihnsdFD+Fjm0n+O
vbWqxVMOkH49E2PrR3p4yqzomGtPokXCYgiO1VA3YerV+tpwsZDYxRhu+6ygRCLH9aBbr7OJ0Aoe
VeyXd241B8cBBcAhi+qbysrIslvQg8Am28f0WGUGMDzgHWwNmu/GmIiBcNpNlLfcdAxr6zESsLvs
c5nO29mEt17F5JagpCQlb0skWHtklpg5JKaAG/A96x34b7kt1MxqHO1NZ/dXJTKhlROHxl7vuGZc
is46hsFAUT+dmd8NwLW1lybWiHJJ7H0uuvsgKXYUbLh8D11Bzq1ISjSMpvvaRTpd8IBAjABe+gKi
7hcNayMThwSfEYoH4yuw9Zclghm5MFvmblvHjkZuYjpvGtWCR9ENnrjqYUqoAZGL+iE1fzxkEl8e
Ms+OYAczBS7m1s+9avFbM0TUwrd3S1jFA0MANQ5wADOpAdmmXnLyaKc8pG/CfuhlxntQV9RiTBMJ
ylmhA8uIwE2ujMw9ZvnRO5Yh/Gg1ljCYT/TMKQrmFVLNLdQAo/bGp7lPBGmaPj9ip45JR8XEY2Dy
MTIBySP0WvaZp2jJlYMf4z5RPRjraKpS7lhUVpTx4wS4OgQY7YKzmBvP3WbqEuzVdWiri5EPwNvO
6rJEaZfAhucCLYrFJFzkEwkdgBDuWENdtuC9Ej8O8WxzDeeECGx6DKmzcqbGeURqp2HNvEkFcX7K
wQqo01xVKdnDDMmtdTmkJmKzaieU95XHmGhmJUWtQ8BIyiEbYZVNszk7tcYlVp6cUblzjB8+HQw7
lnLuhFkQ+Yly80zK15OJEC0loLK9xPRTK/ePpXxAaDNOTqAv19lLqXxCGoYhQzmHeixE5TyZJIhS
lrdTft+M5LfMq9gssnMp+wuQq3plKEeSp7xJmnIpkZJtHQHhoXbGwZQqLxMaHOADuJsc5XPqleNp
oS7N47jetQD8dobyRU3KIWVilUIOzFxbNv2G2N4e2gOOqkR5qyzlsiK0kXdXOa8C5cGqlRtrUr6s
FoNWrZxaqfJsdcq95VnefEc2IjY9EwhUq1qRJXSdgy57/Zan/B4YFT4PGwhY6tBu9bKHmO4K6xLq
dXbWatpasfM4oe4Amro+0dLIX6OI47WSyQbbO6ptiF7EHsfWLZZZv8lMYjy1ojolpFM9LI9FjuWB
JNALBe26rfRdHkXEZGlO5BeYhSX7F5QxM6kcy7NohoxYvG2e8kfwPxe+N+0N8izXJUmum6Aj32Qx
weCB/uI0iHW/Ff1+ccdqa8dTuyvijt2NG2HP16yNPWn1Oa3UyesE4crQOWLHvk18HI+BuRDqXKUf
YtGb+yU30C4aKieZrCtus3wNDkRETAlqABcWvfU6QG5BcJFjcoTld2xs5CqdIsYUiXvNjGRbVBAP
6T6hw6JsP6XWuF7C2N47hWKiCtR1FrQANxC0Pxl5AH3xgmk580eUXL7UiO7EvJIGH3nmbnK9h3pZ
TNphNM7uiIzVNUS6KTJ4f5PZIcclpBXn8YuH1+0q90LwfXM5HGzclMLNU57J7pZLhmegesaV82PW
dQEvVm84qVw+VLLh3L7iUm7xMgpznVrWiIcngajjmjF8OhbPZca9ETcQJWNLX0N2cc+kCbC30x8j
yWKI54+JUYEa37O4WZuGY5BeEWD/ezjMXyi8ON/H/oUAtfCEPz9iGkcAtzSzR5cYhEcl0S3iCkZi
RA1Qu3iayLhgIFSZW1rN597usfIs+lukRXdjMLy01U2K5J22FXndmOQHKfLyWhSOhjQZumPXF6dF
seKyvDvNBvHVGjraVWGzNYy5g2DzYLkNk1PSK5wQOkEmVi+wnmb0xOPRsi2xZjd3ppjUVlVAt90b
ciUjLls6oCcvfnAKdAd4gK/0JqmPOAgwdQ/yWwwjgwEJ/XkdG5VfLNvEMluc17yzNDao8OgzgeWN
iA8Joa9s+4koOGfX9bEiznBg9IsLc8NCA1hkbz0THl+v5V2nofK2dQhRZd5mJ8NjlknHw7ebW59s
qQmcm1usR7KaZIbBv56iTxtR4EaMBZibQLfuSW1+15XXyyk+yTFlnJKVJ8/r3kyrfUzOkzd9FAOy
VrR6X7p2Ljsb2z9nWbHIaBMK75oJygey5r8Aa3+Drj/M1ed//29vH4BFkW+zSnvvfrt/IVJEEAjw
n5Mttm+/51r8/CW/tkGWLmBGuBgAHFtYKpDh722QJ11FeCed0KBB4bd+MT06P/FnBQI0iz9gOzqv
4Zc2SP5E4+SCXcd28GOd82dWNo761/ymDcL0KGmDOJLwT6JBo+/7xzYI1e8yRx4LXhNGIE0XRcDE
ipOarV9JgwSvok2CddhSSTtjAFogdW4BoBFkL1UNqYFXJFxlGUFRwD5+zTTPOmj3bnkxJOVW0/bX
3hIE50KG30V5oWHUdnYJd9KUvbZLvf7QzG3jkx+WXGCDkiED/iw2WqzAhbjLhhED4CxDJsO1CmVf
abX+UEcxAX/55K7ZrVs7wmauIgvCEDCy5UrTk+c+EMm5cPtb19r2ItJP3jgSVOEEoMewJdRUrAfZ
D/e6SyrYNOk3UVfO5GBp21yvm0MntBe0xiwI5idmaWR6zJj2Q8Cru+id/IyIc3RgWzOiA9eWjdTb
d46uHTE9r2V6fQAG9+GmeDc1ytEl9V5Zoub0EwypupfZ9J7bvGF88snY5YsyCzF1WfqEn7WrKJ1f
JzP6Jkx+JStxWOQLdukinN/qkX+zbpY7R1KDT3xYPsrBnVeGArRBT2mRcWHWo3vjHmSwvHpYqtnC
xdcGQuguL4gHGl6Sxmb+kr65tbnDZUEmoM0VXuJU9csEN5Zp5sZ2GN3rxs27nR1ob2j6b+MfUxhO
ljMUJoobGoFIoxStyvTeUEOlwWt2TlrhIetcIn7rta0MmmbEJE7Ds0k4oXKWGjeZg9WgnvCFhBZk
A+xMFVpHe5SvnclukHpiJj0qyFZ2NTooHWhnSV6+npV51HPzbTvkCr+yjpS9NIzEoTX19GoU03Do
y/5YuQFRKktSbnBO1CsvvU9KsrmB3DGwyz610Iqexrh4M6S+9bhncYB1exkw1U08dlZEgwx+GEG1
ENMEUUVtzZRhtqEiiEp6gykbEIyHy3e3GElF9KL2FGiEkSMw4EVVnZRYC4ynIE3uUp1oM2XVbeqA
PB1AWZtGGXkNZemlY5m2PYhux7jlJz3cE0QfU2KY/JAzfOxwBjfKIgxwcOvgGXbwDufxENITV5dU
2Yr1PA6382B+muKtwncs8/BDKLEzfmRrUGPqqboqOlAexNBf2gHDUNDqx9wBYyUbEPR2fz0jVxZK
txwRPB2ZRN5bmdduvPTZVhrnDrFzqVTPtMUkwTtXndJDZ0oZXfZw6TF595wK7eNoR6+u0lHz3TcT
wupFKaxzpNYBkusC6bWDBLtWWuy+du9EEbBJQqXtKb12ooTbfYUDuvUuwLoywDKouwul854RfOtK
+V32IY0G6hok4T/gM+2Ei0q2JPYNgfMy1dkDHQRkBiUpr0Z+S6nMCVWC4Y7uvCqQ6XON9kEr9gnT
Y1bQ89oO3Hueep8w9YZBaU3blH9ayNrF+DWKqx6YA+ofVO+EWDBO1ZC150oT3yKObzO4jxFy+U3t
TJ+Mrq2VQEo/KE39jLg+Vir7Qunts2gLnJWEu374BnrBgc9f3BpKo4/jb6t69qeFrMqphFzQ8edi
hP2pUvijXFphVZMrM1+79jI+h1JuiuvsplPugBGbQKn8AqVyDgQXpPg3zALgh/9wFqDygV5j4cRQ
vgMDEMlSN1hv3idsCTYfZ1wwAup/OBawLkxifF1idPwfGraGNM159pTTIdUbULRR/h657pXZBDB6
BE9l/TBHZwtbmHJMWMo7UUXu1m7CaNcqX0WLwSLFaKErxwVzPLLXu03YH3SjkmvZ0SN1AcYGWlMN
8m/Nqh5Ein2KjJofLx5+d1guOWH0mehJ/hbObcTdwbYmuwYQeDU631WTCyAz5yPApRpMn73BFC9m
0rJ0wTl1wR4GhnPjlO5LZ7BvZOq1r7LuNmGk4LtN8TCN9QYP4Lhqv0c6FFzpEkppOcQQTQ9RtjwE
3vDNo/0HAjwqxo/+ihX77IxvQexc8Foxi0q0d8PqKDLru2yMHkwMYn6Zy5nHGMOrM37vS16PPQWD
78w5wcZLDMJSrIfa7MgA/uwlGLi55XUTHKXjzaq/kylXMHJYPpdOHLPiyQ2ikfU7aiuDJEaunxZF
ePZlU2X4dak91dL5wLj7Q3HkF1HbblwzgMU06Cd4HUwCIzySVuK8dyI621W3M5v5QZoEP+a27g9N
d9OOzjsozFeRBPQXwbEBEC17fm4k45yVPjnvIAde4UZ/r4MtOMVtbaU9YxLjGhfLc1kT0ycNjVNc
UYuBLIXjY+yc0mpfjMXH4JJBMBb3dcnsc3B2Q4O3N56057j0bmsnAYx9TxLZyoifi7z4Hoec6xVJ
S8RkHMYofAkbl8lV+CIbsTUAlopwfMJNdW01y2dWFtdFkB4mk/aslXdhkF1ze5N/ee6upmKY6ECb
m1am5ykzHqbCeZ9M73EMnlBZoBYxj7adr3tNMdb9IGoPNvQWndnE0Gq3VWEf6vSpHfqnfjQuhcOW
TzfjE68F/GV1F10w4pm2elaNDVTH9QwJNk2BIhfWc9AsW1nzaZnvfTwBXrYeK6tf1o2ELT0hbhsd
+HVMDgEqVhPV6XuSim3TFe1Gy7snBRHLmRVnlfhoU0kmAFOMqr0pVaPaKSq/mzDqyWPTp3m7sSX9
UtmxqkmBtqBmBooEuGFF+jqCjGlOfG2eMfRW+Kjm6MYOW5oES/8UkMX5LpxGog1XpKIyypKBvioN
BC5B8DSxJLKTuNx2Nqt3N7W+d03HwKRm0qEN+TcKIci0S3S7uPqdWTfjhkDBrwFlwDwZr1buvTNs
Ttej81IVMSvn/FpIBkZE6F4Jg9kr7ZCdVleyjR5VsBdDt2g/9CFpZOX9PBf7jN3cWifGru5ndHwo
dVlXPwshC5/NcOgXk/vRMqTDE3ctJcOCNhjg9bc3HhN3vwmY3XD2XI8AuoOOCcKwyI2U8YdWOLdF
U93TXWEBTcYHLxCf3gTio8JmPqX8PVKzT3E1caYRQOCH1fIICmfDoiODf0O07ETjF+TDw1xqjLVT
bMe6/sB08kB0thIG8X6mmt3xXh2cikfXIyYOfGHJDPdDOrwWWeqfzswhCCJqjVWebLz83unnV3MG
xa/rO+SAICFjcXBivr3HZMuFdZNkuFZpBJmlRd5zhnPz2GXm/Y/X7KQ4qyln1zkaz3NQIWzQ3OSa
Ikop3AuEUE50n8wSFus0PQxu/xoXffUU0OfbhZtsUq/Nd1KGRMWi59wm2XxMjRGxQzaf+qn/5o2N
fZzdSdskKaflX0u2P7hkY/eEfu4/by13/Vvz8fa7fvRvX/SrvYnsQu55abNNM6VussP6ubl0fsKb
RJqbB9vLIgpEx031y47N+Mlg8oWU0HB0wgBVy/dzc2kBTTR1W/2a5+i0ncafaS7Z5/2uuSTVg2cD
HLgLMhGyD8Sff2wu4zSK+0EgvZtCJvPtsxV2pJq3c8cexmNLkSPlLRCW6ZNlreDrVBcx5xuvtZzN
MjXdtiuXHApdra2rnlU93RtH62yV30vDvoE4+V7bI2A11LSaNzLWBIw6Zy0jM4MaoejIXNfNb3lt
MGkXE2PayHvJMuWoxSnk62l3FYWBD330wPw7RlbQiMPE1mlFSriEF0BEaG91uyxAUBUDFZNZmWyG
DCT00ufhOhnzbs88PGJX6HHbt8grxAzjx5HHyMNiaHU37J9Ss9rHS7OD8IxeLdTvk3Y6Rvoys1mi
73YY4bMUkTEhAgHYMTJ497FtfFnS/kxlLHd17S3cnJG9tsb4BiAP7NiSf96UZafgqfS6Y2MAMytn
dx3qkFFrfTmx9STHr0VYUuEfCgpCbp1oORZd490YmrNB20ulVSuwL1wF5nDoYILcvMyTfEqEwGcb
DG8s+IcduRaU1kEJMm1YtnOPIXpGFz1aJrb9xF3oBc1kK0rgX64s9i2D0bxrw5uK9LAsaVBUmEz3
x+4rMRAqWkK/4iLDi108GLk7HGth7maP+witCJXYIF8tMG8rE7I3Abno+qKMbeDUt+ZexWDDRGIs
YVp+z223H1iOrX68Pe2APgbw+hqKJZ1pOFdnTesoCNnmMhlF4lcgfTNMpAoj8jQnJ03HTrINC4vU
Z5j5CDidC8jQg8eBmZ9lnZIpiU+R+l+Y1/sRsNhhBsHGxo7thg5TMqgMvKoV95PZb9JekEfkwq5+
INZs3GceYffLhDCoMbWECS9+aYNB3bCAWtKp6nwvQ81DANSKn07YFMGQbGfXvmEa46m912mcu8sy
dXjNwRKyYZJbImgJx17qJyAhV1Qy+yQmzzyPod72Jh1N63GCe+idiKe5STXVWmzKtucuHyLA59aO
9lDhznHUhnp4YDswHGVkh+RhEK6DcscnDIqPSKtfSQRWsOaO1D47D/3askgGKw+zw+S9Zvuy1wKW
P7MevUeVeRckOdI9bOK+VZVvlYF0kIJ2WiNoTzYsLOVRT4vtAmRjSzg00pi5+TCjMl0bvLpVeiLv
GmydZl0vHFh+QkDtWky1OMtw8SdylVcyNQoGHCR2DXp9aap1wYvcUI9A2AoUEMrIa39k0UFVMgH3
h0VoLu3N5IYELOvxBlI5ac8zs5aeFBdEq2+5QZdihP25tnkYaMaIdaFNka3Doq9m7h0ty7GBKsx6
3XmZ/xd7Z7LcOJJ16XfpPdIww7HoDedBpCRSooYNTCEpMAOOeXijfo5+sf48sobM/K2sq/ZVZpVl
WZmKkBikw++53zlngjvr/TufOJW+m6mKTQTvK1lT3EHE/dJ3elp6bXYUffOMt2WtTTERL2FFCldt
EH4ZE1OQ6u+GNmQHrc4tjqrqvSj7eDuaOnXQJlmGuW/fB9ObV+L9roi8SQikXqV4QB1lBvULlgCc
6dqx6Jy1BpZfKT6/dSgTgdeXgPuJIvgnxfKPiuqnC4cgTkB/XiChuP8ZAwBOS/MaWGeTFRYklTKZ
+hayBWESXvvpU6i8cjPGA+5NRNraJLj7bymGgwnjAWBoukVn25DWGC8czAltk3+2AwvqVmRvdCus
c5njYyi6fhdhbcDts3L1dulP4aHw4cagcu/IGsM57fSvAMrMDAFMdDwG0YFYSPZHMEGC/2c2MFeE
mdghWE6cEZAMWC8K5cHQg+9IeTIkh5DRYKmvbOSUcWifK+XgkFg50oETGmXMuFjt9Aag/eEmHjvq
ygkvPEGeUPOpZZld5kTT25qKLxWAphXAaQB4Ckb/agOijopI1UFT085LN1X0ECtmlT4KsZ5SNjGZ
IlqdlMplG7isV7Rrr7hXRxGwILe0AgPFeoqONRQnm0VTfSeBqRaWomgBlvkup2mbRTMrlDkCLUm9
kkYzUjckIK6uiFx4qGOoJQ3V4qw4QtXAB8W76BXJa4L0portHYF8haJ9bbDfMZFnm4cB31G5Bd7l
GVbW1a4afODR9ZBiN8kKqiy0YK75W7GPp6llLlasMdBxDXzM68zHQPHIgQKTFaEcgSqHB919FhN7
wJIhbazsfaq45h7AOaDcaFFhTxpgo5Eczy70+CbPXeMmegxYbe7AyXJZIWNBzjtv1A4Yb/IlfQad
PMRA1o2irb3BeJvBrzUdDjtTRLYHms0WH+xN0doDMa2bMnduAM/vLnPTulZst/SjB7xpKzrPAUsV
/q048EwR4T6PEEMx4lqYbDU73sdfHPUPY+Y8mBVB9VSZTUvZExChaHOT2vkd8eI/q1Awd1dZum9p
l8wlHWRD2FPuSGJNrMPGAI96hxmonaAVd9X25bbLCdmfQkH/m0mcnmLhfaD4nrQUBBf0I+QTzgzt
sVME/WCY2w6RfdmDFA2lfhiUKclX3H1bvliJ9j0XFh0hscdU0DlPpW5upWm1xyJ5kZF8LBXLT3Oa
u+wZydZpj+fCYEgzB8S5QpqXBoJwaSpfQKkcAsGA+kI6z3lMFfLaxjsXDqNSQMYImdErRCNRsIZU
2EZQN3wmeNIRFaPvwgkdTCbt3UBlWG1AYU8R06GDtDeJZBnxENO0ha9AkcTY6AocKSFIYG+DbQFT
UsCWTLEwVi60SaiwE6EAlMoYVwD5ZJygKg9DTtoItIqhsBUdfqVUIIvj1/d1KJF6GxkcygeRQwnM
Cn4BmjUbW99DdUD/+DLcMF+zLZ45dGJSXxdTN8N2zeLbHF9S+BqeecdRATeZQm+k+UKs16JQSM4M
m/PfqebfnGpMQ8Ul/Oup5o4k+PivU83vX/S3qYaOYqg8MiAI+9Q96Od/th77vznggcCDjCeszlyX
gePvU41OWTI7LLZpnuEyEzHw/H1l5v/Gco1JR+hw0Dqr4v9kqvmfkQ2Gigh1GZMIpYcr/vNMo8ug
KULTVGsk90JgGu++Lv2qh+5iyehp7obg9xH5X3a2/4+OcNczPMtgHwg2qV4S/c+/I5cGocURexN/
VM6fCSBG1nLtuzNZ0PqPQSOJPCq2YRetTeF9EG1xavL5zZj634nYf/mduL9+qz9Ck55uCJJRGeWg
YwQutD9/K6nFxojHG1WhspwJG3VZ5rBNT+Nu4zahufUyVOm2bwoeL/5Nx/7IRdfZ+60/LAeSXJFU
6JgvkY+7kqYkWquXPKL6BXFY5a62L3HENFgXZUZ89vQ615y79iSoGVEDylDskmkcFmFul+usxJ/r
jH2+iEht27QtT1OK9qJV6BPXpzse3lpPki9Ghwz2cW24Z29epqh7LJzQaS1a5LA0aLEuXmU/0nsf
x2RHobfLRNuns9i4XviiuwEOrG5+qROJhlnNe1SZeaknkw2NMNZ3Y6ovouCU1Zr26OTQ9FqXFOt2
Eu0qttqEnsdxPltmWe8S4dE4Wxvdg9CXyMDOcvDIe+68dth1WdAum+zgemzR9KZrn4PIe/PTud0b
VP5mI5cJLbvw2I6Wktluk3r8kFVTfnGhTZYn2nenG7LWU20W9cp32nxHtuxNRCwafdFRxNjG1pbp
hkcRau9dVYSPyFQrvouV0+OSaXPzyvrHuk16oAy3eILj8RSlggcUWeXYevFUtwiBJb8EhT/fetc1
x27orlVVuFAkqb8KKHJqHHdv69jPaqZQ+Bk8CL4aYrQiGbdTmnzVs88fcKfFVAqS3ZpluxJ4r/Af
O5/bCr3KfcL4F40YoevWoW1mBsviUF/OBt2/TFCyNdJDW3XXolHB016e8/1QV1wASxLbT1FOb6su
mJAmYHPg4Q+hi4CLSaIpoGV1aKJWP9uezn02fa6q+Mv26PNL8nIzsNtLG4RKl7VhKU3SuGKWp4Ns
Nmy5MCdm7vhEPU+blXeuONidfcM4o+2CH3buWmvXMa6mZrf72iJOT4QWkqwmXzwtehaNbp2wFWPz
SDc0nlA4nMIE1txTXfZcZwfxXaNl1mSqAgS5kmSOLdHxGJ7jmwvtGrb2hMUxQwdxl45gQElj6xaq
LuTMfihiPDFOYWP9MH3oEPTMRS16a2+P5Fm27cET+WU2w0+H7WaQ596hDreEtF97x+3Xjgh/aJzG
i25kQeHNF7L6m02Bp8WhErfKuZvl/tE25Q8TeAlklNojy4lfOgbbkW9hNXqZht0vGvEEaGI5Ovi/
jQRThEmYd98Q+9in2i7UTHI8J61b4mrZ47fkiR2H5yiP3hhCIUj5kxi1M9armCxGfGpqnBbyDGPz
sx4JDJugX9ITrTW3ACIGK9XRVYhMCSuj8pF72Bn6be2rpXAaji7CwWX6HfcwPoOlfbdZVK5IABtX
gwJyHIXmmFzApIJ1XIXt8AMh/RT2Jae/eUn6xwe79lNucKiUJbnmnQKAOoUC8Ul5kbPIF4bBhicJ
5LLkubQkIYrYM8Cl00wNr4MvJPBSrO8dIjBezWd60aPFrGAkAyrJVXiSiJ+42L5MvlpBzKMK3auX
pkKawqE+Yfk1V7U1HGaFPcnwjaUbzJYCokJDLSUUJKVDS9WOeJjR0Xk7cUOtIr85YvZZSnpKKq1W
sTQ6NZetKM62ke5LhWTpUVltU/3eZkbidL20ufVBRxwOHGguR2FdvgK8hEK9XAV99cQTrCOqqxQO
5sGFJQoQsxQq5uYBEfXQY6xMsYlR0ZbK/DMuCdxsFWqG7GRzrO8zBaH5vPMWBATe8O6fbLcRp8mZ
V9VMX3wYTBzbdstI7A/xNvBZkCUKdmPTwwhcOgs6Vjb0CYU097FBrxUk14fTQ6SwuUi+soiqmGn7
R0uBdS6EXapQu0JBd8x2oGD5m7CcepuRqbxMEhrrdX+gWaJ3xjUvuGuV2r5QQF8B2Ydv6WtiJUln
6qjAP5O/IUW1eBthAlkeQCgrTDCCFxQKHNQVQpi6FNB7nnYI4D4XpQINE4jDFvIwpb8aeyowYgaV
CNppLYNQp9PUnJJVnua0c4GcZvNydsp8ZSc5B0/TP+sKeLR+oY8wkLlRZ3uepGhiCRd81pjkwhFn
p9BJV0GUXjsf8W+eKTwol07Li8b7siKclvi8RDdpqa+dbZkpljBUxbda8u50uXFq7afcFv0WPblb
FdnwmlQzX+V/W3bwWovyKzRovhqJUj2aDXoWjkCaKbiMkNFhciyAK/O/lC7P69ZNCi4q7VuW8ANh
d/KQTPT7aSU1nu+ZbIBOawG1J67s7j7T6fjr7yt7/B6mgVApgaIUzfxQLqSASD7SAoB5sLFZdkjA
JVmXa5imThmN1sIdUkLEvV0xk/gJv/g0ATY23r32c3RrGmCcgPzM2d/UfYVP3CGJp9WH96z28HEY
3cvshs7CSYara6OH9jHyB5oCj3V6t6WM5RJ5ne5hK/qSU/jEYpzWjOaJagf8cT4Ni2FZgVJLJChf
LJ2wxoDQxmxudWymPf6GMZXPg5KEeTAi9eCnSgjArDTQ97bur5VgV2rdgcLwm1vmW+DXQDYDr5Wj
/SSVd09fFgUzLubupGlvclq3WNjdjtOlbHmA6GheSHGtjc/9izKXB6ovrnHHnNRrvB61MzM3F8Rx
Uoy75LgiF7GdgoWv49PSdH4WM8yZETPubclIep4HHK/51xxeFxOPBZVZMRqWoY/dPcyWQa7RRl5S
PNSzC6MARj3l8MZIQ99nCaauCYl/rjDQ1PBfer9T5eg895ju8sBfzh+RqnTDZfAByc4tIJXfpXqu
x3emalfOWo5lJ/PfmUBHqj47VCNt07HxjET5kTYp9TtS9XN/M5NPIDE6MYdp/aC50WmcJ8WwGjfX
9K+DFvOyhEBG8YjQajwGnb1KrOCqteJrlJe+iK8IcKxHO0H3DK7dNZQ26A+7tFYprlPwjKZw7xs5
B6F3K2a2bLatf4ZNdm3MZ2LGbgksP4m+D2NbOKc8PSSxs7XgbhZW8RwNHcIsBxrMh4Q56pLzrFmk
aUaUGFGV5MnE2TRjZC9F/4Az4H6wqpKfJzE3mk4fHgkcVXecgmpca3H6M8KKedekJHibSXsekrlm
w+txuwa73SSjvGWlPBleiF03KA//nWb/vWnW9HST6fNfT7MPZd1+ZN9h/f3nPd3fvvAfezo6w9RI
6xDSIQBE/9h8YdnMkrqBtY2ESf76j4nW8n9zFc3hMdbyVSzl/jnRit9I1/Bsna/ktvcfTrTwnoxt
fx7rGKVZCpoqg5Bv8S8zbUA7qBFrTQ5vx/arkTFlr6Y2Ey3KGaN1j8OoLegbVTnscisnslc9lyd1
aMoPF4Zz53TAR0AeXeXU6IXb3sNq0aX8MrkXvIa625LxV21yyfNTRjoCPvZwym3a5yZI3F1qyopf
jJQIS37L5uRG13hyfybcC0mSLSzsYd28MCoDPCTIT7Wc540dTC+tRKaazcFY2bFaxgRVtfZqblwG
xabLPm4pnxmCLwO0q2Zb8+oVGsuHkEdTPFOabj04TfHM2vFSm261DdMzgu1j3NKCZT0VpRmvAhlf
vda+G5x+I7ks7HtzbrZOmuGGrqn8HcdhhWUvvA+8EWd5Y38H5NvSsVHgkxLXTgzTTpgBMQEyiy8F
M2nmOKQDmOOxarlM+gmcF8/JZokQhW8N0xYVip1lXJDBe8zyNVaUCbqcnKzKfjLsqkBG1HLCHrLH
ZNKNfQwjpaUpaT0YC8lyLkgh3xV56a07PIVbUyNjJP4yxVztowxnzDDHGAQrCky6wF3mY6mved6U
nEQrWfWfPs6ZVdZn3rb0xx95WDT3dJ6vk6DonkBRb1WvkvN7zzq5pX/KFUQo9eCxN73hbBdxvu6S
9FtGUb/xoR+GrEZHth2VEcLzW5/GZ5GaNJlb5afVIZU2tXxOJ/sxsK5JMIfQEc3NsapkPQiP518z
nzpTW/NHjX9YK7plx319qEAJCaNeWU4BS2V3PBp83rle6S40eIsjVNXrMIxU6zb+D73qdnWST4sg
xX8zlM0nHse7jrqkBY5ubD1j761DMhaW4Br5r448WfCHMicJrkuMkSsSeJ0dGy3aJec+n06dIL2A
1Nlh57ZhyoIYl7ozGqd0DvSlVreELDOA8qKyRI0igb0RtMkiqYUwARCRnHd/XVDe18MvT2Q8NJUa
WotBv8vm+4KnMXBhYVCWyhIIM3fzGjolnXX26O91FHPippeeyVBRM5tnRWPwu6x0HhtH35l2Cfov
InXXUSFTrAdIJD5fFRvBbHyUYWkTVMI1O3EdGiNMv+ShaKY8g8VbNSQq5C2nmMpxVw7q/VKT5HfV
q7nUphW+H5J1rGmXJQgjtgOcKraxjSysjd4r/q5pWZpes2sMdJbIYjfR0A6QyOxm5SCjtR6wt+9/
dOYgFi7IGwW6qLuzpz23WBRX0TwlR8Kp+lUathu7wcw/9yRa4aTf2Q4rhTR/9+uhWmgZRHM9HTwv
u3NEyzzgFke7rU5u24x89pu3wSbNe9Y0arg/655xWzeNb9+x4yWBf91O1L2zZM9xzc2OCzt2DqTx
Pr9LzPZGKW67J8bbX3Y4gxeVKEmOK6xvbM7H1GUkbHomB5p330rdvozWxG04TpxlVdjRXciNd0hC
qGL3tU7IH8fnFq804D7DQUmwnbam+pbwORu6lQCcglZcDC7SjE5cMjGOVdZLWBNmLJSvkrXGdKsR
ivxANFCr3JrLzNnOzkRLV5zjxs3Yt+TK0WLyjc2eeSm6Zi/Bgw9WNXvHcKgx1rUHDvz4zExIZkZG
5HxWyO+qcmeu3vMZUSPcGIMLKNoMGksMxKc5TUHduwTPoO38HMb6LLiDbNkOyoOgZGShtz3lgB4T
GGEo3spgL7ozymer2NRd1u/Dmmi/OCOlyFCFZfBLK98nDKCI2gGfUHLSZJ8czEy+mzZvb4P0ZC8f
I/hz50wnEo2Qvn1opyhae4DQzKJKJ5tNmrgzR+z1ZvzgzP50Knw5lgkOzGyG+yyVun/n6uZzn5pf
fjBpy75yqx1c6Wps2dLlru4e+kJsWTsTahIaB5MykSWR1MEiVz7GmZLmfTGY35BTpO9pM3n3LUZN
AwZ/1Pp2zfFMIdtnLu33UYNTrgsPDL8CVNCrrcGLfJL1gHWCKKtEWCfP7m41HlVr8JpVPL/Sz80G
e2B6jj34FC7fOYtu+ZP9e7lqlLhEEcFjEUp2hX2an6tJ0PLdGfucP4p7soqp6YZkrMpqP9Xmc9eJ
cd+23as3ZlSbW9l8YA3EIoyQno1oSXIoiYjfUJpNayZN1AtVZrGAo4cq9VquxehFYUn7Wjb2NjYo
9mhhpm/4y7tkCq40DReUH5crolBwelrW00iXE2ZW8xEP07BNp+7S9nmKQEMcUEatCPFMxnaMWNEb
c0BVlEcMrk2hOIxGLcgb0cj/5xEdVEWwjGb/OROYOvIJ3+zAAHo3mjkdDqX3wkSPWaAi3Aohge3P
LgrJyxICRdEhVI9hIKAR3Cfu32FFOEzTvi/HZzNCY9QHl2wkOLZlejYTTPHCShGqydQkmc+9MGyu
+wL396zMur7zwza6R54V9M8UOkN8RxU2FX2jGoyHxHOOHX7KmSFpjoCBsr5VyA2xm1PnvvsJSo2V
9su8dr7y5otUnmCX1uhARB1VvGA8QHPP+fZNrNqG8x6naUIQ3xdeEw5trbuOIpsfc4Rv10Co5Ecp
6bFhTx8Oy6aioItYHItjBX1BHIrY+WxRNhd2xTerV/FTOmFnt7qaigeiDZFIsd7WWbBxDWoWgjx7
8F3voSqTL4jOGChT3HrE/A2OduoRIu0Ypam+rF19PVWDuWLPskzM4tMwQ/psmmcztg+6TlmNH47T
yqaFem3K7tFWySV8VOONF/PSB4XQd8YcbkO8pifpsjXkcvjTbiX+1W5GpW8vZnyf1817GtMSSozV
SFEfiTDC8H9QCtYjkKf1Nq+rn4lELObkeW1HzEUxTlxiPTmLGv7EE5339WitHX16DEYOJy808mUA
CIS/OfuwiuiYGCxkyWfaeVwTl2kJylX6gYGUR0lS5Ld7O5eCdEQfIgF/pIMMt6om/WBX/rRmr9ls
ZRgoWks+5cFHb01Hv55P9NP6JAOwWnBL1RZG+7TZADX5IkrZZWhfvtFd/zto/ZuDlstu6/83aP2l
QNr8/Wv+YbQTBACwkGO+shymoj/OWB5eOQhJzmFPBRQy/vx9a2j8ZqP3qVwREhx+AY9/3xrCQvoY
81ziRvhychX/swJpobZ0f5yx+IV0Nc9x1+A/RJj8eXXW1PQukypAu3NopYsZmwj5I3d+2/9wqY21
qI/NfSdDrjDg34PdWDkXr6N+x6Nytte7U6c6aGvKaCu7vUSU0xah/tiDh9I4gcOpm6Ac6Zt5QJ+O
jhMSKvG09o6KwpeGSo1I1d9Sg4tockJ8/hmrflxJQQ0RpcOPWIc6o75rFxeg6WJYFW7/5gz1d4Oi
uACh+jRKVMKRmWRGD237iq4G7OktiVncc8QGnorTn7JjuIhDChCkQrZAnOnJsTOkQumvY9NV18WO
0qlGUGCDzERuLikW9HQQ35WpIK9MRXrRWjOtzZLDUdj0tWYEpkKaRRst5V5dUAFb9llOmCDNg3MR
b3DcMNa0FjOWTl9pyzqyUAFj8JF7zWrqdepq1qYqt7nh82ifLeIciNSy2T/aoc/uyvQkj5QUc0r5
k5Au/S4BmndN1XhsMUFa8h6YUjx1BpkL8xyvo7mrVzxCS4xGWsrwkI7rmPME79lEoqoFMxal0W6Q
Pn0cGIc2KF5bmUhrV4bMS7kBD1mkxFNFCKhurTMxRPIYBwS9oi15hDDhniBtLvKS+qmnQxlL9DYj
sC9325/lQFpUTZH6UY8uKYIzSQnbwbfJUrHcZ92k1R6AqCE5d9xPaNMkxLBPcES35pq1KmSLeW/w
u1Ohkw/HSFPGRKnoIYdln4Ybq51v4wRDCg03LRnqUK90rrAOvh4YuqfBF8bCqiL7nNjtuWsJTGZZ
RP7c0L9ozpBtQ7MYdiaK5RHkj9oS0rJugTvfW6rDhij1aO9VsO1hO37UA6NuWRInbcbFno0K2Ffm
nSefGuOWkvWxgzmduYKXdp1QPj09Gl76wy6mQ+LLc8QbZFFUIExs41mWBPLJsZuayOVyO7nVjRtt
s7e4S7LPfofU84DL6g1D66WRLm4hPOD7UqgGs9DewP6sci69pH1gFM5LVNXQl3Jtql7krta7nW9Y
t5knoco5IM9MD0twGzO/h1rEnx2oZS/JPbooyLU03Yc+0PjCokClt1jIMZkl63rGmhFpvX/w48dS
E/zWDC1LYc2v9LkkV+AFuR0az2a+IkxlypMv8kAJtsG0V9fzjnKIdNdoxUMr+IUMMvaI3C5usy2d
MzlhAxHHvXZIRBKuWtfydrZF1ImTpcnRqerxCZ3QW5IUsCka+8Mfx32QZnciLJ4I+LjSD4aTqQ4m
2uSSm/onvaDHl/81brMmXkZN29pNdAXfPWaDvSMV5ayT482/kBnNzrW757mYafd0D6p8J/eKY+rX
lOocmIr3scP/JVFiB/pmfP1u4r+Glt0lWXPouSyGmjhM3kzQGvpI6RySQj75efaOOrAl+eccJoTC
JJJPYnhIy4r6r+zmucVjO8d7rr5Y/OVWK7gFejOh0+naCcUhKq1bo1nHuEpfqSg+2rtaTpu0N65l
iRCVWcc2iq9ulZ9ajYgc9uq217IWFk9sifeG6F5sP7mnu5XT8maL6k7v87NeWvehpz1m5nxqebHm
zNhCZNPPvsDdRzBov7Hq58Rlv1okt9Rk8RroW8978RiNB4cdpkRnYpvwTUzUFQeLnddPMeFSre/d
OnqF8ni69F2ziwbjQNx1m35amvnpD82SAlq4Ls/f1674DGPv1ZXzs99UkILTuo85q9JtGleP6vvo
7InPRoIOneC50u12U3h9T4pQsyME4VTGOBitiyiKO08bVsE8PFs8BzJDnrWwe+uZDJ05vzMQvIi+
5M7XOztduHhVq0cycO/YkALKkp6edI9d0e2YHTcyGp95VOytyKImEmMxKQ8oUo8CqrdvSxL3wstg
I6Tpqz50T0ETPOETxNM5t08efZGFw0BnYiJLIutsJBnzW5AubMe5BqK496rq1dUIs2Bs6aV44Bb3
TnJkQwqLXx6bOv0og/lqqa5yYf0AwHgyVIc5UXWP7uDNp7zkATnW4hULD88oT6PXzpqLbUIdeq16
0XEjMExQlR6oznTNXhnGLB+TxD/XqlW9oV69VT3rdBQRaaxlB1N1sNdzFCwJ0VhI1c/uOsR/NzXO
5qxBq9d6OAYtrJcaOh1dW0m0mZwWNYPW91T1v9uqCX6UqVxmerzrVEv8f2+T/+ZtEhWb69e/lu2v
H0X7Uf/f/5P/RbX//ev+eaOEGqM8iMRZS8XD/c1a4/9GzLbjE+lgcKHUuU/+4zqJZM/10/Z9i0If
FpAKDmuAmKL//b8sJHvLMHzPcsC58N/8R81B1A395TrJZsKyeGz6jKougRB8E3+01tCVbHudV0qY
JvXuIbF6aALyFnvrBX1owdloLWK3GvjoaimSrkmeU+tMWxSKt94d3mDnc0nfmkyz8cEBjXcVn2p3
wZ7hnkuIA4XRRGTmO5mx9sp424wYKtzSse+ENDIuQCzJ8VGSKxVD7Sb9vB87Wi5NIz0VUVHAbzjo
dgm4v2+/d3SxHXrOMcedvuvJvJMJ5Z6BI2IA4Bgq27tMaXGdiLRcTZH9IgcepzOL74Uc41vfU7DA
vowOUoLmljmbVFTEHndAM4MJZ885LtFlUtrlasZHFCg22gvybamggaVpOphry/leDoBNaQbWOjnd
0pvM/MG2ugsGb+1qOFAdXnKOwnJflFFxEyb2eWMiEshk6E/D9LMyugtiLo16GWeux11+1SMUrqC2
ncN7wIUuzpvm0MUzKXG6tc8LHOp+cWl9jJ9k0mHi0XjWtEEQnoKI/M0eRiZprfyQhdaef7nftaEf
wM1CQ+TBsNOSPt70kHM5ivwGqiY8zL175noWMz0HHutwS4/u6wJnqBeX1rbw9HuS/XJwJcZffORY
cLGasNlpmL8D/a70+oMe1umpEunPqaD8wtJ3oHcDveUg5rVxspu9O8bwSW737rhWQI4gdAO1BHgf
jXHnwhts7U7b2ck93NokJki/ejYPNMLJpZBgVljniXHoXqlNVL5N1vVNDvNeV8YHAYVL3JruWy7M
C+8oLiZ3LFMubs5BW4REP7k48Vu1Mc7JKV/klf5zKOMS+1QFb9mjRTVs0lZ4t6Hoovi+bNAk2Esc
fS1giDFuZjlfEeQ/mghyw4yOQyM42MciWyWVSWxxZR/4VMtLjacOi+l88GRHelDCP+rrq85Pt69Y
t670EaBYzObSlbzNy34mKNCPvgJZPpiiP9Ve6WHSnIj1g8RItfkDdVaAWxFLrE/cWYUSLzslY6Y1
b3wlbPL+PQsldQJwOCsazWEB6nfPzpNDgaOeS8Sw4c2uwlOLdmUq+TRBR42UoNooadUusFk9m0pw
JY7FW6nMVXzb9KxTg4z7rTeRaM2s3vaotpxcPwebH6JXZlcHvxXikqkB6CP3hikF9a1jcNnGWkaq
9TfZ0rh3e3C9PEyT82AeQjI4aJwU3tE3pvQwi3aP6edSJaQdSSU8o3Et9Lqb9hyI9LP27lbTqUYO
lGDNabPUBO5Z3hHuIkxIeIjQt0sldPdK8haqzwX4MPTQhkmAQBY3ucuPvPhQ9bx3a9zTPRHOC6d8
C6uEmCPcvJUexXeTktwnJb7blntJveZNzORrMQaQrNk4xzx0v6eZY6JVIn6m5Pwa5X9fYE8PNJuL
jRL9CyX/J+wBfLUQIMqz2wVqSWCwLWjU2qCdPwu1RhjZJzC1v7nUsayB109NK4+uWj2QVHxnql2E
lpwRsJTU+D7MJL8DreyKFisNKYD+qsm6DWZjem0nLzlKJnaVHHqr1ALEUauQVi1FTLYjFRcnU61L
YvYmhlqgjGqVUrNTKdRyJfy1Zvm1cGHzMrOBcdjERJVPnDUdOpbsDgXvaQp0R1rRu+WkORej8OjG
kSFZPWMXLetmuNigVaxeeEjEpRgXpp2shoIDHgFsp6v9Hink4caWI6TkGO5oODZWo+QaNNgRZ+hU
P+bjgbqCZaecf/1Upijn8XubxtzpElJNRj4IfFz5dG8KJD/+zRqX2qrrTqSAkO49NV8xZQIhh4Xg
+Us7ZbHRLGrgWnGeanFwx/ZZk/bGpEDiLpgPZWcld5LFzNrFR7GJOZ27SNubmn6iyOdTxD70lG1/
J3p3MXAqhmXrLfLm5pErbIUcpjqxp5VJ4mD1GTl9ta6GOl43dnV2CdKCYeKNDEi9MFmjbXUt2eno
7Csm83vP5BSyOR54qSoSVzySmgsWeA221q2pswkRSNuboGmubhp96UT6LJAnY0I85j14sXUI4nFX
+SwX8tHN7uBanyKfAlRxyzN+FMRwaU+Ek7eEnRM66z3oDkpPNoS7BhuOUd34PXVuiSYH8dRheZ3X
jj17S/xEBFvYFCT5E7iQ72UkOeti0dkWF9QkS9n/ZdvRqe9TQQEH83RKojLuqgqvBe4IfZ3m5pMf
z9RWdm9kzWUbtcwcLFR+juxo5UfVXi+ax6KEiaw0/5fjZWkObyww9wFp5Qeb0Vsxpi5xRkhEbobe
D4GaKxaVPdYDSM1Zt3SGJyjBEmy1ABXVGjhWB6B1AGxF8VnRURyvwTavmWJf+7B98I1DJf3iXNuU
/8qWjD1Rgcix5N4k9UbIyjph/3vS5+KlsfnU9U1tbQMbBAnt7+ooElf7MSgu1wHQ9cTBULwuOytF
746/Vi2K6G0Df61Iw0OMp3VJyCj3p+EHOXXlxs6zTwkY3GTx8yCmh2CazoLQvFzP2P6BfY0NvAKL
EpIOs+DnzEqXa5KAOnYxn7CneJewe4RQ8kztIJUJ404PEVmmvWf81C3CayqeKEtSkHZkFdL4pJBn
F9W9Mwpcwt6jbUAq+emuqI6VQqUrBU0Tn/AVKIxaKKBakBOwaBRkjfmRxYEEsoe/JivBX0mFZLew
2fMvSBtau1HYdukYPyarkMuO6SNUaDfx9MOJnhmYLX8jGTVvwBnX1oypTYCWCiDEJaR4pJBxXcHj
QAuQzQoo9xRaXirG3AE2t4aYKFSDIJ7YHG/rzsTl6hrZl26UYOoKWC8Vuh7ml3wEZR+ZT2VQtXsf
yn1WuDt5tqpDZN8qEL5XSPyo4Pg4xJWKc9CqweZTBdDXUVST5oLYQF1YsuoUaB/2CrnPeBBG5qw9
+vMpG/4fe2eyXLeRpeFXcdQeagCJMaKrFnceSF5SEimKGwRpUZhnIDE8Wm/7xfpLUbJlSnbY1qIY
HXW9cpAiefMmMs/5zz/MVMJFc5Z2HfOtyZ8YkY6wNyLmMvH4ro3N6eAMwU3bupz0hGuMuH6WSgIA
x3Ezl7l3GzofM42A3wzrodAKrP1EypPSEdhKUSCVtmD+pDIQvEdNMWoh6d40IQqjghnxWVJnRLiH
g3nRG9YAztN1e8fBTgHio1CUDSHbHvd5853K/kIZwDtvQiRXMZ/sUIp1r5HwGzkDZbZzHbRIfEMm
LKxSKHc5diwLE5r0vu0ukxa/1MrV3kfFQyo9QBEdLqFREGsTZt1tP7Vcj/YEt6Bi/DT7/QADQM1R
PmbSfpx1+JyV8oGQ3W1OqNwJv4ecTfK+riOBJ8Sor3v9oc+r7Wz53dJwlcd/i5tEWYSnbtQufZWF
g03WbdtO5OmaVCDo6ndDacCtByWdOCfHFirJ2LGnA+KnUxMSjlv37xKcKDezHtyCXWD1OvnXZgvp
JS5IuCD8otwihT6b3GLjld2xRTgNv485UgslwE09gajL3JJ7hnR6wHoZgMVFrLERtjyas4OJcVGd
lcLv91M3ru1aXjAIPuQmfLv2xIdsHKfRPelFcx2lRrhTHPMORTKO0cVuNq9qfbwPtfoCsLA+08ip
tlrMWaA6u0oKADRKGE+AVuadQJ6M18EJzx9K6mEC0ChvUVsfsrTwNnqXEsVW4O9l5YTCxyUnCmcS
AdRA5XGernAIOqvhT+f2Fue0k2yjZmN11E3NTKqDSmXHB+s/vht/0tLRZJ4Dk+4PwIHH7n//5+E+
e4YNPP2zXzVqJl031o62rUOq9RFC/QIPALKTtsWox9aVh/2v0yYwAM8C4dQtE+jAtF2a+i/wgKsY
fcoq33A9JVL7S/AA3vvfwAPKPx8+H3+HazruM+cNb/DLxEjgpJSp1W8JxcFNKNYfwlGcgzHjHuvi
wZanxmkYo+GibhBKofVkh8r8oBf6G8LezYVnjzdIUczlNEfbshj9FUbkSAKgX9M1RIdKc648rsFN
rEzizKKoDoxiqwOSa8JlpEWgzqDftHX5viAZ8NjEl5jbQNFN5uQgyrvMD2rILz7X6Ej7IQL6hsFf
Zh4kXyXR1rN5NzDSIi6F56bgVENq4TwY3uRvuaMBKcrpdVnN91iKn83YGC74LT0saW2ZRj5IY4DD
wN4YO31bWt42xANryDFMi/RWO4zavJFFneztkOgKN8WOoCGOnI96OE+H2N4bWX2ZoujC34rLnFij
kLpRN49pxLs3o12eJsEajX1Ed9bf0pbigTDpx5ohNTV5dhO2LvbXXgIWUZLOGOJO7MVH25MSVU82
KSXFVPbZuvdxhxyokhd+0LxjwnRHWYMtk8CJnhsTXhSqdoHQDuK9v8TpAN5Kl12RHIQEu8ogKicX
RgVPRczuiUz7K2FCCEcuvvEjayUTLJxzY6s38/uKsKsFfc95a/iX7WxjAqkHTMsSrJvzBmqmbVEi
zkawjwApFvg8OFCLQSOiAD5278HaMggYQZtA89GeenFlJdhWlDoamC5vH0KZZwtIYhcatoW70dLO
tXjKdgxDr8tZnGm2hhqaCT2KG58yiUoULsawt1P/whrL62wemkMGn3pZNs1Rp2eip9Xxo/aSak/2
Jb3pRO6OV9j1EfDmpk7BlBNGFojec79P741cc4isgeBSKir5oGH2ELnzz9M4JttpxGV46jFyaAFP
/Ci+SprhcbYPZCFyDmfg2kkmj70WFaeeYCT0ww9Vf+uTC7mr/CQ7TFq3sSdza+Tp1sdcYQdeXK8C
713vAuqUWrpMrJF2rGyMtWEhzQ8STLlKBwlk2E4bL4+x4cY2AvqBfep8I1rVRiSXzLHgfOlzcxn6
M7d23d42GKFeM6h8U0wj+pdKUQSpjWtB2YXWOxy6cs/gKVzmVlVDlfDJmfSSm5j+HSxZbM3xqm2Q
zPddYOwA31nlZN+NfNTkeMVg2+O+GedxlVaET1CpntU+gFrSiLUMKP2s4THuLW9Xt0azaY3k2CBX
tzElxv8+3pte6FxOFQbNem6vqtK7y/U52LZZ5h9TJnqdJbAaz8XJmx196wn0Sf37Mgf8cmS4DSJH
f9tm/gfRdxMiMah07tCdh7n0VhHvZlV5VBBdjfebLue1Jjobo+suPM0NVt55N+3DdLxMq/7kGKJ+
09hIbFo/u4uqtzpqiEsZYv4P2eossBmnYkMKmTYfjwlQAi3/RzyFliTnXDhFHR9TYWVr7LD3sakv
u9q/FmJ0915Dsk4sxQ5so15gzPHR4W86ogRbTGMQ4MbRv/YUdDiDIeqG8rpXsGKmAEayFh8CXJ9d
9FYZglwNIFLHDVEBk0E/mEjli2sf/UlsIWvscTshxQi0yCgNZ5E4TXvwixBPtBhliGaO0M+Md7OC
ROswexOBkUqwUk2BprWCT1twVLgDjwO4Kg+WICrQustAXBnzMS/0Of1dB7DPd6TykN3nUWy89x3G
OrVbYVej9IRkzVlneuV0iuK5jeip19UT7MtkWQHBNohwLOnAHDDiWoHFDJHpC4ADQJH9UBBFjInF
KKSxgaGBo3ucIGj9BD8TYBsmxjupgGmyi9RAh8woVczAF1iTl45ZBnXOoAoeh8on8sdLWVOIQbZd
6cn4sx/bB1vwScKrD+E5DO+w2hCbWeNn9Wa/Jb2ELs6W771C3NoQdCqzX3pJKteZVV4lxszo1IxC
RuIbDHm9JTrNdtWlAHGBcXLnVlXTlVwJRD4W+kkCluSmMwaxw5kKJzWIyMKuaNd06yNY+vvAgUI5
mzbyScw9x9DT1mHaWMQWuIQNzi0fMlktqaezjyfzxIzSBxuAxmUlxQN/G54Ubn0WpvDJAqd9LUlR
mYlAWbhZ+ZAXuHYWSIlBqc+K2fdXSJKSRZ9bKlMQzq/L2FrC627bfIBJ2uSbyLca1ecvPKPUl7oH
29HDvgGJCfZ5TrQjQDS97kfvYZ5hCA/hEsNTsZ91iNY9YGja3HlesdWjsQUA60mnRI9ohzF+Ujlc
uG5uACCRWzc5sb2THwRLK4UVwJCjWggvqohBUdpFbBGju0nvxbokzWqRdpTH2OiDbMbKgQenO+aH
9ajTAlW9zmgfTiJ6gxZ61tStPfgAhwD2b2+HNSLsMNqFgQi3Zhddpxp+MKzPtVF68gIvFRnJdNv5
mE5VAwlgBXfNMvBiB6915xyr0WpZaYmykFeMEDlqUEvLZh8Q3gGrjxM9j46jazt42BMojJyZDx2u
LUB/s1NGe0jbMduYy55WIkFIQ/JD0wlvga0oLqatOz0UZzpmR+skek0IAxLVgLcXm51YZln4uiF4
Y9PjAoylZL9yNdrToaW17euUC4HsDB2LJMyr4go+Be1uI5O7eXDT9dToM1SJ5qGek/d1alyKXqNr
BRrjsML3F7svKMlee9lYrUHSh4uFFGSUuS4hz7rhg913mAxXfbopML8OCW3EGm6bRKMF3Gs81jgS
ZJ3TbuuunWlPwA5tkxsxFjYGgRQOJpET88j4oXUQEWApu5ywj1q4EwoFZCk7ByeeVTTgfCglYt5O
YxNkGdRyq/s5N9J7MaJySlPMrorA+djGo7fM5xERE3DpQlpJi5/ZhFkyhA494+OZcrF0CWxZFoEm
D0NBCopowlu782+thCQep0Bx08dcrkF8Rl+7FH7hbixpGuQ67FtpxBuPh2GWOIMlrYEdj32fTC2o
8EQ4tqvsTSu63NXYJDh6l/ukkjsgrnwNzQI9+2i9yaMAXFXNE9KMVAekd3jeUnAOJqSCbtNr2Gun
CfgVHNh1HPNTw0k/D6XhLQJXxjya5XqSkDB7tWL4a8kFyMdOMk9ftGPicZCEBKrMLvRixjbs8qSk
1ccP0sXHaMAoeC3R1SFihf5g9PaDSQGwQkWxGJ0eFIQyc6o6k22DddmQV+EawxUsfBWL2QC7p63H
Iw2Jbtzb0It1WkUu0GQim8XK/XuwhDvBBxum2EjHon9oa/EhxX4bvKpAyaaAe5dUEPV+SoYj+Kup
EA6bE8WDQZN9/BT+V7a4qxVclbsmdQ6cZfdmpEGHxDUVQcGVFA0agTEmtjzQVn7cBtz9UCaw3SG1
jzxSF20upyKBLqjCkclQOnswecKBrchMDY0HLbHhY3eJNqPeJXJYQW9LVrHv4I9tTPgakTG16qoR
vwumiUv2LErY8jCkQ7hGZHI+muYZpzimXGoyFAKehKMFMlfZA6UlR4kdzsc8mMi6sJvhQLnzkNod
9Tg5tlhTAJdWybSOe7Kd/Io4CqOTnPrDuPM4uMjlA5dHnKHvpR1vjK5Kzmw3ujT1wd47PlT4Khos
ctUp2tz5QzzFzWF27RDB9fAQ5L08azhmbNJOkjaRr0Vgn3qvCU44uW81JYGeSPY9NHJ0tzq+pcg4
kJPHXv+2CsojDlGoWUaiLKtEEtWaF/46SxHwx82DN5GcFdQapxokWDqQC8+2sVztsbsRDk7jznzV
Couo8rzJNq4WbxmHYOnp3g1Ty1SL6n+R+MTPmx3jDUO/CiFUHqLJ3nA9u0vI9whG4vpgzSaUZ0Zm
PGnlVe0MgC99AB86hh81zq22RyB+noFJ7XvyzOj/3H1M9Dry1xq2iS7uNELOREI9JSfODGOampPf
RnhvIyux9Z53mO0yY5SHAp/5hZu2a4B187x3K9yvw0dPcqszQ0NQoHxvdb+E390Oy//QJP4kTUI3
LXCL30dCbuLs/qfXj99AIU//7heahOFYjoHU2YRWpugIv0AhOPnAq+VLlg7NTpmU/sKUsAzS/Gyy
AdEbGgKHm1+ZEnzJMBSDF8cevsdFEvmv//6NR0377P9/Kvr8soyLrv3nP2znW8MeiL/wJIQF+0Jn
KPhbpkTJb3eDktwH9BSn2IvPQlT2HMmWvqQMfpPNlCaTc0T2Pm3xmmFcGF97kAULlXE7q7RbLaJk
7dC7L1wiLledzVVHNgTRuTgcT/lSs322aPXQE6M7qDxdh2BdmERU/ypr17OZeqr03Ujl8FYzZTH5
CjAO0WoVbYd2bTQCKOVvkyF+V3u2tZYE+yJkuEtU0m/oZLdT3LmbiBDgSAwOk5z0PfOCnWmXN3Px
vrdlfD5J4haqcLQ3TlOPm6pK39ZMF/YJccM1k+GUE8ec4o0WW+Z5PBINep6jrAwQuG7NdD6vlLtz
Ctlh3xsWUhFQ6pl2ZQPD4E3BwHhjpbG7maxZgMGv2jG9Fr3iNYzEnOaAtsvCS7eu1FYONySGd2ay
if2VU+G607RNQ0IoEQqyHd46wZraCUcyq2z3sH73FBs30xRu3Ti0tzVwUeaTSE2aoFXhV0D6tOYa
6QJX0tsydBHK+P6j0UbzcdRd5iAh6LVnVOtAmBn852IX9AHcCMeidmqw7eEmt9AsDPV00r1gMxNl
pwUamyHqlrUrEVRUoDO8g5i7N/tZZP2qD/vXQl36E6jDSg6X8eS+rePS2YeaQZoyvurYz8frKaIb
d6a6XQs4Aib0Ga3Dhs2mVjHt115jtweC7c7G1k63gYFRg8EAQ1rcHJEV9Mtbu43MI1rWFbRDmJBe
fVGX4q2sk5UnjWDVt2Rez/2tOYkH5FxcablxkRvYHnUEc5H9hZXNBAO3Jxk2ipJ4k9o26hKJSrLO
3+YJQ/WCSfOWVgFWBlELiMlaYHm7lJdS1KgItWod+p22jKkkF65XAEVLa915cm3GycMcJVfOHKCi
l3a7cNn1i5pE7aUTh5deUa6j0rlMmcKsUNh8yKW+M1GptoGDxIsj2wnhIhpb9li/maqcIAUQLTQz
wSUSP3S8WMF1FiHlQ7D3AZO6zN2003zeaPJDNHvJnjhu+OntY1Y14QGXuHO7mcuL3Mp7kgyCTWFY
K3ozbqrUYrcbaq8Y0QV5a1tTkKlBroO7HAy/OhSGeVM0IS2M2x3NPC3XZRjfVI0I132UvA1d0S4r
wzMhcqPPJNm7W9MLiLKujthHbhxpPo5drB2GYN4O5BJMFno4ja50IT2ixSknBMRqu0l3pTdxSSPh
04wEl1xYZVQw/KPyPh6gDfF3oXgbCebNyJ30E4xKbOdewAQC7FOYYgaiU4fmVUg/3xEEtzMxa1y2
BRHBCS6s42BeW07zrhyRZRuYam7zKnkd5jb3vmY+FjoNMGHVMw2N6SIjKzBUpxNlEHiNmQFeJdI5
Mdvd+hLvPhTQuzDcBOIq4Fcdm7T2CWrIVdyBh7jTeb+N2/IWgvmD4xXUmlp2GVElMwHDwD4PzCs9
6j5mJjnIUxLeBh2hgFl+aXT1cMBPBeBkkMEOKoaS2n5IjY+1i8tEHBb3mjBvAMCDBZZesJLkkG0S
shdpBteWPtHZ1TEZjl1+hVfOdvTjYGctEphPcB+8vU1WiS4FgsWR2kTOzV024lnPcNI6p/QrIV/n
WOgbUF7GtvWXkXVd5LVNfetGO+I0PAU0MnQz0MQKrK4W6aHuyJYpL6252gmND8mGCxaP2N3GmWrF
7zpMkPGzCNaTP1Owe84bEjHPwIVLFcL8LvX5XVqU3rhDovQG1SWtcL/WEOZhiVKftIkDE28xpvKf
mrrGwHmnHI+5gS2rnlrtMqkTkn1qjG+9/j4ZdP0oarnPCCQK4mHVdl22b2ZG4a5inRHYGE3htQar
yZ+RJVk1zrJBw/Sz2XJ0gbrWuJqUmGi9PtiVo1CbhBpbR7RVEmqu4RCkl9mb2MlvXFPS0VAuDwBt
XRKfybiByQGqUiXWx6nWP3RW+dEuUJVJF43gAIadJ2daZH6YHfxpaYqZ66fDIwypLfYhmHOAQoBp
Al5BYe7m26LR1TJ3p/qNJkVwGkNrPxvo86wOdxKvGq4DOUM+gCJMdNOCBEh7VUvtNLbWZVXUIDUa
XFpgZ4vHC9/T5GAXslgXvYHlbsYAjdwYoP2cU6BNdKyWR8IECoewiMDl9DCJQIDPvulEWGyLxCGx
jw2MTII2klEhs2OtW2J2nwsnf2956YOeheapIl5hMYMyITWJICWSNETmSOrs4sRF9sGULyehyiPs
AuAxqTdRm5+moV4KNuKyghuCNAdCkUGOdYm69wLuyrmVEiijo6TX9bXXzvlyDnzwVEmVG7nRRo7O
67FBKu8IkrRGM90wR6SfIYHOQd6cIzFd92m0JjnjMe6KyzjIdcIPTrogE2tEskNBAJtiLlXMnLzX
KuIEK+NoBRhzjrLc94kzHwlqTRIzhHGFqgSLmPMGmUk4RsiIUZ0uvK44Ovi40Ddpi1nDsxQnAnQq
SrFSKu0KMpftrNQsUulaWhqknUTq0ijNS6TULzwEzFiVIqa2YFSESiWjK71MDumrLB33baJdaJiM
b2ylrcFlFwadNp/F9mMw8sknSodTlpYD152NTt7QCnXiOg8EAazRNlEqnv9flf9/PRW9q/vufv2p
or/q4ca+foTt1/1SAquvfqp935Z/75u+1NLf/0E//dmpKhYmz6eqn/6sT3/zH/2U7L6Lu/4DOXwo
7uA543qFfOnTi0pekQg+f1kj08Blegp5+vPXqeRpXr5apt9biD9+j08r+sff80fv4GmJ9h/++Q/X
swyGu896qr+zDqZwHdNGI/j1AnivLMf1bGEzKf70evpNL2oBzO80lX95AQx8Xpmru7oB1Z4XI/Sv
18F95WA0ijDz6atsvX/TRvi57IlM4JEM47L4mi9g+PzJv2msf2cNnv2EXx8G5f7jmXSs9jdPgc8X
PNVpP72eWvgXtAn40Pj7rOd63t9ZgWfpm7+uADiAjVmvhabwlzf69S5wXqGvUDklzueFeHJqekEL
wXGgw37+czvhd9dBcO5BMOFc8Z72+7NTwX3lWxyZoBifH4enrfei1gGMxfzRdVDhNMA3Ju38d9fB
eyXQ1jickJ/3wws8HQWe0T+8Dup0VF7Q3pdr4LenI+ugExGreyT8fHq9wOdCuJb7o9ckJ6RvkSsA
2+rpffIDvz4fyNDVDccWOH9/fv2bbolnT/bX5YKwdUXN+jM3xbOf8us5CavM0ZEyowV7Wodvzgeq
Ep/L9Mt2eYH7gSACpWD7oXXgvvCYgpto8p4+72cXp8d+cMg4Nr5cnC/xfPhO3vRfvTe5L8D1+Q/7
9k+vZ9UTqDymvK4Dle3p9QLLaJJsxI+eD9wXDmNB14Zy+en1bD+wTDA3UWN+/rKSWL60dkJ8J07h
L+8H/xWKU/b+l3WgMPv6nESYym7hAcQn5Mt+eWnr8D0jzr+xDiBduk5f9Tv7wTF12zEQ6T69XuJz
QXv1w/eFEjBzCJri++vgvzIoojgmv9STTwXLi6onP3v//Oh9AT/aNbkyvrsfqKNsky70S/vxEs8H
LrtvlO5/47kwEayjw+IA/O3BYHEyQEr/XG/rL67TdL3vsfn/8gKozsGBbfnlwf9mHSitDBuPwM8H
w19Yhz/x1ADlqe/6OXu8b/71fwAAAP//</cx:binary>
              </cx:geoCache>
            </cx:geography>
          </cx:layoutPr>
        </cx:series>
      </cx:plotAreaRegion>
    </cx:plotArea>
    <cx:legend pos="r" align="ctr" overlay="1">
      <cx:txPr>
        <a:bodyPr spcFirstLastPara="1" vertOverflow="ellipsis" horzOverflow="overflow" wrap="square" lIns="0" tIns="0" rIns="0" bIns="0" anchor="ctr" anchorCtr="1"/>
        <a:lstStyle/>
        <a:p>
          <a:pPr algn="ctr" rtl="0">
            <a:defRPr sz="600"/>
          </a:pPr>
          <a:endParaRPr lang="pt-PT" sz="600" b="0" i="0" u="none" strike="noStrike" baseline="0">
            <a:solidFill>
              <a:sysClr val="windowText" lastClr="000000">
                <a:lumMod val="65000"/>
                <a:lumOff val="35000"/>
              </a:sysClr>
            </a:solidFill>
            <a:latin typeface="Calibri"/>
          </a:endParaRPr>
        </a:p>
      </cx:txPr>
    </cx:legend>
  </cx:chart>
  <cx:spPr>
    <a:noFill/>
    <a:ln>
      <a:noFill/>
    </a:ln>
  </cx:spPr>
</cx: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withinLinear" id="14">
  <a:schemeClr val="accent1"/>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withinLinear" id="14">
  <a:schemeClr val="accent1"/>
</cs:colorStyle>
</file>

<file path=xl/charts/colors1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withinLinear" id="14">
  <a:schemeClr val="accent1"/>
</cs:colorStyle>
</file>

<file path=xl/charts/colors11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20.xml><?xml version="1.0" encoding="utf-8"?>
<cs:colorStyle xmlns:cs="http://schemas.microsoft.com/office/drawing/2012/chartStyle" xmlns:a="http://schemas.openxmlformats.org/drawingml/2006/main" meth="withinLinear" id="14">
  <a:schemeClr val="accent1"/>
</cs:colorStyle>
</file>

<file path=xl/charts/colors121.xml><?xml version="1.0" encoding="utf-8"?>
<cs:colorStyle xmlns:cs="http://schemas.microsoft.com/office/drawing/2012/chartStyle" xmlns:a="http://schemas.openxmlformats.org/drawingml/2006/main" meth="withinLinear" id="14">
  <a:schemeClr val="accent1"/>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4">
  <a:schemeClr val="accent1"/>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Reversed" id="26">
  <a:schemeClr val="accent6"/>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 id="14">
  <a:schemeClr val="accent1"/>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Reversed" id="26">
  <a:schemeClr val="accent6"/>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Reversed" id="26">
  <a:schemeClr val="accent6"/>
</cs:colorStyle>
</file>

<file path=xl/charts/colors25.xml><?xml version="1.0" encoding="utf-8"?>
<cs:colorStyle xmlns:cs="http://schemas.microsoft.com/office/drawing/2012/chartStyle" xmlns:a="http://schemas.openxmlformats.org/drawingml/2006/main" meth="withinLinear" id="14">
  <a:schemeClr val="accent1"/>
</cs:colorStyle>
</file>

<file path=xl/charts/colors26.xml><?xml version="1.0" encoding="utf-8"?>
<cs:colorStyle xmlns:cs="http://schemas.microsoft.com/office/drawing/2012/chartStyle" xmlns:a="http://schemas.openxmlformats.org/drawingml/2006/main" meth="withinLinear" id="14">
  <a:schemeClr val="accent1"/>
</cs:colorStyle>
</file>

<file path=xl/charts/colors27.xml><?xml version="1.0" encoding="utf-8"?>
<cs:colorStyle xmlns:cs="http://schemas.microsoft.com/office/drawing/2012/chartStyle" xmlns:a="http://schemas.openxmlformats.org/drawingml/2006/main" meth="withinLinear" id="14">
  <a:schemeClr val="accent1"/>
</cs:colorStyle>
</file>

<file path=xl/charts/colors28.xml><?xml version="1.0" encoding="utf-8"?>
<cs:colorStyle xmlns:cs="http://schemas.microsoft.com/office/drawing/2012/chartStyle" xmlns:a="http://schemas.openxmlformats.org/drawingml/2006/main" meth="withinLinear" id="14">
  <a:schemeClr val="accent1"/>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withinLinear" id="14">
  <a:schemeClr val="accent1"/>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withinLinear" id="14">
  <a:schemeClr val="accent1"/>
</cs:colorStyle>
</file>

<file path=xl/charts/colors5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withinLinear" id="14">
  <a:schemeClr val="accent1"/>
</cs:colorStyle>
</file>

<file path=xl/charts/colors5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60.xml><?xml version="1.0" encoding="utf-8"?>
<cs:colorStyle xmlns:cs="http://schemas.microsoft.com/office/drawing/2012/chartStyle" xmlns:a="http://schemas.openxmlformats.org/drawingml/2006/main" meth="withinLinear" id="14">
  <a:schemeClr val="accent1"/>
</cs:colorStyle>
</file>

<file path=xl/charts/colors61.xml><?xml version="1.0" encoding="utf-8"?>
<cs:colorStyle xmlns:cs="http://schemas.microsoft.com/office/drawing/2012/chartStyle" xmlns:a="http://schemas.openxmlformats.org/drawingml/2006/main" meth="withinLinear" id="14">
  <a:schemeClr val="accent1"/>
</cs:colorStyle>
</file>

<file path=xl/charts/colors6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withinLinear" id="14">
  <a:schemeClr val="accent1"/>
</cs:colorStyle>
</file>

<file path=xl/charts/colors65.xml><?xml version="1.0" encoding="utf-8"?>
<cs:colorStyle xmlns:cs="http://schemas.microsoft.com/office/drawing/2012/chartStyle" xmlns:a="http://schemas.openxmlformats.org/drawingml/2006/main" meth="withinLinear" id="14">
  <a:schemeClr val="accent1"/>
</cs:colorStyle>
</file>

<file path=xl/charts/colors6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withinLinear" id="14">
  <a:schemeClr val="accent1"/>
</cs:colorStyle>
</file>

<file path=xl/charts/colors68.xml><?xml version="1.0" encoding="utf-8"?>
<cs:colorStyle xmlns:cs="http://schemas.microsoft.com/office/drawing/2012/chartStyle" xmlns:a="http://schemas.openxmlformats.org/drawingml/2006/main" meth="withinLinear" id="14">
  <a:schemeClr val="accent1"/>
</cs:colorStyle>
</file>

<file path=xl/charts/colors69.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withinLinear" id="14">
  <a:schemeClr val="accent1"/>
</cs:colorStyle>
</file>

<file path=xl/charts/colors75.xml><?xml version="1.0" encoding="utf-8"?>
<cs:colorStyle xmlns:cs="http://schemas.microsoft.com/office/drawing/2012/chartStyle" xmlns:a="http://schemas.openxmlformats.org/drawingml/2006/main" meth="withinLinear" id="14">
  <a:schemeClr val="accent1"/>
</cs:colorStyle>
</file>

<file path=xl/charts/colors76.xml><?xml version="1.0" encoding="utf-8"?>
<cs:colorStyle xmlns:cs="http://schemas.microsoft.com/office/drawing/2012/chartStyle" xmlns:a="http://schemas.openxmlformats.org/drawingml/2006/main" meth="withinLinear" id="14">
  <a:schemeClr val="accent1"/>
</cs:colorStyle>
</file>

<file path=xl/charts/colors77.xml><?xml version="1.0" encoding="utf-8"?>
<cs:colorStyle xmlns:cs="http://schemas.microsoft.com/office/drawing/2012/chartStyle" xmlns:a="http://schemas.openxmlformats.org/drawingml/2006/main" meth="withinLinear" id="14">
  <a:schemeClr val="accent1"/>
</cs:colorStyle>
</file>

<file path=xl/charts/colors7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withinLinearReversed" id="26">
  <a:schemeClr val="accent6"/>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80.xml><?xml version="1.0" encoding="utf-8"?>
<cs:colorStyle xmlns:cs="http://schemas.microsoft.com/office/drawing/2012/chartStyle" xmlns:a="http://schemas.openxmlformats.org/drawingml/2006/main" meth="withinLinear" id="14">
  <a:schemeClr val="accent1"/>
</cs:colorStyle>
</file>

<file path=xl/charts/colors8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withinLinearReversed" id="26">
  <a:schemeClr val="accent6"/>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withinLinearReversed" id="26">
  <a:schemeClr val="accent6"/>
</cs:colorStyle>
</file>

<file path=xl/charts/colors85.xml><?xml version="1.0" encoding="utf-8"?>
<cs:colorStyle xmlns:cs="http://schemas.microsoft.com/office/drawing/2012/chartStyle" xmlns:a="http://schemas.openxmlformats.org/drawingml/2006/main" meth="withinLinear" id="14">
  <a:schemeClr val="accent1"/>
</cs:colorStyle>
</file>

<file path=xl/charts/colors86.xml><?xml version="1.0" encoding="utf-8"?>
<cs:colorStyle xmlns:cs="http://schemas.microsoft.com/office/drawing/2012/chartStyle" xmlns:a="http://schemas.openxmlformats.org/drawingml/2006/main" meth="withinLinear" id="14">
  <a:schemeClr val="accent1"/>
</cs:colorStyle>
</file>

<file path=xl/charts/colors87.xml><?xml version="1.0" encoding="utf-8"?>
<cs:colorStyle xmlns:cs="http://schemas.microsoft.com/office/drawing/2012/chartStyle" xmlns:a="http://schemas.openxmlformats.org/drawingml/2006/main" meth="withinLinear" id="14">
  <a:schemeClr val="accent1"/>
</cs:colorStyle>
</file>

<file path=xl/charts/colors88.xml><?xml version="1.0" encoding="utf-8"?>
<cs:colorStyle xmlns:cs="http://schemas.microsoft.com/office/drawing/2012/chartStyle" xmlns:a="http://schemas.openxmlformats.org/drawingml/2006/main" meth="withinLinear" id="14">
  <a:schemeClr val="accent1"/>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withinLinear" id="14">
  <a:schemeClr val="accent1"/>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9.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0.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1.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2.xml><?xml version="1.0" encoding="utf-8"?>
<cs:chartStyle xmlns:cs="http://schemas.microsoft.com/office/drawing/2012/chartStyle" xmlns:a="http://schemas.openxmlformats.org/drawingml/2006/main" id="32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cap="flat" cmpd="sng" algn="ctr">
        <a:solidFill>
          <a:schemeClr val="tx1">
            <a:lumMod val="65000"/>
            <a:lumOff val="35000"/>
          </a:schemeClr>
        </a:solidFill>
        <a:round/>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15875" cap="flat" cmpd="sng" algn="ctr">
        <a:solidFill>
          <a:schemeClr val="tx1">
            <a:lumMod val="65000"/>
            <a:lumOff val="3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9.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0.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1.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5.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8.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9.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4.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5.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6.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8.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9.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0.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2.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6.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7.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8.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 dropStyle="combo" dx="22" fmlaLink="q1_q2_q4_q5_Fig!$Q$3" fmlaRange="q1_q2_q4_q5_Fig!$A$2:$A$3" sel="1" val="0"/>
</file>

<file path=xl/ctrlProps/ctrlProp10.xml><?xml version="1.0" encoding="utf-8"?>
<formControlPr xmlns="http://schemas.microsoft.com/office/spreadsheetml/2009/9/main" objectType="Drop" dropLines="11" dropStyle="combo" dx="31" fmlaLink="'q3.1_6.1_9.1_12.1_19.1_27.1_Fig'!$CF$2" fmlaRange="'q3.1_6.1_9.1_12.1_19.1_27.1_Fig'!$G$2:$G$12" noThreeD="1" sel="11" val="0"/>
</file>

<file path=xl/ctrlProps/ctrlProp11.xml><?xml version="1.0" encoding="utf-8"?>
<formControlPr xmlns="http://schemas.microsoft.com/office/spreadsheetml/2009/9/main" objectType="Drop" dropLines="7" dropStyle="combo" dx="22" fmlaLink="'q3.1_6.1_9.1_12.1_19.1_27.1_Fig'!$P$2" fmlaRange="'q3.1_6.1_9.1_12.1_19.1_27.1_Fig'!$A$2:$A$8" sel="4" val="0"/>
</file>

<file path=xl/ctrlProps/ctrlProp12.xml><?xml version="1.0" encoding="utf-8"?>
<formControlPr xmlns="http://schemas.microsoft.com/office/spreadsheetml/2009/9/main" objectType="Drop" dropLines="11" dropStyle="combo" dx="22" fmlaLink="q13_q14_q20_q21_q28_q29_Fig!$P$9" fmlaRange="q13_q14_q20_q21_q28_q29_Fig!$A$2:$A$12" noThreeD="1" sel="11" val="0"/>
</file>

<file path=xl/ctrlProps/ctrlProp13.xml><?xml version="1.0" encoding="utf-8"?>
<formControlPr xmlns="http://schemas.microsoft.com/office/spreadsheetml/2009/9/main" objectType="Drop" dropLines="2" dropStyle="combo" dx="22" fmlaLink="q1_q2_q4_q5_Fig!$Q$3" fmlaRange="$A$2:$A$3" sel="1" val="0"/>
</file>

<file path=xl/ctrlProps/ctrlProp14.xml><?xml version="1.0" encoding="utf-8"?>
<formControlPr xmlns="http://schemas.microsoft.com/office/spreadsheetml/2009/9/main" objectType="Drop" dropLines="2" dropStyle="combo" dx="22" fmlaLink="q7_q8_q10_q11_Fig!$Q$3" fmlaRange="q7_q8_q10_q11_Fig!$A$2:$A$3" sel="2" val="0"/>
</file>

<file path=xl/ctrlProps/ctrlProp15.xml><?xml version="1.0" encoding="utf-8"?>
<formControlPr xmlns="http://schemas.microsoft.com/office/spreadsheetml/2009/9/main" objectType="Drop" dropLines="11" dropStyle="combo" dx="22" fmlaLink="q17_q18_q25_q26_Fig!$BL$16" fmlaRange="q17_q18_q25_q26_Fig!$BL$2:$BL$12" noThreeD="1" sel="11" val="0"/>
</file>

<file path=xl/ctrlProps/ctrlProp16.xml><?xml version="1.0" encoding="utf-8"?>
<formControlPr xmlns="http://schemas.microsoft.com/office/spreadsheetml/2009/9/main" objectType="Drop" dropLines="18" dropStyle="combo" dx="22" fmlaLink="$Q$2" fmlaRange="$A$2:$A$19" noThreeD="1" sel="11" val="0"/>
</file>

<file path=xl/ctrlProps/ctrlProp17.xml><?xml version="1.0" encoding="utf-8"?>
<formControlPr xmlns="http://schemas.microsoft.com/office/spreadsheetml/2009/9/main" objectType="Drop" dropLines="11" dropStyle="combo" dx="31" fmlaLink="q3_q6_q9_q12_q19_q27_Fig!$AL$16" fmlaRange="q3_q6_q9_q12_q19_q27_Fig!$D$2:$D$12" noThreeD="1" sel="11" val="0"/>
</file>

<file path=xl/ctrlProps/ctrlProp18.xml><?xml version="1.0" encoding="utf-8"?>
<formControlPr xmlns="http://schemas.microsoft.com/office/spreadsheetml/2009/9/main" objectType="Drop" dropLines="11" dropStyle="combo" dx="31" fmlaLink="q3_q6_q9_q12_q19_q27_Fig!$AS$16" fmlaRange="q3_q6_q9_q12_q19_q27_Fig!$D$2:$D$12" noThreeD="1" sel="11" val="0"/>
</file>

<file path=xl/ctrlProps/ctrlProp19.xml><?xml version="1.0" encoding="utf-8"?>
<formControlPr xmlns="http://schemas.microsoft.com/office/spreadsheetml/2009/9/main" objectType="Drop" dropLines="11" dropStyle="combo" dx="31" fmlaLink="q3_q6_q9_q12_q19_q27_Fig!$AZ$16" fmlaRange="q3_q6_q9_q12_q19_q27_Fig!$D$2:$D$12" noThreeD="1" sel="11" val="0"/>
</file>

<file path=xl/ctrlProps/ctrlProp2.xml><?xml version="1.0" encoding="utf-8"?>
<formControlPr xmlns="http://schemas.microsoft.com/office/spreadsheetml/2009/9/main" objectType="Drop" dropLines="2" dropStyle="combo" dx="22" fmlaLink="q7_q8_q10_q11_Fig!$Q$3" fmlaRange="q7_q8_q10_q11_Fig!$A$2:$A$3" sel="2" val="0"/>
</file>

<file path=xl/ctrlProps/ctrlProp20.xml><?xml version="1.0" encoding="utf-8"?>
<formControlPr xmlns="http://schemas.microsoft.com/office/spreadsheetml/2009/9/main" objectType="Drop" dropLines="11" dropStyle="combo" dx="31" fmlaLink="q3_q6_q9_q12_q19_q27_Fig!$AL$16" fmlaRange="q3_q6_q9_q12_q19_q27_Fig!$D$2:$D$12" noThreeD="1" sel="11" val="0"/>
</file>

<file path=xl/ctrlProps/ctrlProp21.xml><?xml version="1.0" encoding="utf-8"?>
<formControlPr xmlns="http://schemas.microsoft.com/office/spreadsheetml/2009/9/main" objectType="Drop" dropLines="11" dropStyle="combo" dx="31" fmlaLink="q3_q6_q9_q12_q19_q27_Fig!$AS$16" fmlaRange="q3_q6_q9_q12_q19_q27_Fig!$D$2:$D$12" noThreeD="1" sel="11" val="0"/>
</file>

<file path=xl/ctrlProps/ctrlProp22.xml><?xml version="1.0" encoding="utf-8"?>
<formControlPr xmlns="http://schemas.microsoft.com/office/spreadsheetml/2009/9/main" objectType="Drop" dropLines="11" dropStyle="combo" dx="31" fmlaLink="q3_q6_q9_q12_q19_q27_Fig!$AZ$16" fmlaRange="q3_q6_q9_q12_q19_q27_Fig!$D$2:$D$12" noThreeD="1" sel="11" val="0"/>
</file>

<file path=xl/ctrlProps/ctrlProp23.xml><?xml version="1.0" encoding="utf-8"?>
<formControlPr xmlns="http://schemas.microsoft.com/office/spreadsheetml/2009/9/main" objectType="Drop" dropLines="7" dropStyle="combo" dx="22" fmlaLink="$P$2" fmlaRange="$A$2:$A$8" noThreeD="1" sel="4" val="0"/>
</file>

<file path=xl/ctrlProps/ctrlProp24.xml><?xml version="1.0" encoding="utf-8"?>
<formControlPr xmlns="http://schemas.microsoft.com/office/spreadsheetml/2009/9/main" objectType="Drop" dropLines="11" dropStyle="combo" dx="22" fmlaLink="$AQ$2" fmlaRange="$G$2:$G$12" noThreeD="1" sel="11" val="0"/>
</file>

<file path=xl/ctrlProps/ctrlProp25.xml><?xml version="1.0" encoding="utf-8"?>
<formControlPr xmlns="http://schemas.microsoft.com/office/spreadsheetml/2009/9/main" objectType="Drop" dropLines="11" dropStyle="combo" dx="22" fmlaLink="$BL$2" fmlaRange="$G$2:$G$12" noThreeD="1" sel="11" val="0"/>
</file>

<file path=xl/ctrlProps/ctrlProp26.xml><?xml version="1.0" encoding="utf-8"?>
<formControlPr xmlns="http://schemas.microsoft.com/office/spreadsheetml/2009/9/main" objectType="Drop" dropLines="11" dropStyle="combo" dx="22" fmlaLink="$CF$2" fmlaRange="$G$2:$G$12" noThreeD="1" sel="11" val="0"/>
</file>

<file path=xl/ctrlProps/ctrlProp27.xml><?xml version="1.0" encoding="utf-8"?>
<formControlPr xmlns="http://schemas.microsoft.com/office/spreadsheetml/2009/9/main" objectType="Drop" dropLines="11" dropStyle="combo" dx="22" fmlaLink="q13_q14_q20_q21_q28_q29_Fig!$P$9" fmlaRange="q13_q14_q20_q21_q28_q29_Fig!$A$2:$A$12" noThreeD="1" sel="11" val="0"/>
</file>

<file path=xl/ctrlProps/ctrlProp28.xml><?xml version="1.0" encoding="utf-8"?>
<formControlPr xmlns="http://schemas.microsoft.com/office/spreadsheetml/2009/9/main" objectType="Drop" dropLines="11" dropStyle="combo" dx="22" fmlaLink="q13_q14_q20_q21_q28_q29_Fig!$P$9" fmlaRange="q13_q14_q20_q21_q28_q29_Fig!$A$2:$A$12" noThreeD="1" sel="11" val="0"/>
</file>

<file path=xl/ctrlProps/ctrlProp29.xml><?xml version="1.0" encoding="utf-8"?>
<formControlPr xmlns="http://schemas.microsoft.com/office/spreadsheetml/2009/9/main" objectType="Drop" dropLines="11" dropStyle="combo" dx="22" fmlaLink="q13_q14_q20_q21_q28_q29_Fig!$P$9" fmlaRange="q13_q14_q20_q21_q28_q29_Fig!$A$2:$A$12" noThreeD="1" sel="11" val="0"/>
</file>

<file path=xl/ctrlProps/ctrlProp3.xml><?xml version="1.0" encoding="utf-8"?>
<formControlPr xmlns="http://schemas.microsoft.com/office/spreadsheetml/2009/9/main" objectType="Drop" dropLines="11" dropStyle="combo" dx="22" fmlaLink="q17_q18_q25_q26_Fig!$BL$16" fmlaRange="q17_q18_q25_q26_Fig!$BL$2:$BL$12" noThreeD="1" sel="11" val="0"/>
</file>

<file path=xl/ctrlProps/ctrlProp4.xml><?xml version="1.0" encoding="utf-8"?>
<formControlPr xmlns="http://schemas.microsoft.com/office/spreadsheetml/2009/9/main" objectType="Drop" dropLines="18" dropStyle="combo" dx="22" fmlaLink="q3_q6_q9_q12_q19_q27_Fig!$Q$2" fmlaRange="q3_q6_q9_q12_q19_q27_Fig!$A$2:$A$19" sel="11" val="0"/>
</file>

<file path=xl/ctrlProps/ctrlProp5.xml><?xml version="1.0" encoding="utf-8"?>
<formControlPr xmlns="http://schemas.microsoft.com/office/spreadsheetml/2009/9/main" objectType="Drop" dropLines="11" dropStyle="combo" dx="31" fmlaLink="q3_q6_q9_q12_q19_q27_Fig!$AL$16" fmlaRange="q3_q6_q9_q12_q19_q27_Fig!$D$2:$D$12" noThreeD="1" sel="11" val="0"/>
</file>

<file path=xl/ctrlProps/ctrlProp6.xml><?xml version="1.0" encoding="utf-8"?>
<formControlPr xmlns="http://schemas.microsoft.com/office/spreadsheetml/2009/9/main" objectType="Drop" dropLines="11" dropStyle="combo" dx="31" fmlaLink="q3_q6_q9_q12_q19_q27_Fig!$AS$16" fmlaRange="q3_q6_q9_q12_q19_q27_Fig!$D$2:$D$12" noThreeD="1" sel="11" val="0"/>
</file>

<file path=xl/ctrlProps/ctrlProp7.xml><?xml version="1.0" encoding="utf-8"?>
<formControlPr xmlns="http://schemas.microsoft.com/office/spreadsheetml/2009/9/main" objectType="Drop" dropLines="11" dropStyle="combo" dx="31" fmlaLink="q3_q6_q9_q12_q19_q27_Fig!$AZ$16" fmlaRange="q3_q6_q9_q12_q19_q27_Fig!$D$2:$D$12" noThreeD="1" sel="11" val="0"/>
</file>

<file path=xl/ctrlProps/ctrlProp8.xml><?xml version="1.0" encoding="utf-8"?>
<formControlPr xmlns="http://schemas.microsoft.com/office/spreadsheetml/2009/9/main" objectType="Drop" dropLines="11" dropStyle="combo" dx="31" fmlaLink="'q3.1_6.1_9.1_12.1_19.1_27.1_Fig'!$AQ$2" fmlaRange="'q3.1_6.1_9.1_12.1_19.1_27.1_Fig'!$G$2:$G$12" noThreeD="1" sel="11" val="0"/>
</file>

<file path=xl/ctrlProps/ctrlProp9.xml><?xml version="1.0" encoding="utf-8"?>
<formControlPr xmlns="http://schemas.microsoft.com/office/spreadsheetml/2009/9/main" objectType="Drop" dropLines="11" dropStyle="combo" dx="31" fmlaLink="'q3.1_6.1_9.1_12.1_19.1_27.1_Fig'!$BL$2" fmlaRange="'q3.1_6.1_9.1_12.1_19.1_27.1_Fig'!$G$2:$G$12" noThreeD="1" sel="11" val="0"/>
</file>

<file path=xl/drawings/_rels/drawing10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10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10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10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 de quadros'!A1"/></Relationships>
</file>

<file path=xl/drawings/_rels/drawing10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 de quadros'!A1"/></Relationships>
</file>

<file path=xl/drawings/_rels/drawing10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 de quadros'!A1"/></Relationships>
</file>

<file path=xl/drawings/_rels/drawing12.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8.xml"/><Relationship Id="rId7" Type="http://schemas.openxmlformats.org/officeDocument/2006/relationships/chart" Target="../charts/chart11.xml"/><Relationship Id="rId2" Type="http://schemas.openxmlformats.org/officeDocument/2006/relationships/chart" Target="../charts/chart7.xml"/><Relationship Id="rId1" Type="http://schemas.openxmlformats.org/officeDocument/2006/relationships/image" Target="../media/image1.png"/><Relationship Id="rId6" Type="http://schemas.openxmlformats.org/officeDocument/2006/relationships/hyperlink" Target="#Capa_Indice!A1"/><Relationship Id="rId5" Type="http://schemas.openxmlformats.org/officeDocument/2006/relationships/chart" Target="../charts/chart10.xml"/><Relationship Id="rId4"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8" Type="http://schemas.microsoft.com/office/2014/relationships/chartEx" Target="../charts/chartEx2.xml"/><Relationship Id="rId13" Type="http://schemas.microsoft.com/office/2014/relationships/chartEx" Target="../charts/chartEx4.xml"/><Relationship Id="rId3" Type="http://schemas.openxmlformats.org/officeDocument/2006/relationships/chart" Target="../charts/chart15.xml"/><Relationship Id="rId7" Type="http://schemas.microsoft.com/office/2014/relationships/chartEx" Target="../charts/chartEx1.xml"/><Relationship Id="rId12" Type="http://schemas.microsoft.com/office/2014/relationships/chartEx" Target="../charts/chartEx3.xml"/><Relationship Id="rId17" Type="http://schemas.openxmlformats.org/officeDocument/2006/relationships/hyperlink" Target="#Capa_Indice!A1"/><Relationship Id="rId2" Type="http://schemas.openxmlformats.org/officeDocument/2006/relationships/chart" Target="../charts/chart14.xml"/><Relationship Id="rId16" Type="http://schemas.openxmlformats.org/officeDocument/2006/relationships/chart" Target="../charts/chart21.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0.xml"/><Relationship Id="rId5" Type="http://schemas.openxmlformats.org/officeDocument/2006/relationships/chart" Target="../charts/chart16.xml"/><Relationship Id="rId15" Type="http://schemas.microsoft.com/office/2014/relationships/chartEx" Target="../charts/chartEx6.xml"/><Relationship Id="rId10" Type="http://schemas.openxmlformats.org/officeDocument/2006/relationships/chart" Target="../charts/chart19.xml"/><Relationship Id="rId4" Type="http://schemas.openxmlformats.org/officeDocument/2006/relationships/image" Target="../media/image1.png"/><Relationship Id="rId9" Type="http://schemas.openxmlformats.org/officeDocument/2006/relationships/chart" Target="../charts/chart18.xml"/><Relationship Id="rId14" Type="http://schemas.microsoft.com/office/2014/relationships/chartEx" Target="../charts/chartEx5.xml"/></Relationships>
</file>

<file path=xl/drawings/_rels/drawing19.xml.rels><?xml version="1.0" encoding="UTF-8" standalone="yes"?>
<Relationships xmlns="http://schemas.openxmlformats.org/package/2006/relationships"><Relationship Id="rId13" Type="http://schemas.openxmlformats.org/officeDocument/2006/relationships/chart" Target="../charts/chart30.xml"/><Relationship Id="rId18" Type="http://schemas.openxmlformats.org/officeDocument/2006/relationships/chart" Target="../charts/chart35.xml"/><Relationship Id="rId26" Type="http://schemas.openxmlformats.org/officeDocument/2006/relationships/chart" Target="../charts/chart43.xml"/><Relationship Id="rId3" Type="http://schemas.openxmlformats.org/officeDocument/2006/relationships/chart" Target="../charts/chart23.xml"/><Relationship Id="rId21" Type="http://schemas.openxmlformats.org/officeDocument/2006/relationships/chart" Target="../charts/chart38.xml"/><Relationship Id="rId34" Type="http://schemas.openxmlformats.org/officeDocument/2006/relationships/chart" Target="../charts/chart51.xml"/><Relationship Id="rId7" Type="http://schemas.openxmlformats.org/officeDocument/2006/relationships/image" Target="../media/image5.png"/><Relationship Id="rId12" Type="http://schemas.openxmlformats.org/officeDocument/2006/relationships/chart" Target="../charts/chart29.xml"/><Relationship Id="rId17" Type="http://schemas.openxmlformats.org/officeDocument/2006/relationships/chart" Target="../charts/chart34.xml"/><Relationship Id="rId25" Type="http://schemas.openxmlformats.org/officeDocument/2006/relationships/chart" Target="../charts/chart42.xml"/><Relationship Id="rId33" Type="http://schemas.openxmlformats.org/officeDocument/2006/relationships/chart" Target="../charts/chart50.xml"/><Relationship Id="rId2" Type="http://schemas.openxmlformats.org/officeDocument/2006/relationships/image" Target="../media/image1.png"/><Relationship Id="rId16" Type="http://schemas.openxmlformats.org/officeDocument/2006/relationships/chart" Target="../charts/chart33.xml"/><Relationship Id="rId20" Type="http://schemas.openxmlformats.org/officeDocument/2006/relationships/chart" Target="../charts/chart37.xml"/><Relationship Id="rId29" Type="http://schemas.openxmlformats.org/officeDocument/2006/relationships/chart" Target="../charts/chart46.xml"/><Relationship Id="rId1" Type="http://schemas.openxmlformats.org/officeDocument/2006/relationships/chart" Target="../charts/chart22.xml"/><Relationship Id="rId6" Type="http://schemas.openxmlformats.org/officeDocument/2006/relationships/hyperlink" Target="#Capa_Indice!A1"/><Relationship Id="rId11" Type="http://schemas.openxmlformats.org/officeDocument/2006/relationships/chart" Target="../charts/chart28.xml"/><Relationship Id="rId24" Type="http://schemas.openxmlformats.org/officeDocument/2006/relationships/chart" Target="../charts/chart41.xml"/><Relationship Id="rId32" Type="http://schemas.openxmlformats.org/officeDocument/2006/relationships/chart" Target="../charts/chart49.xml"/><Relationship Id="rId5" Type="http://schemas.openxmlformats.org/officeDocument/2006/relationships/chart" Target="../charts/chart25.xml"/><Relationship Id="rId15" Type="http://schemas.openxmlformats.org/officeDocument/2006/relationships/chart" Target="../charts/chart32.xml"/><Relationship Id="rId23" Type="http://schemas.openxmlformats.org/officeDocument/2006/relationships/chart" Target="../charts/chart40.xml"/><Relationship Id="rId28" Type="http://schemas.openxmlformats.org/officeDocument/2006/relationships/chart" Target="../charts/chart45.xml"/><Relationship Id="rId10" Type="http://schemas.openxmlformats.org/officeDocument/2006/relationships/chart" Target="../charts/chart27.xml"/><Relationship Id="rId19" Type="http://schemas.openxmlformats.org/officeDocument/2006/relationships/chart" Target="../charts/chart36.xml"/><Relationship Id="rId31" Type="http://schemas.openxmlformats.org/officeDocument/2006/relationships/chart" Target="../charts/chart48.xml"/><Relationship Id="rId4" Type="http://schemas.openxmlformats.org/officeDocument/2006/relationships/chart" Target="../charts/chart24.xml"/><Relationship Id="rId9" Type="http://schemas.openxmlformats.org/officeDocument/2006/relationships/chart" Target="../charts/chart26.xml"/><Relationship Id="rId14" Type="http://schemas.openxmlformats.org/officeDocument/2006/relationships/chart" Target="../charts/chart31.xml"/><Relationship Id="rId22" Type="http://schemas.openxmlformats.org/officeDocument/2006/relationships/chart" Target="../charts/chart39.xml"/><Relationship Id="rId27" Type="http://schemas.openxmlformats.org/officeDocument/2006/relationships/chart" Target="../charts/chart44.xml"/><Relationship Id="rId30" Type="http://schemas.openxmlformats.org/officeDocument/2006/relationships/chart" Target="../charts/chart47.xml"/><Relationship Id="rId8" Type="http://schemas.microsoft.com/office/2007/relationships/hdphoto" Target="../media/hdphoto2.wdp"/></Relationships>
</file>

<file path=xl/drawings/_rels/drawing2.xml.rels><?xml version="1.0" encoding="UTF-8" standalone="yes"?>
<Relationships xmlns="http://schemas.openxmlformats.org/package/2006/relationships"><Relationship Id="rId3" Type="http://schemas.openxmlformats.org/officeDocument/2006/relationships/hyperlink" Target="#'Caracteristicas TCO'!A1"/><Relationship Id="rId7" Type="http://schemas.openxmlformats.org/officeDocument/2006/relationships/hyperlink" Target="#'NUTS 2024'!A1"/><Relationship Id="rId2" Type="http://schemas.openxmlformats.org/officeDocument/2006/relationships/hyperlink" Target="#'Estrutura Empresarial'!A1"/><Relationship Id="rId1" Type="http://schemas.openxmlformats.org/officeDocument/2006/relationships/hyperlink" Target="#Distritos!A1"/><Relationship Id="rId6" Type="http://schemas.openxmlformats.org/officeDocument/2006/relationships/hyperlink" Target="#'Introdu&#231;&#227;o e Metainforma&#231;&#227;o'!A1"/><Relationship Id="rId5" Type="http://schemas.openxmlformats.org/officeDocument/2006/relationships/hyperlink" Target="#'Estrutura Empresarial_Rem'!A1"/><Relationship Id="rId4" Type="http://schemas.openxmlformats.org/officeDocument/2006/relationships/hyperlink" Target="#Desigualdade_Contratacao!A1"/></Relationships>
</file>

<file path=xl/drawings/_rels/drawing23.xml.rels><?xml version="1.0" encoding="UTF-8" standalone="yes"?>
<Relationships xmlns="http://schemas.openxmlformats.org/package/2006/relationships"><Relationship Id="rId8" Type="http://schemas.openxmlformats.org/officeDocument/2006/relationships/chart" Target="../charts/chart58.xml"/><Relationship Id="rId13" Type="http://schemas.openxmlformats.org/officeDocument/2006/relationships/chart" Target="../charts/chart63.xml"/><Relationship Id="rId3" Type="http://schemas.openxmlformats.org/officeDocument/2006/relationships/chart" Target="../charts/chart53.xml"/><Relationship Id="rId7" Type="http://schemas.openxmlformats.org/officeDocument/2006/relationships/chart" Target="../charts/chart57.xml"/><Relationship Id="rId12" Type="http://schemas.openxmlformats.org/officeDocument/2006/relationships/chart" Target="../charts/chart62.xml"/><Relationship Id="rId2" Type="http://schemas.openxmlformats.org/officeDocument/2006/relationships/chart" Target="../charts/chart52.xml"/><Relationship Id="rId1" Type="http://schemas.openxmlformats.org/officeDocument/2006/relationships/image" Target="../media/image1.png"/><Relationship Id="rId6" Type="http://schemas.openxmlformats.org/officeDocument/2006/relationships/chart" Target="../charts/chart56.xml"/><Relationship Id="rId11" Type="http://schemas.openxmlformats.org/officeDocument/2006/relationships/chart" Target="../charts/chart61.xml"/><Relationship Id="rId5" Type="http://schemas.openxmlformats.org/officeDocument/2006/relationships/chart" Target="../charts/chart55.xml"/><Relationship Id="rId10" Type="http://schemas.openxmlformats.org/officeDocument/2006/relationships/chart" Target="../charts/chart60.xml"/><Relationship Id="rId4" Type="http://schemas.openxmlformats.org/officeDocument/2006/relationships/chart" Target="../charts/chart54.xml"/><Relationship Id="rId9" Type="http://schemas.openxmlformats.org/officeDocument/2006/relationships/chart" Target="../charts/chart59.xml"/><Relationship Id="rId14" Type="http://schemas.openxmlformats.org/officeDocument/2006/relationships/hyperlink" Target="#Capa_Indice!A1"/></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8" Type="http://schemas.openxmlformats.org/officeDocument/2006/relationships/chart" Target="../charts/chart68.xml"/><Relationship Id="rId3" Type="http://schemas.openxmlformats.org/officeDocument/2006/relationships/chart" Target="../charts/chart65.xml"/><Relationship Id="rId7" Type="http://schemas.openxmlformats.org/officeDocument/2006/relationships/chart" Target="../charts/chart67.xml"/><Relationship Id="rId12" Type="http://schemas.openxmlformats.org/officeDocument/2006/relationships/image" Target="../media/image8.png"/><Relationship Id="rId2" Type="http://schemas.openxmlformats.org/officeDocument/2006/relationships/chart" Target="../charts/chart64.xml"/><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7.png"/><Relationship Id="rId5" Type="http://schemas.openxmlformats.org/officeDocument/2006/relationships/hyperlink" Target="#Capa_Indice!A1"/><Relationship Id="rId10" Type="http://schemas.openxmlformats.org/officeDocument/2006/relationships/chart" Target="../charts/chart70.xml"/><Relationship Id="rId4" Type="http://schemas.openxmlformats.org/officeDocument/2006/relationships/chart" Target="../charts/chart66.xml"/><Relationship Id="rId9" Type="http://schemas.openxmlformats.org/officeDocument/2006/relationships/chart" Target="../charts/chart69.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s>
</file>

<file path=xl/drawings/_rels/drawing3.xml.rels><?xml version="1.0" encoding="UTF-8" standalone="yes"?>
<Relationships xmlns="http://schemas.openxmlformats.org/package/2006/relationships"><Relationship Id="rId2" Type="http://schemas.openxmlformats.org/officeDocument/2006/relationships/hyperlink" Target="#Capa_Indice!A1"/><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chart" Target="../charts/chart74.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4" Type="http://schemas.openxmlformats.org/officeDocument/2006/relationships/chart" Target="../charts/chart80.xm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4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237;ndice de quadros'!A1"/></Relationships>
</file>

<file path=xl/drawings/_rels/drawing4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4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43.xml.rels><?xml version="1.0" encoding="UTF-8" standalone="yes"?>
<Relationships xmlns="http://schemas.openxmlformats.org/package/2006/relationships"><Relationship Id="rId8" Type="http://schemas.microsoft.com/office/2014/relationships/chartEx" Target="../charts/chartEx9.xml"/><Relationship Id="rId13" Type="http://schemas.openxmlformats.org/officeDocument/2006/relationships/chart" Target="../charts/chart89.xml"/><Relationship Id="rId3" Type="http://schemas.openxmlformats.org/officeDocument/2006/relationships/chart" Target="../charts/chart85.xml"/><Relationship Id="rId7" Type="http://schemas.openxmlformats.org/officeDocument/2006/relationships/chart" Target="../charts/chart87.xml"/><Relationship Id="rId12" Type="http://schemas.openxmlformats.org/officeDocument/2006/relationships/chart" Target="../charts/chart88.xml"/><Relationship Id="rId2" Type="http://schemas.openxmlformats.org/officeDocument/2006/relationships/chart" Target="../charts/chart84.xml"/><Relationship Id="rId1" Type="http://schemas.openxmlformats.org/officeDocument/2006/relationships/chart" Target="../charts/chart83.xml"/><Relationship Id="rId6" Type="http://schemas.microsoft.com/office/2014/relationships/chartEx" Target="../charts/chartEx8.xml"/><Relationship Id="rId11" Type="http://schemas.microsoft.com/office/2014/relationships/chartEx" Target="../charts/chartEx12.xml"/><Relationship Id="rId5" Type="http://schemas.microsoft.com/office/2014/relationships/chartEx" Target="../charts/chartEx7.xml"/><Relationship Id="rId15" Type="http://schemas.openxmlformats.org/officeDocument/2006/relationships/chart" Target="../charts/chart91.xml"/><Relationship Id="rId10" Type="http://schemas.microsoft.com/office/2014/relationships/chartEx" Target="../charts/chartEx11.xml"/><Relationship Id="rId4" Type="http://schemas.openxmlformats.org/officeDocument/2006/relationships/chart" Target="../charts/chart86.xml"/><Relationship Id="rId9" Type="http://schemas.microsoft.com/office/2014/relationships/chartEx" Target="../charts/chartEx10.xml"/><Relationship Id="rId14" Type="http://schemas.openxmlformats.org/officeDocument/2006/relationships/chart" Target="../charts/chart90.xml"/></Relationships>
</file>

<file path=xl/drawings/_rels/drawing47.xml.rels><?xml version="1.0" encoding="UTF-8" standalone="yes"?>
<Relationships xmlns="http://schemas.openxmlformats.org/package/2006/relationships"><Relationship Id="rId8" Type="http://schemas.openxmlformats.org/officeDocument/2006/relationships/chart" Target="../charts/chart97.xml"/><Relationship Id="rId13" Type="http://schemas.openxmlformats.org/officeDocument/2006/relationships/chart" Target="../charts/chart102.xml"/><Relationship Id="rId18" Type="http://schemas.openxmlformats.org/officeDocument/2006/relationships/chart" Target="../charts/chart107.xml"/><Relationship Id="rId26" Type="http://schemas.openxmlformats.org/officeDocument/2006/relationships/chart" Target="../charts/chart115.xml"/><Relationship Id="rId3" Type="http://schemas.openxmlformats.org/officeDocument/2006/relationships/chart" Target="../charts/chart94.xml"/><Relationship Id="rId21" Type="http://schemas.openxmlformats.org/officeDocument/2006/relationships/chart" Target="../charts/chart110.xml"/><Relationship Id="rId7" Type="http://schemas.openxmlformats.org/officeDocument/2006/relationships/chart" Target="../charts/chart96.xml"/><Relationship Id="rId12" Type="http://schemas.openxmlformats.org/officeDocument/2006/relationships/chart" Target="../charts/chart101.xml"/><Relationship Id="rId17" Type="http://schemas.openxmlformats.org/officeDocument/2006/relationships/chart" Target="../charts/chart106.xml"/><Relationship Id="rId25" Type="http://schemas.openxmlformats.org/officeDocument/2006/relationships/chart" Target="../charts/chart114.xml"/><Relationship Id="rId2" Type="http://schemas.openxmlformats.org/officeDocument/2006/relationships/chart" Target="../charts/chart93.xml"/><Relationship Id="rId16" Type="http://schemas.openxmlformats.org/officeDocument/2006/relationships/chart" Target="../charts/chart105.xml"/><Relationship Id="rId20" Type="http://schemas.openxmlformats.org/officeDocument/2006/relationships/chart" Target="../charts/chart109.xml"/><Relationship Id="rId29" Type="http://schemas.openxmlformats.org/officeDocument/2006/relationships/chart" Target="../charts/chart118.xml"/><Relationship Id="rId1" Type="http://schemas.openxmlformats.org/officeDocument/2006/relationships/chart" Target="../charts/chart92.xml"/><Relationship Id="rId6" Type="http://schemas.openxmlformats.org/officeDocument/2006/relationships/chart" Target="../charts/chart95.xml"/><Relationship Id="rId11" Type="http://schemas.openxmlformats.org/officeDocument/2006/relationships/chart" Target="../charts/chart100.xml"/><Relationship Id="rId24" Type="http://schemas.openxmlformats.org/officeDocument/2006/relationships/chart" Target="../charts/chart113.xml"/><Relationship Id="rId32" Type="http://schemas.openxmlformats.org/officeDocument/2006/relationships/chart" Target="../charts/chart121.xml"/><Relationship Id="rId5" Type="http://schemas.microsoft.com/office/2007/relationships/hdphoto" Target="../media/hdphoto2.wdp"/><Relationship Id="rId15" Type="http://schemas.openxmlformats.org/officeDocument/2006/relationships/chart" Target="../charts/chart104.xml"/><Relationship Id="rId23" Type="http://schemas.openxmlformats.org/officeDocument/2006/relationships/chart" Target="../charts/chart112.xml"/><Relationship Id="rId28" Type="http://schemas.openxmlformats.org/officeDocument/2006/relationships/chart" Target="../charts/chart117.xml"/><Relationship Id="rId10" Type="http://schemas.openxmlformats.org/officeDocument/2006/relationships/chart" Target="../charts/chart99.xml"/><Relationship Id="rId19" Type="http://schemas.openxmlformats.org/officeDocument/2006/relationships/chart" Target="../charts/chart108.xml"/><Relationship Id="rId31" Type="http://schemas.openxmlformats.org/officeDocument/2006/relationships/chart" Target="../charts/chart120.xml"/><Relationship Id="rId4" Type="http://schemas.openxmlformats.org/officeDocument/2006/relationships/image" Target="../media/image5.png"/><Relationship Id="rId9" Type="http://schemas.openxmlformats.org/officeDocument/2006/relationships/chart" Target="../charts/chart98.xml"/><Relationship Id="rId14" Type="http://schemas.openxmlformats.org/officeDocument/2006/relationships/chart" Target="../charts/chart103.xml"/><Relationship Id="rId22" Type="http://schemas.openxmlformats.org/officeDocument/2006/relationships/chart" Target="../charts/chart111.xml"/><Relationship Id="rId27" Type="http://schemas.openxmlformats.org/officeDocument/2006/relationships/chart" Target="../charts/chart116.xml"/><Relationship Id="rId30" Type="http://schemas.openxmlformats.org/officeDocument/2006/relationships/chart" Target="../charts/chart119.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 de quadros'!A1"/></Relationships>
</file>

<file path=xl/drawings/_rels/drawing51.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6.png"/><Relationship Id="rId7" Type="http://schemas.microsoft.com/office/2007/relationships/hdphoto" Target="../media/hdphoto2.wdp"/><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8.png"/><Relationship Id="rId5" Type="http://schemas.openxmlformats.org/officeDocument/2006/relationships/image" Target="../media/image17.jpeg"/><Relationship Id="rId4" Type="http://schemas.microsoft.com/office/2007/relationships/hdphoto" Target="../media/hdphoto3.wdp"/></Relationships>
</file>

<file path=xl/drawings/_rels/drawing52.xml.rels><?xml version="1.0" encoding="UTF-8" standalone="yes"?>
<Relationships xmlns="http://schemas.openxmlformats.org/package/2006/relationships"><Relationship Id="rId8" Type="http://schemas.openxmlformats.org/officeDocument/2006/relationships/chart" Target="../charts/chart129.xml"/><Relationship Id="rId3" Type="http://schemas.openxmlformats.org/officeDocument/2006/relationships/chart" Target="../charts/chart124.xml"/><Relationship Id="rId7" Type="http://schemas.openxmlformats.org/officeDocument/2006/relationships/chart" Target="../charts/chart128.xml"/><Relationship Id="rId12" Type="http://schemas.openxmlformats.org/officeDocument/2006/relationships/chart" Target="../charts/chart133.xml"/><Relationship Id="rId2" Type="http://schemas.openxmlformats.org/officeDocument/2006/relationships/chart" Target="../charts/chart123.xml"/><Relationship Id="rId1" Type="http://schemas.openxmlformats.org/officeDocument/2006/relationships/chart" Target="../charts/chart122.xml"/><Relationship Id="rId6" Type="http://schemas.openxmlformats.org/officeDocument/2006/relationships/chart" Target="../charts/chart127.xml"/><Relationship Id="rId11" Type="http://schemas.openxmlformats.org/officeDocument/2006/relationships/chart" Target="../charts/chart132.xml"/><Relationship Id="rId5" Type="http://schemas.openxmlformats.org/officeDocument/2006/relationships/chart" Target="../charts/chart126.xml"/><Relationship Id="rId10" Type="http://schemas.openxmlformats.org/officeDocument/2006/relationships/chart" Target="../charts/chart131.xml"/><Relationship Id="rId4" Type="http://schemas.openxmlformats.org/officeDocument/2006/relationships/chart" Target="../charts/chart125.xml"/><Relationship Id="rId9" Type="http://schemas.openxmlformats.org/officeDocument/2006/relationships/chart" Target="../charts/chart130.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237;ndice de quadros'!A1"/></Relationships>
</file>

<file path=xl/drawings/_rels/drawing5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5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60.xml.rels><?xml version="1.0" encoding="UTF-8" standalone="yes"?>
<Relationships xmlns="http://schemas.openxmlformats.org/package/2006/relationships"><Relationship Id="rId2" Type="http://schemas.openxmlformats.org/officeDocument/2006/relationships/chart" Target="../charts/chart135.xml"/><Relationship Id="rId1" Type="http://schemas.openxmlformats.org/officeDocument/2006/relationships/chart" Target="../charts/chart134.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138.xml"/><Relationship Id="rId2" Type="http://schemas.openxmlformats.org/officeDocument/2006/relationships/chart" Target="../charts/chart137.xml"/><Relationship Id="rId1" Type="http://schemas.openxmlformats.org/officeDocument/2006/relationships/chart" Target="../charts/chart136.xml"/><Relationship Id="rId4" Type="http://schemas.openxmlformats.org/officeDocument/2006/relationships/image" Target="../media/image6.png"/></Relationships>
</file>

<file path=xl/drawings/_rels/drawing62.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8.png"/><Relationship Id="rId2" Type="http://schemas.openxmlformats.org/officeDocument/2006/relationships/image" Target="../media/image20.png"/><Relationship Id="rId1" Type="http://schemas.openxmlformats.org/officeDocument/2006/relationships/chart" Target="../charts/chart139.xml"/><Relationship Id="rId6" Type="http://schemas.openxmlformats.org/officeDocument/2006/relationships/image" Target="../media/image7.png"/><Relationship Id="rId5" Type="http://schemas.openxmlformats.org/officeDocument/2006/relationships/chart" Target="../charts/chart141.xml"/><Relationship Id="rId4" Type="http://schemas.openxmlformats.org/officeDocument/2006/relationships/chart" Target="../charts/chart140.xml"/></Relationships>
</file>

<file path=xl/drawings/_rels/drawing63.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4.png"/><Relationship Id="rId18" Type="http://schemas.openxmlformats.org/officeDocument/2006/relationships/image" Target="../media/image39.png"/><Relationship Id="rId3" Type="http://schemas.openxmlformats.org/officeDocument/2006/relationships/image" Target="../media/image24.png"/><Relationship Id="rId7" Type="http://schemas.openxmlformats.org/officeDocument/2006/relationships/image" Target="../media/image28.png"/><Relationship Id="rId12" Type="http://schemas.openxmlformats.org/officeDocument/2006/relationships/image" Target="../media/image33.png"/><Relationship Id="rId17" Type="http://schemas.openxmlformats.org/officeDocument/2006/relationships/image" Target="../media/image38.png"/><Relationship Id="rId2" Type="http://schemas.openxmlformats.org/officeDocument/2006/relationships/image" Target="../media/image23.png"/><Relationship Id="rId16" Type="http://schemas.openxmlformats.org/officeDocument/2006/relationships/image" Target="../media/image37.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32.png"/><Relationship Id="rId5" Type="http://schemas.openxmlformats.org/officeDocument/2006/relationships/image" Target="../media/image26.png"/><Relationship Id="rId15" Type="http://schemas.openxmlformats.org/officeDocument/2006/relationships/image" Target="../media/image36.png"/><Relationship Id="rId10" Type="http://schemas.openxmlformats.org/officeDocument/2006/relationships/image" Target="../media/image31.png"/><Relationship Id="rId19" Type="http://schemas.openxmlformats.org/officeDocument/2006/relationships/image" Target="../media/image40.png"/><Relationship Id="rId4" Type="http://schemas.openxmlformats.org/officeDocument/2006/relationships/image" Target="../media/image25.png"/><Relationship Id="rId9" Type="http://schemas.openxmlformats.org/officeDocument/2006/relationships/image" Target="../media/image30.png"/><Relationship Id="rId14" Type="http://schemas.openxmlformats.org/officeDocument/2006/relationships/image" Target="../media/image35.gif"/></Relationships>
</file>

<file path=xl/drawings/_rels/drawing64.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237;ndice de quadros'!A1"/></Relationships>
</file>

<file path=xl/drawings/_rels/drawing65.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237;ndice de quadros'!A1"/></Relationships>
</file>

<file path=xl/drawings/_rels/drawing66.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237;ndice de quadros'!A1"/></Relationships>
</file>

<file path=xl/drawings/_rels/drawing67.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237;ndice de quadros'!A1"/></Relationships>
</file>

<file path=xl/drawings/_rels/drawing68.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237;ndice de quadros'!A1"/></Relationships>
</file>

<file path=xl/drawings/_rels/drawing69.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237;ndice de quadros'!A1"/></Relationships>
</file>

<file path=xl/drawings/_rels/drawing7.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chart" Target="../charts/chart1.xml"/><Relationship Id="rId7" Type="http://schemas.openxmlformats.org/officeDocument/2006/relationships/chart" Target="../charts/chart5.xml"/><Relationship Id="rId2" Type="http://schemas.openxmlformats.org/officeDocument/2006/relationships/hyperlink" Target="https://www.ine.pt/ine_novidades/semin/cae/CAE_REV_3.pdf" TargetMode="External"/><Relationship Id="rId1" Type="http://schemas.openxmlformats.org/officeDocument/2006/relationships/image" Target="../media/image1.png"/><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 Id="rId9" Type="http://schemas.openxmlformats.org/officeDocument/2006/relationships/hyperlink" Target="#Capa_Indice!A1"/></Relationships>
</file>

<file path=xl/drawings/_rels/drawing70.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237;ndice de quadros'!A1"/></Relationships>
</file>

<file path=xl/drawings/_rels/drawing71.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hyperlink" Target="#'&#237;ndice de quadros'!A1"/></Relationships>
</file>

<file path=xl/drawings/_rels/drawing7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237;ndice de quadros'!A1"/></Relationships>
</file>

<file path=xl/drawings/_rels/drawing7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indice de quadros'!A10"/></Relationships>
</file>

<file path=xl/drawings/_rels/drawing7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indice de quadros'!A11"/></Relationships>
</file>

<file path=xl/drawings/_rels/drawing7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237;ndice de quadros'!A1"/></Relationships>
</file>

<file path=xl/drawings/_rels/drawing7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237;ndice de quadros'!A1"/></Relationships>
</file>

<file path=xl/drawings/_rels/drawing7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237;ndice de quadros'!A1"/></Relationships>
</file>

<file path=xl/drawings/_rels/drawing7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237;ndice de quadros'!A1"/></Relationships>
</file>

<file path=xl/drawings/_rels/drawing8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237;ndice de quadros'!A1"/></Relationships>
</file>

<file path=xl/drawings/_rels/drawing8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237;ndice de quadros'!A1"/></Relationships>
</file>

<file path=xl/drawings/_rels/drawing8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237;ndice de quadros'!A1"/></Relationships>
</file>

<file path=xl/drawings/_rels/drawing8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237;ndice de quadros'!A1"/></Relationships>
</file>

<file path=xl/drawings/_rels/drawing8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8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8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8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8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9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9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9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237;ndice de quadros'!A1"/></Relationships>
</file>

<file path=xl/drawings/_rels/drawing9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indice de quadros'!A25"/></Relationships>
</file>

<file path=xl/drawings/_rels/drawing9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9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9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9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9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drawing9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37;ndice de quadros'!A1"/></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43.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4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4.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43.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3.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3.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42.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3.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69850</xdr:colOff>
      <xdr:row>29</xdr:row>
      <xdr:rowOff>115888</xdr:rowOff>
    </xdr:from>
    <xdr:to>
      <xdr:col>10</xdr:col>
      <xdr:colOff>606425</xdr:colOff>
      <xdr:row>33</xdr:row>
      <xdr:rowOff>88900</xdr:rowOff>
    </xdr:to>
    <xdr:sp macro="" textlink="">
      <xdr:nvSpPr>
        <xdr:cNvPr id="2" name="Rectangle 2">
          <a:extLst>
            <a:ext uri="{FF2B5EF4-FFF2-40B4-BE49-F238E27FC236}">
              <a16:creationId xmlns:a16="http://schemas.microsoft.com/office/drawing/2014/main" id="{00000000-0008-0000-0000-000002000000}"/>
            </a:ext>
          </a:extLst>
        </xdr:cNvPr>
        <xdr:cNvSpPr>
          <a:spLocks noChangeArrowheads="1"/>
        </xdr:cNvSpPr>
      </xdr:nvSpPr>
      <xdr:spPr bwMode="auto">
        <a:xfrm>
          <a:off x="69850" y="4116388"/>
          <a:ext cx="6318250" cy="735012"/>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0</xdr:col>
      <xdr:colOff>217488</xdr:colOff>
      <xdr:row>28</xdr:row>
      <xdr:rowOff>144463</xdr:rowOff>
    </xdr:from>
    <xdr:to>
      <xdr:col>6</xdr:col>
      <xdr:colOff>7938</xdr:colOff>
      <xdr:row>32</xdr:row>
      <xdr:rowOff>111125</xdr:rowOff>
    </xdr:to>
    <xdr:sp macro="" textlink="">
      <xdr:nvSpPr>
        <xdr:cNvPr id="3" name="Rectangle 3">
          <a:extLst>
            <a:ext uri="{FF2B5EF4-FFF2-40B4-BE49-F238E27FC236}">
              <a16:creationId xmlns:a16="http://schemas.microsoft.com/office/drawing/2014/main" id="{00000000-0008-0000-0000-000003000000}"/>
            </a:ext>
          </a:extLst>
        </xdr:cNvPr>
        <xdr:cNvSpPr>
          <a:spLocks noChangeArrowheads="1"/>
        </xdr:cNvSpPr>
      </xdr:nvSpPr>
      <xdr:spPr bwMode="auto">
        <a:xfrm>
          <a:off x="217488" y="3954463"/>
          <a:ext cx="3276600" cy="728662"/>
        </a:xfrm>
        <a:prstGeom prst="rect">
          <a:avLst/>
        </a:prstGeom>
        <a:solidFill>
          <a:srgbClr val="FFFF00"/>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clientData/>
  </xdr:twoCellAnchor>
  <xdr:twoCellAnchor>
    <xdr:from>
      <xdr:col>0</xdr:col>
      <xdr:colOff>69850</xdr:colOff>
      <xdr:row>35</xdr:row>
      <xdr:rowOff>42863</xdr:rowOff>
    </xdr:from>
    <xdr:to>
      <xdr:col>10</xdr:col>
      <xdr:colOff>577850</xdr:colOff>
      <xdr:row>39</xdr:row>
      <xdr:rowOff>17463</xdr:rowOff>
    </xdr:to>
    <xdr:sp macro="" textlink="">
      <xdr:nvSpPr>
        <xdr:cNvPr id="4" name="Rectangle 5">
          <a:extLst>
            <a:ext uri="{FF2B5EF4-FFF2-40B4-BE49-F238E27FC236}">
              <a16:creationId xmlns:a16="http://schemas.microsoft.com/office/drawing/2014/main" id="{00000000-0008-0000-0000-000004000000}"/>
            </a:ext>
          </a:extLst>
        </xdr:cNvPr>
        <xdr:cNvSpPr>
          <a:spLocks noChangeArrowheads="1"/>
        </xdr:cNvSpPr>
      </xdr:nvSpPr>
      <xdr:spPr bwMode="auto">
        <a:xfrm>
          <a:off x="69850" y="5186363"/>
          <a:ext cx="6318250" cy="736600"/>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0</xdr:col>
      <xdr:colOff>217488</xdr:colOff>
      <xdr:row>34</xdr:row>
      <xdr:rowOff>73025</xdr:rowOff>
    </xdr:from>
    <xdr:to>
      <xdr:col>6</xdr:col>
      <xdr:colOff>7938</xdr:colOff>
      <xdr:row>38</xdr:row>
      <xdr:rowOff>38100</xdr:rowOff>
    </xdr:to>
    <xdr:sp macro="" textlink="">
      <xdr:nvSpPr>
        <xdr:cNvPr id="5" name="Rectangle 6">
          <a:extLst>
            <a:ext uri="{FF2B5EF4-FFF2-40B4-BE49-F238E27FC236}">
              <a16:creationId xmlns:a16="http://schemas.microsoft.com/office/drawing/2014/main" id="{00000000-0008-0000-0000-000005000000}"/>
            </a:ext>
          </a:extLst>
        </xdr:cNvPr>
        <xdr:cNvSpPr>
          <a:spLocks noChangeArrowheads="1"/>
        </xdr:cNvSpPr>
      </xdr:nvSpPr>
      <xdr:spPr bwMode="auto">
        <a:xfrm>
          <a:off x="217488" y="5026025"/>
          <a:ext cx="3276600" cy="727075"/>
        </a:xfrm>
        <a:prstGeom prst="rect">
          <a:avLst/>
        </a:prstGeom>
        <a:solidFill>
          <a:srgbClr val="FFFF00"/>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clientData/>
  </xdr:twoCellAnchor>
  <xdr:twoCellAnchor>
    <xdr:from>
      <xdr:col>0</xdr:col>
      <xdr:colOff>69850</xdr:colOff>
      <xdr:row>40</xdr:row>
      <xdr:rowOff>155575</xdr:rowOff>
    </xdr:from>
    <xdr:to>
      <xdr:col>10</xdr:col>
      <xdr:colOff>606425</xdr:colOff>
      <xdr:row>44</xdr:row>
      <xdr:rowOff>128588</xdr:rowOff>
    </xdr:to>
    <xdr:sp macro="" textlink="">
      <xdr:nvSpPr>
        <xdr:cNvPr id="7" name="Rectangle 8">
          <a:extLst>
            <a:ext uri="{FF2B5EF4-FFF2-40B4-BE49-F238E27FC236}">
              <a16:creationId xmlns:a16="http://schemas.microsoft.com/office/drawing/2014/main" id="{00000000-0008-0000-0000-000007000000}"/>
            </a:ext>
          </a:extLst>
        </xdr:cNvPr>
        <xdr:cNvSpPr>
          <a:spLocks noChangeArrowheads="1"/>
        </xdr:cNvSpPr>
      </xdr:nvSpPr>
      <xdr:spPr bwMode="auto">
        <a:xfrm>
          <a:off x="69850" y="6251575"/>
          <a:ext cx="6318250" cy="735013"/>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0</xdr:col>
      <xdr:colOff>217488</xdr:colOff>
      <xdr:row>40</xdr:row>
      <xdr:rowOff>0</xdr:rowOff>
    </xdr:from>
    <xdr:to>
      <xdr:col>6</xdr:col>
      <xdr:colOff>7938</xdr:colOff>
      <xdr:row>43</xdr:row>
      <xdr:rowOff>150813</xdr:rowOff>
    </xdr:to>
    <xdr:sp macro="" textlink="">
      <xdr:nvSpPr>
        <xdr:cNvPr id="8" name="Rectangle 9">
          <a:extLst>
            <a:ext uri="{FF2B5EF4-FFF2-40B4-BE49-F238E27FC236}">
              <a16:creationId xmlns:a16="http://schemas.microsoft.com/office/drawing/2014/main" id="{00000000-0008-0000-0000-000008000000}"/>
            </a:ext>
          </a:extLst>
        </xdr:cNvPr>
        <xdr:cNvSpPr>
          <a:spLocks noChangeArrowheads="1"/>
        </xdr:cNvSpPr>
      </xdr:nvSpPr>
      <xdr:spPr bwMode="auto">
        <a:xfrm>
          <a:off x="217488" y="6096000"/>
          <a:ext cx="3276600" cy="722313"/>
        </a:xfrm>
        <a:prstGeom prst="rect">
          <a:avLst/>
        </a:prstGeom>
        <a:solidFill>
          <a:srgbClr val="FFE600"/>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clientData/>
  </xdr:twoCellAnchor>
  <xdr:twoCellAnchor>
    <xdr:from>
      <xdr:col>0</xdr:col>
      <xdr:colOff>228600</xdr:colOff>
      <xdr:row>30</xdr:row>
      <xdr:rowOff>6350</xdr:rowOff>
    </xdr:from>
    <xdr:to>
      <xdr:col>4</xdr:col>
      <xdr:colOff>347663</xdr:colOff>
      <xdr:row>31</xdr:row>
      <xdr:rowOff>133533</xdr:rowOff>
    </xdr:to>
    <xdr:sp macro="" textlink="">
      <xdr:nvSpPr>
        <xdr:cNvPr id="9" name="Text Box 10">
          <a:extLst>
            <a:ext uri="{FF2B5EF4-FFF2-40B4-BE49-F238E27FC236}">
              <a16:creationId xmlns:a16="http://schemas.microsoft.com/office/drawing/2014/main" id="{00000000-0008-0000-0000-000009000000}"/>
            </a:ext>
          </a:extLst>
        </xdr:cNvPr>
        <xdr:cNvSpPr txBox="1">
          <a:spLocks noChangeArrowheads="1"/>
        </xdr:cNvSpPr>
      </xdr:nvSpPr>
      <xdr:spPr bwMode="auto">
        <a:xfrm>
          <a:off x="228600" y="4197350"/>
          <a:ext cx="2443163" cy="317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500" b="1">
              <a:solidFill>
                <a:srgbClr val="00467A"/>
              </a:solidFill>
              <a:latin typeface="Arial" charset="0"/>
            </a:rPr>
            <a:t>Estrutura</a:t>
          </a:r>
          <a:r>
            <a:rPr lang="en-US" altLang="pt-PT" sz="1500" b="1" baseline="0">
              <a:solidFill>
                <a:srgbClr val="00467A"/>
              </a:solidFill>
              <a:latin typeface="Arial" charset="0"/>
            </a:rPr>
            <a:t> Empresarial</a:t>
          </a:r>
          <a:endParaRPr lang="en-US" altLang="pt-PT" sz="1500" b="1">
            <a:solidFill>
              <a:srgbClr val="00467A"/>
            </a:solidFill>
            <a:latin typeface="Arial" charset="0"/>
          </a:endParaRPr>
        </a:p>
      </xdr:txBody>
    </xdr:sp>
    <xdr:clientData/>
  </xdr:twoCellAnchor>
  <xdr:twoCellAnchor>
    <xdr:from>
      <xdr:col>0</xdr:col>
      <xdr:colOff>228600</xdr:colOff>
      <xdr:row>35</xdr:row>
      <xdr:rowOff>117475</xdr:rowOff>
    </xdr:from>
    <xdr:to>
      <xdr:col>4</xdr:col>
      <xdr:colOff>347663</xdr:colOff>
      <xdr:row>37</xdr:row>
      <xdr:rowOff>54158</xdr:rowOff>
    </xdr:to>
    <xdr:sp macro="" textlink="">
      <xdr:nvSpPr>
        <xdr:cNvPr id="10" name="Text Box 11">
          <a:extLst>
            <a:ext uri="{FF2B5EF4-FFF2-40B4-BE49-F238E27FC236}">
              <a16:creationId xmlns:a16="http://schemas.microsoft.com/office/drawing/2014/main" id="{00000000-0008-0000-0000-00000A000000}"/>
            </a:ext>
          </a:extLst>
        </xdr:cNvPr>
        <xdr:cNvSpPr txBox="1">
          <a:spLocks noChangeArrowheads="1"/>
        </xdr:cNvSpPr>
      </xdr:nvSpPr>
      <xdr:spPr bwMode="auto">
        <a:xfrm>
          <a:off x="228600" y="5260975"/>
          <a:ext cx="2443163" cy="317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500" b="1">
              <a:solidFill>
                <a:srgbClr val="00467A"/>
              </a:solidFill>
              <a:latin typeface="Arial" charset="0"/>
            </a:rPr>
            <a:t>Emprego</a:t>
          </a:r>
        </a:p>
      </xdr:txBody>
    </xdr:sp>
    <xdr:clientData/>
  </xdr:twoCellAnchor>
  <xdr:twoCellAnchor>
    <xdr:from>
      <xdr:col>0</xdr:col>
      <xdr:colOff>228600</xdr:colOff>
      <xdr:row>41</xdr:row>
      <xdr:rowOff>46038</xdr:rowOff>
    </xdr:from>
    <xdr:to>
      <xdr:col>4</xdr:col>
      <xdr:colOff>347663</xdr:colOff>
      <xdr:row>42</xdr:row>
      <xdr:rowOff>173221</xdr:rowOff>
    </xdr:to>
    <xdr:sp macro="" textlink="">
      <xdr:nvSpPr>
        <xdr:cNvPr id="11" name="Text Box 12">
          <a:extLst>
            <a:ext uri="{FF2B5EF4-FFF2-40B4-BE49-F238E27FC236}">
              <a16:creationId xmlns:a16="http://schemas.microsoft.com/office/drawing/2014/main" id="{00000000-0008-0000-0000-00000B000000}"/>
            </a:ext>
          </a:extLst>
        </xdr:cNvPr>
        <xdr:cNvSpPr txBox="1">
          <a:spLocks noChangeArrowheads="1"/>
        </xdr:cNvSpPr>
      </xdr:nvSpPr>
      <xdr:spPr bwMode="auto">
        <a:xfrm>
          <a:off x="228600" y="6332538"/>
          <a:ext cx="2443163" cy="317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500" b="1">
              <a:solidFill>
                <a:srgbClr val="00467A"/>
              </a:solidFill>
              <a:latin typeface="Arial" charset="0"/>
            </a:rPr>
            <a:t>Remunerações</a:t>
          </a:r>
        </a:p>
      </xdr:txBody>
    </xdr:sp>
    <xdr:clientData/>
  </xdr:twoCellAnchor>
  <xdr:twoCellAnchor>
    <xdr:from>
      <xdr:col>0</xdr:col>
      <xdr:colOff>69850</xdr:colOff>
      <xdr:row>5</xdr:row>
      <xdr:rowOff>177800</xdr:rowOff>
    </xdr:from>
    <xdr:to>
      <xdr:col>11</xdr:col>
      <xdr:colOff>157163</xdr:colOff>
      <xdr:row>9</xdr:row>
      <xdr:rowOff>71438</xdr:rowOff>
    </xdr:to>
    <xdr:sp macro="" textlink="">
      <xdr:nvSpPr>
        <xdr:cNvPr id="12" name="Rectangle 13">
          <a:extLst>
            <a:ext uri="{FF2B5EF4-FFF2-40B4-BE49-F238E27FC236}">
              <a16:creationId xmlns:a16="http://schemas.microsoft.com/office/drawing/2014/main" id="{00000000-0008-0000-0000-00000C000000}"/>
            </a:ext>
          </a:extLst>
        </xdr:cNvPr>
        <xdr:cNvSpPr>
          <a:spLocks noChangeArrowheads="1"/>
        </xdr:cNvSpPr>
      </xdr:nvSpPr>
      <xdr:spPr bwMode="auto">
        <a:xfrm>
          <a:off x="69850" y="1130300"/>
          <a:ext cx="6478588" cy="655638"/>
        </a:xfrm>
        <a:prstGeom prst="rect">
          <a:avLst/>
        </a:prstGeom>
        <a:solidFill>
          <a:srgbClr val="00467A"/>
        </a:solidFill>
        <a:ln w="9525">
          <a:solidFill>
            <a:srgbClr val="004A82"/>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0</xdr:col>
      <xdr:colOff>0</xdr:colOff>
      <xdr:row>3</xdr:row>
      <xdr:rowOff>100012</xdr:rowOff>
    </xdr:from>
    <xdr:to>
      <xdr:col>5</xdr:col>
      <xdr:colOff>219075</xdr:colOff>
      <xdr:row>10</xdr:row>
      <xdr:rowOff>146047</xdr:rowOff>
    </xdr:to>
    <xdr:grpSp>
      <xdr:nvGrpSpPr>
        <xdr:cNvPr id="13" name="Group 14">
          <a:extLst>
            <a:ext uri="{FF2B5EF4-FFF2-40B4-BE49-F238E27FC236}">
              <a16:creationId xmlns:a16="http://schemas.microsoft.com/office/drawing/2014/main" id="{00000000-0008-0000-0000-00000D000000}"/>
            </a:ext>
          </a:extLst>
        </xdr:cNvPr>
        <xdr:cNvGrpSpPr>
          <a:grpSpLocks/>
        </xdr:cNvGrpSpPr>
      </xdr:nvGrpSpPr>
      <xdr:grpSpPr bwMode="auto">
        <a:xfrm>
          <a:off x="0" y="671512"/>
          <a:ext cx="3124200" cy="1379535"/>
          <a:chOff x="198" y="603"/>
          <a:chExt cx="1962" cy="839"/>
        </a:xfrm>
      </xdr:grpSpPr>
      <xdr:sp macro="" textlink="">
        <xdr:nvSpPr>
          <xdr:cNvPr id="14" name="Rectangle 15">
            <a:extLst>
              <a:ext uri="{FF2B5EF4-FFF2-40B4-BE49-F238E27FC236}">
                <a16:creationId xmlns:a16="http://schemas.microsoft.com/office/drawing/2014/main" id="{00000000-0008-0000-0000-00000E000000}"/>
              </a:ext>
            </a:extLst>
          </xdr:cNvPr>
          <xdr:cNvSpPr>
            <a:spLocks noChangeArrowheads="1"/>
          </xdr:cNvSpPr>
        </xdr:nvSpPr>
        <xdr:spPr bwMode="auto">
          <a:xfrm>
            <a:off x="198" y="603"/>
            <a:ext cx="1962" cy="192"/>
          </a:xfrm>
          <a:prstGeom prst="rect">
            <a:avLst/>
          </a:prstGeom>
          <a:solidFill>
            <a:srgbClr val="FFFF00"/>
          </a:solidFill>
          <a:ln>
            <a:noFill/>
          </a:ln>
          <a:extLst>
            <a:ext uri="{91240B29-F687-4F45-9708-019B960494DF}">
              <a14:hiddenLine xmlns:a14="http://schemas.microsoft.com/office/drawing/2010/main" w="12700" cap="rnd">
                <a:solidFill>
                  <a:srgbClr val="000000"/>
                </a:solidFill>
                <a:prstDash val="sysDot"/>
                <a:miter lim="800000"/>
                <a:headEnd/>
                <a:tailEnd/>
              </a14:hiddenLine>
            </a:ext>
          </a:extLst>
        </xdr:spPr>
        <xdr:txBody>
          <a:bodyPr wrap="square"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15" name="Rectangle 16">
            <a:extLst>
              <a:ext uri="{FF2B5EF4-FFF2-40B4-BE49-F238E27FC236}">
                <a16:creationId xmlns:a16="http://schemas.microsoft.com/office/drawing/2014/main" id="{00000000-0008-0000-0000-00000F000000}"/>
              </a:ext>
            </a:extLst>
          </xdr:cNvPr>
          <xdr:cNvSpPr>
            <a:spLocks noChangeArrowheads="1"/>
          </xdr:cNvSpPr>
        </xdr:nvSpPr>
        <xdr:spPr bwMode="auto">
          <a:xfrm rot="5393061">
            <a:off x="-95" y="916"/>
            <a:ext cx="819" cy="234"/>
          </a:xfrm>
          <a:prstGeom prst="rect">
            <a:avLst/>
          </a:prstGeom>
          <a:solidFill>
            <a:srgbClr val="FFFF00"/>
          </a:solidFill>
          <a:ln>
            <a:noFill/>
          </a:ln>
          <a:extLst>
            <a:ext uri="{91240B29-F687-4F45-9708-019B960494DF}">
              <a14:hiddenLine xmlns:a14="http://schemas.microsoft.com/office/drawing/2010/main" w="12700" cap="rnd">
                <a:solidFill>
                  <a:srgbClr val="000000"/>
                </a:solidFill>
                <a:prstDash val="sysDot"/>
                <a:miter lim="800000"/>
                <a:headEnd/>
                <a:tailEnd/>
              </a14:hiddenLine>
            </a:ext>
          </a:extLst>
        </xdr:spPr>
        <xdr:txBody>
          <a:bodyPr wrap="square"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grpSp>
    <xdr:clientData/>
  </xdr:twoCellAnchor>
  <xdr:twoCellAnchor>
    <xdr:from>
      <xdr:col>0</xdr:col>
      <xdr:colOff>217488</xdr:colOff>
      <xdr:row>4</xdr:row>
      <xdr:rowOff>127000</xdr:rowOff>
    </xdr:from>
    <xdr:to>
      <xdr:col>6</xdr:col>
      <xdr:colOff>7938</xdr:colOff>
      <xdr:row>8</xdr:row>
      <xdr:rowOff>93663</xdr:rowOff>
    </xdr:to>
    <xdr:sp macro="" textlink="">
      <xdr:nvSpPr>
        <xdr:cNvPr id="16" name="Rectangle 17">
          <a:extLst>
            <a:ext uri="{FF2B5EF4-FFF2-40B4-BE49-F238E27FC236}">
              <a16:creationId xmlns:a16="http://schemas.microsoft.com/office/drawing/2014/main" id="{00000000-0008-0000-0000-000010000000}"/>
            </a:ext>
          </a:extLst>
        </xdr:cNvPr>
        <xdr:cNvSpPr>
          <a:spLocks noChangeArrowheads="1"/>
        </xdr:cNvSpPr>
      </xdr:nvSpPr>
      <xdr:spPr bwMode="auto">
        <a:xfrm>
          <a:off x="217488" y="889000"/>
          <a:ext cx="3276600" cy="728663"/>
        </a:xfrm>
        <a:prstGeom prst="rect">
          <a:avLst/>
        </a:prstGeom>
        <a:solidFill>
          <a:srgbClr val="002060"/>
        </a:solidFill>
        <a:ln w="28575" cap="rnd">
          <a:noFill/>
          <a:prstDash val="sysDot"/>
          <a:miter lim="800000"/>
          <a:headEnd/>
          <a:tailEnd/>
        </a:ln>
        <a:effectLst>
          <a:prstShdw prst="shdw18" dist="17961" dir="13500000">
            <a:srgbClr val="556B81">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r>
            <a:rPr lang="pt-PT" sz="2100" b="1" i="1">
              <a:solidFill>
                <a:schemeClr val="bg1"/>
              </a:solidFill>
              <a:effectLst>
                <a:outerShdw blurRad="38100" dist="38100" dir="2700000" algn="tl">
                  <a:srgbClr val="000000"/>
                </a:outerShdw>
              </a:effectLst>
              <a:latin typeface="Arial" charset="0"/>
            </a:rPr>
            <a:t>Séries Cronológicas</a:t>
          </a:r>
        </a:p>
      </xdr:txBody>
    </xdr:sp>
    <xdr:clientData/>
  </xdr:twoCellAnchor>
  <xdr:twoCellAnchor>
    <xdr:from>
      <xdr:col>9</xdr:col>
      <xdr:colOff>198438</xdr:colOff>
      <xdr:row>5</xdr:row>
      <xdr:rowOff>114300</xdr:rowOff>
    </xdr:from>
    <xdr:to>
      <xdr:col>9</xdr:col>
      <xdr:colOff>419100</xdr:colOff>
      <xdr:row>10</xdr:row>
      <xdr:rowOff>142875</xdr:rowOff>
    </xdr:to>
    <xdr:sp macro="" textlink="">
      <xdr:nvSpPr>
        <xdr:cNvPr id="17" name="Rectangle 19">
          <a:extLst>
            <a:ext uri="{FF2B5EF4-FFF2-40B4-BE49-F238E27FC236}">
              <a16:creationId xmlns:a16="http://schemas.microsoft.com/office/drawing/2014/main" id="{00000000-0008-0000-0000-000011000000}"/>
            </a:ext>
          </a:extLst>
        </xdr:cNvPr>
        <xdr:cNvSpPr>
          <a:spLocks noChangeArrowheads="1"/>
        </xdr:cNvSpPr>
      </xdr:nvSpPr>
      <xdr:spPr bwMode="auto">
        <a:xfrm>
          <a:off x="5427663" y="1066800"/>
          <a:ext cx="220662" cy="981075"/>
        </a:xfrm>
        <a:prstGeom prst="rect">
          <a:avLst/>
        </a:prstGeom>
        <a:solidFill>
          <a:srgbClr val="FFFF00"/>
        </a:solidFill>
        <a:ln>
          <a:noFill/>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8</xdr:col>
      <xdr:colOff>387350</xdr:colOff>
      <xdr:row>5</xdr:row>
      <xdr:rowOff>114300</xdr:rowOff>
    </xdr:from>
    <xdr:to>
      <xdr:col>11</xdr:col>
      <xdr:colOff>157163</xdr:colOff>
      <xdr:row>5</xdr:row>
      <xdr:rowOff>115888</xdr:rowOff>
    </xdr:to>
    <xdr:sp macro="" textlink="">
      <xdr:nvSpPr>
        <xdr:cNvPr id="18" name="Line 21">
          <a:extLst>
            <a:ext uri="{FF2B5EF4-FFF2-40B4-BE49-F238E27FC236}">
              <a16:creationId xmlns:a16="http://schemas.microsoft.com/office/drawing/2014/main" id="{00000000-0008-0000-0000-000012000000}"/>
            </a:ext>
          </a:extLst>
        </xdr:cNvPr>
        <xdr:cNvSpPr>
          <a:spLocks noChangeShapeType="1"/>
        </xdr:cNvSpPr>
      </xdr:nvSpPr>
      <xdr:spPr bwMode="auto">
        <a:xfrm>
          <a:off x="5035550" y="1066800"/>
          <a:ext cx="1512888" cy="1588"/>
        </a:xfrm>
        <a:prstGeom prst="line">
          <a:avLst/>
        </a:prstGeom>
        <a:noFill/>
        <a:ln w="28575">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3</xdr:col>
      <xdr:colOff>398463</xdr:colOff>
      <xdr:row>10</xdr:row>
      <xdr:rowOff>142875</xdr:rowOff>
    </xdr:from>
    <xdr:to>
      <xdr:col>9</xdr:col>
      <xdr:colOff>417513</xdr:colOff>
      <xdr:row>10</xdr:row>
      <xdr:rowOff>142875</xdr:rowOff>
    </xdr:to>
    <xdr:sp macro="" textlink="">
      <xdr:nvSpPr>
        <xdr:cNvPr id="19" name="Line 22">
          <a:extLst>
            <a:ext uri="{FF2B5EF4-FFF2-40B4-BE49-F238E27FC236}">
              <a16:creationId xmlns:a16="http://schemas.microsoft.com/office/drawing/2014/main" id="{00000000-0008-0000-0000-000013000000}"/>
            </a:ext>
          </a:extLst>
        </xdr:cNvPr>
        <xdr:cNvSpPr>
          <a:spLocks noChangeShapeType="1"/>
        </xdr:cNvSpPr>
      </xdr:nvSpPr>
      <xdr:spPr bwMode="auto">
        <a:xfrm>
          <a:off x="2141538" y="2047875"/>
          <a:ext cx="3505200" cy="0"/>
        </a:xfrm>
        <a:prstGeom prst="line">
          <a:avLst/>
        </a:prstGeom>
        <a:noFill/>
        <a:ln w="28575">
          <a:solidFill>
            <a:srgbClr val="FFFF00"/>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10</xdr:col>
      <xdr:colOff>115888</xdr:colOff>
      <xdr:row>41</xdr:row>
      <xdr:rowOff>130175</xdr:rowOff>
    </xdr:from>
    <xdr:to>
      <xdr:col>10</xdr:col>
      <xdr:colOff>452438</xdr:colOff>
      <xdr:row>44</xdr:row>
      <xdr:rowOff>33338</xdr:rowOff>
    </xdr:to>
    <xdr:sp macro="" textlink="">
      <xdr:nvSpPr>
        <xdr:cNvPr id="20" name="WordArt 25">
          <a:extLst>
            <a:ext uri="{FF2B5EF4-FFF2-40B4-BE49-F238E27FC236}">
              <a16:creationId xmlns:a16="http://schemas.microsoft.com/office/drawing/2014/main" id="{00000000-0008-0000-0000-000014000000}"/>
            </a:ext>
          </a:extLst>
        </xdr:cNvPr>
        <xdr:cNvSpPr>
          <a:spLocks noChangeArrowheads="1" noChangeShapeType="1" noTextEdit="1"/>
        </xdr:cNvSpPr>
      </xdr:nvSpPr>
      <xdr:spPr bwMode="auto">
        <a:xfrm>
          <a:off x="5926138" y="6416675"/>
          <a:ext cx="336550" cy="474663"/>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II</a:t>
          </a:r>
        </a:p>
      </xdr:txBody>
    </xdr:sp>
    <xdr:clientData/>
  </xdr:twoCellAnchor>
  <xdr:twoCellAnchor>
    <xdr:from>
      <xdr:col>6</xdr:col>
      <xdr:colOff>428625</xdr:colOff>
      <xdr:row>10</xdr:row>
      <xdr:rowOff>163513</xdr:rowOff>
    </xdr:from>
    <xdr:to>
      <xdr:col>9</xdr:col>
      <xdr:colOff>168275</xdr:colOff>
      <xdr:row>12</xdr:row>
      <xdr:rowOff>142392</xdr:rowOff>
    </xdr:to>
    <xdr:sp macro="" textlink="">
      <xdr:nvSpPr>
        <xdr:cNvPr id="21" name="Text Box 26">
          <a:extLst>
            <a:ext uri="{FF2B5EF4-FFF2-40B4-BE49-F238E27FC236}">
              <a16:creationId xmlns:a16="http://schemas.microsoft.com/office/drawing/2014/main" id="{00000000-0008-0000-0000-000015000000}"/>
            </a:ext>
          </a:extLst>
        </xdr:cNvPr>
        <xdr:cNvSpPr txBox="1">
          <a:spLocks noChangeArrowheads="1"/>
        </xdr:cNvSpPr>
      </xdr:nvSpPr>
      <xdr:spPr bwMode="auto">
        <a:xfrm>
          <a:off x="4086225" y="2005013"/>
          <a:ext cx="1568450" cy="347179"/>
        </a:xfrm>
        <a:prstGeom prst="rect">
          <a:avLst/>
        </a:prstGeom>
        <a:noFill/>
        <a:ln>
          <a:noFill/>
        </a:ln>
        <a:effectLst>
          <a:outerShdw dist="563972" dir="14049741" sx="125000" sy="125000" algn="tl" rotWithShape="0">
            <a:srgbClr val="C7DFD3"/>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9050">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r"/>
          <a:r>
            <a:rPr lang="pt-PT" altLang="pt-PT" sz="1700" b="1">
              <a:solidFill>
                <a:schemeClr val="bg1"/>
              </a:solidFill>
              <a:latin typeface="Arial" charset="0"/>
            </a:rPr>
            <a:t>2012 - 2022</a:t>
          </a:r>
        </a:p>
      </xdr:txBody>
    </xdr:sp>
    <xdr:clientData/>
  </xdr:twoCellAnchor>
  <xdr:twoCellAnchor>
    <xdr:from>
      <xdr:col>10</xdr:col>
      <xdr:colOff>266700</xdr:colOff>
      <xdr:row>30</xdr:row>
      <xdr:rowOff>53975</xdr:rowOff>
    </xdr:from>
    <xdr:to>
      <xdr:col>10</xdr:col>
      <xdr:colOff>377825</xdr:colOff>
      <xdr:row>32</xdr:row>
      <xdr:rowOff>142875</xdr:rowOff>
    </xdr:to>
    <xdr:sp macro="" textlink="">
      <xdr:nvSpPr>
        <xdr:cNvPr id="30" name="WordArt 4">
          <a:extLst>
            <a:ext uri="{FF2B5EF4-FFF2-40B4-BE49-F238E27FC236}">
              <a16:creationId xmlns:a16="http://schemas.microsoft.com/office/drawing/2014/main" id="{00000000-0008-0000-0000-00001E000000}"/>
            </a:ext>
          </a:extLst>
        </xdr:cNvPr>
        <xdr:cNvSpPr>
          <a:spLocks noChangeArrowheads="1" noChangeShapeType="1" noTextEdit="1"/>
        </xdr:cNvSpPr>
      </xdr:nvSpPr>
      <xdr:spPr bwMode="auto">
        <a:xfrm>
          <a:off x="6076950" y="4244975"/>
          <a:ext cx="111125" cy="4699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a:t>
          </a:r>
        </a:p>
      </xdr:txBody>
    </xdr:sp>
    <xdr:clientData/>
  </xdr:twoCellAnchor>
  <xdr:twoCellAnchor>
    <xdr:from>
      <xdr:col>0</xdr:col>
      <xdr:colOff>152400</xdr:colOff>
      <xdr:row>52</xdr:row>
      <xdr:rowOff>476250</xdr:rowOff>
    </xdr:from>
    <xdr:to>
      <xdr:col>11</xdr:col>
      <xdr:colOff>639763</xdr:colOff>
      <xdr:row>52</xdr:row>
      <xdr:rowOff>800220</xdr:rowOff>
    </xdr:to>
    <xdr:sp macro="" textlink="">
      <xdr:nvSpPr>
        <xdr:cNvPr id="31" name="Rectangle 28">
          <a:extLst>
            <a:ext uri="{FF2B5EF4-FFF2-40B4-BE49-F238E27FC236}">
              <a16:creationId xmlns:a16="http://schemas.microsoft.com/office/drawing/2014/main" id="{00000000-0008-0000-0000-00001F000000}"/>
            </a:ext>
          </a:extLst>
        </xdr:cNvPr>
        <xdr:cNvSpPr>
          <a:spLocks noChangeArrowheads="1"/>
        </xdr:cNvSpPr>
      </xdr:nvSpPr>
      <xdr:spPr bwMode="auto">
        <a:xfrm>
          <a:off x="152400" y="10382250"/>
          <a:ext cx="7192963" cy="323970"/>
        </a:xfrm>
        <a:prstGeom prst="rect">
          <a:avLst/>
        </a:prstGeom>
        <a:noFill/>
        <a:ln>
          <a:noFill/>
        </a:ln>
        <a:effectLst>
          <a:outerShdw dist="563972" dir="14049741" sx="125000" sy="125000" algn="tl" rotWithShape="0">
            <a:srgbClr val="C7DFD3"/>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9050">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altLang="pt-PT" sz="800" b="1">
              <a:solidFill>
                <a:schemeClr val="bg1"/>
              </a:solidFill>
              <a:latin typeface="Arial" charset="0"/>
            </a:rPr>
            <a:t>Gabinete de Estratégia e Planeamento (GEP)</a:t>
          </a:r>
        </a:p>
        <a:p>
          <a:r>
            <a:rPr lang="pt-PT" altLang="pt-PT" sz="700">
              <a:solidFill>
                <a:schemeClr val="bg1"/>
              </a:solidFill>
              <a:latin typeface="Arial" charset="0"/>
            </a:rPr>
            <a:t>MINISTÉRIO DO TRABALHO, SOLIDARIEDADE E SEGURANÇA SOCIAL (MTSSS)</a:t>
          </a:r>
        </a:p>
      </xdr:txBody>
    </xdr:sp>
    <xdr:clientData/>
  </xdr:twoCellAnchor>
  <xdr:twoCellAnchor>
    <xdr:from>
      <xdr:col>4</xdr:col>
      <xdr:colOff>165100</xdr:colOff>
      <xdr:row>8</xdr:row>
      <xdr:rowOff>177800</xdr:rowOff>
    </xdr:from>
    <xdr:to>
      <xdr:col>9</xdr:col>
      <xdr:colOff>257175</xdr:colOff>
      <xdr:row>11</xdr:row>
      <xdr:rowOff>11764</xdr:rowOff>
    </xdr:to>
    <xdr:sp macro="" textlink="">
      <xdr:nvSpPr>
        <xdr:cNvPr id="32" name="Text Box 24">
          <a:extLst>
            <a:ext uri="{FF2B5EF4-FFF2-40B4-BE49-F238E27FC236}">
              <a16:creationId xmlns:a16="http://schemas.microsoft.com/office/drawing/2014/main" id="{00000000-0008-0000-0000-000020000000}"/>
            </a:ext>
          </a:extLst>
        </xdr:cNvPr>
        <xdr:cNvSpPr txBox="1">
          <a:spLocks noChangeArrowheads="1"/>
        </xdr:cNvSpPr>
      </xdr:nvSpPr>
      <xdr:spPr bwMode="auto">
        <a:xfrm>
          <a:off x="2489200" y="1701800"/>
          <a:ext cx="2997200" cy="40546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9050">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altLang="pt-PT" sz="2000" b="1">
              <a:solidFill>
                <a:srgbClr val="FFFFFF"/>
              </a:solidFill>
              <a:latin typeface="Arial Narrow" pitchFamily="34" charset="0"/>
            </a:rPr>
            <a:t>QUADROS</a:t>
          </a:r>
          <a:r>
            <a:rPr lang="pt-PT" altLang="pt-PT" sz="2000" b="1" baseline="0">
              <a:solidFill>
                <a:srgbClr val="FFFFFF"/>
              </a:solidFill>
              <a:latin typeface="Arial Narrow" pitchFamily="34" charset="0"/>
            </a:rPr>
            <a:t> DE PESSOAL</a:t>
          </a:r>
          <a:endParaRPr lang="pt-PT" altLang="pt-PT" sz="2000" b="1">
            <a:solidFill>
              <a:srgbClr val="FFFFFF"/>
            </a:solidFill>
            <a:latin typeface="Arial Narrow" pitchFamily="34" charset="0"/>
          </a:endParaRPr>
        </a:p>
      </xdr:txBody>
    </xdr:sp>
    <xdr:clientData/>
  </xdr:twoCellAnchor>
  <xdr:twoCellAnchor>
    <xdr:from>
      <xdr:col>6</xdr:col>
      <xdr:colOff>508000</xdr:colOff>
      <xdr:row>0</xdr:row>
      <xdr:rowOff>136551</xdr:rowOff>
    </xdr:from>
    <xdr:to>
      <xdr:col>10</xdr:col>
      <xdr:colOff>307975</xdr:colOff>
      <xdr:row>0</xdr:row>
      <xdr:rowOff>136551</xdr:rowOff>
    </xdr:to>
    <xdr:sp macro="" textlink="">
      <xdr:nvSpPr>
        <xdr:cNvPr id="33" name="Line 18">
          <a:extLst>
            <a:ext uri="{FF2B5EF4-FFF2-40B4-BE49-F238E27FC236}">
              <a16:creationId xmlns:a16="http://schemas.microsoft.com/office/drawing/2014/main" id="{00000000-0008-0000-0000-000021000000}"/>
            </a:ext>
          </a:extLst>
        </xdr:cNvPr>
        <xdr:cNvSpPr>
          <a:spLocks noChangeShapeType="1"/>
        </xdr:cNvSpPr>
      </xdr:nvSpPr>
      <xdr:spPr bwMode="auto">
        <a:xfrm>
          <a:off x="3994150" y="136551"/>
          <a:ext cx="2124075" cy="0"/>
        </a:xfrm>
        <a:prstGeom prst="line">
          <a:avLst/>
        </a:prstGeom>
        <a:noFill/>
        <a:ln w="25400">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203200</xdr:colOff>
      <xdr:row>0</xdr:row>
      <xdr:rowOff>26</xdr:rowOff>
    </xdr:from>
    <xdr:to>
      <xdr:col>9</xdr:col>
      <xdr:colOff>219075</xdr:colOff>
      <xdr:row>12</xdr:row>
      <xdr:rowOff>157189</xdr:rowOff>
    </xdr:to>
    <xdr:sp macro="" textlink="">
      <xdr:nvSpPr>
        <xdr:cNvPr id="34" name="Line 20">
          <a:extLst>
            <a:ext uri="{FF2B5EF4-FFF2-40B4-BE49-F238E27FC236}">
              <a16:creationId xmlns:a16="http://schemas.microsoft.com/office/drawing/2014/main" id="{00000000-0008-0000-0000-000022000000}"/>
            </a:ext>
          </a:extLst>
        </xdr:cNvPr>
        <xdr:cNvSpPr>
          <a:spLocks noChangeShapeType="1"/>
        </xdr:cNvSpPr>
      </xdr:nvSpPr>
      <xdr:spPr bwMode="auto">
        <a:xfrm rot="5421033" flipH="1">
          <a:off x="4218781" y="1213670"/>
          <a:ext cx="2443163" cy="15875"/>
        </a:xfrm>
        <a:prstGeom prst="line">
          <a:avLst/>
        </a:prstGeom>
        <a:noFill/>
        <a:ln w="2857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418182</xdr:colOff>
      <xdr:row>2</xdr:row>
      <xdr:rowOff>28608</xdr:rowOff>
    </xdr:from>
    <xdr:to>
      <xdr:col>9</xdr:col>
      <xdr:colOff>438053</xdr:colOff>
      <xdr:row>13</xdr:row>
      <xdr:rowOff>47617</xdr:rowOff>
    </xdr:to>
    <xdr:sp macro="" textlink="">
      <xdr:nvSpPr>
        <xdr:cNvPr id="35" name="Line 23">
          <a:extLst>
            <a:ext uri="{FF2B5EF4-FFF2-40B4-BE49-F238E27FC236}">
              <a16:creationId xmlns:a16="http://schemas.microsoft.com/office/drawing/2014/main" id="{00000000-0008-0000-0000-000023000000}"/>
            </a:ext>
          </a:extLst>
        </xdr:cNvPr>
        <xdr:cNvSpPr>
          <a:spLocks noChangeShapeType="1"/>
        </xdr:cNvSpPr>
      </xdr:nvSpPr>
      <xdr:spPr bwMode="auto">
        <a:xfrm rot="5397016">
          <a:off x="4600088" y="1456927"/>
          <a:ext cx="2114509" cy="19871"/>
        </a:xfrm>
        <a:prstGeom prst="line">
          <a:avLst/>
        </a:prstGeom>
        <a:noFill/>
        <a:ln w="1460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10</xdr:col>
      <xdr:colOff>85725</xdr:colOff>
      <xdr:row>36</xdr:row>
      <xdr:rowOff>9525</xdr:rowOff>
    </xdr:from>
    <xdr:to>
      <xdr:col>10</xdr:col>
      <xdr:colOff>196850</xdr:colOff>
      <xdr:row>38</xdr:row>
      <xdr:rowOff>98425</xdr:rowOff>
    </xdr:to>
    <xdr:sp macro="" textlink="">
      <xdr:nvSpPr>
        <xdr:cNvPr id="36" name="WordArt 4">
          <a:extLst>
            <a:ext uri="{FF2B5EF4-FFF2-40B4-BE49-F238E27FC236}">
              <a16:creationId xmlns:a16="http://schemas.microsoft.com/office/drawing/2014/main" id="{00000000-0008-0000-0000-000024000000}"/>
            </a:ext>
          </a:extLst>
        </xdr:cNvPr>
        <xdr:cNvSpPr>
          <a:spLocks noChangeArrowheads="1" noChangeShapeType="1" noTextEdit="1"/>
        </xdr:cNvSpPr>
      </xdr:nvSpPr>
      <xdr:spPr bwMode="auto">
        <a:xfrm>
          <a:off x="5895975" y="5343525"/>
          <a:ext cx="111125" cy="4699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a:t>
          </a:r>
        </a:p>
      </xdr:txBody>
    </xdr:sp>
    <xdr:clientData/>
  </xdr:twoCellAnchor>
  <xdr:twoCellAnchor>
    <xdr:from>
      <xdr:col>10</xdr:col>
      <xdr:colOff>285750</xdr:colOff>
      <xdr:row>36</xdr:row>
      <xdr:rowOff>9525</xdr:rowOff>
    </xdr:from>
    <xdr:to>
      <xdr:col>10</xdr:col>
      <xdr:colOff>396875</xdr:colOff>
      <xdr:row>38</xdr:row>
      <xdr:rowOff>98425</xdr:rowOff>
    </xdr:to>
    <xdr:sp macro="" textlink="">
      <xdr:nvSpPr>
        <xdr:cNvPr id="37" name="WordArt 4">
          <a:extLst>
            <a:ext uri="{FF2B5EF4-FFF2-40B4-BE49-F238E27FC236}">
              <a16:creationId xmlns:a16="http://schemas.microsoft.com/office/drawing/2014/main" id="{00000000-0008-0000-0000-000025000000}"/>
            </a:ext>
          </a:extLst>
        </xdr:cNvPr>
        <xdr:cNvSpPr>
          <a:spLocks noChangeArrowheads="1" noChangeShapeType="1" noTextEdit="1"/>
        </xdr:cNvSpPr>
      </xdr:nvSpPr>
      <xdr:spPr bwMode="auto">
        <a:xfrm>
          <a:off x="6096000" y="5343525"/>
          <a:ext cx="111125" cy="4699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a:t>
          </a:r>
        </a:p>
      </xdr:txBody>
    </xdr:sp>
    <xdr:clientData/>
  </xdr:twoCellAnchor>
  <xdr:twoCellAnchor>
    <xdr:from>
      <xdr:col>9</xdr:col>
      <xdr:colOff>495300</xdr:colOff>
      <xdr:row>41</xdr:row>
      <xdr:rowOff>133350</xdr:rowOff>
    </xdr:from>
    <xdr:to>
      <xdr:col>10</xdr:col>
      <xdr:colOff>25400</xdr:colOff>
      <xdr:row>44</xdr:row>
      <xdr:rowOff>31750</xdr:rowOff>
    </xdr:to>
    <xdr:sp macro="" textlink="">
      <xdr:nvSpPr>
        <xdr:cNvPr id="38" name="WordArt 4">
          <a:extLst>
            <a:ext uri="{FF2B5EF4-FFF2-40B4-BE49-F238E27FC236}">
              <a16:creationId xmlns:a16="http://schemas.microsoft.com/office/drawing/2014/main" id="{00000000-0008-0000-0000-000026000000}"/>
            </a:ext>
          </a:extLst>
        </xdr:cNvPr>
        <xdr:cNvSpPr>
          <a:spLocks noChangeArrowheads="1" noChangeShapeType="1" noTextEdit="1"/>
        </xdr:cNvSpPr>
      </xdr:nvSpPr>
      <xdr:spPr bwMode="auto">
        <a:xfrm>
          <a:off x="5724525" y="6419850"/>
          <a:ext cx="111125" cy="4699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0.08648</cdr:x>
      <cdr:y>0.01534</cdr:y>
    </cdr:from>
    <cdr:to>
      <cdr:x>0.19105</cdr:x>
      <cdr:y>0.1325</cdr:y>
    </cdr:to>
    <cdr:sp macro="" textlink="q1_q2_q4_q5_Fig!$AT$3">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508722" y="-57031"/>
          <a:ext cx="304293" cy="498015"/>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7FB34D1-3862-4D9C-B9CC-D21B7A6E728F}" type="TxLink">
            <a:rPr lang="en-US" sz="800" b="1" i="0" u="none" strike="noStrike">
              <a:solidFill>
                <a:schemeClr val="bg1"/>
              </a:solidFill>
              <a:latin typeface="Arial"/>
              <a:cs typeface="Arial"/>
            </a:rPr>
            <a:pPr algn="ctr"/>
            <a:t>2012</a:t>
          </a:fld>
          <a:endParaRPr lang="pt-PT" sz="800" b="1">
            <a:solidFill>
              <a:schemeClr val="bg1"/>
            </a:solidFill>
          </a:endParaRPr>
        </a:p>
      </cdr:txBody>
    </cdr:sp>
  </cdr:relSizeAnchor>
  <cdr:relSizeAnchor xmlns:cdr="http://schemas.openxmlformats.org/drawingml/2006/chartDrawing">
    <cdr:from>
      <cdr:x>0.52082</cdr:x>
      <cdr:y>0.0087</cdr:y>
    </cdr:from>
    <cdr:to>
      <cdr:x>0.62539</cdr:x>
      <cdr:y>0.12586</cdr:y>
    </cdr:to>
    <cdr:sp macro="" textlink="q1_q2_q4_q5_Fig!$BD$3">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77282" y="-74277"/>
          <a:ext cx="304293" cy="498015"/>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A283FF92-6EE7-49B8-8960-61FB6312F779}" type="TxLink">
            <a:rPr lang="en-US" sz="800" b="1" i="0" u="none" strike="noStrike">
              <a:solidFill>
                <a:schemeClr val="bg1"/>
              </a:solidFill>
              <a:latin typeface="Arial"/>
              <a:cs typeface="Arial"/>
            </a:rPr>
            <a:pPr algn="ctr"/>
            <a:t>2022</a:t>
          </a:fld>
          <a:endParaRPr lang="pt-PT" sz="800" b="1">
            <a:solidFill>
              <a:schemeClr val="bg1"/>
            </a:solidFill>
          </a:endParaRPr>
        </a:p>
      </cdr:txBody>
    </cdr:sp>
  </cdr:relSizeAnchor>
  <cdr:relSizeAnchor xmlns:cdr="http://schemas.openxmlformats.org/drawingml/2006/chartDrawing">
    <cdr:from>
      <cdr:x>0.70592</cdr:x>
      <cdr:y>0.02061</cdr:y>
    </cdr:from>
    <cdr:to>
      <cdr:x>0.89226</cdr:x>
      <cdr:y>0.13617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829867" y="-208723"/>
          <a:ext cx="383567" cy="937812"/>
        </a:xfrm>
        <a:prstGeom xmlns:a="http://schemas.openxmlformats.org/drawingml/2006/main" prst="homePlate">
          <a:avLst>
            <a:gd name="adj" fmla="val 50000"/>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1000" b="1">
              <a:solidFill>
                <a:schemeClr val="bg1"/>
              </a:solidFill>
            </a:rPr>
            <a:t>VARIAÇÃO</a:t>
          </a:r>
        </a:p>
      </cdr:txBody>
    </cdr:sp>
  </cdr:relSizeAnchor>
</c:userShapes>
</file>

<file path=xl/drawings/drawing100.xml><?xml version="1.0" encoding="utf-8"?>
<xdr:wsDr xmlns:xdr="http://schemas.openxmlformats.org/drawingml/2006/spreadsheetDrawing" xmlns:a="http://schemas.openxmlformats.org/drawingml/2006/main">
  <xdr:twoCellAnchor editAs="absolute">
    <xdr:from>
      <xdr:col>10</xdr:col>
      <xdr:colOff>266700</xdr:colOff>
      <xdr:row>0</xdr:row>
      <xdr:rowOff>200024</xdr:rowOff>
    </xdr:from>
    <xdr:to>
      <xdr:col>12</xdr:col>
      <xdr:colOff>228498</xdr:colOff>
      <xdr:row>1</xdr:row>
      <xdr:rowOff>142836</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45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476875" y="200024"/>
          <a:ext cx="819048" cy="304762"/>
        </a:xfrm>
        <a:prstGeom prst="rect">
          <a:avLst/>
        </a:prstGeom>
        <a:noFill/>
        <a:ln w="1">
          <a:noFill/>
          <a:miter lim="800000"/>
          <a:headEnd/>
          <a:tailEnd type="none" w="med" len="med"/>
        </a:ln>
        <a:effectLst/>
      </xdr:spPr>
    </xdr:pic>
    <xdr:clientData fPrintsWithSheet="0"/>
  </xdr:twoCellAnchor>
</xdr:wsDr>
</file>

<file path=xl/drawings/drawing101.xml><?xml version="1.0" encoding="utf-8"?>
<xdr:wsDr xmlns:xdr="http://schemas.openxmlformats.org/drawingml/2006/spreadsheetDrawing" xmlns:a="http://schemas.openxmlformats.org/drawingml/2006/main">
  <xdr:twoCellAnchor editAs="absolute">
    <xdr:from>
      <xdr:col>12</xdr:col>
      <xdr:colOff>47625</xdr:colOff>
      <xdr:row>1</xdr:row>
      <xdr:rowOff>19049</xdr:rowOff>
    </xdr:from>
    <xdr:to>
      <xdr:col>13</xdr:col>
      <xdr:colOff>418998</xdr:colOff>
      <xdr:row>2</xdr:row>
      <xdr:rowOff>142836</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4600-000002000000}"/>
            </a:ext>
          </a:extLst>
        </xdr:cNvPr>
        <xdr:cNvPicPr preferRelativeResize="0">
          <a:picLocks noChangeArrowheads="1"/>
        </xdr:cNvPicPr>
      </xdr:nvPicPr>
      <xdr:blipFill>
        <a:blip xmlns:r="http://schemas.openxmlformats.org/officeDocument/2006/relationships" r:embed="rId2" cstate="print"/>
        <a:stretch>
          <a:fillRect/>
        </a:stretch>
      </xdr:blipFill>
      <xdr:spPr bwMode="auto">
        <a:xfrm>
          <a:off x="5829300" y="380999"/>
          <a:ext cx="819048" cy="304762"/>
        </a:xfrm>
        <a:prstGeom prst="rect">
          <a:avLst/>
        </a:prstGeom>
        <a:noFill/>
        <a:ln w="1">
          <a:noFill/>
          <a:miter lim="800000"/>
          <a:headEnd/>
          <a:tailEnd type="none" w="med" len="med"/>
        </a:ln>
        <a:effectLst/>
      </xdr:spPr>
    </xdr:pic>
    <xdr:clientData fPrintsWithSheet="0"/>
  </xdr:twoCellAnchor>
</xdr:wsDr>
</file>

<file path=xl/drawings/drawing102.xml><?xml version="1.0" encoding="utf-8"?>
<xdr:wsDr xmlns:xdr="http://schemas.openxmlformats.org/drawingml/2006/spreadsheetDrawing" xmlns:a="http://schemas.openxmlformats.org/drawingml/2006/main">
  <xdr:twoCellAnchor editAs="absolute">
    <xdr:from>
      <xdr:col>10</xdr:col>
      <xdr:colOff>0</xdr:colOff>
      <xdr:row>0</xdr:row>
      <xdr:rowOff>209549</xdr:rowOff>
    </xdr:from>
    <xdr:to>
      <xdr:col>11</xdr:col>
      <xdr:colOff>390423</xdr:colOff>
      <xdr:row>1</xdr:row>
      <xdr:rowOff>152361</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47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829300" y="209549"/>
          <a:ext cx="819048" cy="304762"/>
        </a:xfrm>
        <a:prstGeom prst="rect">
          <a:avLst/>
        </a:prstGeom>
        <a:noFill/>
        <a:ln w="1">
          <a:noFill/>
          <a:miter lim="800000"/>
          <a:headEnd/>
          <a:tailEnd type="none" w="med" len="med"/>
        </a:ln>
        <a:effectLst/>
      </xdr:spPr>
    </xdr:pic>
    <xdr:clientData fPrintsWithSheet="0"/>
  </xdr:twoCellAnchor>
</xdr:wsDr>
</file>

<file path=xl/drawings/drawing103.xml><?xml version="1.0" encoding="utf-8"?>
<xdr:wsDr xmlns:xdr="http://schemas.openxmlformats.org/drawingml/2006/spreadsheetDrawing" xmlns:a="http://schemas.openxmlformats.org/drawingml/2006/main">
  <xdr:twoCellAnchor>
    <xdr:from>
      <xdr:col>6</xdr:col>
      <xdr:colOff>425450</xdr:colOff>
      <xdr:row>2</xdr:row>
      <xdr:rowOff>28575</xdr:rowOff>
    </xdr:from>
    <xdr:to>
      <xdr:col>10</xdr:col>
      <xdr:colOff>225425</xdr:colOff>
      <xdr:row>2</xdr:row>
      <xdr:rowOff>28575</xdr:rowOff>
    </xdr:to>
    <xdr:sp macro="" textlink="">
      <xdr:nvSpPr>
        <xdr:cNvPr id="2" name="Line 3">
          <a:extLst>
            <a:ext uri="{FF2B5EF4-FFF2-40B4-BE49-F238E27FC236}">
              <a16:creationId xmlns:a16="http://schemas.microsoft.com/office/drawing/2014/main" id="{00000000-0008-0000-4800-000002000000}"/>
            </a:ext>
          </a:extLst>
        </xdr:cNvPr>
        <xdr:cNvSpPr>
          <a:spLocks noChangeShapeType="1"/>
        </xdr:cNvSpPr>
      </xdr:nvSpPr>
      <xdr:spPr bwMode="auto">
        <a:xfrm>
          <a:off x="3911600" y="409575"/>
          <a:ext cx="2124075" cy="0"/>
        </a:xfrm>
        <a:prstGeom prst="line">
          <a:avLst/>
        </a:prstGeom>
        <a:noFill/>
        <a:ln w="25400">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136525</xdr:colOff>
      <xdr:row>7</xdr:row>
      <xdr:rowOff>60325</xdr:rowOff>
    </xdr:from>
    <xdr:to>
      <xdr:col>9</xdr:col>
      <xdr:colOff>355600</xdr:colOff>
      <xdr:row>12</xdr:row>
      <xdr:rowOff>173038</xdr:rowOff>
    </xdr:to>
    <xdr:sp macro="" textlink="">
      <xdr:nvSpPr>
        <xdr:cNvPr id="3" name="Rectangle 5">
          <a:extLst>
            <a:ext uri="{FF2B5EF4-FFF2-40B4-BE49-F238E27FC236}">
              <a16:creationId xmlns:a16="http://schemas.microsoft.com/office/drawing/2014/main" id="{00000000-0008-0000-4800-000003000000}"/>
            </a:ext>
          </a:extLst>
        </xdr:cNvPr>
        <xdr:cNvSpPr>
          <a:spLocks noChangeArrowheads="1"/>
        </xdr:cNvSpPr>
      </xdr:nvSpPr>
      <xdr:spPr bwMode="auto">
        <a:xfrm>
          <a:off x="5365750" y="1393825"/>
          <a:ext cx="219075" cy="1065213"/>
        </a:xfrm>
        <a:prstGeom prst="rect">
          <a:avLst/>
        </a:prstGeom>
        <a:solidFill>
          <a:srgbClr val="FFFF00"/>
        </a:solidFill>
        <a:ln>
          <a:noFill/>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9</xdr:col>
      <xdr:colOff>120650</xdr:colOff>
      <xdr:row>0</xdr:row>
      <xdr:rowOff>0</xdr:rowOff>
    </xdr:from>
    <xdr:to>
      <xdr:col>9</xdr:col>
      <xdr:colOff>136525</xdr:colOff>
      <xdr:row>12</xdr:row>
      <xdr:rowOff>157163</xdr:rowOff>
    </xdr:to>
    <xdr:sp macro="" textlink="">
      <xdr:nvSpPr>
        <xdr:cNvPr id="4" name="Line 6">
          <a:extLst>
            <a:ext uri="{FF2B5EF4-FFF2-40B4-BE49-F238E27FC236}">
              <a16:creationId xmlns:a16="http://schemas.microsoft.com/office/drawing/2014/main" id="{00000000-0008-0000-4800-000004000000}"/>
            </a:ext>
          </a:extLst>
        </xdr:cNvPr>
        <xdr:cNvSpPr>
          <a:spLocks noChangeShapeType="1"/>
        </xdr:cNvSpPr>
      </xdr:nvSpPr>
      <xdr:spPr bwMode="auto">
        <a:xfrm rot="5421033" flipH="1">
          <a:off x="4136231" y="1213644"/>
          <a:ext cx="2443163" cy="15875"/>
        </a:xfrm>
        <a:prstGeom prst="line">
          <a:avLst/>
        </a:prstGeom>
        <a:noFill/>
        <a:ln w="2857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8</xdr:col>
      <xdr:colOff>325437</xdr:colOff>
      <xdr:row>7</xdr:row>
      <xdr:rowOff>57151</xdr:rowOff>
    </xdr:from>
    <xdr:to>
      <xdr:col>10</xdr:col>
      <xdr:colOff>533400</xdr:colOff>
      <xdr:row>7</xdr:row>
      <xdr:rowOff>58739</xdr:rowOff>
    </xdr:to>
    <xdr:sp macro="" textlink="">
      <xdr:nvSpPr>
        <xdr:cNvPr id="5" name="Line 7">
          <a:extLst>
            <a:ext uri="{FF2B5EF4-FFF2-40B4-BE49-F238E27FC236}">
              <a16:creationId xmlns:a16="http://schemas.microsoft.com/office/drawing/2014/main" id="{00000000-0008-0000-4800-000005000000}"/>
            </a:ext>
          </a:extLst>
        </xdr:cNvPr>
        <xdr:cNvSpPr>
          <a:spLocks noChangeShapeType="1"/>
        </xdr:cNvSpPr>
      </xdr:nvSpPr>
      <xdr:spPr bwMode="auto">
        <a:xfrm flipV="1">
          <a:off x="4973637" y="1390651"/>
          <a:ext cx="1370013" cy="1588"/>
        </a:xfrm>
        <a:prstGeom prst="line">
          <a:avLst/>
        </a:prstGeom>
        <a:noFill/>
        <a:ln w="28575">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3</xdr:col>
      <xdr:colOff>336550</xdr:colOff>
      <xdr:row>12</xdr:row>
      <xdr:rowOff>173038</xdr:rowOff>
    </xdr:from>
    <xdr:to>
      <xdr:col>9</xdr:col>
      <xdr:colOff>355600</xdr:colOff>
      <xdr:row>12</xdr:row>
      <xdr:rowOff>173038</xdr:rowOff>
    </xdr:to>
    <xdr:sp macro="" textlink="">
      <xdr:nvSpPr>
        <xdr:cNvPr id="6" name="Line 11">
          <a:extLst>
            <a:ext uri="{FF2B5EF4-FFF2-40B4-BE49-F238E27FC236}">
              <a16:creationId xmlns:a16="http://schemas.microsoft.com/office/drawing/2014/main" id="{00000000-0008-0000-4800-000006000000}"/>
            </a:ext>
          </a:extLst>
        </xdr:cNvPr>
        <xdr:cNvSpPr>
          <a:spLocks noChangeShapeType="1"/>
        </xdr:cNvSpPr>
      </xdr:nvSpPr>
      <xdr:spPr bwMode="auto">
        <a:xfrm>
          <a:off x="2079625" y="2459038"/>
          <a:ext cx="3505200" cy="0"/>
        </a:xfrm>
        <a:prstGeom prst="line">
          <a:avLst/>
        </a:prstGeom>
        <a:noFill/>
        <a:ln w="28575">
          <a:solidFill>
            <a:srgbClr val="FFFF00"/>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352425</xdr:colOff>
      <xdr:row>2</xdr:row>
      <xdr:rowOff>28575</xdr:rowOff>
    </xdr:from>
    <xdr:to>
      <xdr:col>9</xdr:col>
      <xdr:colOff>355600</xdr:colOff>
      <xdr:row>14</xdr:row>
      <xdr:rowOff>82550</xdr:rowOff>
    </xdr:to>
    <xdr:sp macro="" textlink="">
      <xdr:nvSpPr>
        <xdr:cNvPr id="7" name="Line 12">
          <a:extLst>
            <a:ext uri="{FF2B5EF4-FFF2-40B4-BE49-F238E27FC236}">
              <a16:creationId xmlns:a16="http://schemas.microsoft.com/office/drawing/2014/main" id="{00000000-0008-0000-4800-000007000000}"/>
            </a:ext>
          </a:extLst>
        </xdr:cNvPr>
        <xdr:cNvSpPr>
          <a:spLocks noChangeShapeType="1"/>
        </xdr:cNvSpPr>
      </xdr:nvSpPr>
      <xdr:spPr bwMode="auto">
        <a:xfrm rot="5397016">
          <a:off x="4413250" y="1577975"/>
          <a:ext cx="2339975" cy="3175"/>
        </a:xfrm>
        <a:prstGeom prst="line">
          <a:avLst/>
        </a:prstGeom>
        <a:noFill/>
        <a:ln w="1460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0</xdr:col>
      <xdr:colOff>0</xdr:colOff>
      <xdr:row>38</xdr:row>
      <xdr:rowOff>73025</xdr:rowOff>
    </xdr:from>
    <xdr:to>
      <xdr:col>10</xdr:col>
      <xdr:colOff>536575</xdr:colOff>
      <xdr:row>42</xdr:row>
      <xdr:rowOff>46038</xdr:rowOff>
    </xdr:to>
    <xdr:sp macro="" textlink="">
      <xdr:nvSpPr>
        <xdr:cNvPr id="8" name="Rectangle 2">
          <a:extLst>
            <a:ext uri="{FF2B5EF4-FFF2-40B4-BE49-F238E27FC236}">
              <a16:creationId xmlns:a16="http://schemas.microsoft.com/office/drawing/2014/main" id="{00000000-0008-0000-4800-000008000000}"/>
            </a:ext>
          </a:extLst>
        </xdr:cNvPr>
        <xdr:cNvSpPr>
          <a:spLocks noChangeArrowheads="1"/>
        </xdr:cNvSpPr>
      </xdr:nvSpPr>
      <xdr:spPr bwMode="auto">
        <a:xfrm>
          <a:off x="0" y="6169025"/>
          <a:ext cx="6346825" cy="735013"/>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0</xdr:col>
      <xdr:colOff>147637</xdr:colOff>
      <xdr:row>39</xdr:row>
      <xdr:rowOff>57150</xdr:rowOff>
    </xdr:from>
    <xdr:to>
      <xdr:col>5</xdr:col>
      <xdr:colOff>547687</xdr:colOff>
      <xdr:row>41</xdr:row>
      <xdr:rowOff>68263</xdr:rowOff>
    </xdr:to>
    <xdr:sp macro="" textlink="">
      <xdr:nvSpPr>
        <xdr:cNvPr id="9" name="Rectangle 3">
          <a:extLst>
            <a:ext uri="{FF2B5EF4-FFF2-40B4-BE49-F238E27FC236}">
              <a16:creationId xmlns:a16="http://schemas.microsoft.com/office/drawing/2014/main" id="{00000000-0008-0000-4800-000009000000}"/>
            </a:ext>
          </a:extLst>
        </xdr:cNvPr>
        <xdr:cNvSpPr>
          <a:spLocks noChangeArrowheads="1"/>
        </xdr:cNvSpPr>
      </xdr:nvSpPr>
      <xdr:spPr bwMode="auto">
        <a:xfrm>
          <a:off x="147637" y="6343650"/>
          <a:ext cx="3305175" cy="392113"/>
        </a:xfrm>
        <a:prstGeom prst="rect">
          <a:avLst/>
        </a:prstGeom>
        <a:solidFill>
          <a:srgbClr val="E1EAEF"/>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clientData/>
  </xdr:twoCellAnchor>
  <xdr:twoCellAnchor>
    <xdr:from>
      <xdr:col>0</xdr:col>
      <xdr:colOff>196849</xdr:colOff>
      <xdr:row>39</xdr:row>
      <xdr:rowOff>80963</xdr:rowOff>
    </xdr:from>
    <xdr:to>
      <xdr:col>5</xdr:col>
      <xdr:colOff>152399</xdr:colOff>
      <xdr:row>41</xdr:row>
      <xdr:rowOff>17646</xdr:rowOff>
    </xdr:to>
    <xdr:sp macro="" textlink="">
      <xdr:nvSpPr>
        <xdr:cNvPr id="10" name="Text Box 10">
          <a:extLst>
            <a:ext uri="{FF2B5EF4-FFF2-40B4-BE49-F238E27FC236}">
              <a16:creationId xmlns:a16="http://schemas.microsoft.com/office/drawing/2014/main" id="{00000000-0008-0000-4800-00000A000000}"/>
            </a:ext>
          </a:extLst>
        </xdr:cNvPr>
        <xdr:cNvSpPr txBox="1">
          <a:spLocks noChangeArrowheads="1"/>
        </xdr:cNvSpPr>
      </xdr:nvSpPr>
      <xdr:spPr bwMode="auto">
        <a:xfrm>
          <a:off x="196849" y="6367463"/>
          <a:ext cx="2860675" cy="317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500" b="1">
              <a:solidFill>
                <a:srgbClr val="00467A"/>
              </a:solidFill>
              <a:latin typeface="Arial" charset="0"/>
            </a:rPr>
            <a:t>  Conceitos e Nomenclaturas</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439738</xdr:colOff>
      <xdr:row>1</xdr:row>
      <xdr:rowOff>152400</xdr:rowOff>
    </xdr:to>
    <xdr:sp macro="" textlink="">
      <xdr:nvSpPr>
        <xdr:cNvPr id="2" name="Rectangle 17">
          <a:extLst>
            <a:ext uri="{FF2B5EF4-FFF2-40B4-BE49-F238E27FC236}">
              <a16:creationId xmlns:a16="http://schemas.microsoft.com/office/drawing/2014/main" id="{00000000-0008-0000-4900-000002000000}"/>
            </a:ext>
          </a:extLst>
        </xdr:cNvPr>
        <xdr:cNvSpPr>
          <a:spLocks noChangeArrowheads="1"/>
        </xdr:cNvSpPr>
      </xdr:nvSpPr>
      <xdr:spPr bwMode="auto">
        <a:xfrm>
          <a:off x="0" y="0"/>
          <a:ext cx="1658938" cy="314325"/>
        </a:xfrm>
        <a:prstGeom prst="rect">
          <a:avLst/>
        </a:prstGeom>
        <a:solidFill>
          <a:srgbClr val="E1EAEF"/>
        </a:solidFill>
        <a:ln>
          <a:noFill/>
        </a:ln>
        <a:effectLst>
          <a:prstShdw prst="shdw17" dist="17961" dir="13500000">
            <a:srgbClr val="878C8F"/>
          </a:prstShdw>
        </a:effectLst>
        <a:extLst>
          <a:ext uri="{91240B29-F687-4F45-9708-019B960494DF}">
            <a14:hiddenLine xmlns:a14="http://schemas.microsoft.com/office/drawing/2010/main" w="28575" cap="rnd">
              <a:solidFill>
                <a:srgbClr val="000000"/>
              </a:solidFill>
              <a:prstDash val="sysDot"/>
              <a:miter lim="800000"/>
              <a:headEnd/>
              <a:tailEnd/>
            </a14:hiddenLine>
          </a:ext>
        </a:extLst>
      </xdr:spPr>
      <xdr:txBody>
        <a:bodyPr wrap="square" lIns="94515" tIns="47256" rIns="94515" bIns="47256" anchor="ctr"/>
        <a:lstStyle>
          <a:defPPr>
            <a:defRPr lang="en-US"/>
          </a:defPPr>
          <a:lvl1pPr algn="ctr" rtl="0" eaLnBrk="0" fontAlgn="base" hangingPunct="0">
            <a:spcBef>
              <a:spcPct val="0"/>
            </a:spcBef>
            <a:spcAft>
              <a:spcPct val="0"/>
            </a:spcAft>
            <a:defRPr sz="900" kern="1200">
              <a:solidFill>
                <a:schemeClr val="tx1"/>
              </a:solidFill>
              <a:latin typeface="Times New Roman" pitchFamily="18" charset="0"/>
              <a:ea typeface="+mn-ea"/>
              <a:cs typeface="+mn-cs"/>
            </a:defRPr>
          </a:lvl1pPr>
          <a:lvl2pPr marL="457200" algn="ctr" rtl="0" eaLnBrk="0" fontAlgn="base" hangingPunct="0">
            <a:spcBef>
              <a:spcPct val="0"/>
            </a:spcBef>
            <a:spcAft>
              <a:spcPct val="0"/>
            </a:spcAft>
            <a:defRPr sz="900" kern="1200">
              <a:solidFill>
                <a:schemeClr val="tx1"/>
              </a:solidFill>
              <a:latin typeface="Times New Roman" pitchFamily="18" charset="0"/>
              <a:ea typeface="+mn-ea"/>
              <a:cs typeface="+mn-cs"/>
            </a:defRPr>
          </a:lvl2pPr>
          <a:lvl3pPr marL="914400" algn="ctr" rtl="0" eaLnBrk="0" fontAlgn="base" hangingPunct="0">
            <a:spcBef>
              <a:spcPct val="0"/>
            </a:spcBef>
            <a:spcAft>
              <a:spcPct val="0"/>
            </a:spcAft>
            <a:defRPr sz="900" kern="1200">
              <a:solidFill>
                <a:schemeClr val="tx1"/>
              </a:solidFill>
              <a:latin typeface="Times New Roman" pitchFamily="18" charset="0"/>
              <a:ea typeface="+mn-ea"/>
              <a:cs typeface="+mn-cs"/>
            </a:defRPr>
          </a:lvl3pPr>
          <a:lvl4pPr marL="1371600" algn="ctr" rtl="0" eaLnBrk="0" fontAlgn="base" hangingPunct="0">
            <a:spcBef>
              <a:spcPct val="0"/>
            </a:spcBef>
            <a:spcAft>
              <a:spcPct val="0"/>
            </a:spcAft>
            <a:defRPr sz="900" kern="1200">
              <a:solidFill>
                <a:schemeClr val="tx1"/>
              </a:solidFill>
              <a:latin typeface="Times New Roman" pitchFamily="18" charset="0"/>
              <a:ea typeface="+mn-ea"/>
              <a:cs typeface="+mn-cs"/>
            </a:defRPr>
          </a:lvl4pPr>
          <a:lvl5pPr marL="1828800" algn="ctr" rtl="0" eaLnBrk="0" fontAlgn="base" hangingPunct="0">
            <a:spcBef>
              <a:spcPct val="0"/>
            </a:spcBef>
            <a:spcAft>
              <a:spcPct val="0"/>
            </a:spcAft>
            <a:defRPr sz="900" kern="1200">
              <a:solidFill>
                <a:schemeClr val="tx1"/>
              </a:solidFill>
              <a:latin typeface="Times New Roman" pitchFamily="18" charset="0"/>
              <a:ea typeface="+mn-ea"/>
              <a:cs typeface="+mn-cs"/>
            </a:defRPr>
          </a:lvl5pPr>
          <a:lvl6pPr marL="2286000" algn="l" defTabSz="914400" rtl="0" eaLnBrk="1" latinLnBrk="0" hangingPunct="1">
            <a:defRPr sz="900" kern="1200">
              <a:solidFill>
                <a:schemeClr val="tx1"/>
              </a:solidFill>
              <a:latin typeface="Times New Roman" pitchFamily="18" charset="0"/>
              <a:ea typeface="+mn-ea"/>
              <a:cs typeface="+mn-cs"/>
            </a:defRPr>
          </a:lvl6pPr>
          <a:lvl7pPr marL="2743200" algn="l" defTabSz="914400" rtl="0" eaLnBrk="1" latinLnBrk="0" hangingPunct="1">
            <a:defRPr sz="900" kern="1200">
              <a:solidFill>
                <a:schemeClr val="tx1"/>
              </a:solidFill>
              <a:latin typeface="Times New Roman" pitchFamily="18" charset="0"/>
              <a:ea typeface="+mn-ea"/>
              <a:cs typeface="+mn-cs"/>
            </a:defRPr>
          </a:lvl7pPr>
          <a:lvl8pPr marL="3200400" algn="l" defTabSz="914400" rtl="0" eaLnBrk="1" latinLnBrk="0" hangingPunct="1">
            <a:defRPr sz="900" kern="1200">
              <a:solidFill>
                <a:schemeClr val="tx1"/>
              </a:solidFill>
              <a:latin typeface="Times New Roman" pitchFamily="18" charset="0"/>
              <a:ea typeface="+mn-ea"/>
              <a:cs typeface="+mn-cs"/>
            </a:defRPr>
          </a:lvl8pPr>
          <a:lvl9pPr marL="3657600" algn="l" defTabSz="914400" rtl="0" eaLnBrk="1" latinLnBrk="0" hangingPunct="1">
            <a:defRPr sz="900" kern="1200">
              <a:solidFill>
                <a:schemeClr val="tx1"/>
              </a:solidFill>
              <a:latin typeface="Times New Roman" pitchFamily="18" charset="0"/>
              <a:ea typeface="+mn-ea"/>
              <a:cs typeface="+mn-cs"/>
            </a:defRPr>
          </a:lvl9pPr>
        </a:lstStyle>
        <a:p>
          <a:pPr algn="l" defTabSz="946150"/>
          <a:r>
            <a:rPr lang="en-US" sz="1200" b="1">
              <a:solidFill>
                <a:srgbClr val="842F36"/>
              </a:solidFill>
              <a:latin typeface="Arial" charset="0"/>
            </a:rPr>
            <a:t>Conceitos</a:t>
          </a:r>
          <a:endParaRPr lang="pt-PT" sz="1200" b="1">
            <a:solidFill>
              <a:srgbClr val="842F36"/>
            </a:solidFill>
            <a:latin typeface="Arial" charset="0"/>
          </a:endParaRPr>
        </a:p>
      </xdr:txBody>
    </xdr:sp>
    <xdr:clientData/>
  </xdr:twoCellAnchor>
  <xdr:twoCellAnchor>
    <xdr:from>
      <xdr:col>0</xdr:col>
      <xdr:colOff>0</xdr:colOff>
      <xdr:row>3</xdr:row>
      <xdr:rowOff>97754</xdr:rowOff>
    </xdr:from>
    <xdr:to>
      <xdr:col>10</xdr:col>
      <xdr:colOff>25400</xdr:colOff>
      <xdr:row>50</xdr:row>
      <xdr:rowOff>130846</xdr:rowOff>
    </xdr:to>
    <xdr:sp macro="" textlink="">
      <xdr:nvSpPr>
        <xdr:cNvPr id="3" name="Rectangle 12">
          <a:extLst>
            <a:ext uri="{FF2B5EF4-FFF2-40B4-BE49-F238E27FC236}">
              <a16:creationId xmlns:a16="http://schemas.microsoft.com/office/drawing/2014/main" id="{00000000-0008-0000-4900-000003000000}"/>
            </a:ext>
          </a:extLst>
        </xdr:cNvPr>
        <xdr:cNvSpPr>
          <a:spLocks noChangeArrowheads="1"/>
        </xdr:cNvSpPr>
      </xdr:nvSpPr>
      <xdr:spPr bwMode="auto">
        <a:xfrm>
          <a:off x="0" y="583529"/>
          <a:ext cx="6121400" cy="7643567"/>
        </a:xfrm>
        <a:prstGeom prst="rect">
          <a:avLst/>
        </a:prstGeom>
        <a:noFill/>
        <a:ln>
          <a:noFill/>
        </a:ln>
        <a:effectLst>
          <a:outerShdw dist="563972" dir="14049741" sx="125000" sy="125000" algn="tl" rotWithShape="0">
            <a:srgbClr val="C7DFD3"/>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9050">
              <a:solidFill>
                <a:srgbClr val="000000"/>
              </a:solidFill>
              <a:miter lim="800000"/>
              <a:headEnd/>
              <a:tailEnd/>
            </a14:hiddenLine>
          </a:ext>
        </a:extLst>
      </xdr:spPr>
      <xdr:txBody>
        <a:bodyPr wrap="square" anchor="ctr">
          <a:spAutoFit/>
        </a:bodyPr>
        <a:lstStyle>
          <a:defPPr>
            <a:defRPr lang="en-US"/>
          </a:defPPr>
          <a:lvl1pPr algn="ctr" rtl="0" eaLnBrk="0" fontAlgn="base" hangingPunct="0">
            <a:spcBef>
              <a:spcPct val="0"/>
            </a:spcBef>
            <a:spcAft>
              <a:spcPct val="0"/>
            </a:spcAft>
            <a:defRPr sz="900" kern="1200">
              <a:solidFill>
                <a:schemeClr val="tx1"/>
              </a:solidFill>
              <a:latin typeface="Times New Roman" pitchFamily="18" charset="0"/>
              <a:ea typeface="+mn-ea"/>
              <a:cs typeface="+mn-cs"/>
            </a:defRPr>
          </a:lvl1pPr>
          <a:lvl2pPr marL="457200" algn="ctr" rtl="0" eaLnBrk="0" fontAlgn="base" hangingPunct="0">
            <a:spcBef>
              <a:spcPct val="0"/>
            </a:spcBef>
            <a:spcAft>
              <a:spcPct val="0"/>
            </a:spcAft>
            <a:defRPr sz="900" kern="1200">
              <a:solidFill>
                <a:schemeClr val="tx1"/>
              </a:solidFill>
              <a:latin typeface="Times New Roman" pitchFamily="18" charset="0"/>
              <a:ea typeface="+mn-ea"/>
              <a:cs typeface="+mn-cs"/>
            </a:defRPr>
          </a:lvl2pPr>
          <a:lvl3pPr marL="914400" algn="ctr" rtl="0" eaLnBrk="0" fontAlgn="base" hangingPunct="0">
            <a:spcBef>
              <a:spcPct val="0"/>
            </a:spcBef>
            <a:spcAft>
              <a:spcPct val="0"/>
            </a:spcAft>
            <a:defRPr sz="900" kern="1200">
              <a:solidFill>
                <a:schemeClr val="tx1"/>
              </a:solidFill>
              <a:latin typeface="Times New Roman" pitchFamily="18" charset="0"/>
              <a:ea typeface="+mn-ea"/>
              <a:cs typeface="+mn-cs"/>
            </a:defRPr>
          </a:lvl3pPr>
          <a:lvl4pPr marL="1371600" algn="ctr" rtl="0" eaLnBrk="0" fontAlgn="base" hangingPunct="0">
            <a:spcBef>
              <a:spcPct val="0"/>
            </a:spcBef>
            <a:spcAft>
              <a:spcPct val="0"/>
            </a:spcAft>
            <a:defRPr sz="900" kern="1200">
              <a:solidFill>
                <a:schemeClr val="tx1"/>
              </a:solidFill>
              <a:latin typeface="Times New Roman" pitchFamily="18" charset="0"/>
              <a:ea typeface="+mn-ea"/>
              <a:cs typeface="+mn-cs"/>
            </a:defRPr>
          </a:lvl4pPr>
          <a:lvl5pPr marL="1828800" algn="ctr" rtl="0" eaLnBrk="0" fontAlgn="base" hangingPunct="0">
            <a:spcBef>
              <a:spcPct val="0"/>
            </a:spcBef>
            <a:spcAft>
              <a:spcPct val="0"/>
            </a:spcAft>
            <a:defRPr sz="900" kern="1200">
              <a:solidFill>
                <a:schemeClr val="tx1"/>
              </a:solidFill>
              <a:latin typeface="Times New Roman" pitchFamily="18" charset="0"/>
              <a:ea typeface="+mn-ea"/>
              <a:cs typeface="+mn-cs"/>
            </a:defRPr>
          </a:lvl5pPr>
          <a:lvl6pPr marL="2286000" algn="l" defTabSz="914400" rtl="0" eaLnBrk="1" latinLnBrk="0" hangingPunct="1">
            <a:defRPr sz="900" kern="1200">
              <a:solidFill>
                <a:schemeClr val="tx1"/>
              </a:solidFill>
              <a:latin typeface="Times New Roman" pitchFamily="18" charset="0"/>
              <a:ea typeface="+mn-ea"/>
              <a:cs typeface="+mn-cs"/>
            </a:defRPr>
          </a:lvl6pPr>
          <a:lvl7pPr marL="2743200" algn="l" defTabSz="914400" rtl="0" eaLnBrk="1" latinLnBrk="0" hangingPunct="1">
            <a:defRPr sz="900" kern="1200">
              <a:solidFill>
                <a:schemeClr val="tx1"/>
              </a:solidFill>
              <a:latin typeface="Times New Roman" pitchFamily="18" charset="0"/>
              <a:ea typeface="+mn-ea"/>
              <a:cs typeface="+mn-cs"/>
            </a:defRPr>
          </a:lvl7pPr>
          <a:lvl8pPr marL="3200400" algn="l" defTabSz="914400" rtl="0" eaLnBrk="1" latinLnBrk="0" hangingPunct="1">
            <a:defRPr sz="900" kern="1200">
              <a:solidFill>
                <a:schemeClr val="tx1"/>
              </a:solidFill>
              <a:latin typeface="Times New Roman" pitchFamily="18" charset="0"/>
              <a:ea typeface="+mn-ea"/>
              <a:cs typeface="+mn-cs"/>
            </a:defRPr>
          </a:lvl8pPr>
          <a:lvl9pPr marL="3657600" algn="l" defTabSz="914400" rtl="0" eaLnBrk="1" latinLnBrk="0" hangingPunct="1">
            <a:defRPr sz="900" kern="1200">
              <a:solidFill>
                <a:schemeClr val="tx1"/>
              </a:solidFill>
              <a:latin typeface="Times New Roman" pitchFamily="18" charset="0"/>
              <a:ea typeface="+mn-ea"/>
              <a:cs typeface="+mn-cs"/>
            </a:defRPr>
          </a:lvl9pPr>
        </a:lstStyle>
        <a:p>
          <a:pPr algn="just">
            <a:spcAft>
              <a:spcPts val="600"/>
            </a:spcAft>
            <a:tabLst>
              <a:tab pos="180975" algn="l"/>
            </a:tabLst>
          </a:pPr>
          <a:r>
            <a:rPr lang="pt-PT" b="1">
              <a:solidFill>
                <a:srgbClr val="415263"/>
              </a:solidFill>
              <a:latin typeface="Arial" charset="0"/>
            </a:rPr>
            <a:t>Empresa</a:t>
          </a:r>
          <a:r>
            <a:rPr lang="pt-PT">
              <a:solidFill>
                <a:srgbClr val="415263"/>
              </a:solidFill>
              <a:latin typeface="Arial" charset="0"/>
            </a:rPr>
            <a:t> - unidade organizacional de produção de bens e/ou serviços, usufruindo de uma certa autonomia de decisão, nomeadamente, quanto à afetação dos seus recursos correntes. Uma empresa exerce uma ou mais atividades em um ou vários locais. </a:t>
          </a:r>
        </a:p>
        <a:p>
          <a:pPr algn="just">
            <a:spcAft>
              <a:spcPts val="600"/>
            </a:spcAft>
            <a:tabLst>
              <a:tab pos="180975" algn="l"/>
            </a:tabLst>
          </a:pPr>
          <a:r>
            <a:rPr lang="pt-PT">
              <a:solidFill>
                <a:srgbClr val="415263"/>
              </a:solidFill>
              <a:latin typeface="Arial" charset="0"/>
            </a:rPr>
            <a:t>A informação recolhida das empresas passa pela descrição de algumas características da empresa sede, nomeadamente: </a:t>
          </a:r>
        </a:p>
        <a:p>
          <a:pPr algn="just">
            <a:spcAft>
              <a:spcPts val="600"/>
            </a:spcAft>
            <a:tabLst>
              <a:tab pos="180975" algn="l"/>
            </a:tabLst>
          </a:pPr>
          <a:r>
            <a:rPr lang="pt-PT">
              <a:solidFill>
                <a:srgbClr val="415263"/>
              </a:solidFill>
              <a:latin typeface="Arial" charset="0"/>
            </a:rPr>
            <a:t>    - Identificação (nome e identificação fiscal);</a:t>
          </a:r>
        </a:p>
        <a:p>
          <a:pPr algn="just">
            <a:spcAft>
              <a:spcPts val="600"/>
            </a:spcAft>
            <a:tabLst>
              <a:tab pos="180975" algn="l"/>
            </a:tabLst>
          </a:pPr>
          <a:r>
            <a:rPr lang="pt-PT">
              <a:solidFill>
                <a:srgbClr val="415263"/>
              </a:solidFill>
              <a:latin typeface="Arial" charset="0"/>
            </a:rPr>
            <a:t>    - Localização da empresa e contactos (endereço postal completo da sede da empresa, distrito, concelho, 	freguesia, telefone, fax e correio eletrónico);</a:t>
          </a:r>
        </a:p>
        <a:p>
          <a:pPr algn="just">
            <a:spcAft>
              <a:spcPts val="600"/>
            </a:spcAft>
            <a:tabLst>
              <a:tab pos="180975" algn="l"/>
            </a:tabLst>
          </a:pPr>
          <a:r>
            <a:rPr lang="pt-PT">
              <a:solidFill>
                <a:srgbClr val="415263"/>
              </a:solidFill>
              <a:latin typeface="Arial" charset="0"/>
            </a:rPr>
            <a:t>    - Associação patronal em que se encontra inscrita;</a:t>
          </a:r>
        </a:p>
        <a:p>
          <a:pPr algn="just">
            <a:spcAft>
              <a:spcPts val="600"/>
            </a:spcAft>
            <a:tabLst>
              <a:tab pos="180975" algn="l"/>
            </a:tabLst>
          </a:pPr>
          <a:r>
            <a:rPr lang="pt-PT">
              <a:solidFill>
                <a:srgbClr val="415263"/>
              </a:solidFill>
              <a:latin typeface="Arial" charset="0"/>
            </a:rPr>
            <a:t>    - Atividade principal da empresa a cinco dígitos segundo a CAE em vigor;</a:t>
          </a:r>
        </a:p>
        <a:p>
          <a:pPr algn="just">
            <a:spcAft>
              <a:spcPts val="600"/>
            </a:spcAft>
            <a:tabLst>
              <a:tab pos="180975" algn="l"/>
            </a:tabLst>
          </a:pPr>
          <a:r>
            <a:rPr lang="pt-PT">
              <a:solidFill>
                <a:srgbClr val="415263"/>
              </a:solidFill>
              <a:latin typeface="Arial" charset="0"/>
            </a:rPr>
            <a:t>    - Natureza jurídica;</a:t>
          </a:r>
        </a:p>
        <a:p>
          <a:pPr algn="just">
            <a:spcAft>
              <a:spcPts val="600"/>
            </a:spcAft>
            <a:tabLst>
              <a:tab pos="180975" algn="l"/>
            </a:tabLst>
          </a:pPr>
          <a:r>
            <a:rPr lang="pt-PT">
              <a:solidFill>
                <a:srgbClr val="415263"/>
              </a:solidFill>
              <a:latin typeface="Arial" charset="0"/>
            </a:rPr>
            <a:t>    - Ano de constituição da empresa;</a:t>
          </a:r>
        </a:p>
        <a:p>
          <a:pPr algn="just">
            <a:spcAft>
              <a:spcPts val="600"/>
            </a:spcAft>
            <a:tabLst>
              <a:tab pos="180975" algn="l"/>
            </a:tabLst>
          </a:pPr>
          <a:r>
            <a:rPr lang="pt-PT">
              <a:solidFill>
                <a:srgbClr val="415263"/>
              </a:solidFill>
              <a:latin typeface="Arial" charset="0"/>
            </a:rPr>
            <a:t>    - Número de pessoas ao serviço da empresa na última semana de Outubro;</a:t>
          </a:r>
        </a:p>
        <a:p>
          <a:pPr algn="just">
            <a:spcAft>
              <a:spcPts val="600"/>
            </a:spcAft>
            <a:tabLst>
              <a:tab pos="180975" algn="l"/>
            </a:tabLst>
          </a:pPr>
          <a:r>
            <a:rPr lang="pt-PT">
              <a:solidFill>
                <a:srgbClr val="415263"/>
              </a:solidFill>
              <a:latin typeface="Arial" charset="0"/>
            </a:rPr>
            <a:t>    - Capital Social;</a:t>
          </a:r>
        </a:p>
        <a:p>
          <a:pPr algn="just">
            <a:spcAft>
              <a:spcPts val="600"/>
            </a:spcAft>
            <a:tabLst>
              <a:tab pos="180975" algn="l"/>
            </a:tabLst>
          </a:pPr>
          <a:r>
            <a:rPr lang="pt-PT">
              <a:solidFill>
                <a:srgbClr val="415263"/>
              </a:solidFill>
              <a:latin typeface="Arial" charset="0"/>
            </a:rPr>
            <a:t>    - Volume de negócios referente ao exercício do ano anterior.</a:t>
          </a:r>
        </a:p>
        <a:p>
          <a:pPr algn="just">
            <a:spcAft>
              <a:spcPts val="600"/>
            </a:spcAft>
            <a:tabLst>
              <a:tab pos="180975" algn="l"/>
            </a:tabLst>
          </a:pPr>
          <a:r>
            <a:rPr lang="pt-PT" b="1">
              <a:solidFill>
                <a:srgbClr val="415263"/>
              </a:solidFill>
              <a:latin typeface="Arial" charset="0"/>
            </a:rPr>
            <a:t>Atividade Principal da Empresa</a:t>
          </a:r>
          <a:r>
            <a:rPr lang="pt-PT">
              <a:solidFill>
                <a:srgbClr val="415263"/>
              </a:solidFill>
              <a:latin typeface="Arial" charset="0"/>
            </a:rPr>
            <a:t> - atividade de acordo com a Classificação Portuguesa das Atividades Económicas em vigor. É considerada a atividade de maior importância, no conjunto das atividades exercidas pela empresa, medida pelo valor a preços de venda dos produtos vendidos ou fabricados ou dos serviços prestados. Na impossibilidade da sua determinação por este critério, considera-se como principal a que ocupa, com carácter de permanência, o maior número de pessoas ao serviço.</a:t>
          </a:r>
        </a:p>
        <a:p>
          <a:pPr algn="just">
            <a:spcAft>
              <a:spcPts val="600"/>
            </a:spcAft>
            <a:tabLst>
              <a:tab pos="180975" algn="l"/>
            </a:tabLst>
          </a:pPr>
          <a:r>
            <a:rPr lang="pt-PT" b="1">
              <a:solidFill>
                <a:srgbClr val="415263"/>
              </a:solidFill>
              <a:latin typeface="Arial" charset="0"/>
            </a:rPr>
            <a:t>Estabelecimento</a:t>
          </a:r>
          <a:r>
            <a:rPr lang="pt-PT">
              <a:solidFill>
                <a:srgbClr val="415263"/>
              </a:solidFill>
              <a:latin typeface="Arial" charset="0"/>
            </a:rPr>
            <a:t> - unidade económica que, sob um único regime de propriedade ou de controlo (quer dizer, sob a autoridade de uma só entidade jurídica), exerce, exclusiva ou principalmente, um só tipo de atividade económica, num só local.</a:t>
          </a:r>
        </a:p>
        <a:p>
          <a:pPr algn="just">
            <a:spcAft>
              <a:spcPts val="600"/>
            </a:spcAft>
            <a:tabLst>
              <a:tab pos="180975" algn="l"/>
            </a:tabLst>
          </a:pPr>
          <a:r>
            <a:rPr lang="pt-PT">
              <a:solidFill>
                <a:srgbClr val="415263"/>
              </a:solidFill>
              <a:latin typeface="Arial" charset="0"/>
            </a:rPr>
            <a:t>Unidade local ou estabelecimento corresponde a uma empresa ou parte de empresa situada num local topograficamente identificado. Nesse local, ou a partir dele exerce-se uma ou várias atividades económicas.</a:t>
          </a:r>
        </a:p>
        <a:p>
          <a:pPr algn="just">
            <a:spcAft>
              <a:spcPts val="600"/>
            </a:spcAft>
            <a:tabLst>
              <a:tab pos="180975" algn="l"/>
            </a:tabLst>
          </a:pPr>
          <a:r>
            <a:rPr lang="pt-PT">
              <a:solidFill>
                <a:srgbClr val="415263"/>
              </a:solidFill>
              <a:latin typeface="Arial" charset="0"/>
            </a:rPr>
            <a:t>A informação recolhida dos estabelecimentos, é fornecida ao GEP pela empresa sede e passa pela descrição de algumas características, nomeadamente: </a:t>
          </a:r>
        </a:p>
        <a:p>
          <a:pPr algn="just">
            <a:spcAft>
              <a:spcPts val="600"/>
            </a:spcAft>
            <a:tabLst>
              <a:tab pos="180975" algn="l"/>
            </a:tabLst>
          </a:pPr>
          <a:r>
            <a:rPr lang="pt-PT">
              <a:solidFill>
                <a:srgbClr val="415263"/>
              </a:solidFill>
              <a:latin typeface="Arial" charset="0"/>
            </a:rPr>
            <a:t>    - Identificação (nome diferente ou igual ao da empresa);</a:t>
          </a:r>
        </a:p>
        <a:p>
          <a:pPr algn="just">
            <a:spcAft>
              <a:spcPts val="600"/>
            </a:spcAft>
            <a:tabLst>
              <a:tab pos="180975" algn="l"/>
            </a:tabLst>
          </a:pPr>
          <a:r>
            <a:rPr lang="pt-PT">
              <a:solidFill>
                <a:srgbClr val="415263"/>
              </a:solidFill>
              <a:latin typeface="Arial" charset="0"/>
            </a:rPr>
            <a:t>    - Localização do estabelecimento e contactos (endereço postal completo da sede da empresa, distrito, concelho, 	freguesia, telefone, fax e correio eletrónico);</a:t>
          </a:r>
        </a:p>
        <a:p>
          <a:pPr algn="just">
            <a:spcAft>
              <a:spcPts val="600"/>
            </a:spcAft>
            <a:tabLst>
              <a:tab pos="180975" algn="l"/>
            </a:tabLst>
          </a:pPr>
          <a:r>
            <a:rPr lang="pt-PT">
              <a:solidFill>
                <a:srgbClr val="415263"/>
              </a:solidFill>
              <a:latin typeface="Arial" charset="0"/>
            </a:rPr>
            <a:t>    - Atividade principal do estabelecimento a cinco dígitos segundo a CAE em vigor;</a:t>
          </a:r>
        </a:p>
        <a:p>
          <a:pPr algn="just">
            <a:spcAft>
              <a:spcPts val="600"/>
            </a:spcAft>
            <a:tabLst>
              <a:tab pos="180975" algn="l"/>
            </a:tabLst>
          </a:pPr>
          <a:r>
            <a:rPr lang="pt-PT">
              <a:solidFill>
                <a:srgbClr val="415263"/>
              </a:solidFill>
              <a:latin typeface="Arial" charset="0"/>
            </a:rPr>
            <a:t>    - Número de pessoas ao serviço no estabelecimento na última semana de outubro.</a:t>
          </a:r>
        </a:p>
        <a:p>
          <a:pPr algn="just">
            <a:spcAft>
              <a:spcPts val="600"/>
            </a:spcAft>
            <a:tabLst>
              <a:tab pos="180975" algn="l"/>
            </a:tabLst>
          </a:pPr>
          <a:r>
            <a:rPr lang="pt-PT" b="1">
              <a:solidFill>
                <a:srgbClr val="415263"/>
              </a:solidFill>
              <a:latin typeface="Arial" charset="0"/>
            </a:rPr>
            <a:t>Instrumento de regulamentação coletiva de trabalho (IRCT):</a:t>
          </a:r>
          <a:r>
            <a:rPr lang="pt-PT">
              <a:solidFill>
                <a:srgbClr val="415263"/>
              </a:solidFill>
              <a:latin typeface="Arial" charset="0"/>
            </a:rPr>
            <a:t> conjunto de normas reguladoras das relações de trabalho de natureza convencional, arbitral ou regulamentar. Pode ser: </a:t>
          </a:r>
        </a:p>
        <a:p>
          <a:pPr algn="just">
            <a:spcAft>
              <a:spcPts val="600"/>
            </a:spcAft>
            <a:tabLst>
              <a:tab pos="180975" algn="l"/>
            </a:tabLst>
          </a:pPr>
          <a:r>
            <a:rPr lang="pt-PT" b="1">
              <a:solidFill>
                <a:srgbClr val="415263"/>
              </a:solidFill>
              <a:latin typeface="Arial" charset="0"/>
            </a:rPr>
            <a:t>	Contrato coletivo de trabalho (CCT):</a:t>
          </a:r>
          <a:r>
            <a:rPr lang="pt-PT">
              <a:solidFill>
                <a:srgbClr val="415263"/>
              </a:solidFill>
              <a:latin typeface="Arial" charset="0"/>
            </a:rPr>
            <a:t> conjunto de normas reguladoras das relações de trabalho resultante de 	acordo entre uma ou mais associações de empregadores e uma ou mais associações sindicais;</a:t>
          </a:r>
        </a:p>
        <a:p>
          <a:pPr algn="just">
            <a:spcAft>
              <a:spcPts val="600"/>
            </a:spcAft>
            <a:tabLst>
              <a:tab pos="180975" algn="l"/>
            </a:tabLst>
          </a:pPr>
          <a:r>
            <a:rPr lang="pt-PT" b="1">
              <a:solidFill>
                <a:srgbClr val="415263"/>
              </a:solidFill>
              <a:latin typeface="Arial" charset="0"/>
            </a:rPr>
            <a:t>	Acordo coletivo de trabalho (ACT):</a:t>
          </a:r>
          <a:r>
            <a:rPr lang="pt-PT">
              <a:solidFill>
                <a:srgbClr val="415263"/>
              </a:solidFill>
              <a:latin typeface="Arial" charset="0"/>
            </a:rPr>
            <a:t> conjunto de normas reguladoras das relações de trabalho resultante de 	acordo entre uma pluralidade de empregadores para diferentes empresas e uma ou mais associações sindicais;</a:t>
          </a:r>
        </a:p>
        <a:p>
          <a:pPr algn="just">
            <a:spcAft>
              <a:spcPts val="600"/>
            </a:spcAft>
            <a:tabLst>
              <a:tab pos="180975" algn="l"/>
            </a:tabLst>
          </a:pPr>
          <a:r>
            <a:rPr lang="pt-PT">
              <a:solidFill>
                <a:srgbClr val="415263"/>
              </a:solidFill>
              <a:latin typeface="Arial" charset="0"/>
            </a:rPr>
            <a:t>	</a:t>
          </a:r>
          <a:r>
            <a:rPr lang="pt-PT" b="1">
              <a:solidFill>
                <a:srgbClr val="415263"/>
              </a:solidFill>
              <a:latin typeface="Arial" charset="0"/>
            </a:rPr>
            <a:t>Acordo de empresa (AE):</a:t>
          </a:r>
          <a:r>
            <a:rPr lang="pt-PT">
              <a:solidFill>
                <a:srgbClr val="415263"/>
              </a:solidFill>
              <a:latin typeface="Arial" charset="0"/>
            </a:rPr>
            <a:t> conjunto de normas reguladoras das relações de trabalho resultante de acordo entre 	um empregador para uma empresa ou estabelecimento e uma ou mais associações sindicais;</a:t>
          </a:r>
        </a:p>
        <a:p>
          <a:pPr algn="just">
            <a:spcAft>
              <a:spcPts val="600"/>
            </a:spcAft>
            <a:tabLst>
              <a:tab pos="180975" algn="l"/>
            </a:tabLst>
          </a:pPr>
          <a:r>
            <a:rPr lang="pt-PT" b="1">
              <a:solidFill>
                <a:srgbClr val="415263"/>
              </a:solidFill>
              <a:latin typeface="Arial" charset="0"/>
              <a:cs typeface="Arial" charset="0"/>
            </a:rPr>
            <a:t>	Portaria de condições de trabalho (PCT) </a:t>
          </a:r>
          <a:r>
            <a:rPr lang="pt-PT">
              <a:solidFill>
                <a:srgbClr val="415263"/>
              </a:solidFill>
              <a:latin typeface="Arial" charset="0"/>
              <a:cs typeface="Arial" charset="0"/>
            </a:rPr>
            <a:t>- portaria que contém as normas reguladoras das condições de 	trabalho no seu âmbito de aplicação. </a:t>
          </a:r>
        </a:p>
        <a:p>
          <a:pPr algn="just">
            <a:spcAft>
              <a:spcPts val="600"/>
            </a:spcAft>
            <a:tabLst>
              <a:tab pos="180975" algn="l"/>
            </a:tabLst>
          </a:pPr>
          <a:r>
            <a:rPr lang="pt-PT" b="1">
              <a:solidFill>
                <a:srgbClr val="415263"/>
              </a:solidFill>
              <a:latin typeface="Arial" charset="0"/>
              <a:cs typeface="Arial" charset="0"/>
            </a:rPr>
            <a:t>	</a:t>
          </a:r>
          <a:endParaRPr lang="pt-PT">
            <a:solidFill>
              <a:srgbClr val="415263"/>
            </a:solidFill>
            <a:latin typeface="Arial" charset="0"/>
            <a:cs typeface="Arial" charset="0"/>
          </a:endParaRPr>
        </a:p>
      </xdr:txBody>
    </xdr:sp>
    <xdr:clientData/>
  </xdr:twoCellAnchor>
  <xdr:twoCellAnchor editAs="absolute">
    <xdr:from>
      <xdr:col>8</xdr:col>
      <xdr:colOff>371475</xdr:colOff>
      <xdr:row>0</xdr:row>
      <xdr:rowOff>76200</xdr:rowOff>
    </xdr:from>
    <xdr:to>
      <xdr:col>9</xdr:col>
      <xdr:colOff>590550</xdr:colOff>
      <xdr:row>2</xdr:row>
      <xdr:rowOff>19050</xdr:rowOff>
    </xdr:to>
    <xdr:pic>
      <xdr:nvPicPr>
        <xdr:cNvPr id="5" name="Picture 1">
          <a:hlinkClick xmlns:r="http://schemas.openxmlformats.org/officeDocument/2006/relationships" r:id="rId1"/>
          <a:extLst>
            <a:ext uri="{FF2B5EF4-FFF2-40B4-BE49-F238E27FC236}">
              <a16:creationId xmlns:a16="http://schemas.microsoft.com/office/drawing/2014/main" id="{00000000-0008-0000-49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248275" y="76200"/>
          <a:ext cx="828675" cy="266700"/>
        </a:xfrm>
        <a:prstGeom prst="rect">
          <a:avLst/>
        </a:prstGeom>
        <a:noFill/>
        <a:ln w="1">
          <a:noFill/>
          <a:miter lim="800000"/>
          <a:headEnd/>
          <a:tailEnd type="none" w="med" len="med"/>
        </a:ln>
        <a:effectLst/>
      </xdr:spPr>
    </xdr:pic>
    <xdr:clientData fPrintsWithSheet="0"/>
  </xdr:twoCellAnchor>
</xdr:wsDr>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439738</xdr:colOff>
      <xdr:row>1</xdr:row>
      <xdr:rowOff>152400</xdr:rowOff>
    </xdr:to>
    <xdr:sp macro="" textlink="">
      <xdr:nvSpPr>
        <xdr:cNvPr id="2" name="Rectangle 17">
          <a:extLst>
            <a:ext uri="{FF2B5EF4-FFF2-40B4-BE49-F238E27FC236}">
              <a16:creationId xmlns:a16="http://schemas.microsoft.com/office/drawing/2014/main" id="{00000000-0008-0000-4A00-000002000000}"/>
            </a:ext>
          </a:extLst>
        </xdr:cNvPr>
        <xdr:cNvSpPr>
          <a:spLocks noChangeArrowheads="1"/>
        </xdr:cNvSpPr>
      </xdr:nvSpPr>
      <xdr:spPr bwMode="auto">
        <a:xfrm>
          <a:off x="0" y="0"/>
          <a:ext cx="1658938" cy="314325"/>
        </a:xfrm>
        <a:prstGeom prst="rect">
          <a:avLst/>
        </a:prstGeom>
        <a:solidFill>
          <a:srgbClr val="E1EAEF"/>
        </a:solidFill>
        <a:ln>
          <a:noFill/>
        </a:ln>
        <a:effectLst>
          <a:prstShdw prst="shdw17" dist="17961" dir="13500000">
            <a:srgbClr val="878C8F"/>
          </a:prstShdw>
        </a:effectLst>
        <a:extLst>
          <a:ext uri="{91240B29-F687-4F45-9708-019B960494DF}">
            <a14:hiddenLine xmlns:a14="http://schemas.microsoft.com/office/drawing/2010/main" w="28575" cap="rnd">
              <a:solidFill>
                <a:srgbClr val="000000"/>
              </a:solidFill>
              <a:prstDash val="sysDot"/>
              <a:miter lim="800000"/>
              <a:headEnd/>
              <a:tailEnd/>
            </a14:hiddenLine>
          </a:ext>
        </a:extLst>
      </xdr:spPr>
      <xdr:txBody>
        <a:bodyPr wrap="square" lIns="94515" tIns="47256" rIns="94515" bIns="47256" anchor="ctr"/>
        <a:lstStyle>
          <a:defPPr>
            <a:defRPr lang="en-US"/>
          </a:defPPr>
          <a:lvl1pPr algn="ctr" rtl="0" eaLnBrk="0" fontAlgn="base" hangingPunct="0">
            <a:spcBef>
              <a:spcPct val="0"/>
            </a:spcBef>
            <a:spcAft>
              <a:spcPct val="0"/>
            </a:spcAft>
            <a:defRPr sz="900" kern="1200">
              <a:solidFill>
                <a:schemeClr val="tx1"/>
              </a:solidFill>
              <a:latin typeface="Times New Roman" pitchFamily="18" charset="0"/>
              <a:ea typeface="+mn-ea"/>
              <a:cs typeface="+mn-cs"/>
            </a:defRPr>
          </a:lvl1pPr>
          <a:lvl2pPr marL="457200" algn="ctr" rtl="0" eaLnBrk="0" fontAlgn="base" hangingPunct="0">
            <a:spcBef>
              <a:spcPct val="0"/>
            </a:spcBef>
            <a:spcAft>
              <a:spcPct val="0"/>
            </a:spcAft>
            <a:defRPr sz="900" kern="1200">
              <a:solidFill>
                <a:schemeClr val="tx1"/>
              </a:solidFill>
              <a:latin typeface="Times New Roman" pitchFamily="18" charset="0"/>
              <a:ea typeface="+mn-ea"/>
              <a:cs typeface="+mn-cs"/>
            </a:defRPr>
          </a:lvl2pPr>
          <a:lvl3pPr marL="914400" algn="ctr" rtl="0" eaLnBrk="0" fontAlgn="base" hangingPunct="0">
            <a:spcBef>
              <a:spcPct val="0"/>
            </a:spcBef>
            <a:spcAft>
              <a:spcPct val="0"/>
            </a:spcAft>
            <a:defRPr sz="900" kern="1200">
              <a:solidFill>
                <a:schemeClr val="tx1"/>
              </a:solidFill>
              <a:latin typeface="Times New Roman" pitchFamily="18" charset="0"/>
              <a:ea typeface="+mn-ea"/>
              <a:cs typeface="+mn-cs"/>
            </a:defRPr>
          </a:lvl3pPr>
          <a:lvl4pPr marL="1371600" algn="ctr" rtl="0" eaLnBrk="0" fontAlgn="base" hangingPunct="0">
            <a:spcBef>
              <a:spcPct val="0"/>
            </a:spcBef>
            <a:spcAft>
              <a:spcPct val="0"/>
            </a:spcAft>
            <a:defRPr sz="900" kern="1200">
              <a:solidFill>
                <a:schemeClr val="tx1"/>
              </a:solidFill>
              <a:latin typeface="Times New Roman" pitchFamily="18" charset="0"/>
              <a:ea typeface="+mn-ea"/>
              <a:cs typeface="+mn-cs"/>
            </a:defRPr>
          </a:lvl4pPr>
          <a:lvl5pPr marL="1828800" algn="ctr" rtl="0" eaLnBrk="0" fontAlgn="base" hangingPunct="0">
            <a:spcBef>
              <a:spcPct val="0"/>
            </a:spcBef>
            <a:spcAft>
              <a:spcPct val="0"/>
            </a:spcAft>
            <a:defRPr sz="900" kern="1200">
              <a:solidFill>
                <a:schemeClr val="tx1"/>
              </a:solidFill>
              <a:latin typeface="Times New Roman" pitchFamily="18" charset="0"/>
              <a:ea typeface="+mn-ea"/>
              <a:cs typeface="+mn-cs"/>
            </a:defRPr>
          </a:lvl5pPr>
          <a:lvl6pPr marL="2286000" algn="l" defTabSz="914400" rtl="0" eaLnBrk="1" latinLnBrk="0" hangingPunct="1">
            <a:defRPr sz="900" kern="1200">
              <a:solidFill>
                <a:schemeClr val="tx1"/>
              </a:solidFill>
              <a:latin typeface="Times New Roman" pitchFamily="18" charset="0"/>
              <a:ea typeface="+mn-ea"/>
              <a:cs typeface="+mn-cs"/>
            </a:defRPr>
          </a:lvl6pPr>
          <a:lvl7pPr marL="2743200" algn="l" defTabSz="914400" rtl="0" eaLnBrk="1" latinLnBrk="0" hangingPunct="1">
            <a:defRPr sz="900" kern="1200">
              <a:solidFill>
                <a:schemeClr val="tx1"/>
              </a:solidFill>
              <a:latin typeface="Times New Roman" pitchFamily="18" charset="0"/>
              <a:ea typeface="+mn-ea"/>
              <a:cs typeface="+mn-cs"/>
            </a:defRPr>
          </a:lvl7pPr>
          <a:lvl8pPr marL="3200400" algn="l" defTabSz="914400" rtl="0" eaLnBrk="1" latinLnBrk="0" hangingPunct="1">
            <a:defRPr sz="900" kern="1200">
              <a:solidFill>
                <a:schemeClr val="tx1"/>
              </a:solidFill>
              <a:latin typeface="Times New Roman" pitchFamily="18" charset="0"/>
              <a:ea typeface="+mn-ea"/>
              <a:cs typeface="+mn-cs"/>
            </a:defRPr>
          </a:lvl8pPr>
          <a:lvl9pPr marL="3657600" algn="l" defTabSz="914400" rtl="0" eaLnBrk="1" latinLnBrk="0" hangingPunct="1">
            <a:defRPr sz="900" kern="1200">
              <a:solidFill>
                <a:schemeClr val="tx1"/>
              </a:solidFill>
              <a:latin typeface="Times New Roman" pitchFamily="18" charset="0"/>
              <a:ea typeface="+mn-ea"/>
              <a:cs typeface="+mn-cs"/>
            </a:defRPr>
          </a:lvl9pPr>
        </a:lstStyle>
        <a:p>
          <a:pPr algn="l" defTabSz="946150"/>
          <a:r>
            <a:rPr lang="en-US" sz="1200" b="1">
              <a:solidFill>
                <a:srgbClr val="842F36"/>
              </a:solidFill>
              <a:latin typeface="Arial" charset="0"/>
            </a:rPr>
            <a:t>Conceitos</a:t>
          </a:r>
          <a:endParaRPr lang="pt-PT" sz="1200" b="1">
            <a:solidFill>
              <a:srgbClr val="842F36"/>
            </a:solidFill>
            <a:latin typeface="Arial" charset="0"/>
          </a:endParaRPr>
        </a:p>
      </xdr:txBody>
    </xdr:sp>
    <xdr:clientData/>
  </xdr:twoCellAnchor>
  <xdr:twoCellAnchor>
    <xdr:from>
      <xdr:col>0</xdr:col>
      <xdr:colOff>2</xdr:colOff>
      <xdr:row>2</xdr:row>
      <xdr:rowOff>19050</xdr:rowOff>
    </xdr:from>
    <xdr:to>
      <xdr:col>9</xdr:col>
      <xdr:colOff>1038226</xdr:colOff>
      <xdr:row>30</xdr:row>
      <xdr:rowOff>0</xdr:rowOff>
    </xdr:to>
    <xdr:sp macro="" textlink="">
      <xdr:nvSpPr>
        <xdr:cNvPr id="3" name="Rectangle 12">
          <a:extLst>
            <a:ext uri="{FF2B5EF4-FFF2-40B4-BE49-F238E27FC236}">
              <a16:creationId xmlns:a16="http://schemas.microsoft.com/office/drawing/2014/main" id="{00000000-0008-0000-4A00-000003000000}"/>
            </a:ext>
          </a:extLst>
        </xdr:cNvPr>
        <xdr:cNvSpPr>
          <a:spLocks noChangeArrowheads="1"/>
        </xdr:cNvSpPr>
      </xdr:nvSpPr>
      <xdr:spPr bwMode="auto">
        <a:xfrm>
          <a:off x="2" y="342900"/>
          <a:ext cx="6867524" cy="4514850"/>
        </a:xfrm>
        <a:prstGeom prst="rect">
          <a:avLst/>
        </a:prstGeom>
        <a:noFill/>
        <a:ln>
          <a:noFill/>
        </a:ln>
        <a:effectLst>
          <a:outerShdw dist="563972" dir="14049741" sx="125000" sy="125000" algn="tl" rotWithShape="0">
            <a:srgbClr val="C7DFD3"/>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9050">
              <a:solidFill>
                <a:srgbClr val="000000"/>
              </a:solidFill>
              <a:miter lim="800000"/>
              <a:headEnd/>
              <a:tailEnd/>
            </a14:hiddenLine>
          </a:ext>
        </a:extLst>
      </xdr:spPr>
      <xdr:txBody>
        <a:bodyPr wrap="square" anchor="ctr">
          <a:noAutofit/>
        </a:bodyPr>
        <a:lstStyle>
          <a:defPPr>
            <a:defRPr lang="en-US"/>
          </a:defPPr>
          <a:lvl1pPr algn="ctr" rtl="0" eaLnBrk="0" fontAlgn="base" hangingPunct="0">
            <a:spcBef>
              <a:spcPct val="0"/>
            </a:spcBef>
            <a:spcAft>
              <a:spcPct val="0"/>
            </a:spcAft>
            <a:defRPr sz="900" kern="1200">
              <a:solidFill>
                <a:schemeClr val="tx1"/>
              </a:solidFill>
              <a:latin typeface="Times New Roman" pitchFamily="18" charset="0"/>
              <a:ea typeface="+mn-ea"/>
              <a:cs typeface="+mn-cs"/>
            </a:defRPr>
          </a:lvl1pPr>
          <a:lvl2pPr marL="457200" algn="ctr" rtl="0" eaLnBrk="0" fontAlgn="base" hangingPunct="0">
            <a:spcBef>
              <a:spcPct val="0"/>
            </a:spcBef>
            <a:spcAft>
              <a:spcPct val="0"/>
            </a:spcAft>
            <a:defRPr sz="900" kern="1200">
              <a:solidFill>
                <a:schemeClr val="tx1"/>
              </a:solidFill>
              <a:latin typeface="Times New Roman" pitchFamily="18" charset="0"/>
              <a:ea typeface="+mn-ea"/>
              <a:cs typeface="+mn-cs"/>
            </a:defRPr>
          </a:lvl2pPr>
          <a:lvl3pPr marL="914400" algn="ctr" rtl="0" eaLnBrk="0" fontAlgn="base" hangingPunct="0">
            <a:spcBef>
              <a:spcPct val="0"/>
            </a:spcBef>
            <a:spcAft>
              <a:spcPct val="0"/>
            </a:spcAft>
            <a:defRPr sz="900" kern="1200">
              <a:solidFill>
                <a:schemeClr val="tx1"/>
              </a:solidFill>
              <a:latin typeface="Times New Roman" pitchFamily="18" charset="0"/>
              <a:ea typeface="+mn-ea"/>
              <a:cs typeface="+mn-cs"/>
            </a:defRPr>
          </a:lvl3pPr>
          <a:lvl4pPr marL="1371600" algn="ctr" rtl="0" eaLnBrk="0" fontAlgn="base" hangingPunct="0">
            <a:spcBef>
              <a:spcPct val="0"/>
            </a:spcBef>
            <a:spcAft>
              <a:spcPct val="0"/>
            </a:spcAft>
            <a:defRPr sz="900" kern="1200">
              <a:solidFill>
                <a:schemeClr val="tx1"/>
              </a:solidFill>
              <a:latin typeface="Times New Roman" pitchFamily="18" charset="0"/>
              <a:ea typeface="+mn-ea"/>
              <a:cs typeface="+mn-cs"/>
            </a:defRPr>
          </a:lvl4pPr>
          <a:lvl5pPr marL="1828800" algn="ctr" rtl="0" eaLnBrk="0" fontAlgn="base" hangingPunct="0">
            <a:spcBef>
              <a:spcPct val="0"/>
            </a:spcBef>
            <a:spcAft>
              <a:spcPct val="0"/>
            </a:spcAft>
            <a:defRPr sz="900" kern="1200">
              <a:solidFill>
                <a:schemeClr val="tx1"/>
              </a:solidFill>
              <a:latin typeface="Times New Roman" pitchFamily="18" charset="0"/>
              <a:ea typeface="+mn-ea"/>
              <a:cs typeface="+mn-cs"/>
            </a:defRPr>
          </a:lvl5pPr>
          <a:lvl6pPr marL="2286000" algn="l" defTabSz="914400" rtl="0" eaLnBrk="1" latinLnBrk="0" hangingPunct="1">
            <a:defRPr sz="900" kern="1200">
              <a:solidFill>
                <a:schemeClr val="tx1"/>
              </a:solidFill>
              <a:latin typeface="Times New Roman" pitchFamily="18" charset="0"/>
              <a:ea typeface="+mn-ea"/>
              <a:cs typeface="+mn-cs"/>
            </a:defRPr>
          </a:lvl6pPr>
          <a:lvl7pPr marL="2743200" algn="l" defTabSz="914400" rtl="0" eaLnBrk="1" latinLnBrk="0" hangingPunct="1">
            <a:defRPr sz="900" kern="1200">
              <a:solidFill>
                <a:schemeClr val="tx1"/>
              </a:solidFill>
              <a:latin typeface="Times New Roman" pitchFamily="18" charset="0"/>
              <a:ea typeface="+mn-ea"/>
              <a:cs typeface="+mn-cs"/>
            </a:defRPr>
          </a:lvl7pPr>
          <a:lvl8pPr marL="3200400" algn="l" defTabSz="914400" rtl="0" eaLnBrk="1" latinLnBrk="0" hangingPunct="1">
            <a:defRPr sz="900" kern="1200">
              <a:solidFill>
                <a:schemeClr val="tx1"/>
              </a:solidFill>
              <a:latin typeface="Times New Roman" pitchFamily="18" charset="0"/>
              <a:ea typeface="+mn-ea"/>
              <a:cs typeface="+mn-cs"/>
            </a:defRPr>
          </a:lvl8pPr>
          <a:lvl9pPr marL="3657600" algn="l" defTabSz="914400" rtl="0" eaLnBrk="1" latinLnBrk="0" hangingPunct="1">
            <a:defRPr sz="900" kern="1200">
              <a:solidFill>
                <a:schemeClr val="tx1"/>
              </a:solidFill>
              <a:latin typeface="Times New Roman" pitchFamily="18" charset="0"/>
              <a:ea typeface="+mn-ea"/>
              <a:cs typeface="+mn-cs"/>
            </a:defRPr>
          </a:lvl9pPr>
        </a:lstStyle>
        <a:p>
          <a:pPr algn="just">
            <a:tabLst>
              <a:tab pos="180975" algn="l"/>
            </a:tabLst>
          </a:pPr>
          <a:r>
            <a:rPr lang="pt-PT" b="1">
              <a:solidFill>
                <a:srgbClr val="415263"/>
              </a:solidFill>
              <a:latin typeface="Arial" charset="0"/>
            </a:rPr>
            <a:t>Pessoas ao serviço</a:t>
          </a:r>
          <a:r>
            <a:rPr lang="pt-PT">
              <a:solidFill>
                <a:srgbClr val="415263"/>
              </a:solidFill>
              <a:latin typeface="Arial" charset="0"/>
            </a:rPr>
            <a:t> – número de pessoas ao serviço, independentemente do tipo de vínculo que possuem.</a:t>
          </a:r>
        </a:p>
        <a:p>
          <a:pPr algn="just">
            <a:tabLst>
              <a:tab pos="180975" algn="l"/>
            </a:tabLst>
          </a:pPr>
          <a:endParaRPr lang="pt-PT">
            <a:solidFill>
              <a:srgbClr val="415263"/>
            </a:solidFill>
            <a:latin typeface="Arial" charset="0"/>
          </a:endParaRPr>
        </a:p>
        <a:p>
          <a:pPr algn="just">
            <a:tabLst>
              <a:tab pos="180975" algn="l"/>
            </a:tabLst>
          </a:pPr>
          <a:r>
            <a:rPr lang="pt-PT">
              <a:solidFill>
                <a:srgbClr val="415263"/>
              </a:solidFill>
              <a:latin typeface="Arial" charset="0"/>
            </a:rPr>
            <a:t>As pessoas ao serviço englobam para além dos trabalhadores por conta de outrem, os empregadores desde que exerçam funções na empresa, os trabalhadores familiares não remunerados e os membros ativos de cooperativa de produção. </a:t>
          </a:r>
        </a:p>
        <a:p>
          <a:pPr algn="just">
            <a:tabLst>
              <a:tab pos="180975" algn="l"/>
            </a:tabLst>
          </a:pPr>
          <a:endParaRPr lang="pt-PT">
            <a:solidFill>
              <a:srgbClr val="415263"/>
            </a:solidFill>
            <a:latin typeface="Arial" charset="0"/>
          </a:endParaRPr>
        </a:p>
        <a:p>
          <a:pPr algn="just">
            <a:spcAft>
              <a:spcPts val="600"/>
            </a:spcAft>
            <a:tabLst>
              <a:tab pos="180975" algn="l"/>
            </a:tabLst>
          </a:pPr>
          <a:r>
            <a:rPr lang="pt-PT">
              <a:solidFill>
                <a:srgbClr val="415263"/>
              </a:solidFill>
              <a:latin typeface="Arial" charset="0"/>
            </a:rPr>
            <a:t>A informação das pessoas ao serviço é recolhida por estabelecimento, sendo fornecida ao GEP pela empresa sede e passa pela descrição de algumas características, nomeadamente: </a:t>
          </a:r>
        </a:p>
        <a:p>
          <a:pPr algn="just">
            <a:spcAft>
              <a:spcPts val="600"/>
            </a:spcAft>
            <a:tabLst>
              <a:tab pos="180975" algn="l"/>
            </a:tabLst>
          </a:pPr>
          <a:r>
            <a:rPr lang="pt-PT">
              <a:solidFill>
                <a:srgbClr val="415263"/>
              </a:solidFill>
              <a:latin typeface="Arial" charset="0"/>
            </a:rPr>
            <a:t>    - Data de Nascimento, Antiguidade, Data de Admissão, Data da Última Promoção, Nível de Qualificação, Nível de 	Habilitação, Profissão, Sexo, Nacionalidade, Categoria Profissional, Situação Profissional, Tipo de Contrato e Regime de Duração de Trabalho;</a:t>
          </a:r>
        </a:p>
        <a:p>
          <a:pPr algn="just">
            <a:spcAft>
              <a:spcPts val="600"/>
            </a:spcAft>
            <a:tabLst>
              <a:tab pos="180975" algn="l"/>
            </a:tabLst>
          </a:pPr>
          <a:r>
            <a:rPr lang="pt-PT">
              <a:solidFill>
                <a:srgbClr val="415263"/>
              </a:solidFill>
              <a:latin typeface="Arial" charset="0"/>
            </a:rPr>
            <a:t>    - Remunerações referentes ao mês de outubro (remuneração base, prémios e subsídios regulares, remuneração por trabalho suplementar e prestações irregulares pagas em outubro);</a:t>
          </a:r>
        </a:p>
        <a:p>
          <a:pPr algn="just">
            <a:spcAft>
              <a:spcPts val="600"/>
            </a:spcAft>
            <a:tabLst>
              <a:tab pos="180975" algn="l"/>
            </a:tabLst>
          </a:pPr>
          <a:r>
            <a:rPr lang="pt-PT">
              <a:solidFill>
                <a:srgbClr val="415263"/>
              </a:solidFill>
              <a:latin typeface="Arial" charset="0"/>
            </a:rPr>
            <a:t>    - Horas mensais remuneradas (horas mensais normais, horas mensais suplementares efetuadas em outubro) e 	período normal de trabalho semanal.</a:t>
          </a:r>
          <a:endParaRPr lang="pt-PT" b="1">
            <a:solidFill>
              <a:srgbClr val="415263"/>
            </a:solidFill>
            <a:latin typeface="Arial" charset="0"/>
          </a:endParaRPr>
        </a:p>
        <a:p>
          <a:pPr algn="just">
            <a:spcAft>
              <a:spcPts val="600"/>
            </a:spcAft>
            <a:tabLst>
              <a:tab pos="180975" algn="l"/>
            </a:tabLst>
          </a:pPr>
          <a:r>
            <a:rPr lang="pt-PT" b="1">
              <a:solidFill>
                <a:srgbClr val="415263"/>
              </a:solidFill>
              <a:latin typeface="Arial" charset="0"/>
            </a:rPr>
            <a:t>Trabalhador por conta de outrem (TCO) -</a:t>
          </a:r>
          <a:r>
            <a:rPr lang="pt-PT">
              <a:solidFill>
                <a:srgbClr val="415263"/>
              </a:solidFill>
              <a:latin typeface="Arial" charset="0"/>
            </a:rPr>
            <a:t> indivíduo que exerce uma atividade sob a autoridade e direção de outrem, nos termos de um contrato de trabalho, sujeito ou não a uma forma escrita e que lhe confere o direito a uma remuneração, a qual não depende dos resultados da unidade económica para a qual trabalha. </a:t>
          </a:r>
          <a:endParaRPr lang="pt-PT" b="1">
            <a:solidFill>
              <a:srgbClr val="415263"/>
            </a:solidFill>
            <a:latin typeface="Arial" charset="0"/>
          </a:endParaRPr>
        </a:p>
        <a:p>
          <a:pPr algn="just">
            <a:spcAft>
              <a:spcPts val="600"/>
            </a:spcAft>
            <a:tabLst>
              <a:tab pos="180975" algn="l"/>
            </a:tabLst>
          </a:pPr>
          <a:r>
            <a:rPr lang="pt-PT" b="1">
              <a:solidFill>
                <a:srgbClr val="415263"/>
              </a:solidFill>
              <a:latin typeface="Arial" charset="0"/>
            </a:rPr>
            <a:t>Remuneração Base</a:t>
          </a:r>
          <a:r>
            <a:rPr lang="pt-PT">
              <a:solidFill>
                <a:srgbClr val="415263"/>
              </a:solidFill>
              <a:latin typeface="Arial" charset="0"/>
            </a:rPr>
            <a:t> - montante ilíquido (antes da dedução de quaisquer descontos) em dinheiro e/ou géneros pago aos trabalhadores, com carácter regular mensal, referente ao mês de outubro e correspondente às horas normais de trabalho.</a:t>
          </a:r>
          <a:endParaRPr lang="pt-PT" b="1">
            <a:solidFill>
              <a:srgbClr val="415263"/>
            </a:solidFill>
            <a:latin typeface="Arial" charset="0"/>
          </a:endParaRPr>
        </a:p>
        <a:p>
          <a:pPr algn="just">
            <a:spcAft>
              <a:spcPts val="600"/>
            </a:spcAft>
            <a:tabLst>
              <a:tab pos="180975" algn="l"/>
            </a:tabLst>
          </a:pPr>
          <a:r>
            <a:rPr lang="pt-PT" b="1">
              <a:solidFill>
                <a:srgbClr val="415263"/>
              </a:solidFill>
              <a:latin typeface="Arial" charset="0"/>
            </a:rPr>
            <a:t>Remuneração Ganho -</a:t>
          </a:r>
          <a:r>
            <a:rPr lang="pt-PT">
              <a:solidFill>
                <a:srgbClr val="415263"/>
              </a:solidFill>
              <a:latin typeface="Arial" charset="0"/>
            </a:rPr>
            <a:t> montante ilíquido em dinheiro e/ou géneros, pago ao trabalhador com carácter regular em relação ao período de referência por tempo trabalhado ou trabalho fornecido no período normal e extraordinário. Inclui, ainda, o pagamento de horas remuneradas mas não efetuadas (férias, feriados, e outras ausências pagas).</a:t>
          </a:r>
          <a:r>
            <a:rPr lang="pt-PT" b="1" baseline="0">
              <a:solidFill>
                <a:srgbClr val="415263"/>
              </a:solidFill>
              <a:latin typeface="Arial" charset="0"/>
            </a:rPr>
            <a:t> </a:t>
          </a:r>
          <a:r>
            <a:rPr lang="pt-PT" b="0">
              <a:solidFill>
                <a:srgbClr val="415263"/>
              </a:solidFill>
              <a:latin typeface="Arial" charset="0"/>
            </a:rPr>
            <a:t>Remuneração Ganho </a:t>
          </a:r>
          <a:r>
            <a:rPr lang="pt-PT">
              <a:solidFill>
                <a:srgbClr val="415263"/>
              </a:solidFill>
              <a:latin typeface="Arial" charset="0"/>
            </a:rPr>
            <a:t>= Remuneração Base + Subsídio de refeição + subsídio por turnos + Outros Prémios e Subsídios Regulares + Remuneração de horas suplementares efetuadas em outubro.</a:t>
          </a:r>
        </a:p>
        <a:p>
          <a:pPr algn="just">
            <a:spcAft>
              <a:spcPts val="600"/>
            </a:spcAft>
            <a:tabLst>
              <a:tab pos="180975" algn="l"/>
            </a:tabLst>
          </a:pPr>
          <a:r>
            <a:rPr lang="pt-PT" b="1">
              <a:solidFill>
                <a:srgbClr val="415263"/>
              </a:solidFill>
              <a:latin typeface="Arial" charset="0"/>
            </a:rPr>
            <a:t>Prémios e subsídios regulares</a:t>
          </a:r>
          <a:r>
            <a:rPr lang="pt-PT" b="1" baseline="0">
              <a:solidFill>
                <a:srgbClr val="415263"/>
              </a:solidFill>
              <a:latin typeface="Arial" charset="0"/>
            </a:rPr>
            <a:t> - </a:t>
          </a:r>
          <a:r>
            <a:rPr lang="pt-PT">
              <a:solidFill>
                <a:srgbClr val="415263"/>
              </a:solidFill>
              <a:latin typeface="Arial" charset="0"/>
            </a:rPr>
            <a:t> montante ilíquido pago às pessoas ao serviço, com carácter regular mensal, por subsídio de alimentação, de função, de alojamento ou transporte, diuturnidades ou prémios de antiguidade, de produtividade, de assiduidade, subsídios por trabalhos penosos, perigosos ou sujos, subsídios por trabalho de turnos e noturnos. Exclui os montantes relativos a retroativos, indemnizações, subsídios de Natal ou férias.</a:t>
          </a:r>
        </a:p>
      </xdr:txBody>
    </xdr:sp>
    <xdr:clientData/>
  </xdr:twoCellAnchor>
  <xdr:twoCellAnchor editAs="absolute">
    <xdr:from>
      <xdr:col>9</xdr:col>
      <xdr:colOff>276225</xdr:colOff>
      <xdr:row>0</xdr:row>
      <xdr:rowOff>123825</xdr:rowOff>
    </xdr:from>
    <xdr:to>
      <xdr:col>10</xdr:col>
      <xdr:colOff>0</xdr:colOff>
      <xdr:row>2</xdr:row>
      <xdr:rowOff>66675</xdr:rowOff>
    </xdr:to>
    <xdr:pic>
      <xdr:nvPicPr>
        <xdr:cNvPr id="4" name="Picture 1">
          <a:hlinkClick xmlns:r="http://schemas.openxmlformats.org/officeDocument/2006/relationships" r:id="rId1"/>
          <a:extLst>
            <a:ext uri="{FF2B5EF4-FFF2-40B4-BE49-F238E27FC236}">
              <a16:creationId xmlns:a16="http://schemas.microsoft.com/office/drawing/2014/main" id="{00000000-0008-0000-4A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105525" y="123825"/>
          <a:ext cx="866775" cy="266700"/>
        </a:xfrm>
        <a:prstGeom prst="rect">
          <a:avLst/>
        </a:prstGeom>
        <a:noFill/>
        <a:ln w="1">
          <a:noFill/>
          <a:miter lim="800000"/>
          <a:headEnd/>
          <a:tailEnd type="none" w="med" len="med"/>
        </a:ln>
        <a:effectLst/>
      </xdr:spPr>
    </xdr:pic>
    <xdr:clientData fPrintsWithSheet="0"/>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438150</xdr:colOff>
      <xdr:row>1</xdr:row>
      <xdr:rowOff>152400</xdr:rowOff>
    </xdr:to>
    <xdr:sp macro="" textlink="">
      <xdr:nvSpPr>
        <xdr:cNvPr id="2" name="Rectangle 16">
          <a:extLst>
            <a:ext uri="{FF2B5EF4-FFF2-40B4-BE49-F238E27FC236}">
              <a16:creationId xmlns:a16="http://schemas.microsoft.com/office/drawing/2014/main" id="{00000000-0008-0000-4B00-000002000000}"/>
            </a:ext>
          </a:extLst>
        </xdr:cNvPr>
        <xdr:cNvSpPr>
          <a:spLocks noChangeArrowheads="1"/>
        </xdr:cNvSpPr>
      </xdr:nvSpPr>
      <xdr:spPr bwMode="auto">
        <a:xfrm>
          <a:off x="0" y="0"/>
          <a:ext cx="1657350" cy="314325"/>
        </a:xfrm>
        <a:prstGeom prst="rect">
          <a:avLst/>
        </a:prstGeom>
        <a:solidFill>
          <a:srgbClr val="E1EAEF"/>
        </a:solidFill>
        <a:ln>
          <a:noFill/>
        </a:ln>
        <a:effectLst>
          <a:prstShdw prst="shdw17" dist="17961" dir="13500000">
            <a:srgbClr val="878C8F"/>
          </a:prstShdw>
        </a:effectLst>
        <a:extLst>
          <a:ext uri="{91240B29-F687-4F45-9708-019B960494DF}">
            <a14:hiddenLine xmlns:a14="http://schemas.microsoft.com/office/drawing/2010/main" w="28575" cap="rnd">
              <a:solidFill>
                <a:srgbClr val="000000"/>
              </a:solidFill>
              <a:prstDash val="sysDot"/>
              <a:miter lim="800000"/>
              <a:headEnd/>
              <a:tailEnd/>
            </a14:hiddenLine>
          </a:ext>
        </a:extLst>
      </xdr:spPr>
      <xdr:txBody>
        <a:bodyPr wrap="square" lIns="94515" tIns="47256" rIns="94515" bIns="47256" anchor="ctr"/>
        <a:lstStyle>
          <a:defPPr>
            <a:defRPr lang="en-US"/>
          </a:defPPr>
          <a:lvl1pPr algn="ctr" rtl="0" eaLnBrk="0" fontAlgn="base" hangingPunct="0">
            <a:spcBef>
              <a:spcPct val="0"/>
            </a:spcBef>
            <a:spcAft>
              <a:spcPct val="0"/>
            </a:spcAft>
            <a:defRPr sz="900" kern="1200">
              <a:solidFill>
                <a:schemeClr val="tx1"/>
              </a:solidFill>
              <a:latin typeface="Times New Roman" pitchFamily="18" charset="0"/>
              <a:ea typeface="+mn-ea"/>
              <a:cs typeface="+mn-cs"/>
            </a:defRPr>
          </a:lvl1pPr>
          <a:lvl2pPr marL="457200" algn="ctr" rtl="0" eaLnBrk="0" fontAlgn="base" hangingPunct="0">
            <a:spcBef>
              <a:spcPct val="0"/>
            </a:spcBef>
            <a:spcAft>
              <a:spcPct val="0"/>
            </a:spcAft>
            <a:defRPr sz="900" kern="1200">
              <a:solidFill>
                <a:schemeClr val="tx1"/>
              </a:solidFill>
              <a:latin typeface="Times New Roman" pitchFamily="18" charset="0"/>
              <a:ea typeface="+mn-ea"/>
              <a:cs typeface="+mn-cs"/>
            </a:defRPr>
          </a:lvl2pPr>
          <a:lvl3pPr marL="914400" algn="ctr" rtl="0" eaLnBrk="0" fontAlgn="base" hangingPunct="0">
            <a:spcBef>
              <a:spcPct val="0"/>
            </a:spcBef>
            <a:spcAft>
              <a:spcPct val="0"/>
            </a:spcAft>
            <a:defRPr sz="900" kern="1200">
              <a:solidFill>
                <a:schemeClr val="tx1"/>
              </a:solidFill>
              <a:latin typeface="Times New Roman" pitchFamily="18" charset="0"/>
              <a:ea typeface="+mn-ea"/>
              <a:cs typeface="+mn-cs"/>
            </a:defRPr>
          </a:lvl3pPr>
          <a:lvl4pPr marL="1371600" algn="ctr" rtl="0" eaLnBrk="0" fontAlgn="base" hangingPunct="0">
            <a:spcBef>
              <a:spcPct val="0"/>
            </a:spcBef>
            <a:spcAft>
              <a:spcPct val="0"/>
            </a:spcAft>
            <a:defRPr sz="900" kern="1200">
              <a:solidFill>
                <a:schemeClr val="tx1"/>
              </a:solidFill>
              <a:latin typeface="Times New Roman" pitchFamily="18" charset="0"/>
              <a:ea typeface="+mn-ea"/>
              <a:cs typeface="+mn-cs"/>
            </a:defRPr>
          </a:lvl4pPr>
          <a:lvl5pPr marL="1828800" algn="ctr" rtl="0" eaLnBrk="0" fontAlgn="base" hangingPunct="0">
            <a:spcBef>
              <a:spcPct val="0"/>
            </a:spcBef>
            <a:spcAft>
              <a:spcPct val="0"/>
            </a:spcAft>
            <a:defRPr sz="900" kern="1200">
              <a:solidFill>
                <a:schemeClr val="tx1"/>
              </a:solidFill>
              <a:latin typeface="Times New Roman" pitchFamily="18" charset="0"/>
              <a:ea typeface="+mn-ea"/>
              <a:cs typeface="+mn-cs"/>
            </a:defRPr>
          </a:lvl5pPr>
          <a:lvl6pPr marL="2286000" algn="l" defTabSz="914400" rtl="0" eaLnBrk="1" latinLnBrk="0" hangingPunct="1">
            <a:defRPr sz="900" kern="1200">
              <a:solidFill>
                <a:schemeClr val="tx1"/>
              </a:solidFill>
              <a:latin typeface="Times New Roman" pitchFamily="18" charset="0"/>
              <a:ea typeface="+mn-ea"/>
              <a:cs typeface="+mn-cs"/>
            </a:defRPr>
          </a:lvl6pPr>
          <a:lvl7pPr marL="2743200" algn="l" defTabSz="914400" rtl="0" eaLnBrk="1" latinLnBrk="0" hangingPunct="1">
            <a:defRPr sz="900" kern="1200">
              <a:solidFill>
                <a:schemeClr val="tx1"/>
              </a:solidFill>
              <a:latin typeface="Times New Roman" pitchFamily="18" charset="0"/>
              <a:ea typeface="+mn-ea"/>
              <a:cs typeface="+mn-cs"/>
            </a:defRPr>
          </a:lvl7pPr>
          <a:lvl8pPr marL="3200400" algn="l" defTabSz="914400" rtl="0" eaLnBrk="1" latinLnBrk="0" hangingPunct="1">
            <a:defRPr sz="900" kern="1200">
              <a:solidFill>
                <a:schemeClr val="tx1"/>
              </a:solidFill>
              <a:latin typeface="Times New Roman" pitchFamily="18" charset="0"/>
              <a:ea typeface="+mn-ea"/>
              <a:cs typeface="+mn-cs"/>
            </a:defRPr>
          </a:lvl8pPr>
          <a:lvl9pPr marL="3657600" algn="l" defTabSz="914400" rtl="0" eaLnBrk="1" latinLnBrk="0" hangingPunct="1">
            <a:defRPr sz="900" kern="1200">
              <a:solidFill>
                <a:schemeClr val="tx1"/>
              </a:solidFill>
              <a:latin typeface="Times New Roman" pitchFamily="18" charset="0"/>
              <a:ea typeface="+mn-ea"/>
              <a:cs typeface="+mn-cs"/>
            </a:defRPr>
          </a:lvl9pPr>
        </a:lstStyle>
        <a:p>
          <a:pPr algn="l" defTabSz="946150"/>
          <a:r>
            <a:rPr lang="en-US" sz="1200" b="1">
              <a:solidFill>
                <a:srgbClr val="842F36"/>
              </a:solidFill>
              <a:latin typeface="Arial" charset="0"/>
            </a:rPr>
            <a:t>Nomenclaturas</a:t>
          </a:r>
          <a:endParaRPr lang="pt-PT" sz="1200" b="1">
            <a:solidFill>
              <a:srgbClr val="842F36"/>
            </a:solidFill>
            <a:latin typeface="Arial" charset="0"/>
          </a:endParaRPr>
        </a:p>
      </xdr:txBody>
    </xdr:sp>
    <xdr:clientData/>
  </xdr:twoCellAnchor>
  <xdr:twoCellAnchor>
    <xdr:from>
      <xdr:col>0</xdr:col>
      <xdr:colOff>0</xdr:colOff>
      <xdr:row>2</xdr:row>
      <xdr:rowOff>161924</xdr:rowOff>
    </xdr:from>
    <xdr:to>
      <xdr:col>10</xdr:col>
      <xdr:colOff>25400</xdr:colOff>
      <xdr:row>52</xdr:row>
      <xdr:rowOff>0</xdr:rowOff>
    </xdr:to>
    <xdr:sp macro="" textlink="">
      <xdr:nvSpPr>
        <xdr:cNvPr id="3" name="Rectangle 13">
          <a:extLst>
            <a:ext uri="{FF2B5EF4-FFF2-40B4-BE49-F238E27FC236}">
              <a16:creationId xmlns:a16="http://schemas.microsoft.com/office/drawing/2014/main" id="{00000000-0008-0000-4B00-000003000000}"/>
            </a:ext>
          </a:extLst>
        </xdr:cNvPr>
        <xdr:cNvSpPr>
          <a:spLocks noChangeArrowheads="1"/>
        </xdr:cNvSpPr>
      </xdr:nvSpPr>
      <xdr:spPr bwMode="auto">
        <a:xfrm>
          <a:off x="0" y="485774"/>
          <a:ext cx="6121400" cy="4314825"/>
        </a:xfrm>
        <a:prstGeom prst="rect">
          <a:avLst/>
        </a:prstGeom>
        <a:noFill/>
        <a:ln>
          <a:noFill/>
        </a:ln>
        <a:effectLst>
          <a:outerShdw dist="563972" dir="14049741" sx="125000" sy="125000" algn="tl" rotWithShape="0">
            <a:srgbClr val="C7DFD3"/>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9050">
              <a:solidFill>
                <a:srgbClr val="000000"/>
              </a:solidFill>
              <a:miter lim="800000"/>
              <a:headEnd/>
              <a:tailEnd/>
            </a14:hiddenLine>
          </a:ext>
        </a:extLst>
      </xdr:spPr>
      <xdr:txBody>
        <a:bodyPr wrap="square" anchor="t">
          <a:noAutofit/>
        </a:bodyPr>
        <a:lstStyle>
          <a:defPPr>
            <a:defRPr lang="en-US"/>
          </a:defPPr>
          <a:lvl1pPr algn="ctr" rtl="0" eaLnBrk="0" fontAlgn="base" hangingPunct="0">
            <a:spcBef>
              <a:spcPct val="0"/>
            </a:spcBef>
            <a:spcAft>
              <a:spcPct val="0"/>
            </a:spcAft>
            <a:defRPr sz="900" kern="1200">
              <a:solidFill>
                <a:schemeClr val="tx1"/>
              </a:solidFill>
              <a:latin typeface="Times New Roman" pitchFamily="18" charset="0"/>
              <a:ea typeface="+mn-ea"/>
              <a:cs typeface="+mn-cs"/>
            </a:defRPr>
          </a:lvl1pPr>
          <a:lvl2pPr marL="457200" algn="ctr" rtl="0" eaLnBrk="0" fontAlgn="base" hangingPunct="0">
            <a:spcBef>
              <a:spcPct val="0"/>
            </a:spcBef>
            <a:spcAft>
              <a:spcPct val="0"/>
            </a:spcAft>
            <a:defRPr sz="900" kern="1200">
              <a:solidFill>
                <a:schemeClr val="tx1"/>
              </a:solidFill>
              <a:latin typeface="Times New Roman" pitchFamily="18" charset="0"/>
              <a:ea typeface="+mn-ea"/>
              <a:cs typeface="+mn-cs"/>
            </a:defRPr>
          </a:lvl2pPr>
          <a:lvl3pPr marL="914400" algn="ctr" rtl="0" eaLnBrk="0" fontAlgn="base" hangingPunct="0">
            <a:spcBef>
              <a:spcPct val="0"/>
            </a:spcBef>
            <a:spcAft>
              <a:spcPct val="0"/>
            </a:spcAft>
            <a:defRPr sz="900" kern="1200">
              <a:solidFill>
                <a:schemeClr val="tx1"/>
              </a:solidFill>
              <a:latin typeface="Times New Roman" pitchFamily="18" charset="0"/>
              <a:ea typeface="+mn-ea"/>
              <a:cs typeface="+mn-cs"/>
            </a:defRPr>
          </a:lvl3pPr>
          <a:lvl4pPr marL="1371600" algn="ctr" rtl="0" eaLnBrk="0" fontAlgn="base" hangingPunct="0">
            <a:spcBef>
              <a:spcPct val="0"/>
            </a:spcBef>
            <a:spcAft>
              <a:spcPct val="0"/>
            </a:spcAft>
            <a:defRPr sz="900" kern="1200">
              <a:solidFill>
                <a:schemeClr val="tx1"/>
              </a:solidFill>
              <a:latin typeface="Times New Roman" pitchFamily="18" charset="0"/>
              <a:ea typeface="+mn-ea"/>
              <a:cs typeface="+mn-cs"/>
            </a:defRPr>
          </a:lvl4pPr>
          <a:lvl5pPr marL="1828800" algn="ctr" rtl="0" eaLnBrk="0" fontAlgn="base" hangingPunct="0">
            <a:spcBef>
              <a:spcPct val="0"/>
            </a:spcBef>
            <a:spcAft>
              <a:spcPct val="0"/>
            </a:spcAft>
            <a:defRPr sz="900" kern="1200">
              <a:solidFill>
                <a:schemeClr val="tx1"/>
              </a:solidFill>
              <a:latin typeface="Times New Roman" pitchFamily="18" charset="0"/>
              <a:ea typeface="+mn-ea"/>
              <a:cs typeface="+mn-cs"/>
            </a:defRPr>
          </a:lvl5pPr>
          <a:lvl6pPr marL="2286000" algn="l" defTabSz="914400" rtl="0" eaLnBrk="1" latinLnBrk="0" hangingPunct="1">
            <a:defRPr sz="900" kern="1200">
              <a:solidFill>
                <a:schemeClr val="tx1"/>
              </a:solidFill>
              <a:latin typeface="Times New Roman" pitchFamily="18" charset="0"/>
              <a:ea typeface="+mn-ea"/>
              <a:cs typeface="+mn-cs"/>
            </a:defRPr>
          </a:lvl6pPr>
          <a:lvl7pPr marL="2743200" algn="l" defTabSz="914400" rtl="0" eaLnBrk="1" latinLnBrk="0" hangingPunct="1">
            <a:defRPr sz="900" kern="1200">
              <a:solidFill>
                <a:schemeClr val="tx1"/>
              </a:solidFill>
              <a:latin typeface="Times New Roman" pitchFamily="18" charset="0"/>
              <a:ea typeface="+mn-ea"/>
              <a:cs typeface="+mn-cs"/>
            </a:defRPr>
          </a:lvl7pPr>
          <a:lvl8pPr marL="3200400" algn="l" defTabSz="914400" rtl="0" eaLnBrk="1" latinLnBrk="0" hangingPunct="1">
            <a:defRPr sz="900" kern="1200">
              <a:solidFill>
                <a:schemeClr val="tx1"/>
              </a:solidFill>
              <a:latin typeface="Times New Roman" pitchFamily="18" charset="0"/>
              <a:ea typeface="+mn-ea"/>
              <a:cs typeface="+mn-cs"/>
            </a:defRPr>
          </a:lvl8pPr>
          <a:lvl9pPr marL="3657600" algn="l" defTabSz="914400" rtl="0" eaLnBrk="1" latinLnBrk="0" hangingPunct="1">
            <a:defRPr sz="900" kern="1200">
              <a:solidFill>
                <a:schemeClr val="tx1"/>
              </a:solidFill>
              <a:latin typeface="Times New Roman" pitchFamily="18" charset="0"/>
              <a:ea typeface="+mn-ea"/>
              <a:cs typeface="+mn-cs"/>
            </a:defRPr>
          </a:lvl9pPr>
        </a:lstStyle>
        <a:p>
          <a:pPr algn="just">
            <a:spcAft>
              <a:spcPts val="600"/>
            </a:spcAft>
            <a:tabLst>
              <a:tab pos="180975" algn="l"/>
            </a:tabLst>
          </a:pPr>
          <a:r>
            <a:rPr lang="pt-PT" b="1">
              <a:solidFill>
                <a:srgbClr val="415263"/>
              </a:solidFill>
              <a:latin typeface="Arial" charset="0"/>
            </a:rPr>
            <a:t>Âmbito Regional</a:t>
          </a:r>
          <a:r>
            <a:rPr lang="pt-PT">
              <a:solidFill>
                <a:srgbClr val="415263"/>
              </a:solidFill>
              <a:latin typeface="Arial" charset="0"/>
            </a:rPr>
            <a:t> – os Quadros de Pessoal cobrem todo o território nacional; os apuramentos podem ser efetuados para o País, Continente, Regiões (NUTS), Distritos, Concelhos e Freguesia (a partir de 2003). A nível regional, nomeadamente ao nível do Concelho e da Freguesia, deve ter-se em conta:</a:t>
          </a:r>
        </a:p>
        <a:p>
          <a:pPr algn="just">
            <a:spcAft>
              <a:spcPts val="600"/>
            </a:spcAft>
            <a:tabLst>
              <a:tab pos="180975" algn="l"/>
            </a:tabLst>
          </a:pPr>
          <a:r>
            <a:rPr lang="pt-PT">
              <a:solidFill>
                <a:srgbClr val="415263"/>
              </a:solidFill>
              <a:latin typeface="Arial" charset="0"/>
            </a:rPr>
            <a:t>    - Empresas: são contabilizadas as empresas que possuem sede na região em causa;</a:t>
          </a:r>
        </a:p>
        <a:p>
          <a:pPr algn="just">
            <a:spcAft>
              <a:spcPts val="600"/>
            </a:spcAft>
            <a:tabLst>
              <a:tab pos="180975" algn="l"/>
            </a:tabLst>
          </a:pPr>
          <a:r>
            <a:rPr lang="pt-PT">
              <a:solidFill>
                <a:srgbClr val="415263"/>
              </a:solidFill>
              <a:latin typeface="Arial" charset="0"/>
            </a:rPr>
            <a:t>    - Estabelecimentos: são contabilizados os estabelecimentos presentes na região, independentemente da 	localiza-	ção da sede da empresa a que pertencem.</a:t>
          </a:r>
          <a:endParaRPr lang="pt-PT" b="1">
            <a:solidFill>
              <a:srgbClr val="415263"/>
            </a:solidFill>
            <a:latin typeface="Arial" charset="0"/>
          </a:endParaRPr>
        </a:p>
        <a:p>
          <a:pPr algn="just">
            <a:spcAft>
              <a:spcPts val="600"/>
            </a:spcAft>
            <a:tabLst>
              <a:tab pos="180975" algn="l"/>
            </a:tabLst>
          </a:pPr>
          <a:r>
            <a:rPr lang="pt-PT" b="1">
              <a:solidFill>
                <a:srgbClr val="415263"/>
              </a:solidFill>
              <a:latin typeface="Arial" charset="0"/>
            </a:rPr>
            <a:t>Classificação Portuguesa das Atividades Económicas</a:t>
          </a:r>
          <a:r>
            <a:rPr lang="pt-PT" b="1">
              <a:solidFill>
                <a:srgbClr val="415263"/>
              </a:solidFill>
            </a:rPr>
            <a:t> </a:t>
          </a:r>
          <a:r>
            <a:rPr lang="pt-PT" b="1">
              <a:solidFill>
                <a:srgbClr val="415263"/>
              </a:solidFill>
              <a:latin typeface="Arial" charset="0"/>
            </a:rPr>
            <a:t>(CAE)</a:t>
          </a:r>
          <a:r>
            <a:rPr lang="pt-PT">
              <a:solidFill>
                <a:srgbClr val="415263"/>
              </a:solidFill>
              <a:latin typeface="Arial" charset="0"/>
            </a:rPr>
            <a:t> – a informação dos Quadros de Pessoal é classificada de acordo com a CAE em vigor à data da entrega dos Quadros de Pessoal </a:t>
          </a:r>
          <a:r>
            <a:rPr lang="pt-PT">
              <a:solidFill>
                <a:srgbClr val="415263"/>
              </a:solidFill>
            </a:rPr>
            <a:t>[1]</a:t>
          </a:r>
          <a:r>
            <a:rPr lang="pt-PT">
              <a:solidFill>
                <a:srgbClr val="415263"/>
              </a:solidFill>
              <a:latin typeface="Arial" charset="0"/>
            </a:rPr>
            <a:t>, sendo possível fornecer informação aos diversos níveis de desagregação, salvaguardando os aspetos relacionados com a confidencialidade da informação estatística. Pode ser fornecida informação da atividade económica das empresas e/ou dos estabelecimentos.</a:t>
          </a:r>
          <a:endParaRPr lang="pt-PT" b="1">
            <a:solidFill>
              <a:srgbClr val="415263"/>
            </a:solidFill>
            <a:latin typeface="Arial" charset="0"/>
          </a:endParaRPr>
        </a:p>
        <a:p>
          <a:pPr algn="just">
            <a:spcAft>
              <a:spcPts val="600"/>
            </a:spcAft>
            <a:tabLst>
              <a:tab pos="180975" algn="l"/>
            </a:tabLst>
          </a:pPr>
          <a:r>
            <a:rPr lang="pt-PT">
              <a:solidFill>
                <a:srgbClr val="415263"/>
              </a:solidFill>
              <a:latin typeface="Arial" charset="0"/>
            </a:rPr>
            <a:t>	</a:t>
          </a:r>
        </a:p>
      </xdr:txBody>
    </xdr:sp>
    <xdr:clientData/>
  </xdr:twoCellAnchor>
  <xdr:twoCellAnchor>
    <xdr:from>
      <xdr:col>0</xdr:col>
      <xdr:colOff>28575</xdr:colOff>
      <xdr:row>50</xdr:row>
      <xdr:rowOff>85725</xdr:rowOff>
    </xdr:from>
    <xdr:to>
      <xdr:col>9</xdr:col>
      <xdr:colOff>495300</xdr:colOff>
      <xdr:row>52</xdr:row>
      <xdr:rowOff>9525</xdr:rowOff>
    </xdr:to>
    <xdr:sp macro="" textlink="">
      <xdr:nvSpPr>
        <xdr:cNvPr id="4" name="Rectangle 14">
          <a:extLst>
            <a:ext uri="{FF2B5EF4-FFF2-40B4-BE49-F238E27FC236}">
              <a16:creationId xmlns:a16="http://schemas.microsoft.com/office/drawing/2014/main" id="{00000000-0008-0000-4B00-000004000000}"/>
            </a:ext>
          </a:extLst>
        </xdr:cNvPr>
        <xdr:cNvSpPr>
          <a:spLocks noChangeArrowheads="1"/>
        </xdr:cNvSpPr>
      </xdr:nvSpPr>
      <xdr:spPr bwMode="auto">
        <a:xfrm>
          <a:off x="28575" y="4457700"/>
          <a:ext cx="5953125" cy="409575"/>
        </a:xfrm>
        <a:prstGeom prst="rect">
          <a:avLst/>
        </a:prstGeom>
        <a:noFill/>
        <a:ln>
          <a:noFill/>
        </a:ln>
        <a:effectLst>
          <a:outerShdw dist="563972" dir="14049741" sx="125000" sy="125000" algn="tl" rotWithShape="0">
            <a:srgbClr val="C7DFD3"/>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9050">
              <a:solidFill>
                <a:srgbClr val="000000"/>
              </a:solidFill>
              <a:miter lim="800000"/>
              <a:headEnd/>
              <a:tailEnd/>
            </a14:hiddenLine>
          </a:ext>
        </a:extLst>
      </xdr:spPr>
      <xdr:txBody>
        <a:bodyPr wrap="square">
          <a:noAutofit/>
        </a:bodyPr>
        <a:lstStyle>
          <a:defPPr>
            <a:defRPr lang="en-US"/>
          </a:defPPr>
          <a:lvl1pPr algn="ctr" rtl="0" eaLnBrk="0" fontAlgn="base" hangingPunct="0">
            <a:spcBef>
              <a:spcPct val="0"/>
            </a:spcBef>
            <a:spcAft>
              <a:spcPct val="0"/>
            </a:spcAft>
            <a:defRPr sz="900" kern="1200">
              <a:solidFill>
                <a:schemeClr val="tx1"/>
              </a:solidFill>
              <a:latin typeface="Times New Roman" pitchFamily="18" charset="0"/>
              <a:ea typeface="+mn-ea"/>
              <a:cs typeface="+mn-cs"/>
            </a:defRPr>
          </a:lvl1pPr>
          <a:lvl2pPr marL="457200" algn="ctr" rtl="0" eaLnBrk="0" fontAlgn="base" hangingPunct="0">
            <a:spcBef>
              <a:spcPct val="0"/>
            </a:spcBef>
            <a:spcAft>
              <a:spcPct val="0"/>
            </a:spcAft>
            <a:defRPr sz="900" kern="1200">
              <a:solidFill>
                <a:schemeClr val="tx1"/>
              </a:solidFill>
              <a:latin typeface="Times New Roman" pitchFamily="18" charset="0"/>
              <a:ea typeface="+mn-ea"/>
              <a:cs typeface="+mn-cs"/>
            </a:defRPr>
          </a:lvl2pPr>
          <a:lvl3pPr marL="914400" algn="ctr" rtl="0" eaLnBrk="0" fontAlgn="base" hangingPunct="0">
            <a:spcBef>
              <a:spcPct val="0"/>
            </a:spcBef>
            <a:spcAft>
              <a:spcPct val="0"/>
            </a:spcAft>
            <a:defRPr sz="900" kern="1200">
              <a:solidFill>
                <a:schemeClr val="tx1"/>
              </a:solidFill>
              <a:latin typeface="Times New Roman" pitchFamily="18" charset="0"/>
              <a:ea typeface="+mn-ea"/>
              <a:cs typeface="+mn-cs"/>
            </a:defRPr>
          </a:lvl3pPr>
          <a:lvl4pPr marL="1371600" algn="ctr" rtl="0" eaLnBrk="0" fontAlgn="base" hangingPunct="0">
            <a:spcBef>
              <a:spcPct val="0"/>
            </a:spcBef>
            <a:spcAft>
              <a:spcPct val="0"/>
            </a:spcAft>
            <a:defRPr sz="900" kern="1200">
              <a:solidFill>
                <a:schemeClr val="tx1"/>
              </a:solidFill>
              <a:latin typeface="Times New Roman" pitchFamily="18" charset="0"/>
              <a:ea typeface="+mn-ea"/>
              <a:cs typeface="+mn-cs"/>
            </a:defRPr>
          </a:lvl4pPr>
          <a:lvl5pPr marL="1828800" algn="ctr" rtl="0" eaLnBrk="0" fontAlgn="base" hangingPunct="0">
            <a:spcBef>
              <a:spcPct val="0"/>
            </a:spcBef>
            <a:spcAft>
              <a:spcPct val="0"/>
            </a:spcAft>
            <a:defRPr sz="900" kern="1200">
              <a:solidFill>
                <a:schemeClr val="tx1"/>
              </a:solidFill>
              <a:latin typeface="Times New Roman" pitchFamily="18" charset="0"/>
              <a:ea typeface="+mn-ea"/>
              <a:cs typeface="+mn-cs"/>
            </a:defRPr>
          </a:lvl5pPr>
          <a:lvl6pPr marL="2286000" algn="l" defTabSz="914400" rtl="0" eaLnBrk="1" latinLnBrk="0" hangingPunct="1">
            <a:defRPr sz="900" kern="1200">
              <a:solidFill>
                <a:schemeClr val="tx1"/>
              </a:solidFill>
              <a:latin typeface="Times New Roman" pitchFamily="18" charset="0"/>
              <a:ea typeface="+mn-ea"/>
              <a:cs typeface="+mn-cs"/>
            </a:defRPr>
          </a:lvl6pPr>
          <a:lvl7pPr marL="2743200" algn="l" defTabSz="914400" rtl="0" eaLnBrk="1" latinLnBrk="0" hangingPunct="1">
            <a:defRPr sz="900" kern="1200">
              <a:solidFill>
                <a:schemeClr val="tx1"/>
              </a:solidFill>
              <a:latin typeface="Times New Roman" pitchFamily="18" charset="0"/>
              <a:ea typeface="+mn-ea"/>
              <a:cs typeface="+mn-cs"/>
            </a:defRPr>
          </a:lvl7pPr>
          <a:lvl8pPr marL="3200400" algn="l" defTabSz="914400" rtl="0" eaLnBrk="1" latinLnBrk="0" hangingPunct="1">
            <a:defRPr sz="900" kern="1200">
              <a:solidFill>
                <a:schemeClr val="tx1"/>
              </a:solidFill>
              <a:latin typeface="Times New Roman" pitchFamily="18" charset="0"/>
              <a:ea typeface="+mn-ea"/>
              <a:cs typeface="+mn-cs"/>
            </a:defRPr>
          </a:lvl8pPr>
          <a:lvl9pPr marL="3657600" algn="l" defTabSz="914400" rtl="0" eaLnBrk="1" latinLnBrk="0" hangingPunct="1">
            <a:defRPr sz="900" kern="1200">
              <a:solidFill>
                <a:schemeClr val="tx1"/>
              </a:solidFill>
              <a:latin typeface="Times New Roman" pitchFamily="18" charset="0"/>
              <a:ea typeface="+mn-ea"/>
              <a:cs typeface="+mn-cs"/>
            </a:defRPr>
          </a:lvl9pPr>
        </a:lstStyle>
        <a:p>
          <a:pPr algn="l"/>
          <a:r>
            <a:rPr lang="pt-PT" sz="600">
              <a:solidFill>
                <a:srgbClr val="415263"/>
              </a:solidFill>
              <a:latin typeface="Arial" charset="0"/>
            </a:rPr>
            <a:t>[1] Os dados dos Quadros de Pessoal de 1985 a 1994 estão classificados com a CAE-Rev.1, os de 1995 a 2002 com a CAE-Rev.2, os de 2003 a 2006 com a CAE-Rev.2.1 e a partir de 2007 com a CAE-Rev.3.</a:t>
          </a:r>
        </a:p>
        <a:p>
          <a:pPr algn="l"/>
          <a:r>
            <a:rPr lang="pt-PT" sz="600">
              <a:solidFill>
                <a:srgbClr val="415263"/>
              </a:solidFill>
              <a:latin typeface="Arial" charset="0"/>
            </a:rPr>
            <a:t>.</a:t>
          </a:r>
        </a:p>
      </xdr:txBody>
    </xdr:sp>
    <xdr:clientData/>
  </xdr:twoCellAnchor>
  <xdr:twoCellAnchor editAs="absolute">
    <xdr:from>
      <xdr:col>8</xdr:col>
      <xdr:colOff>371475</xdr:colOff>
      <xdr:row>0</xdr:row>
      <xdr:rowOff>152400</xdr:rowOff>
    </xdr:from>
    <xdr:to>
      <xdr:col>9</xdr:col>
      <xdr:colOff>590550</xdr:colOff>
      <xdr:row>2</xdr:row>
      <xdr:rowOff>95250</xdr:rowOff>
    </xdr:to>
    <xdr:pic>
      <xdr:nvPicPr>
        <xdr:cNvPr id="5" name="Picture 1">
          <a:hlinkClick xmlns:r="http://schemas.openxmlformats.org/officeDocument/2006/relationships" r:id="rId1"/>
          <a:extLst>
            <a:ext uri="{FF2B5EF4-FFF2-40B4-BE49-F238E27FC236}">
              <a16:creationId xmlns:a16="http://schemas.microsoft.com/office/drawing/2014/main" id="{00000000-0008-0000-4B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248275" y="152400"/>
          <a:ext cx="828675" cy="266700"/>
        </a:xfrm>
        <a:prstGeom prst="rect">
          <a:avLst/>
        </a:prstGeom>
        <a:noFill/>
        <a:ln w="1">
          <a:noFill/>
          <a:miter lim="800000"/>
          <a:headEnd/>
          <a:tailEnd type="none" w="med" len="med"/>
        </a:ln>
        <a:effectLst/>
      </xdr:spPr>
    </xdr:pic>
    <xdr:clientData fPrintsWithSheet="0"/>
  </xdr:twoCellAnchor>
</xdr:wsDr>
</file>

<file path=xl/drawings/drawing11.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7_q8_q10_q11_Fig!$AT$3">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2CDC873-C7D5-4AA6-A695-E44A0D80BFC0}" type="TxLink">
            <a:rPr lang="en-US" sz="800" b="1" i="0" u="none" strike="noStrike">
              <a:solidFill>
                <a:schemeClr val="bg1"/>
              </a:solidFill>
              <a:latin typeface="Arial"/>
              <a:cs typeface="Arial"/>
            </a:rPr>
            <a:pPr algn="ctr"/>
            <a:t>2012</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7_q8_q10_q11_Fig!$BD$3">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0FE9F98-09CD-4ADD-B8D3-2E780357645C}" type="TxLink">
            <a:rPr lang="en-US" sz="800" b="1" i="0" u="none" strike="noStrike">
              <a:solidFill>
                <a:schemeClr val="bg1"/>
              </a:solidFill>
              <a:latin typeface="Arial"/>
              <a:cs typeface="Arial"/>
            </a:rPr>
            <a:pPr algn="ctr"/>
            <a:t>2022</a:t>
          </a:fld>
          <a:endParaRPr lang="pt-PT" sz="800" b="1">
            <a:solidFill>
              <a:schemeClr val="bg1"/>
            </a:solidFill>
          </a:endParaRPr>
        </a:p>
      </cdr:txBody>
    </cdr:sp>
  </cdr:relSizeAnchor>
  <cdr:relSizeAnchor xmlns:cdr="http://schemas.openxmlformats.org/drawingml/2006/chartDrawing">
    <cdr:from>
      <cdr:x>0.69647</cdr:x>
      <cdr:y>0.01779</cdr:y>
    </cdr:from>
    <cdr:to>
      <cdr:x>0.89688</cdr:x>
      <cdr:y>0.1661</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478637" y="-167683"/>
          <a:ext cx="484400" cy="936000"/>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1000" b="1">
              <a:solidFill>
                <a:schemeClr val="bg1"/>
              </a:solidFill>
            </a:rPr>
            <a:t>VARIAÇÃO</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47624</xdr:colOff>
      <xdr:row>2</xdr:row>
      <xdr:rowOff>152125</xdr:rowOff>
    </xdr:from>
    <xdr:to>
      <xdr:col>22</xdr:col>
      <xdr:colOff>606777</xdr:colOff>
      <xdr:row>4</xdr:row>
      <xdr:rowOff>77125</xdr:rowOff>
    </xdr:to>
    <xdr:grpSp>
      <xdr:nvGrpSpPr>
        <xdr:cNvPr id="2" name="Agrupar 1">
          <a:extLst>
            <a:ext uri="{FF2B5EF4-FFF2-40B4-BE49-F238E27FC236}">
              <a16:creationId xmlns:a16="http://schemas.microsoft.com/office/drawing/2014/main" id="{00000000-0008-0000-0800-000002000000}"/>
            </a:ext>
          </a:extLst>
        </xdr:cNvPr>
        <xdr:cNvGrpSpPr/>
      </xdr:nvGrpSpPr>
      <xdr:grpSpPr>
        <a:xfrm>
          <a:off x="47624" y="533125"/>
          <a:ext cx="12989278" cy="306000"/>
          <a:chOff x="230187" y="595689"/>
          <a:chExt cx="5846763" cy="515561"/>
        </a:xfrm>
      </xdr:grpSpPr>
      <xdr:sp macro="" textlink="">
        <xdr:nvSpPr>
          <xdr:cNvPr id="3" name="Rectangle 3">
            <a:extLst>
              <a:ext uri="{FF2B5EF4-FFF2-40B4-BE49-F238E27FC236}">
                <a16:creationId xmlns:a16="http://schemas.microsoft.com/office/drawing/2014/main" id="{00000000-0008-0000-0800-000003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4" name="Text Box 10">
            <a:extLst>
              <a:ext uri="{FF2B5EF4-FFF2-40B4-BE49-F238E27FC236}">
                <a16:creationId xmlns:a16="http://schemas.microsoft.com/office/drawing/2014/main" id="{00000000-0008-0000-0800-000004000000}"/>
              </a:ext>
            </a:extLst>
          </xdr:cNvPr>
          <xdr:cNvSpPr txBox="1">
            <a:spLocks noChangeArrowheads="1"/>
          </xdr:cNvSpPr>
        </xdr:nvSpPr>
        <xdr:spPr bwMode="auto">
          <a:xfrm>
            <a:off x="307901" y="595689"/>
            <a:ext cx="908701" cy="426243"/>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Remunerações médias mensais</a:t>
            </a:r>
            <a:endParaRPr lang="en-US" altLang="pt-PT" sz="1200" b="1">
              <a:solidFill>
                <a:srgbClr val="00467A"/>
              </a:solidFill>
              <a:latin typeface="Arial" charset="0"/>
            </a:endParaRPr>
          </a:p>
        </xdr:txBody>
      </xdr:sp>
    </xdr:grpSp>
    <xdr:clientData/>
  </xdr:twoCellAnchor>
  <xdr:twoCellAnchor editAs="oneCell">
    <xdr:from>
      <xdr:col>0</xdr:col>
      <xdr:colOff>66675</xdr:colOff>
      <xdr:row>0</xdr:row>
      <xdr:rowOff>0</xdr:rowOff>
    </xdr:from>
    <xdr:to>
      <xdr:col>1</xdr:col>
      <xdr:colOff>383503</xdr:colOff>
      <xdr:row>2</xdr:row>
      <xdr:rowOff>52161</xdr:rowOff>
    </xdr:to>
    <xdr:pic>
      <xdr:nvPicPr>
        <xdr:cNvPr id="5" name="Imagem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66675" y="0"/>
          <a:ext cx="907378" cy="417286"/>
        </a:xfrm>
        <a:prstGeom prst="rect">
          <a:avLst/>
        </a:prstGeom>
      </xdr:spPr>
    </xdr:pic>
    <xdr:clientData/>
  </xdr:twoCellAnchor>
  <xdr:twoCellAnchor>
    <xdr:from>
      <xdr:col>1</xdr:col>
      <xdr:colOff>469834</xdr:colOff>
      <xdr:row>0</xdr:row>
      <xdr:rowOff>41276</xdr:rowOff>
    </xdr:from>
    <xdr:to>
      <xdr:col>22</xdr:col>
      <xdr:colOff>596836</xdr:colOff>
      <xdr:row>2</xdr:row>
      <xdr:rowOff>165100</xdr:rowOff>
    </xdr:to>
    <xdr:sp macro="" textlink="">
      <xdr:nvSpPr>
        <xdr:cNvPr id="6" name="Rectangle 17">
          <a:extLst>
            <a:ext uri="{FF2B5EF4-FFF2-40B4-BE49-F238E27FC236}">
              <a16:creationId xmlns:a16="http://schemas.microsoft.com/office/drawing/2014/main" id="{00000000-0008-0000-0800-000006000000}"/>
            </a:ext>
          </a:extLst>
        </xdr:cNvPr>
        <xdr:cNvSpPr>
          <a:spLocks noChangeArrowheads="1"/>
        </xdr:cNvSpPr>
      </xdr:nvSpPr>
      <xdr:spPr bwMode="auto">
        <a:xfrm>
          <a:off x="1060384" y="41276"/>
          <a:ext cx="12617452" cy="492124"/>
        </a:xfrm>
        <a:prstGeom prst="rect">
          <a:avLst/>
        </a:prstGeom>
        <a:solidFill>
          <a:srgbClr val="00467A"/>
        </a:solidFill>
        <a:ln w="28575" cap="rnd">
          <a:noFill/>
          <a:prstDash val="sysDot"/>
          <a:miter lim="800000"/>
          <a:headEnd/>
          <a:tailEnd/>
        </a:ln>
        <a:effectLst>
          <a:prstShdw prst="shdw18" dist="17961" dir="13500000">
            <a:srgbClr val="556B81">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r>
            <a:rPr lang="pt-PT" sz="1600" b="1" i="1">
              <a:solidFill>
                <a:schemeClr val="bg1"/>
              </a:solidFill>
              <a:effectLst>
                <a:outerShdw blurRad="38100" dist="38100" dir="2700000" algn="tl">
                  <a:srgbClr val="000000"/>
                </a:outerShdw>
              </a:effectLst>
              <a:latin typeface="Arial" charset="0"/>
            </a:rPr>
            <a:t>Séries Cronológicas 2012 - 2022: Quadros de Pessoal</a:t>
          </a:r>
        </a:p>
        <a:p>
          <a:pPr defTabSz="988538">
            <a:defRPr/>
          </a:pPr>
          <a:r>
            <a:rPr lang="pt-PT" sz="1600" b="1" i="1">
              <a:solidFill>
                <a:srgbClr val="FFE600"/>
              </a:solidFill>
              <a:effectLst>
                <a:outerShdw blurRad="38100" dist="38100" dir="2700000" algn="tl">
                  <a:srgbClr val="000000"/>
                </a:outerShdw>
              </a:effectLst>
              <a:latin typeface="Arial" charset="0"/>
            </a:rPr>
            <a:t>Estrutura Empresarial - Remunerações</a:t>
          </a:r>
        </a:p>
      </xdr:txBody>
    </xdr:sp>
    <xdr:clientData/>
  </xdr:twoCellAnchor>
  <xdr:twoCellAnchor>
    <xdr:from>
      <xdr:col>4</xdr:col>
      <xdr:colOff>46094</xdr:colOff>
      <xdr:row>27</xdr:row>
      <xdr:rowOff>130484</xdr:rowOff>
    </xdr:from>
    <xdr:to>
      <xdr:col>5</xdr:col>
      <xdr:colOff>64908</xdr:colOff>
      <xdr:row>28</xdr:row>
      <xdr:rowOff>132156</xdr:rowOff>
    </xdr:to>
    <xdr:grpSp>
      <xdr:nvGrpSpPr>
        <xdr:cNvPr id="8" name="Agrupar 7">
          <a:extLst>
            <a:ext uri="{FF2B5EF4-FFF2-40B4-BE49-F238E27FC236}">
              <a16:creationId xmlns:a16="http://schemas.microsoft.com/office/drawing/2014/main" id="{00000000-0008-0000-0800-000008000000}"/>
            </a:ext>
          </a:extLst>
        </xdr:cNvPr>
        <xdr:cNvGrpSpPr/>
      </xdr:nvGrpSpPr>
      <xdr:grpSpPr>
        <a:xfrm>
          <a:off x="2293994" y="5273984"/>
          <a:ext cx="580789" cy="192172"/>
          <a:chOff x="2408294" y="5054526"/>
          <a:chExt cx="609364" cy="179986"/>
        </a:xfrm>
      </xdr:grpSpPr>
      <xdr:sp macro="" textlink="">
        <xdr:nvSpPr>
          <xdr:cNvPr id="9" name="CaixaDeTexto 8">
            <a:extLst>
              <a:ext uri="{FF2B5EF4-FFF2-40B4-BE49-F238E27FC236}">
                <a16:creationId xmlns:a16="http://schemas.microsoft.com/office/drawing/2014/main" id="{00000000-0008-0000-0800-000009000000}"/>
              </a:ext>
            </a:extLst>
          </xdr:cNvPr>
          <xdr:cNvSpPr txBox="1"/>
        </xdr:nvSpPr>
        <xdr:spPr>
          <a:xfrm>
            <a:off x="2408294" y="5054526"/>
            <a:ext cx="609364" cy="1799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endParaRPr lang="pt-PT" sz="800" b="1"/>
          </a:p>
        </xdr:txBody>
      </xdr:sp>
    </xdr:grpSp>
    <xdr:clientData/>
  </xdr:twoCellAnchor>
  <xdr:twoCellAnchor>
    <xdr:from>
      <xdr:col>6</xdr:col>
      <xdr:colOff>345109</xdr:colOff>
      <xdr:row>27</xdr:row>
      <xdr:rowOff>64141</xdr:rowOff>
    </xdr:from>
    <xdr:to>
      <xdr:col>7</xdr:col>
      <xdr:colOff>249169</xdr:colOff>
      <xdr:row>28</xdr:row>
      <xdr:rowOff>57727</xdr:rowOff>
    </xdr:to>
    <xdr:sp macro="" textlink="">
      <xdr:nvSpPr>
        <xdr:cNvPr id="10" name="CaixaDeTexto 9">
          <a:extLst>
            <a:ext uri="{FF2B5EF4-FFF2-40B4-BE49-F238E27FC236}">
              <a16:creationId xmlns:a16="http://schemas.microsoft.com/office/drawing/2014/main" id="{00000000-0008-0000-0800-00000A000000}"/>
            </a:ext>
          </a:extLst>
        </xdr:cNvPr>
        <xdr:cNvSpPr txBox="1"/>
      </xdr:nvSpPr>
      <xdr:spPr>
        <a:xfrm>
          <a:off x="3888409" y="5061591"/>
          <a:ext cx="494610" cy="1777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endParaRPr lang="pt-PT" sz="800" b="1"/>
        </a:p>
      </xdr:txBody>
    </xdr:sp>
    <xdr:clientData/>
  </xdr:twoCellAnchor>
  <xdr:twoCellAnchor>
    <xdr:from>
      <xdr:col>0</xdr:col>
      <xdr:colOff>27573</xdr:colOff>
      <xdr:row>20</xdr:row>
      <xdr:rowOff>2819</xdr:rowOff>
    </xdr:from>
    <xdr:to>
      <xdr:col>23</xdr:col>
      <xdr:colOff>0</xdr:colOff>
      <xdr:row>21</xdr:row>
      <xdr:rowOff>125801</xdr:rowOff>
    </xdr:to>
    <xdr:grpSp>
      <xdr:nvGrpSpPr>
        <xdr:cNvPr id="15" name="Agrupar 14">
          <a:extLst>
            <a:ext uri="{FF2B5EF4-FFF2-40B4-BE49-F238E27FC236}">
              <a16:creationId xmlns:a16="http://schemas.microsoft.com/office/drawing/2014/main" id="{00000000-0008-0000-0800-00000F000000}"/>
            </a:ext>
          </a:extLst>
        </xdr:cNvPr>
        <xdr:cNvGrpSpPr/>
      </xdr:nvGrpSpPr>
      <xdr:grpSpPr>
        <a:xfrm>
          <a:off x="27573" y="3812819"/>
          <a:ext cx="13012152" cy="313482"/>
          <a:chOff x="230187" y="612160"/>
          <a:chExt cx="5846763" cy="499090"/>
        </a:xfrm>
      </xdr:grpSpPr>
      <xdr:sp macro="" textlink="">
        <xdr:nvSpPr>
          <xdr:cNvPr id="19" name="Rectangle 3">
            <a:extLst>
              <a:ext uri="{FF2B5EF4-FFF2-40B4-BE49-F238E27FC236}">
                <a16:creationId xmlns:a16="http://schemas.microsoft.com/office/drawing/2014/main" id="{00000000-0008-0000-0800-000013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20" name="Text Box 10">
            <a:extLst>
              <a:ext uri="{FF2B5EF4-FFF2-40B4-BE49-F238E27FC236}">
                <a16:creationId xmlns:a16="http://schemas.microsoft.com/office/drawing/2014/main" id="{00000000-0008-0000-0800-000014000000}"/>
              </a:ext>
            </a:extLst>
          </xdr:cNvPr>
          <xdr:cNvSpPr txBox="1">
            <a:spLocks noChangeArrowheads="1"/>
          </xdr:cNvSpPr>
        </xdr:nvSpPr>
        <xdr:spPr bwMode="auto">
          <a:xfrm>
            <a:off x="273050" y="612160"/>
            <a:ext cx="1207311" cy="415292"/>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...Por secção de atividade do estabelecimento</a:t>
            </a:r>
          </a:p>
        </xdr:txBody>
      </xdr:sp>
    </xdr:grpSp>
    <xdr:clientData/>
  </xdr:twoCellAnchor>
  <xdr:twoCellAnchor editAs="absolute">
    <xdr:from>
      <xdr:col>0</xdr:col>
      <xdr:colOff>171738</xdr:colOff>
      <xdr:row>21</xdr:row>
      <xdr:rowOff>140377</xdr:rowOff>
    </xdr:from>
    <xdr:to>
      <xdr:col>3</xdr:col>
      <xdr:colOff>562840</xdr:colOff>
      <xdr:row>26</xdr:row>
      <xdr:rowOff>52532</xdr:rowOff>
    </xdr:to>
    <mc:AlternateContent xmlns:mc="http://schemas.openxmlformats.org/markup-compatibility/2006">
      <mc:Choice xmlns:a14="http://schemas.microsoft.com/office/drawing/2010/main" Requires="a14">
        <xdr:graphicFrame macro="">
          <xdr:nvGraphicFramePr>
            <xdr:cNvPr id="46" name="Tipo Remuneração 4">
              <a:extLst>
                <a:ext uri="{FF2B5EF4-FFF2-40B4-BE49-F238E27FC236}">
                  <a16:creationId xmlns:a16="http://schemas.microsoft.com/office/drawing/2014/main" id="{00000000-0008-0000-0800-00002E000000}"/>
                </a:ext>
              </a:extLst>
            </xdr:cNvPr>
            <xdr:cNvGraphicFramePr/>
          </xdr:nvGraphicFramePr>
          <xdr:xfrm>
            <a:off x="0" y="0"/>
            <a:ext cx="0" cy="0"/>
          </xdr:xfrm>
          <a:graphic>
            <a:graphicData uri="http://schemas.microsoft.com/office/drawing/2010/slicer">
              <sle:slicer xmlns:sle="http://schemas.microsoft.com/office/drawing/2010/slicer" name="Tipo Remuneração 4"/>
            </a:graphicData>
          </a:graphic>
        </xdr:graphicFrame>
      </mc:Choice>
      <mc:Fallback>
        <xdr:sp macro="" textlink="">
          <xdr:nvSpPr>
            <xdr:cNvPr id="0" name=""/>
            <xdr:cNvSpPr>
              <a:spLocks noTextEdit="1"/>
            </xdr:cNvSpPr>
          </xdr:nvSpPr>
          <xdr:spPr>
            <a:xfrm>
              <a:off x="171738" y="4140877"/>
              <a:ext cx="2077027" cy="864655"/>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segmentações de dados são suportadas no Excel 2010 ou posterior.
Se a forma tiver sido modificada numa versão anterior do Excel, ou se o livro tiver sido guardado no Excel 2003 ou anterior, a segmentação de dados não poderá ser utilizada.</a:t>
              </a:r>
            </a:p>
          </xdr:txBody>
        </xdr:sp>
      </mc:Fallback>
    </mc:AlternateContent>
    <xdr:clientData fLocksWithSheet="0"/>
  </xdr:twoCellAnchor>
  <xdr:twoCellAnchor editAs="absolute">
    <xdr:from>
      <xdr:col>0</xdr:col>
      <xdr:colOff>147206</xdr:colOff>
      <xdr:row>25</xdr:row>
      <xdr:rowOff>181841</xdr:rowOff>
    </xdr:from>
    <xdr:to>
      <xdr:col>5</xdr:col>
      <xdr:colOff>502709</xdr:colOff>
      <xdr:row>34</xdr:row>
      <xdr:rowOff>42334</xdr:rowOff>
    </xdr:to>
    <mc:AlternateContent xmlns:mc="http://schemas.openxmlformats.org/markup-compatibility/2006">
      <mc:Choice xmlns:a14="http://schemas.microsoft.com/office/drawing/2010/main" Requires="a14">
        <xdr:graphicFrame macro="">
          <xdr:nvGraphicFramePr>
            <xdr:cNvPr id="47" name="Selecionar CAE 2">
              <a:extLst>
                <a:ext uri="{FF2B5EF4-FFF2-40B4-BE49-F238E27FC236}">
                  <a16:creationId xmlns:a16="http://schemas.microsoft.com/office/drawing/2014/main" id="{00000000-0008-0000-0800-00002F000000}"/>
                </a:ext>
              </a:extLst>
            </xdr:cNvPr>
            <xdr:cNvGraphicFramePr/>
          </xdr:nvGraphicFramePr>
          <xdr:xfrm>
            <a:off x="0" y="0"/>
            <a:ext cx="0" cy="0"/>
          </xdr:xfrm>
          <a:graphic>
            <a:graphicData uri="http://schemas.microsoft.com/office/drawing/2010/slicer">
              <sle:slicer xmlns:sle="http://schemas.microsoft.com/office/drawing/2010/slicer" name="Selecionar CAE 2"/>
            </a:graphicData>
          </a:graphic>
        </xdr:graphicFrame>
      </mc:Choice>
      <mc:Fallback>
        <xdr:sp macro="" textlink="">
          <xdr:nvSpPr>
            <xdr:cNvPr id="0" name=""/>
            <xdr:cNvSpPr>
              <a:spLocks noTextEdit="1"/>
            </xdr:cNvSpPr>
          </xdr:nvSpPr>
          <xdr:spPr>
            <a:xfrm>
              <a:off x="147206" y="4944341"/>
              <a:ext cx="3165378" cy="1574993"/>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segmentações de dados são suportadas no Excel 2010 ou posterior.
Se a forma tiver sido modificada numa versão anterior do Excel, ou se o livro tiver sido guardado no Excel 2003 ou anterior, a segmentação de dados não poderá ser utilizada.</a:t>
              </a:r>
            </a:p>
          </xdr:txBody>
        </xdr:sp>
      </mc:Fallback>
    </mc:AlternateContent>
    <xdr:clientData fLocksWithSheet="0"/>
  </xdr:twoCellAnchor>
  <xdr:twoCellAnchor>
    <xdr:from>
      <xdr:col>6</xdr:col>
      <xdr:colOff>146049</xdr:colOff>
      <xdr:row>21</xdr:row>
      <xdr:rowOff>133350</xdr:rowOff>
    </xdr:from>
    <xdr:to>
      <xdr:col>22</xdr:col>
      <xdr:colOff>466725</xdr:colOff>
      <xdr:row>36</xdr:row>
      <xdr:rowOff>47625</xdr:rowOff>
    </xdr:to>
    <xdr:graphicFrame macro="">
      <xdr:nvGraphicFramePr>
        <xdr:cNvPr id="48" name="Gráfico 47">
          <a:extLst>
            <a:ext uri="{FF2B5EF4-FFF2-40B4-BE49-F238E27FC236}">
              <a16:creationId xmlns:a16="http://schemas.microsoft.com/office/drawing/2014/main" id="{00000000-0008-0000-08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xdr:colOff>
      <xdr:row>7</xdr:row>
      <xdr:rowOff>177800</xdr:rowOff>
    </xdr:from>
    <xdr:to>
      <xdr:col>7</xdr:col>
      <xdr:colOff>247650</xdr:colOff>
      <xdr:row>19</xdr:row>
      <xdr:rowOff>177894</xdr:rowOff>
    </xdr:to>
    <xdr:grpSp>
      <xdr:nvGrpSpPr>
        <xdr:cNvPr id="67" name="Agrupar 66">
          <a:extLst>
            <a:ext uri="{FF2B5EF4-FFF2-40B4-BE49-F238E27FC236}">
              <a16:creationId xmlns:a16="http://schemas.microsoft.com/office/drawing/2014/main" id="{00000000-0008-0000-0800-000043000000}"/>
            </a:ext>
          </a:extLst>
        </xdr:cNvPr>
        <xdr:cNvGrpSpPr/>
      </xdr:nvGrpSpPr>
      <xdr:grpSpPr>
        <a:xfrm>
          <a:off x="12700" y="1511300"/>
          <a:ext cx="4168775" cy="2286094"/>
          <a:chOff x="36182300" y="8426450"/>
          <a:chExt cx="4819650" cy="2597244"/>
        </a:xfrm>
      </xdr:grpSpPr>
      <xdr:graphicFrame macro="">
        <xdr:nvGraphicFramePr>
          <xdr:cNvPr id="68" name="Gráfico 67">
            <a:extLst>
              <a:ext uri="{FF2B5EF4-FFF2-40B4-BE49-F238E27FC236}">
                <a16:creationId xmlns:a16="http://schemas.microsoft.com/office/drawing/2014/main" id="{00000000-0008-0000-0800-000044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69" name="CaixaDeTexto 68">
            <a:extLst>
              <a:ext uri="{FF2B5EF4-FFF2-40B4-BE49-F238E27FC236}">
                <a16:creationId xmlns:a16="http://schemas.microsoft.com/office/drawing/2014/main" id="{00000000-0008-0000-0800-000045000000}"/>
              </a:ext>
            </a:extLst>
          </xdr:cNvPr>
          <xdr:cNvSpPr txBox="1"/>
        </xdr:nvSpPr>
        <xdr:spPr>
          <a:xfrm>
            <a:off x="39577074" y="9112250"/>
            <a:ext cx="1013632" cy="3168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Remuneração Base</a:t>
            </a:r>
          </a:p>
        </xdr:txBody>
      </xdr:sp>
      <xdr:sp macro="" textlink="">
        <xdr:nvSpPr>
          <xdr:cNvPr id="70" name="CaixaDeTexto 69">
            <a:extLst>
              <a:ext uri="{FF2B5EF4-FFF2-40B4-BE49-F238E27FC236}">
                <a16:creationId xmlns:a16="http://schemas.microsoft.com/office/drawing/2014/main" id="{00000000-0008-0000-0800-000046000000}"/>
              </a:ext>
            </a:extLst>
          </xdr:cNvPr>
          <xdr:cNvSpPr txBox="1"/>
        </xdr:nvSpPr>
        <xdr:spPr>
          <a:xfrm>
            <a:off x="39567950" y="9956800"/>
            <a:ext cx="1013632" cy="3168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Remuneração Ganho</a:t>
            </a:r>
          </a:p>
        </xdr:txBody>
      </xdr:sp>
      <xdr:sp macro="" textlink="q17_q18_q25_q26_Fig!$BH$5">
        <xdr:nvSpPr>
          <xdr:cNvPr id="71" name="CaixaDeTexto 70">
            <a:extLst>
              <a:ext uri="{FF2B5EF4-FFF2-40B4-BE49-F238E27FC236}">
                <a16:creationId xmlns:a16="http://schemas.microsoft.com/office/drawing/2014/main" id="{00000000-0008-0000-0800-000047000000}"/>
              </a:ext>
            </a:extLst>
          </xdr:cNvPr>
          <xdr:cNvSpPr txBox="1"/>
        </xdr:nvSpPr>
        <xdr:spPr>
          <a:xfrm>
            <a:off x="39561342" y="10299700"/>
            <a:ext cx="1013632" cy="3168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B6E12D4-8965-44E4-A4D0-F1B6393578C1}" type="TxLink">
              <a:rPr lang="en-US" sz="1000" b="1" i="0" u="none" strike="noStrike">
                <a:solidFill>
                  <a:schemeClr val="bg1"/>
                </a:solidFill>
                <a:latin typeface="Arial"/>
                <a:ea typeface="+mn-ea"/>
                <a:cs typeface="Arial"/>
              </a:rPr>
              <a:pPr marL="0" indent="0" algn="ctr"/>
              <a:t>24,9%</a:t>
            </a:fld>
            <a:endParaRPr lang="pt-PT" sz="1000" b="1" i="0" u="none" strike="noStrike">
              <a:solidFill>
                <a:schemeClr val="bg1"/>
              </a:solidFill>
              <a:latin typeface="+mn-lt"/>
              <a:ea typeface="+mn-ea"/>
              <a:cs typeface="Arial"/>
            </a:endParaRPr>
          </a:p>
        </xdr:txBody>
      </xdr:sp>
      <xdr:sp macro="" textlink="q17_q18_q25_q26_Fig!$BH$4">
        <xdr:nvSpPr>
          <xdr:cNvPr id="72" name="CaixaDeTexto 71">
            <a:extLst>
              <a:ext uri="{FF2B5EF4-FFF2-40B4-BE49-F238E27FC236}">
                <a16:creationId xmlns:a16="http://schemas.microsoft.com/office/drawing/2014/main" id="{00000000-0008-0000-0800-000048000000}"/>
              </a:ext>
            </a:extLst>
          </xdr:cNvPr>
          <xdr:cNvSpPr txBox="1"/>
        </xdr:nvSpPr>
        <xdr:spPr>
          <a:xfrm>
            <a:off x="39574300" y="9455149"/>
            <a:ext cx="1013632" cy="316800"/>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C5434AC-5A8C-43C8-A5D7-B506D11131D2}" type="TxLink">
              <a:rPr lang="en-US" sz="1000" b="1" i="0" u="none" strike="noStrike">
                <a:solidFill>
                  <a:schemeClr val="bg1"/>
                </a:solidFill>
                <a:latin typeface="Arial"/>
                <a:cs typeface="Arial"/>
              </a:rPr>
              <a:pPr algn="ctr"/>
              <a:t>25,0%</a:t>
            </a:fld>
            <a:endParaRPr lang="pt-PT" sz="1000" b="1">
              <a:solidFill>
                <a:schemeClr val="bg1"/>
              </a:solidFill>
              <a:latin typeface="+mn-lt"/>
            </a:endParaRPr>
          </a:p>
        </xdr:txBody>
      </xdr:sp>
    </xdr:grpSp>
    <xdr:clientData/>
  </xdr:twoCellAnchor>
  <xdr:twoCellAnchor>
    <xdr:from>
      <xdr:col>10</xdr:col>
      <xdr:colOff>228600</xdr:colOff>
      <xdr:row>4</xdr:row>
      <xdr:rowOff>85725</xdr:rowOff>
    </xdr:from>
    <xdr:to>
      <xdr:col>22</xdr:col>
      <xdr:colOff>523874</xdr:colOff>
      <xdr:row>20</xdr:row>
      <xdr:rowOff>9525</xdr:rowOff>
    </xdr:to>
    <xdr:graphicFrame macro="">
      <xdr:nvGraphicFramePr>
        <xdr:cNvPr id="31" name="Gráfico 30">
          <a:extLst>
            <a:ext uri="{FF2B5EF4-FFF2-40B4-BE49-F238E27FC236}">
              <a16:creationId xmlns:a16="http://schemas.microsoft.com/office/drawing/2014/main" id="{00000000-0008-0000-08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571503</xdr:colOff>
      <xdr:row>41</xdr:row>
      <xdr:rowOff>133350</xdr:rowOff>
    </xdr:from>
    <xdr:to>
      <xdr:col>22</xdr:col>
      <xdr:colOff>299400</xdr:colOff>
      <xdr:row>52</xdr:row>
      <xdr:rowOff>114300</xdr:rowOff>
    </xdr:to>
    <xdr:grpSp>
      <xdr:nvGrpSpPr>
        <xdr:cNvPr id="40" name="Agrupar 39">
          <a:extLst>
            <a:ext uri="{FF2B5EF4-FFF2-40B4-BE49-F238E27FC236}">
              <a16:creationId xmlns:a16="http://schemas.microsoft.com/office/drawing/2014/main" id="{00000000-0008-0000-0800-000028000000}"/>
            </a:ext>
          </a:extLst>
        </xdr:cNvPr>
        <xdr:cNvGrpSpPr/>
      </xdr:nvGrpSpPr>
      <xdr:grpSpPr>
        <a:xfrm>
          <a:off x="8382003" y="7943850"/>
          <a:ext cx="4376097" cy="2076450"/>
          <a:chOff x="45205649" y="5095875"/>
          <a:chExt cx="3000375" cy="3905250"/>
        </a:xfrm>
      </xdr:grpSpPr>
      <xdr:graphicFrame macro="">
        <xdr:nvGraphicFramePr>
          <xdr:cNvPr id="41" name="Gráfico 40">
            <a:extLst>
              <a:ext uri="{FF2B5EF4-FFF2-40B4-BE49-F238E27FC236}">
                <a16:creationId xmlns:a16="http://schemas.microsoft.com/office/drawing/2014/main" id="{00000000-0008-0000-0800-000029000000}"/>
              </a:ext>
            </a:extLst>
          </xdr:cNvPr>
          <xdr:cNvGraphicFramePr>
            <a:graphicFrameLocks/>
          </xdr:cNvGraphicFramePr>
        </xdr:nvGraphicFramePr>
        <xdr:xfrm>
          <a:off x="45205649" y="5095875"/>
          <a:ext cx="3000375" cy="3905250"/>
        </xdr:xfrm>
        <a:graphic>
          <a:graphicData uri="http://schemas.openxmlformats.org/drawingml/2006/chart">
            <c:chart xmlns:c="http://schemas.openxmlformats.org/drawingml/2006/chart" xmlns:r="http://schemas.openxmlformats.org/officeDocument/2006/relationships" r:id="rId5"/>
          </a:graphicData>
        </a:graphic>
      </xdr:graphicFrame>
      <xdr:sp macro="" textlink="q17_q18_q25_q26_Fig!$BM$26">
        <xdr:nvSpPr>
          <xdr:cNvPr id="42" name="CaixaDeTexto 41">
            <a:extLst>
              <a:ext uri="{FF2B5EF4-FFF2-40B4-BE49-F238E27FC236}">
                <a16:creationId xmlns:a16="http://schemas.microsoft.com/office/drawing/2014/main" id="{00000000-0008-0000-0800-00002A000000}"/>
              </a:ext>
            </a:extLst>
          </xdr:cNvPr>
          <xdr:cNvSpPr txBox="1"/>
        </xdr:nvSpPr>
        <xdr:spPr>
          <a:xfrm>
            <a:off x="46567157" y="5384313"/>
            <a:ext cx="468970" cy="227077"/>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D3A07DF7-A319-4AD1-8FA7-89FB3A2E76CA}"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1.217,33 €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q18_q25_q26_Fig!$BN$26">
        <xdr:nvSpPr>
          <xdr:cNvPr id="43" name="CaixaDeTexto 42">
            <a:extLst>
              <a:ext uri="{FF2B5EF4-FFF2-40B4-BE49-F238E27FC236}">
                <a16:creationId xmlns:a16="http://schemas.microsoft.com/office/drawing/2014/main" id="{00000000-0008-0000-0800-00002B000000}"/>
              </a:ext>
            </a:extLst>
          </xdr:cNvPr>
          <xdr:cNvSpPr txBox="1"/>
        </xdr:nvSpPr>
        <xdr:spPr>
          <a:xfrm>
            <a:off x="46567158" y="5667850"/>
            <a:ext cx="468970" cy="227077"/>
          </a:xfrm>
          <a:prstGeom prst="rect">
            <a:avLst/>
          </a:prstGeom>
          <a:solidFill>
            <a:srgbClr val="FFC000">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34CFA93-6BFE-4609-8D66-884C4CF6927C}"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1.476,20 €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q18_q25_q26_Fig!$BO$25">
        <xdr:nvSpPr>
          <xdr:cNvPr id="44" name="CaixaDeTexto 43">
            <a:extLst>
              <a:ext uri="{FF2B5EF4-FFF2-40B4-BE49-F238E27FC236}">
                <a16:creationId xmlns:a16="http://schemas.microsoft.com/office/drawing/2014/main" id="{00000000-0008-0000-0800-00002C000000}"/>
              </a:ext>
            </a:extLst>
          </xdr:cNvPr>
          <xdr:cNvSpPr txBox="1"/>
        </xdr:nvSpPr>
        <xdr:spPr>
          <a:xfrm>
            <a:off x="47476894" y="5384209"/>
            <a:ext cx="468970" cy="227077"/>
          </a:xfrm>
          <a:prstGeom prst="rect">
            <a:avLst/>
          </a:prstGeom>
          <a:solidFill>
            <a:srgbClr val="95B3D7">
              <a:alpha val="46667"/>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876025AA-CC5A-4A5C-B7FE-866B0947C87D}"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1.054,36 €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q18_q25_q26_Fig!$BP$25">
        <xdr:nvSpPr>
          <xdr:cNvPr id="45" name="CaixaDeTexto 44">
            <a:extLst>
              <a:ext uri="{FF2B5EF4-FFF2-40B4-BE49-F238E27FC236}">
                <a16:creationId xmlns:a16="http://schemas.microsoft.com/office/drawing/2014/main" id="{00000000-0008-0000-0800-00002D000000}"/>
              </a:ext>
            </a:extLst>
          </xdr:cNvPr>
          <xdr:cNvSpPr txBox="1"/>
        </xdr:nvSpPr>
        <xdr:spPr>
          <a:xfrm>
            <a:off x="47476895" y="5697785"/>
            <a:ext cx="468970" cy="227077"/>
          </a:xfrm>
          <a:prstGeom prst="rect">
            <a:avLst/>
          </a:prstGeom>
          <a:solidFill>
            <a:srgbClr val="FFEF57">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D5C8ABA-A640-4197-8539-34E9824DD12E}"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1.237,52 €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clientData/>
  </xdr:twoCellAnchor>
  <xdr:twoCellAnchor>
    <xdr:from>
      <xdr:col>15</xdr:col>
      <xdr:colOff>38618</xdr:colOff>
      <xdr:row>37</xdr:row>
      <xdr:rowOff>155737</xdr:rowOff>
    </xdr:from>
    <xdr:to>
      <xdr:col>22</xdr:col>
      <xdr:colOff>505343</xdr:colOff>
      <xdr:row>41</xdr:row>
      <xdr:rowOff>30937</xdr:rowOff>
    </xdr:to>
    <xdr:sp macro="" textlink="q17_q18_q25_q26_Fig!$BZ$37">
      <xdr:nvSpPr>
        <xdr:cNvPr id="49" name="CaixaDeTexto 48">
          <a:extLst>
            <a:ext uri="{FF2B5EF4-FFF2-40B4-BE49-F238E27FC236}">
              <a16:creationId xmlns:a16="http://schemas.microsoft.com/office/drawing/2014/main" id="{00000000-0008-0000-0800-000031000000}"/>
            </a:ext>
          </a:extLst>
        </xdr:cNvPr>
        <xdr:cNvSpPr txBox="1"/>
      </xdr:nvSpPr>
      <xdr:spPr>
        <a:xfrm>
          <a:off x="8865118" y="6971404"/>
          <a:ext cx="4714169" cy="608977"/>
        </a:xfrm>
        <a:prstGeom prst="rect">
          <a:avLst/>
        </a:prstGeom>
        <a:noFill/>
        <a:ln w="28575" cmpd="sng">
          <a:solidFill>
            <a:srgbClr val="4F81BD"/>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5AA5EC0D-310F-45B7-8569-D357C6298D02}" type="TxLink">
            <a:rPr kumimoji="0" lang="en-US" sz="800" b="0" i="0" u="none" strike="noStrike" kern="0" cap="none" spc="0" normalizeH="0" baseline="0" noProof="0">
              <a:ln>
                <a:noFill/>
              </a:ln>
              <a:solidFill>
                <a:srgbClr val="000000"/>
              </a:solidFill>
              <a:effectLst/>
              <a:uLnTx/>
              <a:uFillTx/>
              <a:latin typeface="+mn-lt"/>
              <a:ea typeface="+mn-ea"/>
              <a:cs typeface="Arial"/>
            </a:rPr>
            <a:pPr marL="0" marR="0" lvl="0" indent="0" algn="l" defTabSz="914400" eaLnBrk="1" fontAlgn="auto" latinLnBrk="0" hangingPunct="1">
              <a:lnSpc>
                <a:spcPct val="100000"/>
              </a:lnSpc>
              <a:spcBef>
                <a:spcPts val="0"/>
              </a:spcBef>
              <a:spcAft>
                <a:spcPts val="0"/>
              </a:spcAft>
              <a:buClrTx/>
              <a:buSzTx/>
              <a:buFontTx/>
              <a:buNone/>
              <a:tabLst/>
              <a:defRPr/>
            </a:pPr>
            <a:t>Remunerações - 2022:
Base Mulheres = 86,6% da dos Homens (H), entre 84,5% da dos H (Médios) e 91,7% da dos H (Micro).
Ganho Mulheres = 83,8% da dos H, entre 80,9% da dos H (Médios) e 91,0% da dos H (Micro).</a:t>
          </a:fld>
          <a:endParaRPr kumimoji="0" lang="pt-PT" sz="8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35447</xdr:colOff>
      <xdr:row>35</xdr:row>
      <xdr:rowOff>34891</xdr:rowOff>
    </xdr:from>
    <xdr:to>
      <xdr:col>22</xdr:col>
      <xdr:colOff>550334</xdr:colOff>
      <xdr:row>36</xdr:row>
      <xdr:rowOff>129461</xdr:rowOff>
    </xdr:to>
    <xdr:grpSp>
      <xdr:nvGrpSpPr>
        <xdr:cNvPr id="11" name="Agrupar 10">
          <a:extLst>
            <a:ext uri="{FF2B5EF4-FFF2-40B4-BE49-F238E27FC236}">
              <a16:creationId xmlns:a16="http://schemas.microsoft.com/office/drawing/2014/main" id="{00000000-0008-0000-0800-00000B000000}"/>
            </a:ext>
          </a:extLst>
        </xdr:cNvPr>
        <xdr:cNvGrpSpPr/>
      </xdr:nvGrpSpPr>
      <xdr:grpSpPr>
        <a:xfrm>
          <a:off x="35447" y="6702391"/>
          <a:ext cx="12973587" cy="285070"/>
          <a:chOff x="38100" y="6799533"/>
          <a:chExt cx="12985200" cy="306000"/>
        </a:xfrm>
      </xdr:grpSpPr>
      <xdr:grpSp>
        <xdr:nvGrpSpPr>
          <xdr:cNvPr id="24" name="Agrupar 23">
            <a:extLst>
              <a:ext uri="{FF2B5EF4-FFF2-40B4-BE49-F238E27FC236}">
                <a16:creationId xmlns:a16="http://schemas.microsoft.com/office/drawing/2014/main" id="{00000000-0008-0000-0800-000018000000}"/>
              </a:ext>
            </a:extLst>
          </xdr:cNvPr>
          <xdr:cNvGrpSpPr/>
        </xdr:nvGrpSpPr>
        <xdr:grpSpPr>
          <a:xfrm>
            <a:off x="38100" y="6799533"/>
            <a:ext cx="12985200" cy="306000"/>
            <a:chOff x="230187" y="612158"/>
            <a:chExt cx="5846763" cy="499092"/>
          </a:xfrm>
        </xdr:grpSpPr>
        <xdr:sp macro="" textlink="">
          <xdr:nvSpPr>
            <xdr:cNvPr id="25" name="Rectangle 3">
              <a:extLst>
                <a:ext uri="{FF2B5EF4-FFF2-40B4-BE49-F238E27FC236}">
                  <a16:creationId xmlns:a16="http://schemas.microsoft.com/office/drawing/2014/main" id="{00000000-0008-0000-0800-000019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26" name="Text Box 10">
              <a:extLst>
                <a:ext uri="{FF2B5EF4-FFF2-40B4-BE49-F238E27FC236}">
                  <a16:creationId xmlns:a16="http://schemas.microsoft.com/office/drawing/2014/main" id="{00000000-0008-0000-0800-00001A000000}"/>
                </a:ext>
              </a:extLst>
            </xdr:cNvPr>
            <xdr:cNvSpPr txBox="1">
              <a:spLocks noChangeArrowheads="1"/>
            </xdr:cNvSpPr>
          </xdr:nvSpPr>
          <xdr:spPr bwMode="auto">
            <a:xfrm>
              <a:off x="264330" y="612158"/>
              <a:ext cx="982294" cy="412626"/>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 Por Dimensão do</a:t>
              </a:r>
              <a:r>
                <a:rPr lang="en-US" altLang="pt-PT" sz="1000" b="1" baseline="0">
                  <a:solidFill>
                    <a:srgbClr val="00467A"/>
                  </a:solidFill>
                  <a:latin typeface="+mn-lt"/>
                </a:rPr>
                <a:t> estabelecimento</a:t>
              </a:r>
              <a:endParaRPr lang="en-US" altLang="pt-PT" sz="1000" b="1">
                <a:solidFill>
                  <a:srgbClr val="00467A"/>
                </a:solidFill>
                <a:latin typeface="+mn-lt"/>
              </a:endParaRPr>
            </a:p>
          </xdr:txBody>
        </xdr:sp>
      </xdr:grpSp>
      <xdr:grpSp>
        <xdr:nvGrpSpPr>
          <xdr:cNvPr id="7" name="Agrupar 6">
            <a:extLst>
              <a:ext uri="{FF2B5EF4-FFF2-40B4-BE49-F238E27FC236}">
                <a16:creationId xmlns:a16="http://schemas.microsoft.com/office/drawing/2014/main" id="{00000000-0008-0000-0800-000007000000}"/>
              </a:ext>
            </a:extLst>
          </xdr:cNvPr>
          <xdr:cNvGrpSpPr/>
        </xdr:nvGrpSpPr>
        <xdr:grpSpPr>
          <a:xfrm>
            <a:off x="9144000" y="6829425"/>
            <a:ext cx="1905000" cy="257175"/>
            <a:chOff x="8172450" y="10477500"/>
            <a:chExt cx="1905000" cy="257175"/>
          </a:xfrm>
        </xdr:grpSpPr>
        <xdr:sp macro="" textlink="">
          <xdr:nvSpPr>
            <xdr:cNvPr id="55" name="Text Box 10">
              <a:extLst>
                <a:ext uri="{FF2B5EF4-FFF2-40B4-BE49-F238E27FC236}">
                  <a16:creationId xmlns:a16="http://schemas.microsoft.com/office/drawing/2014/main" id="{00000000-0008-0000-0800-000037000000}"/>
                </a:ext>
              </a:extLst>
            </xdr:cNvPr>
            <xdr:cNvSpPr txBox="1">
              <a:spLocks noChangeArrowheads="1"/>
            </xdr:cNvSpPr>
          </xdr:nvSpPr>
          <xdr:spPr bwMode="auto">
            <a:xfrm>
              <a:off x="8172450" y="10477500"/>
              <a:ext cx="1065693" cy="251966"/>
            </a:xfrm>
            <a:prstGeom prst="rect">
              <a:avLst/>
            </a:prstGeom>
            <a:solidFill>
              <a:srgbClr val="FFE600"/>
            </a:solidFill>
            <a:ln w="9525">
              <a:solidFill>
                <a:srgbClr val="000000"/>
              </a:solidFill>
              <a:miter lim="800000"/>
              <a:headEnd/>
              <a:tailEnd/>
            </a:ln>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tx2">
                      <a:lumMod val="75000"/>
                    </a:schemeClr>
                  </a:solidFill>
                  <a:latin typeface="+mn-lt"/>
                </a:rPr>
                <a:t>Selecione o ano:</a:t>
              </a:r>
              <a:endParaRPr lang="en-US" altLang="pt-PT" sz="1200" b="1">
                <a:solidFill>
                  <a:schemeClr val="tx2">
                    <a:lumMod val="75000"/>
                  </a:schemeClr>
                </a:solidFill>
                <a:latin typeface="Arial" charset="0"/>
              </a:endParaRPr>
            </a:p>
          </xdr:txBody>
        </xdr:sp>
        <mc:AlternateContent xmlns:mc="http://schemas.openxmlformats.org/markup-compatibility/2006">
          <mc:Choice xmlns:a14="http://schemas.microsoft.com/office/drawing/2010/main" Requires="a14">
            <xdr:sp macro="" textlink="">
              <xdr:nvSpPr>
                <xdr:cNvPr id="8194" name="Drop Down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9267825" y="10487024"/>
                  <a:ext cx="809625" cy="247651"/>
                </a:xfrm>
                <a:prstGeom prst="rect">
                  <a:avLst/>
                </a:prstGeom>
                <a:noFill/>
                <a:ln>
                  <a:noFill/>
                </a:ln>
                <a:extLst>
                  <a:ext uri="{91240B29-F687-4F45-9708-019B960494DF}">
                    <a14:hiddenLine w="9525">
                      <a:noFill/>
                      <a:miter lim="800000"/>
                      <a:headEnd/>
                      <a:tailEnd/>
                    </a14:hiddenLine>
                  </a:ext>
                </a:extLst>
              </xdr:spPr>
            </xdr:sp>
          </mc:Choice>
          <mc:Fallback/>
        </mc:AlternateContent>
      </xdr:grpSp>
    </xdr:grpSp>
    <xdr:clientData/>
  </xdr:twoCellAnchor>
  <xdr:twoCellAnchor>
    <xdr:from>
      <xdr:col>20</xdr:col>
      <xdr:colOff>565084</xdr:colOff>
      <xdr:row>0</xdr:row>
      <xdr:rowOff>146051</xdr:rowOff>
    </xdr:from>
    <xdr:to>
      <xdr:col>22</xdr:col>
      <xdr:colOff>436550</xdr:colOff>
      <xdr:row>2</xdr:row>
      <xdr:rowOff>2478</xdr:rowOff>
    </xdr:to>
    <xdr:sp macro="" textlink="">
      <xdr:nvSpPr>
        <xdr:cNvPr id="50" name="Text Box 10">
          <a:hlinkClick xmlns:r="http://schemas.openxmlformats.org/officeDocument/2006/relationships" r:id="rId6"/>
          <a:extLst>
            <a:ext uri="{FF2B5EF4-FFF2-40B4-BE49-F238E27FC236}">
              <a16:creationId xmlns:a16="http://schemas.microsoft.com/office/drawing/2014/main" id="{00000000-0008-0000-0800-000032000000}"/>
            </a:ext>
          </a:extLst>
        </xdr:cNvPr>
        <xdr:cNvSpPr txBox="1">
          <a:spLocks noChangeArrowheads="1"/>
        </xdr:cNvSpPr>
      </xdr:nvSpPr>
      <xdr:spPr bwMode="auto">
        <a:xfrm>
          <a:off x="11861734" y="146051"/>
          <a:ext cx="1033516" cy="237427"/>
        </a:xfrm>
        <a:prstGeom prst="rect">
          <a:avLst/>
        </a:prstGeom>
        <a:solidFill>
          <a:srgbClr val="FFE6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rgbClr val="00467A"/>
              </a:solidFill>
              <a:latin typeface="+mn-lt"/>
            </a:rPr>
            <a:t>Voltar ao</a:t>
          </a:r>
          <a:r>
            <a:rPr lang="en-US" altLang="pt-PT" sz="1000" b="1" baseline="0">
              <a:solidFill>
                <a:srgbClr val="00467A"/>
              </a:solidFill>
              <a:latin typeface="+mn-lt"/>
            </a:rPr>
            <a:t> Índice</a:t>
          </a:r>
          <a:endParaRPr lang="en-US" altLang="pt-PT" sz="1200" b="1">
            <a:solidFill>
              <a:srgbClr val="00467A"/>
            </a:solidFill>
            <a:latin typeface="Arial" charset="0"/>
          </a:endParaRPr>
        </a:p>
      </xdr:txBody>
    </xdr:sp>
    <xdr:clientData/>
  </xdr:twoCellAnchor>
  <xdr:twoCellAnchor>
    <xdr:from>
      <xdr:col>1</xdr:col>
      <xdr:colOff>473685</xdr:colOff>
      <xdr:row>36</xdr:row>
      <xdr:rowOff>90796</xdr:rowOff>
    </xdr:from>
    <xdr:to>
      <xdr:col>5</xdr:col>
      <xdr:colOff>178409</xdr:colOff>
      <xdr:row>37</xdr:row>
      <xdr:rowOff>177803</xdr:rowOff>
    </xdr:to>
    <xdr:sp macro="" textlink="">
      <xdr:nvSpPr>
        <xdr:cNvPr id="12" name="CaixaDeTexto 11">
          <a:extLst>
            <a:ext uri="{FF2B5EF4-FFF2-40B4-BE49-F238E27FC236}">
              <a16:creationId xmlns:a16="http://schemas.microsoft.com/office/drawing/2014/main" id="{00000000-0008-0000-0800-00000C000000}"/>
            </a:ext>
          </a:extLst>
        </xdr:cNvPr>
        <xdr:cNvSpPr txBox="1"/>
      </xdr:nvSpPr>
      <xdr:spPr>
        <a:xfrm>
          <a:off x="1064235" y="6745596"/>
          <a:ext cx="2066924" cy="2711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Remuneração média mensal base</a:t>
          </a:r>
        </a:p>
      </xdr:txBody>
    </xdr:sp>
    <xdr:clientData/>
  </xdr:twoCellAnchor>
  <xdr:twoCellAnchor>
    <xdr:from>
      <xdr:col>9</xdr:col>
      <xdr:colOff>96148</xdr:colOff>
      <xdr:row>36</xdr:row>
      <xdr:rowOff>79154</xdr:rowOff>
    </xdr:from>
    <xdr:to>
      <xdr:col>12</xdr:col>
      <xdr:colOff>458097</xdr:colOff>
      <xdr:row>37</xdr:row>
      <xdr:rowOff>166161</xdr:rowOff>
    </xdr:to>
    <xdr:sp macro="" textlink="">
      <xdr:nvSpPr>
        <xdr:cNvPr id="52" name="CaixaDeTexto 51">
          <a:extLst>
            <a:ext uri="{FF2B5EF4-FFF2-40B4-BE49-F238E27FC236}">
              <a16:creationId xmlns:a16="http://schemas.microsoft.com/office/drawing/2014/main" id="{00000000-0008-0000-0800-000034000000}"/>
            </a:ext>
          </a:extLst>
        </xdr:cNvPr>
        <xdr:cNvSpPr txBox="1"/>
      </xdr:nvSpPr>
      <xdr:spPr>
        <a:xfrm>
          <a:off x="5144398" y="6937154"/>
          <a:ext cx="1949449" cy="27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Remuneração média mensal ganho</a:t>
          </a:r>
        </a:p>
      </xdr:txBody>
    </xdr:sp>
    <xdr:clientData/>
  </xdr:twoCellAnchor>
  <xdr:twoCellAnchor>
    <xdr:from>
      <xdr:col>17</xdr:col>
      <xdr:colOff>349250</xdr:colOff>
      <xdr:row>36</xdr:row>
      <xdr:rowOff>138645</xdr:rowOff>
    </xdr:from>
    <xdr:to>
      <xdr:col>20</xdr:col>
      <xdr:colOff>587374</xdr:colOff>
      <xdr:row>37</xdr:row>
      <xdr:rowOff>157695</xdr:rowOff>
    </xdr:to>
    <xdr:sp macro="" textlink="">
      <xdr:nvSpPr>
        <xdr:cNvPr id="53" name="CaixaDeTexto 52">
          <a:extLst>
            <a:ext uri="{FF2B5EF4-FFF2-40B4-BE49-F238E27FC236}">
              <a16:creationId xmlns:a16="http://schemas.microsoft.com/office/drawing/2014/main" id="{00000000-0008-0000-0800-000035000000}"/>
            </a:ext>
          </a:extLst>
        </xdr:cNvPr>
        <xdr:cNvSpPr txBox="1"/>
      </xdr:nvSpPr>
      <xdr:spPr>
        <a:xfrm>
          <a:off x="10382250" y="6793445"/>
          <a:ext cx="2066924"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...por Dimensão e Sexo</a:t>
          </a:r>
        </a:p>
      </xdr:txBody>
    </xdr:sp>
    <xdr:clientData/>
  </xdr:twoCellAnchor>
  <xdr:twoCellAnchor editAs="absolute">
    <xdr:from>
      <xdr:col>7</xdr:col>
      <xdr:colOff>219075</xdr:colOff>
      <xdr:row>6</xdr:row>
      <xdr:rowOff>171450</xdr:rowOff>
    </xdr:from>
    <xdr:to>
      <xdr:col>10</xdr:col>
      <xdr:colOff>238125</xdr:colOff>
      <xdr:row>17</xdr:row>
      <xdr:rowOff>19049</xdr:rowOff>
    </xdr:to>
    <xdr:grpSp>
      <xdr:nvGrpSpPr>
        <xdr:cNvPr id="13" name="Agrupar 12">
          <a:extLst>
            <a:ext uri="{FF2B5EF4-FFF2-40B4-BE49-F238E27FC236}">
              <a16:creationId xmlns:a16="http://schemas.microsoft.com/office/drawing/2014/main" id="{00000000-0008-0000-0800-00000D000000}"/>
            </a:ext>
          </a:extLst>
        </xdr:cNvPr>
        <xdr:cNvGrpSpPr/>
      </xdr:nvGrpSpPr>
      <xdr:grpSpPr>
        <a:xfrm>
          <a:off x="4152900" y="1314450"/>
          <a:ext cx="1704975" cy="1943099"/>
          <a:chOff x="4191000" y="1362075"/>
          <a:chExt cx="1704975" cy="1943099"/>
        </a:xfrm>
      </xdr:grpSpPr>
      <mc:AlternateContent xmlns:mc="http://schemas.openxmlformats.org/markup-compatibility/2006">
        <mc:Choice xmlns:a14="http://schemas.microsoft.com/office/drawing/2010/main" Requires="a14">
          <xdr:graphicFrame macro="">
            <xdr:nvGraphicFramePr>
              <xdr:cNvPr id="32" name="Tipo de remuneração 1">
                <a:extLst>
                  <a:ext uri="{FF2B5EF4-FFF2-40B4-BE49-F238E27FC236}">
                    <a16:creationId xmlns:a16="http://schemas.microsoft.com/office/drawing/2014/main" id="{00000000-0008-0000-0800-000020000000}"/>
                  </a:ext>
                </a:extLst>
              </xdr:cNvPr>
              <xdr:cNvGraphicFramePr/>
            </xdr:nvGraphicFramePr>
            <xdr:xfrm>
              <a:off x="4191000" y="1362075"/>
              <a:ext cx="1704975" cy="838200"/>
            </xdr:xfrm>
            <a:graphic>
              <a:graphicData uri="http://schemas.microsoft.com/office/drawing/2010/slicer">
                <sle:slicer xmlns:sle="http://schemas.microsoft.com/office/drawing/2010/slicer" name="Tipo de remuneração 1"/>
              </a:graphicData>
            </a:graphic>
          </xdr:graphicFrame>
        </mc:Choice>
        <mc:Fallback>
          <xdr:sp macro="" textlink="">
            <xdr:nvSpPr>
              <xdr:cNvPr id="0" name=""/>
              <xdr:cNvSpPr>
                <a:spLocks noTextEdit="1"/>
              </xdr:cNvSpPr>
            </xdr:nvSpPr>
            <xdr:spPr>
              <a:xfrm>
                <a:off x="4152900" y="1314450"/>
                <a:ext cx="1704975" cy="838200"/>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segmentações de dados são suportadas no Excel 2010 ou posterior.
Se a forma tiver sido modificada numa versão anterior do Excel, ou se o livro tiver sido guardado no Excel 2003 ou anterior, a segmentação de dados não poderá ser utilizada.</a:t>
                </a:r>
              </a:p>
            </xdr:txBody>
          </xdr:sp>
        </mc:Fallback>
      </mc:AlternateContent>
      <mc:AlternateContent xmlns:mc="http://schemas.openxmlformats.org/markup-compatibility/2006">
        <mc:Choice xmlns:a14="http://schemas.microsoft.com/office/drawing/2010/main" Requires="a14">
          <xdr:graphicFrame macro="">
            <xdr:nvGraphicFramePr>
              <xdr:cNvPr id="54" name="Sexo 2">
                <a:extLst>
                  <a:ext uri="{FF2B5EF4-FFF2-40B4-BE49-F238E27FC236}">
                    <a16:creationId xmlns:a16="http://schemas.microsoft.com/office/drawing/2014/main" id="{00000000-0008-0000-0800-000036000000}"/>
                  </a:ext>
                </a:extLst>
              </xdr:cNvPr>
              <xdr:cNvGraphicFramePr/>
            </xdr:nvGraphicFramePr>
            <xdr:xfrm>
              <a:off x="4191000" y="2171699"/>
              <a:ext cx="1685925" cy="1133475"/>
            </xdr:xfrm>
            <a:graphic>
              <a:graphicData uri="http://schemas.microsoft.com/office/drawing/2010/slicer">
                <sle:slicer xmlns:sle="http://schemas.microsoft.com/office/drawing/2010/slicer" name="Sexo 2"/>
              </a:graphicData>
            </a:graphic>
          </xdr:graphicFrame>
        </mc:Choice>
        <mc:Fallback>
          <xdr:sp macro="" textlink="">
            <xdr:nvSpPr>
              <xdr:cNvPr id="0" name=""/>
              <xdr:cNvSpPr>
                <a:spLocks noTextEdit="1"/>
              </xdr:cNvSpPr>
            </xdr:nvSpPr>
            <xdr:spPr>
              <a:xfrm>
                <a:off x="4152900" y="2124074"/>
                <a:ext cx="1685925" cy="1133475"/>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segmentações de dados são suportadas no Excel 2010 ou posterior.
Se a forma tiver sido modificada numa versão anterior do Excel, ou se o livro tiver sido guardado no Excel 2003 ou anterior, a segmentação de dados não poderá ser utilizada.</a:t>
                </a:r>
              </a:p>
            </xdr:txBody>
          </xdr:sp>
        </mc:Fallback>
      </mc:AlternateContent>
    </xdr:grpSp>
    <xdr:clientData fLocksWithSheet="0"/>
  </xdr:twoCellAnchor>
  <xdr:twoCellAnchor>
    <xdr:from>
      <xdr:col>0</xdr:col>
      <xdr:colOff>345722</xdr:colOff>
      <xdr:row>40</xdr:row>
      <xdr:rowOff>169333</xdr:rowOff>
    </xdr:from>
    <xdr:to>
      <xdr:col>13</xdr:col>
      <xdr:colOff>323715</xdr:colOff>
      <xdr:row>51</xdr:row>
      <xdr:rowOff>140459</xdr:rowOff>
    </xdr:to>
    <xdr:grpSp>
      <xdr:nvGrpSpPr>
        <xdr:cNvPr id="51" name="Agrupar 50">
          <a:extLst>
            <a:ext uri="{FF2B5EF4-FFF2-40B4-BE49-F238E27FC236}">
              <a16:creationId xmlns:a16="http://schemas.microsoft.com/office/drawing/2014/main" id="{00000000-0008-0000-0800-000033000000}"/>
            </a:ext>
          </a:extLst>
        </xdr:cNvPr>
        <xdr:cNvGrpSpPr/>
      </xdr:nvGrpSpPr>
      <xdr:grpSpPr>
        <a:xfrm>
          <a:off x="345722" y="7789333"/>
          <a:ext cx="7207468" cy="2066626"/>
          <a:chOff x="20056474" y="10299703"/>
          <a:chExt cx="8510403" cy="2749548"/>
        </a:xfrm>
      </xdr:grpSpPr>
      <xdr:graphicFrame macro="">
        <xdr:nvGraphicFramePr>
          <xdr:cNvPr id="58" name="Gráfico 57">
            <a:extLst>
              <a:ext uri="{FF2B5EF4-FFF2-40B4-BE49-F238E27FC236}">
                <a16:creationId xmlns:a16="http://schemas.microsoft.com/office/drawing/2014/main" id="{00000000-0008-0000-0800-00003A000000}"/>
              </a:ext>
            </a:extLst>
          </xdr:cNvPr>
          <xdr:cNvGraphicFramePr/>
        </xdr:nvGraphicFramePr>
        <xdr:xfrm>
          <a:off x="20056474" y="10299703"/>
          <a:ext cx="4571998" cy="274320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59" name="Gráfico 58">
            <a:extLst>
              <a:ext uri="{FF2B5EF4-FFF2-40B4-BE49-F238E27FC236}">
                <a16:creationId xmlns:a16="http://schemas.microsoft.com/office/drawing/2014/main" id="{00000000-0008-0000-0800-00003B000000}"/>
              </a:ext>
            </a:extLst>
          </xdr:cNvPr>
          <xdr:cNvGraphicFramePr>
            <a:graphicFrameLocks/>
          </xdr:cNvGraphicFramePr>
        </xdr:nvGraphicFramePr>
        <xdr:xfrm>
          <a:off x="24428449" y="10306051"/>
          <a:ext cx="4138428" cy="2743200"/>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twoCellAnchor>
    <xdr:from>
      <xdr:col>0</xdr:col>
      <xdr:colOff>331611</xdr:colOff>
      <xdr:row>37</xdr:row>
      <xdr:rowOff>176389</xdr:rowOff>
    </xdr:from>
    <xdr:to>
      <xdr:col>6</xdr:col>
      <xdr:colOff>412051</xdr:colOff>
      <xdr:row>41</xdr:row>
      <xdr:rowOff>85405</xdr:rowOff>
    </xdr:to>
    <xdr:sp macro="" textlink="">
      <xdr:nvSpPr>
        <xdr:cNvPr id="60" name="CaixaDeTexto 59">
          <a:extLst>
            <a:ext uri="{FF2B5EF4-FFF2-40B4-BE49-F238E27FC236}">
              <a16:creationId xmlns:a16="http://schemas.microsoft.com/office/drawing/2014/main" id="{00000000-0008-0000-0800-00003C000000}"/>
            </a:ext>
          </a:extLst>
        </xdr:cNvPr>
        <xdr:cNvSpPr txBox="1"/>
      </xdr:nvSpPr>
      <xdr:spPr>
        <a:xfrm>
          <a:off x="331611" y="6992056"/>
          <a:ext cx="3636440" cy="642793"/>
        </a:xfrm>
        <a:prstGeom prst="rect">
          <a:avLst/>
        </a:prstGeom>
        <a:noFill/>
        <a:ln w="28575" cmpd="sng">
          <a:solidFill>
            <a:srgbClr val="4F81BD"/>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prstClr val="black"/>
              </a:solidFill>
              <a:effectLst/>
              <a:uLnTx/>
              <a:uFillTx/>
              <a:latin typeface="+mn-lt"/>
              <a:ea typeface="+mn-ea"/>
              <a:cs typeface="+mn-cs"/>
            </a:rPr>
            <a:t>2022</a:t>
          </a:r>
          <a:r>
            <a:rPr kumimoji="0" lang="en-US" sz="800" b="1" i="0" u="none" strike="noStrike" kern="0" cap="none" spc="0" normalizeH="0" baseline="0" noProof="0">
              <a:ln>
                <a:noFill/>
              </a:ln>
              <a:solidFill>
                <a:prstClr val="black"/>
              </a:solidFill>
              <a:effectLst/>
              <a:uLnTx/>
              <a:uFillTx/>
              <a:latin typeface="+mn-lt"/>
              <a:ea typeface="+mn-ea"/>
              <a:cs typeface="+mn-cs"/>
            </a:rPr>
            <a:t>:</a:t>
          </a: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0" i="0" u="none" strike="noStrike" kern="0" cap="none" spc="0" normalizeH="0" baseline="0" noProof="0">
              <a:ln>
                <a:noFill/>
              </a:ln>
              <a:solidFill>
                <a:sysClr val="windowText" lastClr="000000"/>
              </a:solidFill>
              <a:effectLst/>
              <a:uLnTx/>
              <a:uFillTx/>
              <a:latin typeface="+mn-lt"/>
              <a:ea typeface="+mn-ea"/>
              <a:cs typeface="+mn-cs"/>
            </a:rPr>
            <a:t>Entre 944€ (Micro - 1 a 9 pessoas) e 1.366 € (Grandes - 250 e + pessoas)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1" i="0" u="sng" strike="noStrike" kern="0" cap="none" spc="0" normalizeH="0" baseline="0" noProof="0">
              <a:ln>
                <a:noFill/>
              </a:ln>
              <a:solidFill>
                <a:sysClr val="windowText" lastClr="000000"/>
              </a:solidFill>
              <a:effectLst/>
              <a:uLnTx/>
              <a:uFillTx/>
              <a:latin typeface="+mn-lt"/>
              <a:ea typeface="+mn-ea"/>
              <a:cs typeface="+mn-cs"/>
            </a:rPr>
            <a:t>2022 vs 2012</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0" i="0" u="none" strike="noStrike" kern="0" cap="none" spc="0" normalizeH="0" baseline="0" noProof="0">
              <a:ln>
                <a:noFill/>
              </a:ln>
              <a:solidFill>
                <a:prstClr val="black"/>
              </a:solidFill>
              <a:effectLst/>
              <a:uLnTx/>
              <a:uFillTx/>
              <a:latin typeface="+mn-lt"/>
              <a:ea typeface="+mn-ea"/>
              <a:cs typeface="+mn-cs"/>
            </a:rPr>
            <a:t>Variações entre 19% (Médios - 50 a 249 pessoas) e 27% (Micro - 1 a 9 pessoas)</a:t>
          </a:r>
        </a:p>
      </xdr:txBody>
    </xdr:sp>
    <xdr:clientData/>
  </xdr:twoCellAnchor>
  <xdr:twoCellAnchor>
    <xdr:from>
      <xdr:col>7</xdr:col>
      <xdr:colOff>373944</xdr:colOff>
      <xdr:row>37</xdr:row>
      <xdr:rowOff>176391</xdr:rowOff>
    </xdr:from>
    <xdr:to>
      <xdr:col>13</xdr:col>
      <xdr:colOff>569352</xdr:colOff>
      <xdr:row>41</xdr:row>
      <xdr:rowOff>85407</xdr:rowOff>
    </xdr:to>
    <xdr:sp macro="" textlink="">
      <xdr:nvSpPr>
        <xdr:cNvPr id="61" name="CaixaDeTexto 60">
          <a:extLst>
            <a:ext uri="{FF2B5EF4-FFF2-40B4-BE49-F238E27FC236}">
              <a16:creationId xmlns:a16="http://schemas.microsoft.com/office/drawing/2014/main" id="{00000000-0008-0000-0800-00003D000000}"/>
            </a:ext>
          </a:extLst>
        </xdr:cNvPr>
        <xdr:cNvSpPr txBox="1"/>
      </xdr:nvSpPr>
      <xdr:spPr>
        <a:xfrm>
          <a:off x="4522611" y="6992058"/>
          <a:ext cx="3659685" cy="642793"/>
        </a:xfrm>
        <a:prstGeom prst="rect">
          <a:avLst/>
        </a:prstGeom>
        <a:noFill/>
        <a:ln w="28575" cmpd="sng">
          <a:solidFill>
            <a:srgbClr val="4F81BD"/>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prstClr val="black"/>
              </a:solidFill>
              <a:effectLst/>
              <a:uLnTx/>
              <a:uFillTx/>
              <a:latin typeface="+mn-lt"/>
              <a:ea typeface="+mn-ea"/>
              <a:cs typeface="+mn-cs"/>
            </a:rPr>
            <a:t>2022</a:t>
          </a:r>
          <a:r>
            <a:rPr kumimoji="0" lang="en-US" sz="800" b="1" i="0" u="none" strike="noStrike" kern="0" cap="none" spc="0" normalizeH="0" baseline="0" noProof="0">
              <a:ln>
                <a:noFill/>
              </a:ln>
              <a:solidFill>
                <a:prstClr val="black"/>
              </a:solidFill>
              <a:effectLst/>
              <a:uLnTx/>
              <a:uFillTx/>
              <a:latin typeface="+mn-lt"/>
              <a:ea typeface="+mn-ea"/>
              <a:cs typeface="+mn-cs"/>
            </a:rPr>
            <a:t>:</a:t>
          </a: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0" i="0" u="none" strike="noStrike" kern="0" cap="none" spc="0" normalizeH="0" baseline="0" noProof="0">
              <a:ln>
                <a:noFill/>
              </a:ln>
              <a:solidFill>
                <a:sysClr val="windowText" lastClr="000000"/>
              </a:solidFill>
              <a:effectLst/>
              <a:uLnTx/>
              <a:uFillTx/>
              <a:latin typeface="+mn-lt"/>
              <a:ea typeface="+mn-ea"/>
              <a:cs typeface="+mn-cs"/>
            </a:rPr>
            <a:t>Entre 1.089 € (Micro - 1 a 9 pessoas) e 1.693 € (Grandes - 250 e + pessoas)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1" i="0" u="sng" strike="noStrike" kern="0" cap="none" spc="0" normalizeH="0" baseline="0" noProof="0">
              <a:ln>
                <a:noFill/>
              </a:ln>
              <a:solidFill>
                <a:sysClr val="windowText" lastClr="000000"/>
              </a:solidFill>
              <a:effectLst/>
              <a:uLnTx/>
              <a:uFillTx/>
              <a:latin typeface="+mn-lt"/>
              <a:ea typeface="+mn-ea"/>
              <a:cs typeface="+mn-cs"/>
            </a:rPr>
            <a:t>2022 vs 2012</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0" i="0" u="none" strike="noStrike" kern="0" cap="none" spc="0" normalizeH="0" baseline="0" noProof="0">
              <a:ln>
                <a:noFill/>
              </a:ln>
              <a:solidFill>
                <a:prstClr val="black"/>
              </a:solidFill>
              <a:effectLst/>
              <a:uLnTx/>
              <a:uFillTx/>
              <a:latin typeface="+mn-lt"/>
              <a:ea typeface="+mn-ea"/>
              <a:cs typeface="+mn-cs"/>
            </a:rPr>
            <a:t>Variações entre 20% (Médios - 50 a 249 pessoas) e 25% (Micro - 1 a 9 pessoas)</a:t>
          </a:r>
        </a:p>
      </xdr:txBody>
    </xdr:sp>
    <xdr:clientData/>
  </xdr:twoCellAnchor>
  <xdr:twoCellAnchor>
    <xdr:from>
      <xdr:col>0</xdr:col>
      <xdr:colOff>88900</xdr:colOff>
      <xdr:row>4</xdr:row>
      <xdr:rowOff>107950</xdr:rowOff>
    </xdr:from>
    <xdr:to>
      <xdr:col>7</xdr:col>
      <xdr:colOff>24911</xdr:colOff>
      <xdr:row>7</xdr:row>
      <xdr:rowOff>158505</xdr:rowOff>
    </xdr:to>
    <xdr:sp macro="" textlink="">
      <xdr:nvSpPr>
        <xdr:cNvPr id="56" name="CaixaDeTexto 55">
          <a:extLst>
            <a:ext uri="{FF2B5EF4-FFF2-40B4-BE49-F238E27FC236}">
              <a16:creationId xmlns:a16="http://schemas.microsoft.com/office/drawing/2014/main" id="{00000000-0008-0000-0800-000038000000}"/>
            </a:ext>
          </a:extLst>
        </xdr:cNvPr>
        <xdr:cNvSpPr txBox="1"/>
      </xdr:nvSpPr>
      <xdr:spPr>
        <a:xfrm>
          <a:off x="88900" y="844550"/>
          <a:ext cx="4069861" cy="603005"/>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en-US" sz="900" b="1" u="sng" baseline="0">
              <a:solidFill>
                <a:schemeClr val="dk1"/>
              </a:solidFill>
              <a:effectLst/>
              <a:latin typeface="+mn-lt"/>
              <a:ea typeface="+mn-ea"/>
              <a:cs typeface="+mn-cs"/>
            </a:rPr>
            <a:t>2022:</a:t>
          </a:r>
          <a:r>
            <a:rPr lang="en-US" sz="900" b="1" baseline="0">
              <a:solidFill>
                <a:schemeClr val="dk1"/>
              </a:solidFill>
              <a:effectLst/>
              <a:latin typeface="+mn-lt"/>
              <a:ea typeface="+mn-ea"/>
              <a:cs typeface="+mn-cs"/>
            </a:rPr>
            <a:t>                                                               </a:t>
          </a:r>
          <a:r>
            <a:rPr lang="en-US" sz="900" b="1" u="sng" baseline="0">
              <a:solidFill>
                <a:schemeClr val="dk1"/>
              </a:solidFill>
              <a:effectLst/>
              <a:latin typeface="+mn-lt"/>
              <a:ea typeface="+mn-ea"/>
              <a:cs typeface="+mn-cs"/>
            </a:rPr>
            <a:t>2022 vs. 2021: </a:t>
          </a:r>
          <a:endParaRPr lang="pt-PT" sz="900">
            <a:effectLst/>
          </a:endParaRPr>
        </a:p>
        <a:p>
          <a:pPr eaLnBrk="1" fontAlgn="auto" latinLnBrk="0" hangingPunct="1"/>
          <a:r>
            <a:rPr lang="en-US" sz="900" b="0" baseline="0">
              <a:solidFill>
                <a:schemeClr val="dk1"/>
              </a:solidFill>
              <a:effectLst/>
              <a:latin typeface="+mn-lt"/>
              <a:ea typeface="+mn-ea"/>
              <a:cs typeface="+mn-cs"/>
            </a:rPr>
            <a:t>1.143 € de remuneração base                    + 61 € de remuneração base  (+5,6%)</a:t>
          </a:r>
          <a:endParaRPr lang="pt-PT" sz="900">
            <a:effectLst/>
          </a:endParaRPr>
        </a:p>
        <a:p>
          <a:pPr eaLnBrk="1" fontAlgn="auto" latinLnBrk="0" hangingPunct="1"/>
          <a:r>
            <a:rPr lang="en-US" sz="900" b="0" baseline="0">
              <a:solidFill>
                <a:schemeClr val="dk1"/>
              </a:solidFill>
              <a:effectLst/>
              <a:latin typeface="+mn-lt"/>
              <a:ea typeface="+mn-ea"/>
              <a:cs typeface="+mn-cs"/>
            </a:rPr>
            <a:t>1.368 € de remuneração ganho                 + 74 € de remuneração ganho (+5,7%)</a:t>
          </a:r>
          <a:endParaRPr lang="en-US" sz="900" b="1" baseline="0">
            <a:solidFill>
              <a:schemeClr val="dk1"/>
            </a:solidFill>
            <a:effectLst/>
            <a:latin typeface="+mn-lt"/>
            <a:ea typeface="+mn-ea"/>
            <a:cs typeface="+mn-cs"/>
          </a:endParaRP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17_q18_q25_q26_Fig!$AT$3">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AFC81DC-3EC4-477D-8B43-E36C4DC9E67C}" type="TxLink">
            <a:rPr lang="en-US" sz="800" b="1" i="0" u="none" strike="noStrike">
              <a:solidFill>
                <a:schemeClr val="bg1"/>
              </a:solidFill>
              <a:latin typeface="Arial"/>
              <a:cs typeface="Arial"/>
            </a:rPr>
            <a:pPr algn="ctr"/>
            <a:t>2012</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17_q18_q25_q26_Fig!$BD$3">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A8E4F49-4FD5-4F90-859B-56F07EF8E503}" type="TxLink">
            <a:rPr lang="en-US" sz="800" b="1" i="0" u="none" strike="noStrike">
              <a:solidFill>
                <a:schemeClr val="bg1"/>
              </a:solidFill>
              <a:latin typeface="Arial"/>
              <a:cs typeface="Arial"/>
            </a:rPr>
            <a:pPr algn="ctr"/>
            <a:t>2022</a:t>
          </a:fld>
          <a:endParaRPr lang="pt-PT" sz="800" b="1">
            <a:solidFill>
              <a:schemeClr val="bg1"/>
            </a:solidFill>
          </a:endParaRPr>
        </a:p>
      </cdr:txBody>
    </cdr:sp>
  </cdr:relSizeAnchor>
  <cdr:relSizeAnchor xmlns:cdr="http://schemas.openxmlformats.org/drawingml/2006/chartDrawing">
    <cdr:from>
      <cdr:x>0.71539</cdr:x>
      <cdr:y>0.03293</cdr:y>
    </cdr:from>
    <cdr:to>
      <cdr:x>0.90894</cdr:x>
      <cdr:y>0.17431</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653375" y="-188062"/>
          <a:ext cx="367200" cy="914400"/>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1000" b="1">
              <a:solidFill>
                <a:schemeClr val="bg1"/>
              </a:solidFill>
            </a:rPr>
            <a:t>VARIAÇÃO</a:t>
          </a:r>
        </a:p>
      </cdr:txBody>
    </cdr:sp>
  </cdr:relSizeAnchor>
</c:userShapes>
</file>

<file path=xl/drawings/drawing14.xml><?xml version="1.0" encoding="utf-8"?>
<c:userShapes xmlns:c="http://schemas.openxmlformats.org/drawingml/2006/chart">
  <cdr:relSizeAnchor xmlns:cdr="http://schemas.openxmlformats.org/drawingml/2006/chartDrawing">
    <cdr:from>
      <cdr:x>0.63774</cdr:x>
      <cdr:y>0.08462</cdr:y>
    </cdr:from>
    <cdr:to>
      <cdr:x>0.73468</cdr:x>
      <cdr:y>0.21154</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2790812" y="175709"/>
          <a:ext cx="424219" cy="263543"/>
          <a:chOff x="1958149" y="369817"/>
          <a:chExt cx="473434" cy="291245"/>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4"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58149" y="374649"/>
            <a:ext cx="180567" cy="271329"/>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15.xml><?xml version="1.0" encoding="utf-8"?>
<xdr:wsDr xmlns:xdr="http://schemas.openxmlformats.org/drawingml/2006/spreadsheetDrawing" xmlns:a="http://schemas.openxmlformats.org/drawingml/2006/main">
  <xdr:twoCellAnchor>
    <xdr:from>
      <xdr:col>0</xdr:col>
      <xdr:colOff>144116</xdr:colOff>
      <xdr:row>25</xdr:row>
      <xdr:rowOff>44033</xdr:rowOff>
    </xdr:from>
    <xdr:to>
      <xdr:col>7</xdr:col>
      <xdr:colOff>435092</xdr:colOff>
      <xdr:row>27</xdr:row>
      <xdr:rowOff>175817</xdr:rowOff>
    </xdr:to>
    <xdr:grpSp>
      <xdr:nvGrpSpPr>
        <xdr:cNvPr id="73" name="Agrupar 72">
          <a:extLst>
            <a:ext uri="{FF2B5EF4-FFF2-40B4-BE49-F238E27FC236}">
              <a16:creationId xmlns:a16="http://schemas.microsoft.com/office/drawing/2014/main" id="{00000000-0008-0000-0900-000049000000}"/>
            </a:ext>
          </a:extLst>
        </xdr:cNvPr>
        <xdr:cNvGrpSpPr/>
      </xdr:nvGrpSpPr>
      <xdr:grpSpPr>
        <a:xfrm>
          <a:off x="144116" y="4854158"/>
          <a:ext cx="4224801" cy="512784"/>
          <a:chOff x="27137591" y="6707909"/>
          <a:chExt cx="3833088" cy="561600"/>
        </a:xfrm>
      </xdr:grpSpPr>
      <xdr:grpSp>
        <xdr:nvGrpSpPr>
          <xdr:cNvPr id="74" name="Agrupar 73">
            <a:extLst>
              <a:ext uri="{FF2B5EF4-FFF2-40B4-BE49-F238E27FC236}">
                <a16:creationId xmlns:a16="http://schemas.microsoft.com/office/drawing/2014/main" id="{00000000-0008-0000-0900-00004A000000}"/>
              </a:ext>
            </a:extLst>
          </xdr:cNvPr>
          <xdr:cNvGrpSpPr/>
        </xdr:nvGrpSpPr>
        <xdr:grpSpPr>
          <a:xfrm>
            <a:off x="27137591" y="6875734"/>
            <a:ext cx="2083577" cy="246637"/>
            <a:chOff x="120650" y="4292600"/>
            <a:chExt cx="2076455" cy="247564"/>
          </a:xfrm>
        </xdr:grpSpPr>
        <mc:AlternateContent xmlns:mc="http://schemas.openxmlformats.org/markup-compatibility/2006">
          <mc:Choice xmlns:a14="http://schemas.microsoft.com/office/drawing/2010/main" Requires="a14">
            <xdr:sp macro="" textlink="">
              <xdr:nvSpPr>
                <xdr:cNvPr id="132106" name="Drop Down 10" hidden="1">
                  <a:extLst>
                    <a:ext uri="{63B3BB69-23CF-44E3-9099-C40C66FF867C}">
                      <a14:compatExt spid="_x0000_s132106"/>
                    </a:ext>
                    <a:ext uri="{FF2B5EF4-FFF2-40B4-BE49-F238E27FC236}">
                      <a16:creationId xmlns:a16="http://schemas.microsoft.com/office/drawing/2014/main" id="{00000000-0008-0000-0900-00000A040200}"/>
                    </a:ext>
                  </a:extLst>
                </xdr:cNvPr>
                <xdr:cNvSpPr/>
              </xdr:nvSpPr>
              <xdr:spPr bwMode="auto">
                <a:xfrm>
                  <a:off x="1524005" y="4298864"/>
                  <a:ext cx="673100" cy="24130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77" name="Text Box 10">
              <a:extLst>
                <a:ext uri="{FF2B5EF4-FFF2-40B4-BE49-F238E27FC236}">
                  <a16:creationId xmlns:a16="http://schemas.microsoft.com/office/drawing/2014/main" id="{00000000-0008-0000-0900-00004D000000}"/>
                </a:ext>
              </a:extLst>
            </xdr:cNvPr>
            <xdr:cNvSpPr txBox="1">
              <a:spLocks noChangeArrowheads="1"/>
            </xdr:cNvSpPr>
          </xdr:nvSpPr>
          <xdr:spPr bwMode="auto">
            <a:xfrm>
              <a:off x="120650" y="4292600"/>
              <a:ext cx="1346200" cy="241300"/>
            </a:xfrm>
            <a:prstGeom prst="rect">
              <a:avLst/>
            </a:prstGeom>
            <a:solidFill>
              <a:srgbClr val="00467A"/>
            </a:solidFill>
            <a:ln>
              <a:noFill/>
            </a:ln>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xdr:grpSp>
      <xdr:graphicFrame macro="">
        <xdr:nvGraphicFramePr>
          <xdr:cNvPr id="76" name="Gráfico 75">
            <a:extLst>
              <a:ext uri="{FF2B5EF4-FFF2-40B4-BE49-F238E27FC236}">
                <a16:creationId xmlns:a16="http://schemas.microsoft.com/office/drawing/2014/main" id="{00000000-0008-0000-0900-00004C000000}"/>
              </a:ext>
            </a:extLst>
          </xdr:cNvPr>
          <xdr:cNvGraphicFramePr>
            <a:graphicFrameLocks/>
          </xdr:cNvGraphicFramePr>
        </xdr:nvGraphicFramePr>
        <xdr:xfrm>
          <a:off x="29394725" y="6707909"/>
          <a:ext cx="1575954" cy="561600"/>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8</xdr:col>
      <xdr:colOff>113416</xdr:colOff>
      <xdr:row>25</xdr:row>
      <xdr:rowOff>31902</xdr:rowOff>
    </xdr:from>
    <xdr:to>
      <xdr:col>15</xdr:col>
      <xdr:colOff>344677</xdr:colOff>
      <xdr:row>27</xdr:row>
      <xdr:rowOff>163940</xdr:rowOff>
    </xdr:to>
    <xdr:grpSp>
      <xdr:nvGrpSpPr>
        <xdr:cNvPr id="78" name="Agrupar 77">
          <a:extLst>
            <a:ext uri="{FF2B5EF4-FFF2-40B4-BE49-F238E27FC236}">
              <a16:creationId xmlns:a16="http://schemas.microsoft.com/office/drawing/2014/main" id="{00000000-0008-0000-0900-00004E000000}"/>
            </a:ext>
          </a:extLst>
        </xdr:cNvPr>
        <xdr:cNvGrpSpPr/>
      </xdr:nvGrpSpPr>
      <xdr:grpSpPr>
        <a:xfrm>
          <a:off x="4609216" y="4842027"/>
          <a:ext cx="4126986" cy="513038"/>
          <a:chOff x="31830818" y="6707909"/>
          <a:chExt cx="3758044" cy="561600"/>
        </a:xfrm>
      </xdr:grpSpPr>
      <xdr:grpSp>
        <xdr:nvGrpSpPr>
          <xdr:cNvPr id="79" name="Agrupar 78">
            <a:extLst>
              <a:ext uri="{FF2B5EF4-FFF2-40B4-BE49-F238E27FC236}">
                <a16:creationId xmlns:a16="http://schemas.microsoft.com/office/drawing/2014/main" id="{00000000-0008-0000-0900-00004F000000}"/>
              </a:ext>
            </a:extLst>
          </xdr:cNvPr>
          <xdr:cNvGrpSpPr/>
        </xdr:nvGrpSpPr>
        <xdr:grpSpPr>
          <a:xfrm>
            <a:off x="31830818" y="6875780"/>
            <a:ext cx="2050220" cy="240392"/>
            <a:chOff x="5127622" y="4549780"/>
            <a:chExt cx="2051008" cy="241300"/>
          </a:xfrm>
        </xdr:grpSpPr>
        <xdr:sp macro="" textlink="">
          <xdr:nvSpPr>
            <xdr:cNvPr id="81" name="Text Box 10">
              <a:extLst>
                <a:ext uri="{FF2B5EF4-FFF2-40B4-BE49-F238E27FC236}">
                  <a16:creationId xmlns:a16="http://schemas.microsoft.com/office/drawing/2014/main" id="{00000000-0008-0000-0900-000051000000}"/>
                </a:ext>
              </a:extLst>
            </xdr:cNvPr>
            <xdr:cNvSpPr txBox="1">
              <a:spLocks noChangeArrowheads="1"/>
            </xdr:cNvSpPr>
          </xdr:nvSpPr>
          <xdr:spPr bwMode="auto">
            <a:xfrm>
              <a:off x="5127622" y="4549780"/>
              <a:ext cx="1346200" cy="241300"/>
            </a:xfrm>
            <a:prstGeom prst="rect">
              <a:avLst/>
            </a:prstGeom>
            <a:solidFill>
              <a:srgbClr val="00467A"/>
            </a:solidFill>
            <a:ln>
              <a:noFill/>
            </a:ln>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mc:AlternateContent xmlns:mc="http://schemas.openxmlformats.org/markup-compatibility/2006">
          <mc:Choice xmlns:a14="http://schemas.microsoft.com/office/drawing/2010/main" Requires="a14">
            <xdr:sp macro="" textlink="">
              <xdr:nvSpPr>
                <xdr:cNvPr id="132107" name="Drop Down 11" hidden="1">
                  <a:extLst>
                    <a:ext uri="{63B3BB69-23CF-44E3-9099-C40C66FF867C}">
                      <a14:compatExt spid="_x0000_s132107"/>
                    </a:ext>
                    <a:ext uri="{FF2B5EF4-FFF2-40B4-BE49-F238E27FC236}">
                      <a16:creationId xmlns:a16="http://schemas.microsoft.com/office/drawing/2014/main" id="{00000000-0008-0000-0900-00000B040200}"/>
                    </a:ext>
                  </a:extLst>
                </xdr:cNvPr>
                <xdr:cNvSpPr/>
              </xdr:nvSpPr>
              <xdr:spPr bwMode="auto">
                <a:xfrm>
                  <a:off x="6505540" y="4549780"/>
                  <a:ext cx="673090" cy="241202"/>
                </a:xfrm>
                <a:prstGeom prst="rect">
                  <a:avLst/>
                </a:prstGeom>
                <a:noFill/>
                <a:ln>
                  <a:noFill/>
                </a:ln>
                <a:extLst>
                  <a:ext uri="{91240B29-F687-4F45-9708-019B960494DF}">
                    <a14:hiddenLine w="9525">
                      <a:noFill/>
                      <a:miter lim="800000"/>
                      <a:headEnd/>
                      <a:tailEnd/>
                    </a14:hiddenLine>
                  </a:ext>
                </a:extLst>
              </xdr:spPr>
            </xdr:sp>
          </mc:Choice>
          <mc:Fallback/>
        </mc:AlternateContent>
      </xdr:grpSp>
      <xdr:graphicFrame macro="">
        <xdr:nvGraphicFramePr>
          <xdr:cNvPr id="80" name="Gráfico 79">
            <a:extLst>
              <a:ext uri="{FF2B5EF4-FFF2-40B4-BE49-F238E27FC236}">
                <a16:creationId xmlns:a16="http://schemas.microsoft.com/office/drawing/2014/main" id="{00000000-0008-0000-0900-000050000000}"/>
              </a:ext>
            </a:extLst>
          </xdr:cNvPr>
          <xdr:cNvGraphicFramePr>
            <a:graphicFrameLocks/>
          </xdr:cNvGraphicFramePr>
        </xdr:nvGraphicFramePr>
        <xdr:xfrm>
          <a:off x="34012908" y="6707909"/>
          <a:ext cx="1575954" cy="5616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16</xdr:col>
      <xdr:colOff>111228</xdr:colOff>
      <xdr:row>25</xdr:row>
      <xdr:rowOff>22226</xdr:rowOff>
    </xdr:from>
    <xdr:to>
      <xdr:col>23</xdr:col>
      <xdr:colOff>96456</xdr:colOff>
      <xdr:row>27</xdr:row>
      <xdr:rowOff>154010</xdr:rowOff>
    </xdr:to>
    <xdr:grpSp>
      <xdr:nvGrpSpPr>
        <xdr:cNvPr id="82" name="Agrupar 81">
          <a:extLst>
            <a:ext uri="{FF2B5EF4-FFF2-40B4-BE49-F238E27FC236}">
              <a16:creationId xmlns:a16="http://schemas.microsoft.com/office/drawing/2014/main" id="{00000000-0008-0000-0900-000052000000}"/>
            </a:ext>
          </a:extLst>
        </xdr:cNvPr>
        <xdr:cNvGrpSpPr/>
      </xdr:nvGrpSpPr>
      <xdr:grpSpPr>
        <a:xfrm>
          <a:off x="9083778" y="4832351"/>
          <a:ext cx="4052403" cy="512784"/>
          <a:chOff x="36599088" y="6759864"/>
          <a:chExt cx="3688776" cy="561600"/>
        </a:xfrm>
      </xdr:grpSpPr>
      <xdr:grpSp>
        <xdr:nvGrpSpPr>
          <xdr:cNvPr id="83" name="Agrupar 82">
            <a:extLst>
              <a:ext uri="{FF2B5EF4-FFF2-40B4-BE49-F238E27FC236}">
                <a16:creationId xmlns:a16="http://schemas.microsoft.com/office/drawing/2014/main" id="{00000000-0008-0000-0900-000053000000}"/>
              </a:ext>
            </a:extLst>
          </xdr:cNvPr>
          <xdr:cNvGrpSpPr/>
        </xdr:nvGrpSpPr>
        <xdr:grpSpPr>
          <a:xfrm>
            <a:off x="36599088" y="6916359"/>
            <a:ext cx="2054318" cy="246637"/>
            <a:chOff x="9423400" y="4330700"/>
            <a:chExt cx="2063822" cy="247564"/>
          </a:xfrm>
        </xdr:grpSpPr>
        <xdr:sp macro="" textlink="">
          <xdr:nvSpPr>
            <xdr:cNvPr id="85" name="Text Box 10">
              <a:extLst>
                <a:ext uri="{FF2B5EF4-FFF2-40B4-BE49-F238E27FC236}">
                  <a16:creationId xmlns:a16="http://schemas.microsoft.com/office/drawing/2014/main" id="{00000000-0008-0000-0900-000055000000}"/>
                </a:ext>
              </a:extLst>
            </xdr:cNvPr>
            <xdr:cNvSpPr txBox="1">
              <a:spLocks noChangeArrowheads="1"/>
            </xdr:cNvSpPr>
          </xdr:nvSpPr>
          <xdr:spPr bwMode="auto">
            <a:xfrm>
              <a:off x="9423400" y="4330700"/>
              <a:ext cx="1346200" cy="241300"/>
            </a:xfrm>
            <a:prstGeom prst="rect">
              <a:avLst/>
            </a:prstGeom>
            <a:solidFill>
              <a:srgbClr val="00467A"/>
            </a:solidFill>
            <a:ln>
              <a:noFill/>
            </a:ln>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mc:AlternateContent xmlns:mc="http://schemas.openxmlformats.org/markup-compatibility/2006">
          <mc:Choice xmlns:a14="http://schemas.microsoft.com/office/drawing/2010/main" Requires="a14">
            <xdr:sp macro="" textlink="">
              <xdr:nvSpPr>
                <xdr:cNvPr id="132108" name="Drop Down 12" hidden="1">
                  <a:extLst>
                    <a:ext uri="{63B3BB69-23CF-44E3-9099-C40C66FF867C}">
                      <a14:compatExt spid="_x0000_s132108"/>
                    </a:ext>
                    <a:ext uri="{FF2B5EF4-FFF2-40B4-BE49-F238E27FC236}">
                      <a16:creationId xmlns:a16="http://schemas.microsoft.com/office/drawing/2014/main" id="{00000000-0008-0000-0900-00000C040200}"/>
                    </a:ext>
                  </a:extLst>
                </xdr:cNvPr>
                <xdr:cNvSpPr/>
              </xdr:nvSpPr>
              <xdr:spPr bwMode="auto">
                <a:xfrm>
                  <a:off x="10814112" y="4337054"/>
                  <a:ext cx="673110" cy="241210"/>
                </a:xfrm>
                <a:prstGeom prst="rect">
                  <a:avLst/>
                </a:prstGeom>
                <a:noFill/>
                <a:ln>
                  <a:noFill/>
                </a:ln>
                <a:extLst>
                  <a:ext uri="{91240B29-F687-4F45-9708-019B960494DF}">
                    <a14:hiddenLine w="9525">
                      <a:noFill/>
                      <a:miter lim="800000"/>
                      <a:headEnd/>
                      <a:tailEnd/>
                    </a14:hiddenLine>
                  </a:ext>
                </a:extLst>
              </xdr:spPr>
            </xdr:sp>
          </mc:Choice>
          <mc:Fallback/>
        </mc:AlternateContent>
      </xdr:grpSp>
      <xdr:graphicFrame macro="">
        <xdr:nvGraphicFramePr>
          <xdr:cNvPr id="84" name="Gráfico 83">
            <a:extLst>
              <a:ext uri="{FF2B5EF4-FFF2-40B4-BE49-F238E27FC236}">
                <a16:creationId xmlns:a16="http://schemas.microsoft.com/office/drawing/2014/main" id="{00000000-0008-0000-0900-000054000000}"/>
              </a:ext>
            </a:extLst>
          </xdr:cNvPr>
          <xdr:cNvGraphicFramePr>
            <a:graphicFrameLocks/>
          </xdr:cNvGraphicFramePr>
        </xdr:nvGraphicFramePr>
        <xdr:xfrm>
          <a:off x="38711910" y="6759864"/>
          <a:ext cx="1575954" cy="561600"/>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0</xdr:col>
      <xdr:colOff>0</xdr:colOff>
      <xdr:row>4</xdr:row>
      <xdr:rowOff>107671</xdr:rowOff>
    </xdr:from>
    <xdr:to>
      <xdr:col>7</xdr:col>
      <xdr:colOff>366150</xdr:colOff>
      <xdr:row>6</xdr:row>
      <xdr:rowOff>29957</xdr:rowOff>
    </xdr:to>
    <xdr:grpSp>
      <xdr:nvGrpSpPr>
        <xdr:cNvPr id="2" name="Agrupar 1">
          <a:extLst>
            <a:ext uri="{FF2B5EF4-FFF2-40B4-BE49-F238E27FC236}">
              <a16:creationId xmlns:a16="http://schemas.microsoft.com/office/drawing/2014/main" id="{00000000-0008-0000-0900-000002000000}"/>
            </a:ext>
          </a:extLst>
        </xdr:cNvPr>
        <xdr:cNvGrpSpPr/>
      </xdr:nvGrpSpPr>
      <xdr:grpSpPr>
        <a:xfrm>
          <a:off x="0" y="917296"/>
          <a:ext cx="4299975" cy="303286"/>
          <a:chOff x="230187" y="644543"/>
          <a:chExt cx="5846763" cy="466707"/>
        </a:xfrm>
      </xdr:grpSpPr>
      <xdr:sp macro="" textlink="">
        <xdr:nvSpPr>
          <xdr:cNvPr id="3" name="Rectangle 3">
            <a:extLst>
              <a:ext uri="{FF2B5EF4-FFF2-40B4-BE49-F238E27FC236}">
                <a16:creationId xmlns:a16="http://schemas.microsoft.com/office/drawing/2014/main" id="{00000000-0008-0000-0900-000003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4" name="Text Box 10">
            <a:extLst>
              <a:ext uri="{FF2B5EF4-FFF2-40B4-BE49-F238E27FC236}">
                <a16:creationId xmlns:a16="http://schemas.microsoft.com/office/drawing/2014/main" id="{00000000-0008-0000-0900-000004000000}"/>
              </a:ext>
            </a:extLst>
          </xdr:cNvPr>
          <xdr:cNvSpPr txBox="1">
            <a:spLocks noChangeArrowheads="1"/>
          </xdr:cNvSpPr>
        </xdr:nvSpPr>
        <xdr:spPr bwMode="auto">
          <a:xfrm>
            <a:off x="307902" y="644543"/>
            <a:ext cx="2564358" cy="389306"/>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Empresas e Estabelecimentos</a:t>
            </a:r>
            <a:endParaRPr lang="en-US" altLang="pt-PT" sz="1200" b="1">
              <a:solidFill>
                <a:srgbClr val="00467A"/>
              </a:solidFill>
              <a:latin typeface="Arial" charset="0"/>
            </a:endParaRPr>
          </a:p>
        </xdr:txBody>
      </xdr:sp>
    </xdr:grpSp>
    <xdr:clientData/>
  </xdr:twoCellAnchor>
  <xdr:twoCellAnchor editAs="oneCell">
    <xdr:from>
      <xdr:col>0</xdr:col>
      <xdr:colOff>66675</xdr:colOff>
      <xdr:row>0</xdr:row>
      <xdr:rowOff>0</xdr:rowOff>
    </xdr:from>
    <xdr:to>
      <xdr:col>1</xdr:col>
      <xdr:colOff>383503</xdr:colOff>
      <xdr:row>2</xdr:row>
      <xdr:rowOff>1361</xdr:rowOff>
    </xdr:to>
    <xdr:pic>
      <xdr:nvPicPr>
        <xdr:cNvPr id="5" name="Imagem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66675" y="0"/>
          <a:ext cx="878803" cy="429986"/>
        </a:xfrm>
        <a:prstGeom prst="rect">
          <a:avLst/>
        </a:prstGeom>
      </xdr:spPr>
    </xdr:pic>
    <xdr:clientData/>
  </xdr:twoCellAnchor>
  <xdr:twoCellAnchor>
    <xdr:from>
      <xdr:col>1</xdr:col>
      <xdr:colOff>417362</xdr:colOff>
      <xdr:row>0</xdr:row>
      <xdr:rowOff>0</xdr:rowOff>
    </xdr:from>
    <xdr:to>
      <xdr:col>22</xdr:col>
      <xdr:colOff>577850</xdr:colOff>
      <xdr:row>2</xdr:row>
      <xdr:rowOff>76200</xdr:rowOff>
    </xdr:to>
    <xdr:sp macro="" textlink="">
      <xdr:nvSpPr>
        <xdr:cNvPr id="6" name="Rectangle 17">
          <a:extLst>
            <a:ext uri="{FF2B5EF4-FFF2-40B4-BE49-F238E27FC236}">
              <a16:creationId xmlns:a16="http://schemas.microsoft.com/office/drawing/2014/main" id="{00000000-0008-0000-0900-000006000000}"/>
            </a:ext>
          </a:extLst>
        </xdr:cNvPr>
        <xdr:cNvSpPr>
          <a:spLocks noChangeArrowheads="1"/>
        </xdr:cNvSpPr>
      </xdr:nvSpPr>
      <xdr:spPr bwMode="auto">
        <a:xfrm rot="5400000">
          <a:off x="6779344" y="-5800007"/>
          <a:ext cx="457200" cy="12057213"/>
        </a:xfrm>
        <a:prstGeom prst="rect">
          <a:avLst/>
        </a:prstGeom>
        <a:solidFill>
          <a:srgbClr val="00467A"/>
        </a:solidFill>
        <a:ln w="28575" cap="rnd">
          <a:noFill/>
          <a:prstDash val="sysDot"/>
          <a:miter lim="800000"/>
          <a:headEnd/>
          <a:tailEnd/>
        </a:ln>
        <a:effectLst>
          <a:prstShdw prst="shdw18" dist="17961" dir="13500000">
            <a:srgbClr val="556B81">
              <a:gamma/>
              <a:shade val="60000"/>
              <a:invGamma/>
            </a:srgbClr>
          </a:prstShdw>
        </a:effectLst>
      </xdr:spPr>
      <xdr:txBody>
        <a:bodyPr vert="vert270"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r>
            <a:rPr lang="pt-PT" sz="1600" b="1" i="1">
              <a:solidFill>
                <a:schemeClr val="bg1"/>
              </a:solidFill>
              <a:effectLst>
                <a:outerShdw blurRad="38100" dist="38100" dir="2700000" algn="tl">
                  <a:srgbClr val="000000"/>
                </a:outerShdw>
              </a:effectLst>
              <a:latin typeface="Arial" charset="0"/>
            </a:rPr>
            <a:t>Séries Cronológicas 2012 - 2022: Quadros de Pessoal</a:t>
          </a:r>
        </a:p>
        <a:p>
          <a:pPr defTabSz="988538">
            <a:defRPr/>
          </a:pPr>
          <a:r>
            <a:rPr lang="pt-PT" sz="1600" b="1" i="1">
              <a:solidFill>
                <a:srgbClr val="FFE600"/>
              </a:solidFill>
              <a:effectLst>
                <a:outerShdw blurRad="38100" dist="38100" dir="2700000" algn="tl">
                  <a:srgbClr val="000000"/>
                </a:outerShdw>
              </a:effectLst>
              <a:latin typeface="Arial" charset="0"/>
            </a:rPr>
            <a:t>Distritos</a:t>
          </a:r>
        </a:p>
      </xdr:txBody>
    </xdr:sp>
    <xdr:clientData/>
  </xdr:twoCellAnchor>
  <xdr:twoCellAnchor>
    <xdr:from>
      <xdr:col>7</xdr:col>
      <xdr:colOff>419100</xdr:colOff>
      <xdr:row>4</xdr:row>
      <xdr:rowOff>89698</xdr:rowOff>
    </xdr:from>
    <xdr:to>
      <xdr:col>15</xdr:col>
      <xdr:colOff>239150</xdr:colOff>
      <xdr:row>6</xdr:row>
      <xdr:rowOff>45398</xdr:rowOff>
    </xdr:to>
    <xdr:grpSp>
      <xdr:nvGrpSpPr>
        <xdr:cNvPr id="33" name="Agrupar 32">
          <a:extLst>
            <a:ext uri="{FF2B5EF4-FFF2-40B4-BE49-F238E27FC236}">
              <a16:creationId xmlns:a16="http://schemas.microsoft.com/office/drawing/2014/main" id="{00000000-0008-0000-0900-000021000000}"/>
            </a:ext>
          </a:extLst>
        </xdr:cNvPr>
        <xdr:cNvGrpSpPr/>
      </xdr:nvGrpSpPr>
      <xdr:grpSpPr>
        <a:xfrm>
          <a:off x="4352925" y="899323"/>
          <a:ext cx="4277750" cy="336700"/>
          <a:chOff x="230187" y="612160"/>
          <a:chExt cx="5846763" cy="499090"/>
        </a:xfrm>
      </xdr:grpSpPr>
      <xdr:sp macro="" textlink="">
        <xdr:nvSpPr>
          <xdr:cNvPr id="37" name="Rectangle 3">
            <a:extLst>
              <a:ext uri="{FF2B5EF4-FFF2-40B4-BE49-F238E27FC236}">
                <a16:creationId xmlns:a16="http://schemas.microsoft.com/office/drawing/2014/main" id="{00000000-0008-0000-0900-000025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38" name="Text Box 10">
            <a:extLst>
              <a:ext uri="{FF2B5EF4-FFF2-40B4-BE49-F238E27FC236}">
                <a16:creationId xmlns:a16="http://schemas.microsoft.com/office/drawing/2014/main" id="{00000000-0008-0000-0900-000026000000}"/>
              </a:ext>
            </a:extLst>
          </xdr:cNvPr>
          <xdr:cNvSpPr txBox="1">
            <a:spLocks noChangeArrowheads="1"/>
          </xdr:cNvSpPr>
        </xdr:nvSpPr>
        <xdr:spPr bwMode="auto">
          <a:xfrm>
            <a:off x="273049" y="612160"/>
            <a:ext cx="2074661" cy="413240"/>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Pessoas ao serviço e TCO</a:t>
            </a:r>
          </a:p>
        </xdr:txBody>
      </xdr:sp>
    </xdr:grpSp>
    <xdr:clientData/>
  </xdr:twoCellAnchor>
  <xdr:twoCellAnchor>
    <xdr:from>
      <xdr:col>15</xdr:col>
      <xdr:colOff>317500</xdr:colOff>
      <xdr:row>4</xdr:row>
      <xdr:rowOff>81233</xdr:rowOff>
    </xdr:from>
    <xdr:to>
      <xdr:col>22</xdr:col>
      <xdr:colOff>590550</xdr:colOff>
      <xdr:row>6</xdr:row>
      <xdr:rowOff>36933</xdr:rowOff>
    </xdr:to>
    <xdr:grpSp>
      <xdr:nvGrpSpPr>
        <xdr:cNvPr id="43" name="Agrupar 42">
          <a:extLst>
            <a:ext uri="{FF2B5EF4-FFF2-40B4-BE49-F238E27FC236}">
              <a16:creationId xmlns:a16="http://schemas.microsoft.com/office/drawing/2014/main" id="{00000000-0008-0000-0900-00002B000000}"/>
            </a:ext>
          </a:extLst>
        </xdr:cNvPr>
        <xdr:cNvGrpSpPr/>
      </xdr:nvGrpSpPr>
      <xdr:grpSpPr>
        <a:xfrm>
          <a:off x="8709025" y="890858"/>
          <a:ext cx="4330700" cy="336700"/>
          <a:chOff x="230187" y="612158"/>
          <a:chExt cx="5846763" cy="499092"/>
        </a:xfrm>
      </xdr:grpSpPr>
      <xdr:sp macro="" textlink="">
        <xdr:nvSpPr>
          <xdr:cNvPr id="44" name="Rectangle 3">
            <a:extLst>
              <a:ext uri="{FF2B5EF4-FFF2-40B4-BE49-F238E27FC236}">
                <a16:creationId xmlns:a16="http://schemas.microsoft.com/office/drawing/2014/main" id="{00000000-0008-0000-0900-00002C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45" name="Text Box 10">
            <a:extLst>
              <a:ext uri="{FF2B5EF4-FFF2-40B4-BE49-F238E27FC236}">
                <a16:creationId xmlns:a16="http://schemas.microsoft.com/office/drawing/2014/main" id="{00000000-0008-0000-0900-00002D000000}"/>
              </a:ext>
            </a:extLst>
          </xdr:cNvPr>
          <xdr:cNvSpPr txBox="1">
            <a:spLocks noChangeArrowheads="1"/>
          </xdr:cNvSpPr>
        </xdr:nvSpPr>
        <xdr:spPr bwMode="auto">
          <a:xfrm>
            <a:off x="264329" y="612158"/>
            <a:ext cx="2533750" cy="425733"/>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Remunerações</a:t>
            </a:r>
            <a:r>
              <a:rPr lang="en-US" altLang="pt-PT" sz="1000" b="1" baseline="0">
                <a:solidFill>
                  <a:srgbClr val="00467A"/>
                </a:solidFill>
                <a:latin typeface="+mn-lt"/>
              </a:rPr>
              <a:t> médias mensais</a:t>
            </a:r>
            <a:endParaRPr lang="en-US" altLang="pt-PT" sz="1000" b="1">
              <a:solidFill>
                <a:srgbClr val="00467A"/>
              </a:solidFill>
              <a:latin typeface="+mn-lt"/>
            </a:endParaRPr>
          </a:p>
        </xdr:txBody>
      </xdr:sp>
    </xdr:grpSp>
    <xdr:clientData/>
  </xdr:twoCellAnchor>
  <xdr:twoCellAnchor>
    <xdr:from>
      <xdr:col>0</xdr:col>
      <xdr:colOff>47996</xdr:colOff>
      <xdr:row>2</xdr:row>
      <xdr:rowOff>120650</xdr:rowOff>
    </xdr:from>
    <xdr:to>
      <xdr:col>22</xdr:col>
      <xdr:colOff>577849</xdr:colOff>
      <xdr:row>4</xdr:row>
      <xdr:rowOff>50800</xdr:rowOff>
    </xdr:to>
    <xdr:grpSp>
      <xdr:nvGrpSpPr>
        <xdr:cNvPr id="20" name="Agrupar 19">
          <a:extLst>
            <a:ext uri="{FF2B5EF4-FFF2-40B4-BE49-F238E27FC236}">
              <a16:creationId xmlns:a16="http://schemas.microsoft.com/office/drawing/2014/main" id="{00000000-0008-0000-0900-000014000000}"/>
            </a:ext>
          </a:extLst>
        </xdr:cNvPr>
        <xdr:cNvGrpSpPr/>
      </xdr:nvGrpSpPr>
      <xdr:grpSpPr>
        <a:xfrm>
          <a:off x="47996" y="549275"/>
          <a:ext cx="12988553" cy="311150"/>
          <a:chOff x="47996" y="590550"/>
          <a:chExt cx="13610853" cy="298450"/>
        </a:xfrm>
      </xdr:grpSpPr>
      <xdr:sp macro="" textlink="">
        <xdr:nvSpPr>
          <xdr:cNvPr id="88" name="Text Box 10">
            <a:extLst>
              <a:ext uri="{FF2B5EF4-FFF2-40B4-BE49-F238E27FC236}">
                <a16:creationId xmlns:a16="http://schemas.microsoft.com/office/drawing/2014/main" id="{00000000-0008-0000-0900-000058000000}"/>
              </a:ext>
            </a:extLst>
          </xdr:cNvPr>
          <xdr:cNvSpPr txBox="1">
            <a:spLocks noChangeArrowheads="1"/>
          </xdr:cNvSpPr>
        </xdr:nvSpPr>
        <xdr:spPr bwMode="auto">
          <a:xfrm>
            <a:off x="47996" y="590550"/>
            <a:ext cx="13610853" cy="298450"/>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endParaRPr lang="en-US" altLang="pt-PT" sz="1200" b="1">
              <a:solidFill>
                <a:srgbClr val="00467A"/>
              </a:solidFill>
              <a:latin typeface="Arial" charset="0"/>
            </a:endParaRPr>
          </a:p>
        </xdr:txBody>
      </xdr:sp>
      <mc:AlternateContent xmlns:mc="http://schemas.openxmlformats.org/markup-compatibility/2006">
        <mc:Choice xmlns:a14="http://schemas.microsoft.com/office/drawing/2010/main" Requires="a14">
          <xdr:sp macro="" textlink="">
            <xdr:nvSpPr>
              <xdr:cNvPr id="132100" name="Drop Down 4" hidden="1">
                <a:extLst>
                  <a:ext uri="{63B3BB69-23CF-44E3-9099-C40C66FF867C}">
                    <a14:compatExt spid="_x0000_s132100"/>
                  </a:ext>
                  <a:ext uri="{FF2B5EF4-FFF2-40B4-BE49-F238E27FC236}">
                    <a16:creationId xmlns:a16="http://schemas.microsoft.com/office/drawing/2014/main" id="{00000000-0008-0000-0900-000004040200}"/>
                  </a:ext>
                </a:extLst>
              </xdr:cNvPr>
              <xdr:cNvSpPr/>
            </xdr:nvSpPr>
            <xdr:spPr bwMode="auto">
              <a:xfrm>
                <a:off x="1619929" y="625863"/>
                <a:ext cx="1123950" cy="196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89" name="Text Box 10">
            <a:extLst>
              <a:ext uri="{FF2B5EF4-FFF2-40B4-BE49-F238E27FC236}">
                <a16:creationId xmlns:a16="http://schemas.microsoft.com/office/drawing/2014/main" id="{00000000-0008-0000-0900-000059000000}"/>
              </a:ext>
            </a:extLst>
          </xdr:cNvPr>
          <xdr:cNvSpPr txBox="1">
            <a:spLocks noChangeArrowheads="1"/>
          </xdr:cNvSpPr>
        </xdr:nvSpPr>
        <xdr:spPr bwMode="auto">
          <a:xfrm>
            <a:off x="150340" y="613164"/>
            <a:ext cx="1434396" cy="241300"/>
          </a:xfrm>
          <a:prstGeom prst="rect">
            <a:avLst/>
          </a:prstGeom>
          <a:solidFill>
            <a:srgbClr val="00467A"/>
          </a:solidFill>
          <a:ln>
            <a:noFill/>
          </a:ln>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distrito</a:t>
            </a:r>
            <a:endParaRPr lang="en-US" altLang="pt-PT" sz="1200" b="1">
              <a:solidFill>
                <a:schemeClr val="bg1"/>
              </a:solidFill>
              <a:latin typeface="Arial" charset="0"/>
            </a:endParaRPr>
          </a:p>
        </xdr:txBody>
      </xdr:sp>
    </xdr:grpSp>
    <xdr:clientData/>
  </xdr:twoCellAnchor>
  <xdr:twoCellAnchor>
    <xdr:from>
      <xdr:col>0</xdr:col>
      <xdr:colOff>88900</xdr:colOff>
      <xdr:row>10</xdr:row>
      <xdr:rowOff>120650</xdr:rowOff>
    </xdr:from>
    <xdr:to>
      <xdr:col>7</xdr:col>
      <xdr:colOff>275050</xdr:colOff>
      <xdr:row>26</xdr:row>
      <xdr:rowOff>41550</xdr:rowOff>
    </xdr:to>
    <xdr:grpSp>
      <xdr:nvGrpSpPr>
        <xdr:cNvPr id="90" name="Agrupar 89">
          <a:extLst>
            <a:ext uri="{FF2B5EF4-FFF2-40B4-BE49-F238E27FC236}">
              <a16:creationId xmlns:a16="http://schemas.microsoft.com/office/drawing/2014/main" id="{00000000-0008-0000-0900-00005A000000}"/>
            </a:ext>
          </a:extLst>
        </xdr:cNvPr>
        <xdr:cNvGrpSpPr/>
      </xdr:nvGrpSpPr>
      <xdr:grpSpPr>
        <a:xfrm>
          <a:off x="88900" y="2073275"/>
          <a:ext cx="4119975" cy="2968900"/>
          <a:chOff x="36182300" y="8426450"/>
          <a:chExt cx="4819650" cy="2597244"/>
        </a:xfrm>
      </xdr:grpSpPr>
      <xdr:graphicFrame macro="">
        <xdr:nvGraphicFramePr>
          <xdr:cNvPr id="91" name="Gráfico 90">
            <a:extLst>
              <a:ext uri="{FF2B5EF4-FFF2-40B4-BE49-F238E27FC236}">
                <a16:creationId xmlns:a16="http://schemas.microsoft.com/office/drawing/2014/main" id="{00000000-0008-0000-0900-00005B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92" name="CaixaDeTexto 91">
            <a:extLst>
              <a:ext uri="{FF2B5EF4-FFF2-40B4-BE49-F238E27FC236}">
                <a16:creationId xmlns:a16="http://schemas.microsoft.com/office/drawing/2014/main" id="{00000000-0008-0000-0900-00005C000000}"/>
              </a:ext>
            </a:extLst>
          </xdr:cNvPr>
          <xdr:cNvSpPr txBox="1"/>
        </xdr:nvSpPr>
        <xdr:spPr>
          <a:xfrm>
            <a:off x="39836722" y="8902700"/>
            <a:ext cx="913867"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Empresas</a:t>
            </a:r>
          </a:p>
        </xdr:txBody>
      </xdr:sp>
      <xdr:sp macro="" textlink="">
        <xdr:nvSpPr>
          <xdr:cNvPr id="93" name="CaixaDeTexto 92">
            <a:extLst>
              <a:ext uri="{FF2B5EF4-FFF2-40B4-BE49-F238E27FC236}">
                <a16:creationId xmlns:a16="http://schemas.microsoft.com/office/drawing/2014/main" id="{00000000-0008-0000-0900-00005D000000}"/>
              </a:ext>
            </a:extLst>
          </xdr:cNvPr>
          <xdr:cNvSpPr txBox="1"/>
        </xdr:nvSpPr>
        <xdr:spPr>
          <a:xfrm>
            <a:off x="39833549" y="9721850"/>
            <a:ext cx="913497"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Estabelecimentos</a:t>
            </a:r>
          </a:p>
        </xdr:txBody>
      </xdr:sp>
      <xdr:sp macro="" textlink="q3_q6_q9_q12_q19_q27_Fig!$AG$23">
        <xdr:nvSpPr>
          <xdr:cNvPr id="94" name="CaixaDeTexto 93">
            <a:extLst>
              <a:ext uri="{FF2B5EF4-FFF2-40B4-BE49-F238E27FC236}">
                <a16:creationId xmlns:a16="http://schemas.microsoft.com/office/drawing/2014/main" id="{00000000-0008-0000-0900-00005E000000}"/>
              </a:ext>
            </a:extLst>
          </xdr:cNvPr>
          <xdr:cNvSpPr txBox="1"/>
        </xdr:nvSpPr>
        <xdr:spPr>
          <a:xfrm>
            <a:off x="39839898" y="9994900"/>
            <a:ext cx="913867" cy="258246"/>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32E978C-36E4-4EF9-9691-B755701A40E7}" type="TxLink">
              <a:rPr lang="en-US" sz="1000" b="1" i="0" u="none" strike="noStrike">
                <a:solidFill>
                  <a:schemeClr val="bg1"/>
                </a:solidFill>
                <a:latin typeface="Arial"/>
                <a:ea typeface="+mn-ea"/>
                <a:cs typeface="Arial"/>
              </a:rPr>
              <a:pPr marL="0" indent="0" algn="ctr"/>
              <a:t>4,3%</a:t>
            </a:fld>
            <a:endParaRPr lang="pt-PT" sz="1000" b="1" i="0" u="none" strike="noStrike">
              <a:solidFill>
                <a:schemeClr val="bg1"/>
              </a:solidFill>
              <a:latin typeface="+mn-lt"/>
              <a:ea typeface="+mn-ea"/>
              <a:cs typeface="Arial"/>
            </a:endParaRPr>
          </a:p>
        </xdr:txBody>
      </xdr:sp>
      <xdr:sp macro="" textlink="q3_q6_q9_q12_q19_q27_Fig!$AG$22">
        <xdr:nvSpPr>
          <xdr:cNvPr id="95" name="CaixaDeTexto 94">
            <a:extLst>
              <a:ext uri="{FF2B5EF4-FFF2-40B4-BE49-F238E27FC236}">
                <a16:creationId xmlns:a16="http://schemas.microsoft.com/office/drawing/2014/main" id="{00000000-0008-0000-0900-00005F000000}"/>
              </a:ext>
            </a:extLst>
          </xdr:cNvPr>
          <xdr:cNvSpPr txBox="1"/>
        </xdr:nvSpPr>
        <xdr:spPr>
          <a:xfrm>
            <a:off x="39839898" y="9201150"/>
            <a:ext cx="913867" cy="25824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EC43F0F-F246-42EF-943E-C5ACB6D9EB24}" type="TxLink">
              <a:rPr lang="en-US" sz="1000" b="1" i="0" u="none" strike="noStrike">
                <a:solidFill>
                  <a:schemeClr val="bg1"/>
                </a:solidFill>
                <a:latin typeface="Arial"/>
                <a:cs typeface="Arial"/>
              </a:rPr>
              <a:pPr algn="ctr"/>
              <a:t>6,7%</a:t>
            </a:fld>
            <a:endParaRPr lang="pt-PT" sz="1000" b="1">
              <a:solidFill>
                <a:schemeClr val="bg1"/>
              </a:solidFill>
              <a:latin typeface="+mn-lt"/>
            </a:endParaRPr>
          </a:p>
        </xdr:txBody>
      </xdr:sp>
    </xdr:grpSp>
    <xdr:clientData/>
  </xdr:twoCellAnchor>
  <xdr:twoCellAnchor>
    <xdr:from>
      <xdr:col>0</xdr:col>
      <xdr:colOff>152400</xdr:colOff>
      <xdr:row>32</xdr:row>
      <xdr:rowOff>152400</xdr:rowOff>
    </xdr:from>
    <xdr:to>
      <xdr:col>7</xdr:col>
      <xdr:colOff>11864</xdr:colOff>
      <xdr:row>55</xdr:row>
      <xdr:rowOff>56950</xdr:rowOff>
    </xdr:to>
    <xdr:grpSp>
      <xdr:nvGrpSpPr>
        <xdr:cNvPr id="13" name="Agrupar 12">
          <a:extLst>
            <a:ext uri="{FF2B5EF4-FFF2-40B4-BE49-F238E27FC236}">
              <a16:creationId xmlns:a16="http://schemas.microsoft.com/office/drawing/2014/main" id="{00000000-0008-0000-0900-00000D000000}"/>
            </a:ext>
          </a:extLst>
        </xdr:cNvPr>
        <xdr:cNvGrpSpPr/>
      </xdr:nvGrpSpPr>
      <xdr:grpSpPr>
        <a:xfrm>
          <a:off x="152400" y="6296025"/>
          <a:ext cx="3793289" cy="4286050"/>
          <a:chOff x="152400" y="5626100"/>
          <a:chExt cx="3993314" cy="4140000"/>
        </a:xfrm>
      </xdr:grpSpPr>
      <xdr:graphicFrame macro="">
        <xdr:nvGraphicFramePr>
          <xdr:cNvPr id="98" name="Gráfico 97">
            <a:extLst>
              <a:ext uri="{FF2B5EF4-FFF2-40B4-BE49-F238E27FC236}">
                <a16:creationId xmlns:a16="http://schemas.microsoft.com/office/drawing/2014/main" id="{00000000-0008-0000-0900-000062000000}"/>
              </a:ext>
            </a:extLst>
          </xdr:cNvPr>
          <xdr:cNvGraphicFramePr/>
        </xdr:nvGraphicFramePr>
        <xdr:xfrm>
          <a:off x="152400" y="5626100"/>
          <a:ext cx="2700000" cy="4140000"/>
        </xdr:xfrm>
        <a:graphic>
          <a:graphicData uri="http://schemas.openxmlformats.org/drawingml/2006/chart">
            <c:chart xmlns:c="http://schemas.openxmlformats.org/drawingml/2006/chart" xmlns:r="http://schemas.openxmlformats.org/officeDocument/2006/relationships" r:id="rId6"/>
          </a:graphicData>
        </a:graphic>
      </xdr:graphicFrame>
      <xdr:grpSp>
        <xdr:nvGrpSpPr>
          <xdr:cNvPr id="100" name="Agrupar 99">
            <a:extLst>
              <a:ext uri="{FF2B5EF4-FFF2-40B4-BE49-F238E27FC236}">
                <a16:creationId xmlns:a16="http://schemas.microsoft.com/office/drawing/2014/main" id="{00000000-0008-0000-0900-000064000000}"/>
              </a:ext>
            </a:extLst>
          </xdr:cNvPr>
          <xdr:cNvGrpSpPr/>
        </xdr:nvGrpSpPr>
        <xdr:grpSpPr>
          <a:xfrm>
            <a:off x="2133577" y="5715000"/>
            <a:ext cx="2012137" cy="3886200"/>
            <a:chOff x="25929945" y="6707910"/>
            <a:chExt cx="2164306" cy="3088635"/>
          </a:xfrm>
        </xdr:grpSpPr>
        <mc:AlternateContent xmlns:mc="http://schemas.openxmlformats.org/markup-compatibility/2006">
          <mc:Choice xmlns:cx4="http://schemas.microsoft.com/office/drawing/2016/5/10/chartex" Requires="cx4">
            <xdr:graphicFrame macro="">
              <xdr:nvGraphicFramePr>
                <xdr:cNvPr id="101" name="Gráfico 100">
                  <a:extLst>
                    <a:ext uri="{FF2B5EF4-FFF2-40B4-BE49-F238E27FC236}">
                      <a16:creationId xmlns:a16="http://schemas.microsoft.com/office/drawing/2014/main" id="{00000000-0008-0000-0900-000065000000}"/>
                    </a:ext>
                  </a:extLst>
                </xdr:cNvPr>
                <xdr:cNvGraphicFramePr/>
              </xdr:nvGraphicFramePr>
              <xdr:xfrm>
                <a:off x="25929945" y="6707910"/>
                <a:ext cx="2075527" cy="1529773"/>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25929945" y="6707910"/>
                  <a:ext cx="2075527" cy="1529773"/>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mc:AlternateContent xmlns:mc="http://schemas.openxmlformats.org/markup-compatibility/2006">
          <mc:Choice xmlns:cx4="http://schemas.microsoft.com/office/drawing/2016/5/10/chartex" Requires="cx4">
            <xdr:graphicFrame macro="">
              <xdr:nvGraphicFramePr>
                <xdr:cNvPr id="102" name="Gráfico 101">
                  <a:extLst>
                    <a:ext uri="{FF2B5EF4-FFF2-40B4-BE49-F238E27FC236}">
                      <a16:creationId xmlns:a16="http://schemas.microsoft.com/office/drawing/2014/main" id="{00000000-0008-0000-0900-000066000000}"/>
                    </a:ext>
                  </a:extLst>
                </xdr:cNvPr>
                <xdr:cNvGraphicFramePr/>
              </xdr:nvGraphicFramePr>
              <xdr:xfrm>
                <a:off x="26018728" y="8266545"/>
                <a:ext cx="2075523" cy="1530000"/>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26018728" y="8266545"/>
                  <a:ext cx="2075523" cy="1530000"/>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xdr:grpSp>
    </xdr:grpSp>
    <xdr:clientData/>
  </xdr:twoCellAnchor>
  <xdr:twoCellAnchor>
    <xdr:from>
      <xdr:col>8</xdr:col>
      <xdr:colOff>47625</xdr:colOff>
      <xdr:row>10</xdr:row>
      <xdr:rowOff>133350</xdr:rowOff>
    </xdr:from>
    <xdr:to>
      <xdr:col>15</xdr:col>
      <xdr:colOff>249650</xdr:colOff>
      <xdr:row>26</xdr:row>
      <xdr:rowOff>54250</xdr:rowOff>
    </xdr:to>
    <xdr:grpSp>
      <xdr:nvGrpSpPr>
        <xdr:cNvPr id="103" name="Agrupar 102">
          <a:extLst>
            <a:ext uri="{FF2B5EF4-FFF2-40B4-BE49-F238E27FC236}">
              <a16:creationId xmlns:a16="http://schemas.microsoft.com/office/drawing/2014/main" id="{00000000-0008-0000-0900-000067000000}"/>
            </a:ext>
          </a:extLst>
        </xdr:cNvPr>
        <xdr:cNvGrpSpPr/>
      </xdr:nvGrpSpPr>
      <xdr:grpSpPr>
        <a:xfrm>
          <a:off x="4543425" y="2085975"/>
          <a:ext cx="4097750" cy="2968900"/>
          <a:chOff x="36182300" y="8426450"/>
          <a:chExt cx="4819650" cy="2597244"/>
        </a:xfrm>
      </xdr:grpSpPr>
      <xdr:graphicFrame macro="">
        <xdr:nvGraphicFramePr>
          <xdr:cNvPr id="104" name="Gráfico 103">
            <a:extLst>
              <a:ext uri="{FF2B5EF4-FFF2-40B4-BE49-F238E27FC236}">
                <a16:creationId xmlns:a16="http://schemas.microsoft.com/office/drawing/2014/main" id="{00000000-0008-0000-0900-000068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105" name="CaixaDeTexto 104">
            <a:extLst>
              <a:ext uri="{FF2B5EF4-FFF2-40B4-BE49-F238E27FC236}">
                <a16:creationId xmlns:a16="http://schemas.microsoft.com/office/drawing/2014/main" id="{00000000-0008-0000-0900-000069000000}"/>
              </a:ext>
            </a:extLst>
          </xdr:cNvPr>
          <xdr:cNvSpPr txBox="1"/>
        </xdr:nvSpPr>
        <xdr:spPr>
          <a:xfrm>
            <a:off x="39836724" y="8902700"/>
            <a:ext cx="918824"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Pessoas ao serviço</a:t>
            </a:r>
          </a:p>
        </xdr:txBody>
      </xdr:sp>
      <xdr:sp macro="" textlink="">
        <xdr:nvSpPr>
          <xdr:cNvPr id="106" name="CaixaDeTexto 105">
            <a:extLst>
              <a:ext uri="{FF2B5EF4-FFF2-40B4-BE49-F238E27FC236}">
                <a16:creationId xmlns:a16="http://schemas.microsoft.com/office/drawing/2014/main" id="{00000000-0008-0000-0900-00006A000000}"/>
              </a:ext>
            </a:extLst>
          </xdr:cNvPr>
          <xdr:cNvSpPr txBox="1"/>
        </xdr:nvSpPr>
        <xdr:spPr>
          <a:xfrm>
            <a:off x="39833550" y="9721850"/>
            <a:ext cx="918824"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TCO</a:t>
            </a:r>
          </a:p>
        </xdr:txBody>
      </xdr:sp>
      <xdr:sp macro="" textlink="q3_q6_q9_q12_q19_q27_Fig!$AG$63">
        <xdr:nvSpPr>
          <xdr:cNvPr id="107" name="CaixaDeTexto 106">
            <a:extLst>
              <a:ext uri="{FF2B5EF4-FFF2-40B4-BE49-F238E27FC236}">
                <a16:creationId xmlns:a16="http://schemas.microsoft.com/office/drawing/2014/main" id="{00000000-0008-0000-0900-00006B000000}"/>
              </a:ext>
            </a:extLst>
          </xdr:cNvPr>
          <xdr:cNvSpPr txBox="1"/>
        </xdr:nvSpPr>
        <xdr:spPr>
          <a:xfrm>
            <a:off x="39839899" y="9994900"/>
            <a:ext cx="918824" cy="258246"/>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02D5924-8C9A-41C8-91E0-F846F9A251E2}" type="TxLink">
              <a:rPr lang="en-US" sz="1000" b="1" i="0" u="none" strike="noStrike">
                <a:solidFill>
                  <a:schemeClr val="bg1"/>
                </a:solidFill>
                <a:latin typeface="Arial"/>
                <a:ea typeface="+mn-ea"/>
                <a:cs typeface="Arial"/>
              </a:rPr>
              <a:pPr marL="0" indent="0" algn="ctr"/>
              <a:t>34,5%</a:t>
            </a:fld>
            <a:endParaRPr lang="pt-PT" sz="1000" b="1" i="0" u="none" strike="noStrike">
              <a:solidFill>
                <a:schemeClr val="bg1"/>
              </a:solidFill>
              <a:latin typeface="+mn-lt"/>
              <a:ea typeface="+mn-ea"/>
              <a:cs typeface="Arial"/>
            </a:endParaRPr>
          </a:p>
        </xdr:txBody>
      </xdr:sp>
      <xdr:sp macro="" textlink="q3_q6_q9_q12_q19_q27_Fig!$AG$62">
        <xdr:nvSpPr>
          <xdr:cNvPr id="108" name="CaixaDeTexto 107">
            <a:extLst>
              <a:ext uri="{FF2B5EF4-FFF2-40B4-BE49-F238E27FC236}">
                <a16:creationId xmlns:a16="http://schemas.microsoft.com/office/drawing/2014/main" id="{00000000-0008-0000-0900-00006C000000}"/>
              </a:ext>
            </a:extLst>
          </xdr:cNvPr>
          <xdr:cNvSpPr txBox="1"/>
        </xdr:nvSpPr>
        <xdr:spPr>
          <a:xfrm>
            <a:off x="39839900" y="9201150"/>
            <a:ext cx="918824" cy="25824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6DB01A9-3583-4425-97F6-0D959BD0A5C1}" type="TxLink">
              <a:rPr lang="en-US" sz="1000" b="1" i="0" u="none" strike="noStrike">
                <a:solidFill>
                  <a:schemeClr val="bg1"/>
                </a:solidFill>
                <a:latin typeface="Arial"/>
                <a:cs typeface="Arial"/>
              </a:rPr>
              <a:pPr algn="ctr"/>
              <a:t>33,1%</a:t>
            </a:fld>
            <a:endParaRPr lang="pt-PT" sz="1000" b="1">
              <a:solidFill>
                <a:schemeClr val="bg1"/>
              </a:solidFill>
              <a:latin typeface="+mn-lt"/>
            </a:endParaRPr>
          </a:p>
        </xdr:txBody>
      </xdr:sp>
    </xdr:grpSp>
    <xdr:clientData/>
  </xdr:twoCellAnchor>
  <xdr:twoCellAnchor>
    <xdr:from>
      <xdr:col>15</xdr:col>
      <xdr:colOff>419100</xdr:colOff>
      <xdr:row>10</xdr:row>
      <xdr:rowOff>152400</xdr:rowOff>
    </xdr:from>
    <xdr:to>
      <xdr:col>22</xdr:col>
      <xdr:colOff>471900</xdr:colOff>
      <xdr:row>25</xdr:row>
      <xdr:rowOff>171450</xdr:rowOff>
    </xdr:to>
    <xdr:grpSp>
      <xdr:nvGrpSpPr>
        <xdr:cNvPr id="113" name="Agrupar 112">
          <a:extLst>
            <a:ext uri="{FF2B5EF4-FFF2-40B4-BE49-F238E27FC236}">
              <a16:creationId xmlns:a16="http://schemas.microsoft.com/office/drawing/2014/main" id="{00000000-0008-0000-0900-000071000000}"/>
            </a:ext>
          </a:extLst>
        </xdr:cNvPr>
        <xdr:cNvGrpSpPr/>
      </xdr:nvGrpSpPr>
      <xdr:grpSpPr>
        <a:xfrm>
          <a:off x="8810625" y="2105025"/>
          <a:ext cx="4119975" cy="2876550"/>
          <a:chOff x="36182300" y="8426450"/>
          <a:chExt cx="4819650" cy="2597244"/>
        </a:xfrm>
      </xdr:grpSpPr>
      <xdr:graphicFrame macro="">
        <xdr:nvGraphicFramePr>
          <xdr:cNvPr id="114" name="Gráfico 113">
            <a:extLst>
              <a:ext uri="{FF2B5EF4-FFF2-40B4-BE49-F238E27FC236}">
                <a16:creationId xmlns:a16="http://schemas.microsoft.com/office/drawing/2014/main" id="{00000000-0008-0000-0900-000072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10"/>
          </a:graphicData>
        </a:graphic>
      </xdr:graphicFrame>
      <xdr:sp macro="" textlink="">
        <xdr:nvSpPr>
          <xdr:cNvPr id="115" name="CaixaDeTexto 114">
            <a:extLst>
              <a:ext uri="{FF2B5EF4-FFF2-40B4-BE49-F238E27FC236}">
                <a16:creationId xmlns:a16="http://schemas.microsoft.com/office/drawing/2014/main" id="{00000000-0008-0000-0900-000073000000}"/>
              </a:ext>
            </a:extLst>
          </xdr:cNvPr>
          <xdr:cNvSpPr txBox="1"/>
        </xdr:nvSpPr>
        <xdr:spPr>
          <a:xfrm>
            <a:off x="39836724" y="8902700"/>
            <a:ext cx="913867" cy="266537"/>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a:t>
            </a:r>
            <a:r>
              <a:rPr lang="pt-PT" sz="800" b="1" baseline="0">
                <a:solidFill>
                  <a:schemeClr val="bg1"/>
                </a:solidFill>
                <a:latin typeface="+mn-lt"/>
                <a:ea typeface="+mn-ea"/>
                <a:cs typeface="+mn-cs"/>
              </a:rPr>
              <a:t> Base</a:t>
            </a:r>
          </a:p>
        </xdr:txBody>
      </xdr:sp>
      <xdr:sp macro="" textlink="">
        <xdr:nvSpPr>
          <xdr:cNvPr id="116" name="CaixaDeTexto 115">
            <a:extLst>
              <a:ext uri="{FF2B5EF4-FFF2-40B4-BE49-F238E27FC236}">
                <a16:creationId xmlns:a16="http://schemas.microsoft.com/office/drawing/2014/main" id="{00000000-0008-0000-0900-000074000000}"/>
              </a:ext>
            </a:extLst>
          </xdr:cNvPr>
          <xdr:cNvSpPr txBox="1"/>
        </xdr:nvSpPr>
        <xdr:spPr>
          <a:xfrm>
            <a:off x="39833549" y="9721850"/>
            <a:ext cx="913867" cy="266537"/>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 Ganho</a:t>
            </a:r>
          </a:p>
        </xdr:txBody>
      </xdr:sp>
      <xdr:sp macro="" textlink="q3_q6_q9_q12_q19_q27_Fig!$AG$103">
        <xdr:nvSpPr>
          <xdr:cNvPr id="117" name="CaixaDeTexto 116">
            <a:extLst>
              <a:ext uri="{FF2B5EF4-FFF2-40B4-BE49-F238E27FC236}">
                <a16:creationId xmlns:a16="http://schemas.microsoft.com/office/drawing/2014/main" id="{00000000-0008-0000-0900-000075000000}"/>
              </a:ext>
            </a:extLst>
          </xdr:cNvPr>
          <xdr:cNvSpPr txBox="1"/>
        </xdr:nvSpPr>
        <xdr:spPr>
          <a:xfrm>
            <a:off x="39839897" y="9994900"/>
            <a:ext cx="913867" cy="266537"/>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BEB6391-2DA1-4399-8E59-5272F0F21967}" type="TxLink">
              <a:rPr lang="en-US" sz="1000" b="1" i="0" u="none" strike="noStrike">
                <a:solidFill>
                  <a:schemeClr val="bg1"/>
                </a:solidFill>
                <a:latin typeface="Arial"/>
                <a:ea typeface="+mn-ea"/>
                <a:cs typeface="Arial"/>
              </a:rPr>
              <a:pPr marL="0" indent="0" algn="ctr"/>
              <a:t>18,7%</a:t>
            </a:fld>
            <a:endParaRPr lang="pt-PT" sz="1000" b="1" i="0" u="none" strike="noStrike">
              <a:solidFill>
                <a:schemeClr val="bg1"/>
              </a:solidFill>
              <a:latin typeface="+mn-lt"/>
              <a:ea typeface="+mn-ea"/>
              <a:cs typeface="Arial"/>
            </a:endParaRPr>
          </a:p>
        </xdr:txBody>
      </xdr:sp>
      <xdr:sp macro="" textlink="q3_q6_q9_q12_q19_q27_Fig!$AG$102">
        <xdr:nvSpPr>
          <xdr:cNvPr id="118" name="CaixaDeTexto 117">
            <a:extLst>
              <a:ext uri="{FF2B5EF4-FFF2-40B4-BE49-F238E27FC236}">
                <a16:creationId xmlns:a16="http://schemas.microsoft.com/office/drawing/2014/main" id="{00000000-0008-0000-0900-000076000000}"/>
              </a:ext>
            </a:extLst>
          </xdr:cNvPr>
          <xdr:cNvSpPr txBox="1"/>
        </xdr:nvSpPr>
        <xdr:spPr>
          <a:xfrm>
            <a:off x="39839901" y="9201150"/>
            <a:ext cx="913867" cy="266537"/>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28287C6-FD56-4FDB-A45D-6AFD0E0E070A}" type="TxLink">
              <a:rPr lang="en-US" sz="1000" b="1" i="0" u="none" strike="noStrike">
                <a:solidFill>
                  <a:schemeClr val="bg1"/>
                </a:solidFill>
                <a:latin typeface="Arial"/>
                <a:cs typeface="Arial"/>
              </a:rPr>
              <a:pPr algn="ctr"/>
              <a:t>18,9%</a:t>
            </a:fld>
            <a:endParaRPr lang="pt-PT" sz="1000" b="1">
              <a:solidFill>
                <a:schemeClr val="bg1"/>
              </a:solidFill>
              <a:latin typeface="+mn-lt"/>
            </a:endParaRPr>
          </a:p>
        </xdr:txBody>
      </xdr:sp>
    </xdr:grpSp>
    <xdr:clientData/>
  </xdr:twoCellAnchor>
  <xdr:twoCellAnchor>
    <xdr:from>
      <xdr:col>7</xdr:col>
      <xdr:colOff>552454</xdr:colOff>
      <xdr:row>32</xdr:row>
      <xdr:rowOff>120649</xdr:rowOff>
    </xdr:from>
    <xdr:to>
      <xdr:col>14</xdr:col>
      <xdr:colOff>529650</xdr:colOff>
      <xdr:row>55</xdr:row>
      <xdr:rowOff>25199</xdr:rowOff>
    </xdr:to>
    <xdr:grpSp>
      <xdr:nvGrpSpPr>
        <xdr:cNvPr id="14" name="Agrupar 13">
          <a:extLst>
            <a:ext uri="{FF2B5EF4-FFF2-40B4-BE49-F238E27FC236}">
              <a16:creationId xmlns:a16="http://schemas.microsoft.com/office/drawing/2014/main" id="{00000000-0008-0000-0900-00000E000000}"/>
            </a:ext>
          </a:extLst>
        </xdr:cNvPr>
        <xdr:cNvGrpSpPr/>
      </xdr:nvGrpSpPr>
      <xdr:grpSpPr>
        <a:xfrm>
          <a:off x="4486279" y="6264274"/>
          <a:ext cx="3853871" cy="4286050"/>
          <a:chOff x="4686304" y="5695949"/>
          <a:chExt cx="4047546" cy="4140000"/>
        </a:xfrm>
      </xdr:grpSpPr>
      <xdr:graphicFrame macro="">
        <xdr:nvGraphicFramePr>
          <xdr:cNvPr id="111" name="Gráfico 110">
            <a:extLst>
              <a:ext uri="{FF2B5EF4-FFF2-40B4-BE49-F238E27FC236}">
                <a16:creationId xmlns:a16="http://schemas.microsoft.com/office/drawing/2014/main" id="{00000000-0008-0000-0900-00006F000000}"/>
              </a:ext>
            </a:extLst>
          </xdr:cNvPr>
          <xdr:cNvGraphicFramePr/>
        </xdr:nvGraphicFramePr>
        <xdr:xfrm>
          <a:off x="4686304" y="5695949"/>
          <a:ext cx="2700000" cy="4140000"/>
        </xdr:xfrm>
        <a:graphic>
          <a:graphicData uri="http://schemas.openxmlformats.org/drawingml/2006/chart">
            <c:chart xmlns:c="http://schemas.openxmlformats.org/drawingml/2006/chart" xmlns:r="http://schemas.openxmlformats.org/officeDocument/2006/relationships" r:id="rId11"/>
          </a:graphicData>
        </a:graphic>
      </xdr:graphicFrame>
      <xdr:grpSp>
        <xdr:nvGrpSpPr>
          <xdr:cNvPr id="60" name="Agrupar 59">
            <a:extLst>
              <a:ext uri="{FF2B5EF4-FFF2-40B4-BE49-F238E27FC236}">
                <a16:creationId xmlns:a16="http://schemas.microsoft.com/office/drawing/2014/main" id="{00000000-0008-0000-0900-00003C000000}"/>
              </a:ext>
            </a:extLst>
          </xdr:cNvPr>
          <xdr:cNvGrpSpPr/>
        </xdr:nvGrpSpPr>
        <xdr:grpSpPr>
          <a:xfrm>
            <a:off x="6775450" y="5772150"/>
            <a:ext cx="1958400" cy="3888000"/>
            <a:chOff x="30699366" y="10194636"/>
            <a:chExt cx="1935370" cy="3790590"/>
          </a:xfrm>
        </xdr:grpSpPr>
        <mc:AlternateContent xmlns:mc="http://schemas.openxmlformats.org/markup-compatibility/2006">
          <mc:Choice xmlns:cx4="http://schemas.microsoft.com/office/drawing/2016/5/10/chartex" Requires="cx4">
            <xdr:graphicFrame macro="">
              <xdr:nvGraphicFramePr>
                <xdr:cNvPr id="61" name="Gráfico 60">
                  <a:extLst>
                    <a:ext uri="{FF2B5EF4-FFF2-40B4-BE49-F238E27FC236}">
                      <a16:creationId xmlns:a16="http://schemas.microsoft.com/office/drawing/2014/main" id="{00000000-0008-0000-0900-00003D000000}"/>
                    </a:ext>
                  </a:extLst>
                </xdr:cNvPr>
                <xdr:cNvGraphicFramePr/>
              </xdr:nvGraphicFramePr>
              <xdr:xfrm>
                <a:off x="30705136" y="10194636"/>
                <a:ext cx="1929600" cy="1925999"/>
              </xdr:xfrm>
              <a:graphic>
                <a:graphicData uri="http://schemas.microsoft.com/office/drawing/2014/chartex">
                  <cx:chart xmlns:cx="http://schemas.microsoft.com/office/drawing/2014/chartex" xmlns:r="http://schemas.openxmlformats.org/officeDocument/2006/relationships" r:id="rId12"/>
                </a:graphicData>
              </a:graphic>
            </xdr:graphicFrame>
          </mc:Choice>
          <mc:Fallback>
            <xdr:sp macro="" textlink="">
              <xdr:nvSpPr>
                <xdr:cNvPr id="0" name=""/>
                <xdr:cNvSpPr>
                  <a:spLocks noTextEdit="1"/>
                </xdr:cNvSpPr>
              </xdr:nvSpPr>
              <xdr:spPr>
                <a:xfrm>
                  <a:off x="30705136" y="10194636"/>
                  <a:ext cx="1929600" cy="1925999"/>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mc:AlternateContent xmlns:mc="http://schemas.openxmlformats.org/markup-compatibility/2006">
          <mc:Choice xmlns:cx4="http://schemas.microsoft.com/office/drawing/2016/5/10/chartex" Requires="cx4">
            <xdr:graphicFrame macro="">
              <xdr:nvGraphicFramePr>
                <xdr:cNvPr id="62" name="Gráfico 61">
                  <a:extLst>
                    <a:ext uri="{FF2B5EF4-FFF2-40B4-BE49-F238E27FC236}">
                      <a16:creationId xmlns:a16="http://schemas.microsoft.com/office/drawing/2014/main" id="{00000000-0008-0000-0900-00003E000000}"/>
                    </a:ext>
                  </a:extLst>
                </xdr:cNvPr>
                <xdr:cNvGraphicFramePr/>
              </xdr:nvGraphicFramePr>
              <xdr:xfrm>
                <a:off x="30699366" y="12059227"/>
                <a:ext cx="1929600" cy="1925999"/>
              </xdr:xfrm>
              <a:graphic>
                <a:graphicData uri="http://schemas.microsoft.com/office/drawing/2014/chartex">
                  <cx:chart xmlns:cx="http://schemas.microsoft.com/office/drawing/2014/chartex" xmlns:r="http://schemas.openxmlformats.org/officeDocument/2006/relationships" r:id="rId13"/>
                </a:graphicData>
              </a:graphic>
            </xdr:graphicFrame>
          </mc:Choice>
          <mc:Fallback>
            <xdr:sp macro="" textlink="">
              <xdr:nvSpPr>
                <xdr:cNvPr id="0" name=""/>
                <xdr:cNvSpPr>
                  <a:spLocks noTextEdit="1"/>
                </xdr:cNvSpPr>
              </xdr:nvSpPr>
              <xdr:spPr>
                <a:xfrm>
                  <a:off x="30699366" y="12059227"/>
                  <a:ext cx="1929600" cy="1925999"/>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xdr:grpSp>
    </xdr:grpSp>
    <xdr:clientData/>
  </xdr:twoCellAnchor>
  <xdr:twoCellAnchor>
    <xdr:from>
      <xdr:col>15</xdr:col>
      <xdr:colOff>508000</xdr:colOff>
      <xdr:row>32</xdr:row>
      <xdr:rowOff>101599</xdr:rowOff>
    </xdr:from>
    <xdr:to>
      <xdr:col>22</xdr:col>
      <xdr:colOff>166360</xdr:colOff>
      <xdr:row>55</xdr:row>
      <xdr:rowOff>6149</xdr:rowOff>
    </xdr:to>
    <xdr:grpSp>
      <xdr:nvGrpSpPr>
        <xdr:cNvPr id="16" name="Agrupar 15">
          <a:extLst>
            <a:ext uri="{FF2B5EF4-FFF2-40B4-BE49-F238E27FC236}">
              <a16:creationId xmlns:a16="http://schemas.microsoft.com/office/drawing/2014/main" id="{00000000-0008-0000-0900-000010000000}"/>
            </a:ext>
          </a:extLst>
        </xdr:cNvPr>
        <xdr:cNvGrpSpPr/>
      </xdr:nvGrpSpPr>
      <xdr:grpSpPr>
        <a:xfrm>
          <a:off x="8899525" y="6245224"/>
          <a:ext cx="3725535" cy="4286050"/>
          <a:chOff x="9321800" y="5695949"/>
          <a:chExt cx="3925560" cy="4140000"/>
        </a:xfrm>
      </xdr:grpSpPr>
      <xdr:grpSp>
        <xdr:nvGrpSpPr>
          <xdr:cNvPr id="15" name="Agrupar 14">
            <a:extLst>
              <a:ext uri="{FF2B5EF4-FFF2-40B4-BE49-F238E27FC236}">
                <a16:creationId xmlns:a16="http://schemas.microsoft.com/office/drawing/2014/main" id="{00000000-0008-0000-0900-00000F000000}"/>
              </a:ext>
            </a:extLst>
          </xdr:cNvPr>
          <xdr:cNvGrpSpPr/>
        </xdr:nvGrpSpPr>
        <xdr:grpSpPr>
          <a:xfrm>
            <a:off x="11288960" y="5768938"/>
            <a:ext cx="1958400" cy="3888000"/>
            <a:chOff x="10933360" y="5102189"/>
            <a:chExt cx="1937290" cy="3770711"/>
          </a:xfrm>
        </xdr:grpSpPr>
        <mc:AlternateContent xmlns:mc="http://schemas.openxmlformats.org/markup-compatibility/2006">
          <mc:Choice xmlns:cx4="http://schemas.microsoft.com/office/drawing/2016/5/10/chartex" Requires="cx4">
            <xdr:graphicFrame macro="">
              <xdr:nvGraphicFramePr>
                <xdr:cNvPr id="122" name="Gráfico 121">
                  <a:extLst>
                    <a:ext uri="{FF2B5EF4-FFF2-40B4-BE49-F238E27FC236}">
                      <a16:creationId xmlns:a16="http://schemas.microsoft.com/office/drawing/2014/main" id="{00000000-0008-0000-0900-00007A000000}"/>
                    </a:ext>
                  </a:extLst>
                </xdr:cNvPr>
                <xdr:cNvGraphicFramePr/>
              </xdr:nvGraphicFramePr>
              <xdr:xfrm>
                <a:off x="10933360" y="5102189"/>
                <a:ext cx="1929600" cy="1916778"/>
              </xdr:xfrm>
              <a:graphic>
                <a:graphicData uri="http://schemas.microsoft.com/office/drawing/2014/chartex">
                  <cx:chart xmlns:cx="http://schemas.microsoft.com/office/drawing/2014/chartex" xmlns:r="http://schemas.openxmlformats.org/officeDocument/2006/relationships" r:id="rId14"/>
                </a:graphicData>
              </a:graphic>
            </xdr:graphicFrame>
          </mc:Choice>
          <mc:Fallback>
            <xdr:sp macro="" textlink="">
              <xdr:nvSpPr>
                <xdr:cNvPr id="0" name=""/>
                <xdr:cNvSpPr>
                  <a:spLocks noTextEdit="1"/>
                </xdr:cNvSpPr>
              </xdr:nvSpPr>
              <xdr:spPr>
                <a:xfrm>
                  <a:off x="10933360" y="5102189"/>
                  <a:ext cx="1929600" cy="1916778"/>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mc:AlternateContent xmlns:mc="http://schemas.openxmlformats.org/markup-compatibility/2006">
          <mc:Choice xmlns:cx4="http://schemas.microsoft.com/office/drawing/2016/5/10/chartex" Requires="cx4">
            <xdr:graphicFrame macro="">
              <xdr:nvGraphicFramePr>
                <xdr:cNvPr id="123" name="Gráfico 122">
                  <a:extLst>
                    <a:ext uri="{FF2B5EF4-FFF2-40B4-BE49-F238E27FC236}">
                      <a16:creationId xmlns:a16="http://schemas.microsoft.com/office/drawing/2014/main" id="{00000000-0008-0000-0900-00007B000000}"/>
                    </a:ext>
                  </a:extLst>
                </xdr:cNvPr>
                <xdr:cNvGraphicFramePr/>
              </xdr:nvGraphicFramePr>
              <xdr:xfrm>
                <a:off x="10941050" y="6946900"/>
                <a:ext cx="1929600" cy="1926000"/>
              </xdr:xfrm>
              <a:graphic>
                <a:graphicData uri="http://schemas.microsoft.com/office/drawing/2014/chartex">
                  <cx:chart xmlns:cx="http://schemas.microsoft.com/office/drawing/2014/chartex" xmlns:r="http://schemas.openxmlformats.org/officeDocument/2006/relationships" r:id="rId15"/>
                </a:graphicData>
              </a:graphic>
            </xdr:graphicFrame>
          </mc:Choice>
          <mc:Fallback>
            <xdr:sp macro="" textlink="">
              <xdr:nvSpPr>
                <xdr:cNvPr id="0" name=""/>
                <xdr:cNvSpPr>
                  <a:spLocks noTextEdit="1"/>
                </xdr:cNvSpPr>
              </xdr:nvSpPr>
              <xdr:spPr>
                <a:xfrm>
                  <a:off x="10941050" y="6946900"/>
                  <a:ext cx="1929600" cy="1926000"/>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xdr:grpSp>
      <xdr:graphicFrame macro="">
        <xdr:nvGraphicFramePr>
          <xdr:cNvPr id="65" name="Gráfico 64">
            <a:extLst>
              <a:ext uri="{FF2B5EF4-FFF2-40B4-BE49-F238E27FC236}">
                <a16:creationId xmlns:a16="http://schemas.microsoft.com/office/drawing/2014/main" id="{00000000-0008-0000-0900-000041000000}"/>
              </a:ext>
            </a:extLst>
          </xdr:cNvPr>
          <xdr:cNvGraphicFramePr>
            <a:graphicFrameLocks/>
          </xdr:cNvGraphicFramePr>
        </xdr:nvGraphicFramePr>
        <xdr:xfrm>
          <a:off x="9321800" y="5695949"/>
          <a:ext cx="2700000" cy="4140000"/>
        </xdr:xfrm>
        <a:graphic>
          <a:graphicData uri="http://schemas.openxmlformats.org/drawingml/2006/chart">
            <c:chart xmlns:c="http://schemas.openxmlformats.org/drawingml/2006/chart" xmlns:r="http://schemas.openxmlformats.org/officeDocument/2006/relationships" r:id="rId16"/>
          </a:graphicData>
        </a:graphic>
      </xdr:graphicFrame>
    </xdr:grpSp>
    <xdr:clientData/>
  </xdr:twoCellAnchor>
  <xdr:twoCellAnchor>
    <xdr:from>
      <xdr:col>0</xdr:col>
      <xdr:colOff>0</xdr:colOff>
      <xdr:row>6</xdr:row>
      <xdr:rowOff>76200</xdr:rowOff>
    </xdr:from>
    <xdr:to>
      <xdr:col>7</xdr:col>
      <xdr:colOff>373350</xdr:colOff>
      <xdr:row>10</xdr:row>
      <xdr:rowOff>46900</xdr:rowOff>
    </xdr:to>
    <xdr:sp macro="" textlink="q3_q6_q9_q12_q19_q27_Fig!$AE$29">
      <xdr:nvSpPr>
        <xdr:cNvPr id="67" name="CaixaDeTexto 66">
          <a:extLst>
            <a:ext uri="{FF2B5EF4-FFF2-40B4-BE49-F238E27FC236}">
              <a16:creationId xmlns:a16="http://schemas.microsoft.com/office/drawing/2014/main" id="{00000000-0008-0000-0900-000043000000}"/>
            </a:ext>
          </a:extLst>
        </xdr:cNvPr>
        <xdr:cNvSpPr txBox="1"/>
      </xdr:nvSpPr>
      <xdr:spPr>
        <a:xfrm>
          <a:off x="0" y="1181100"/>
          <a:ext cx="4507200" cy="720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67FA102B-623E-4758-BD81-C3B686AC7758}" type="TxLink">
            <a:rPr lang="en-US" sz="1000" b="1" i="0" u="none" strike="noStrike">
              <a:solidFill>
                <a:srgbClr val="17375E"/>
              </a:solidFill>
              <a:latin typeface="Calibri"/>
              <a:cs typeface="Calibri"/>
            </a:rPr>
            <a:pPr algn="l"/>
            <a:t>2022:
O distrito de Lisboa era a sede de 63.924 empresas (6,7%, ou seja, mais 3.996 que em 2012) e era a localização de 75.266 estabelecimentos (4,3%, ou seja, mais 3.102 que em 2012).</a:t>
          </a:fld>
          <a:endParaRPr lang="pt-PT" sz="1000" b="1">
            <a:solidFill>
              <a:srgbClr val="17375E"/>
            </a:solidFill>
            <a:latin typeface="+mn-lt"/>
          </a:endParaRPr>
        </a:p>
      </xdr:txBody>
    </xdr:sp>
    <xdr:clientData/>
  </xdr:twoCellAnchor>
  <xdr:twoCellAnchor>
    <xdr:from>
      <xdr:col>7</xdr:col>
      <xdr:colOff>425450</xdr:colOff>
      <xdr:row>6</xdr:row>
      <xdr:rowOff>88900</xdr:rowOff>
    </xdr:from>
    <xdr:to>
      <xdr:col>15</xdr:col>
      <xdr:colOff>252700</xdr:colOff>
      <xdr:row>10</xdr:row>
      <xdr:rowOff>59600</xdr:rowOff>
    </xdr:to>
    <xdr:sp macro="" textlink="q3_q6_q9_q12_q19_q27_Fig!$AE$69">
      <xdr:nvSpPr>
        <xdr:cNvPr id="68" name="CaixaDeTexto 67">
          <a:extLst>
            <a:ext uri="{FF2B5EF4-FFF2-40B4-BE49-F238E27FC236}">
              <a16:creationId xmlns:a16="http://schemas.microsoft.com/office/drawing/2014/main" id="{00000000-0008-0000-0900-000044000000}"/>
            </a:ext>
          </a:extLst>
        </xdr:cNvPr>
        <xdr:cNvSpPr txBox="1"/>
      </xdr:nvSpPr>
      <xdr:spPr>
        <a:xfrm>
          <a:off x="4559300" y="1193800"/>
          <a:ext cx="4507200" cy="720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8B68D530-8978-42BF-A477-72FE6EFAFB1D}" type="TxLink">
            <a:rPr lang="en-US" sz="1000" b="1" i="0" u="none" strike="noStrike">
              <a:solidFill>
                <a:srgbClr val="17375E"/>
              </a:solidFill>
              <a:latin typeface="Calibri"/>
              <a:cs typeface="Calibri"/>
            </a:rPr>
            <a:pPr algn="l"/>
            <a:t>2022:
As empresas do distrito de Lisboa tinham ao seu serviço 981.424 pessoas (33,1%, ou seja, mais 244.286 que em 2012) e tinham 937.531 TCO (34,5%, mais 240.735 que em 2012).</a:t>
          </a:fld>
          <a:endParaRPr lang="pt-PT" sz="1000" b="1">
            <a:solidFill>
              <a:srgbClr val="17375E"/>
            </a:solidFill>
            <a:latin typeface="+mn-lt"/>
          </a:endParaRPr>
        </a:p>
      </xdr:txBody>
    </xdr:sp>
    <xdr:clientData/>
  </xdr:twoCellAnchor>
  <xdr:twoCellAnchor>
    <xdr:from>
      <xdr:col>15</xdr:col>
      <xdr:colOff>317500</xdr:colOff>
      <xdr:row>6</xdr:row>
      <xdr:rowOff>82550</xdr:rowOff>
    </xdr:from>
    <xdr:to>
      <xdr:col>22</xdr:col>
      <xdr:colOff>558800</xdr:colOff>
      <xdr:row>10</xdr:row>
      <xdr:rowOff>53250</xdr:rowOff>
    </xdr:to>
    <xdr:sp macro="" textlink="q3_q6_q9_q12_q19_q27_Fig!$AE$109">
      <xdr:nvSpPr>
        <xdr:cNvPr id="69" name="CaixaDeTexto 68">
          <a:extLst>
            <a:ext uri="{FF2B5EF4-FFF2-40B4-BE49-F238E27FC236}">
              <a16:creationId xmlns:a16="http://schemas.microsoft.com/office/drawing/2014/main" id="{00000000-0008-0000-0900-000045000000}"/>
            </a:ext>
          </a:extLst>
        </xdr:cNvPr>
        <xdr:cNvSpPr txBox="1"/>
      </xdr:nvSpPr>
      <xdr:spPr>
        <a:xfrm>
          <a:off x="9131300" y="1187450"/>
          <a:ext cx="4508500" cy="720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9677BE54-6F28-4EC0-8FA0-7616C2A8B54A}" type="TxLink">
            <a:rPr lang="en-US" sz="1000" b="1" i="0" u="none" strike="noStrike">
              <a:solidFill>
                <a:srgbClr val="17375E"/>
              </a:solidFill>
              <a:latin typeface="Calibri"/>
              <a:cs typeface="Calibri"/>
            </a:rPr>
            <a:pPr algn="l"/>
            <a:t>2022:
No distrito de Lisboa a remuneração média mensal base era de 1.388,4 euros (18,9%, ou seja, mais 220,7 euros que em 2012) e de 1.668,9 euros a remuneração média mensal ganho (18,7%, mais 263,0 euros em 2012).</a:t>
          </a:fld>
          <a:endParaRPr lang="pt-PT" sz="1000" b="1">
            <a:solidFill>
              <a:srgbClr val="17375E"/>
            </a:solidFill>
            <a:latin typeface="+mn-lt"/>
          </a:endParaRPr>
        </a:p>
      </xdr:txBody>
    </xdr:sp>
    <xdr:clientData/>
  </xdr:twoCellAnchor>
  <xdr:twoCellAnchor>
    <xdr:from>
      <xdr:col>7</xdr:col>
      <xdr:colOff>521757</xdr:colOff>
      <xdr:row>27</xdr:row>
      <xdr:rowOff>181679</xdr:rowOff>
    </xdr:from>
    <xdr:to>
      <xdr:col>15</xdr:col>
      <xdr:colOff>369657</xdr:colOff>
      <xdr:row>33</xdr:row>
      <xdr:rowOff>6934</xdr:rowOff>
    </xdr:to>
    <xdr:sp macro="" textlink="q3_q6_q9_q12_q19_q27_Fig!$AY$2">
      <xdr:nvSpPr>
        <xdr:cNvPr id="71" name="CaixaDeTexto 70">
          <a:extLst>
            <a:ext uri="{FF2B5EF4-FFF2-40B4-BE49-F238E27FC236}">
              <a16:creationId xmlns:a16="http://schemas.microsoft.com/office/drawing/2014/main" id="{00000000-0008-0000-0900-000047000000}"/>
            </a:ext>
          </a:extLst>
        </xdr:cNvPr>
        <xdr:cNvSpPr txBox="1"/>
      </xdr:nvSpPr>
      <xdr:spPr>
        <a:xfrm>
          <a:off x="4670424" y="5212290"/>
          <a:ext cx="4525733" cy="925922"/>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1F28934-1925-4A62-87C6-4367C739C557}" type="TxLink">
            <a:rPr lang="en-US" sz="1000" b="1" i="0" u="none" strike="noStrike">
              <a:solidFill>
                <a:srgbClr val="19375E"/>
              </a:solidFill>
              <a:latin typeface="Calibri"/>
              <a:cs typeface="Calibri"/>
            </a:rPr>
            <a:pPr algn="l"/>
            <a:t>2022:
As empresas do distrito de Lisboa tinham ao seu serviço 981.424 pessoas (29,4% do Continente, ocupando a 1º posição entre 18 distritos) e  937.531 TCO ( 29,8% do Continente, sendo o 1º de 18 distritos).</a:t>
          </a:fld>
          <a:endParaRPr lang="pt-PT" sz="1000" b="1">
            <a:solidFill>
              <a:srgbClr val="19375E"/>
            </a:solidFill>
            <a:latin typeface="+mn-lt"/>
          </a:endParaRPr>
        </a:p>
      </xdr:txBody>
    </xdr:sp>
    <xdr:clientData/>
  </xdr:twoCellAnchor>
  <xdr:oneCellAnchor>
    <xdr:from>
      <xdr:col>0</xdr:col>
      <xdr:colOff>53975</xdr:colOff>
      <xdr:row>27</xdr:row>
      <xdr:rowOff>176036</xdr:rowOff>
    </xdr:from>
    <xdr:ext cx="4305600" cy="962026"/>
    <xdr:sp macro="" textlink="q3_q6_q9_q12_q19_q27_Fig!$AL$4">
      <xdr:nvSpPr>
        <xdr:cNvPr id="70" name="CaixaDeTexto 69">
          <a:extLst>
            <a:ext uri="{FF2B5EF4-FFF2-40B4-BE49-F238E27FC236}">
              <a16:creationId xmlns:a16="http://schemas.microsoft.com/office/drawing/2014/main" id="{00000000-0008-0000-0900-000046000000}"/>
            </a:ext>
          </a:extLst>
        </xdr:cNvPr>
        <xdr:cNvSpPr txBox="1"/>
      </xdr:nvSpPr>
      <xdr:spPr>
        <a:xfrm>
          <a:off x="53975" y="5206647"/>
          <a:ext cx="4305600" cy="962026"/>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fld id="{05EE6538-8254-4769-9B41-D130758B06B6}" type="TxLink">
            <a:rPr lang="en-US" sz="1000" b="1" i="0" u="none" strike="noStrike">
              <a:solidFill>
                <a:srgbClr val="19375E"/>
              </a:solidFill>
              <a:latin typeface="Calibri"/>
              <a:cs typeface="Calibri"/>
            </a:rPr>
            <a:pPr algn="l"/>
            <a:t>2022:
O distrito de Lisboa era a sede de 63.924 empresas (equivalendo a 22,4% do Continente, sendo o 1º de 18 distritos);
Era também a localização de 75.266 estabelecimentos (constituindo 22,6% do Continente, sendo o 1º de 18 distritos).</a:t>
          </a:fld>
          <a:endParaRPr lang="en-US" sz="800" b="1">
            <a:solidFill>
              <a:srgbClr val="19375E"/>
            </a:solidFill>
          </a:endParaRPr>
        </a:p>
      </xdr:txBody>
    </xdr:sp>
    <xdr:clientData/>
  </xdr:oneCellAnchor>
  <xdr:twoCellAnchor>
    <xdr:from>
      <xdr:col>15</xdr:col>
      <xdr:colOff>490361</xdr:colOff>
      <xdr:row>27</xdr:row>
      <xdr:rowOff>176037</xdr:rowOff>
    </xdr:from>
    <xdr:to>
      <xdr:col>22</xdr:col>
      <xdr:colOff>557037</xdr:colOff>
      <xdr:row>33</xdr:row>
      <xdr:rowOff>1292</xdr:rowOff>
    </xdr:to>
    <xdr:sp macro="" textlink="q3_q6_q9_q12_q19_q27_Fig!$BL$2">
      <xdr:nvSpPr>
        <xdr:cNvPr id="72" name="CaixaDeTexto 71">
          <a:extLst>
            <a:ext uri="{FF2B5EF4-FFF2-40B4-BE49-F238E27FC236}">
              <a16:creationId xmlns:a16="http://schemas.microsoft.com/office/drawing/2014/main" id="{00000000-0008-0000-0900-000048000000}"/>
            </a:ext>
          </a:extLst>
        </xdr:cNvPr>
        <xdr:cNvSpPr txBox="1"/>
      </xdr:nvSpPr>
      <xdr:spPr>
        <a:xfrm>
          <a:off x="9316861" y="5206648"/>
          <a:ext cx="4314120" cy="925922"/>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253C62BF-CF50-48B8-9FE7-1F22836FC988}" type="TxLink">
            <a:rPr lang="en-US" sz="1000" b="1" i="0" u="none" strike="noStrike">
              <a:solidFill>
                <a:srgbClr val="19375E"/>
              </a:solidFill>
              <a:latin typeface="Calibri"/>
              <a:cs typeface="Calibri"/>
            </a:rPr>
            <a:pPr algn="l"/>
            <a:t>2022:
No distrito de Lisboa a remuneração média mensal base era de 1.388,4 euros (+21,4% que no Continente, sendo o 1º de 18 distritos) e  1.668,9 euros a remuneração média mensal ganho (+22,0% que no Continente, sendo o 1º de 18 distritos).</a:t>
          </a:fld>
          <a:endParaRPr lang="pt-PT" sz="1000" b="1">
            <a:solidFill>
              <a:srgbClr val="19375E"/>
            </a:solidFill>
            <a:latin typeface="+mn-lt"/>
          </a:endParaRPr>
        </a:p>
      </xdr:txBody>
    </xdr:sp>
    <xdr:clientData/>
  </xdr:twoCellAnchor>
  <xdr:twoCellAnchor>
    <xdr:from>
      <xdr:col>21</xdr:col>
      <xdr:colOff>26837</xdr:colOff>
      <xdr:row>0</xdr:row>
      <xdr:rowOff>85725</xdr:rowOff>
    </xdr:from>
    <xdr:to>
      <xdr:col>22</xdr:col>
      <xdr:colOff>479328</xdr:colOff>
      <xdr:row>1</xdr:row>
      <xdr:rowOff>132652</xdr:rowOff>
    </xdr:to>
    <xdr:sp macro="" textlink="">
      <xdr:nvSpPr>
        <xdr:cNvPr id="75" name="Text Box 10">
          <a:hlinkClick xmlns:r="http://schemas.openxmlformats.org/officeDocument/2006/relationships" r:id="rId17"/>
          <a:extLst>
            <a:ext uri="{FF2B5EF4-FFF2-40B4-BE49-F238E27FC236}">
              <a16:creationId xmlns:a16="http://schemas.microsoft.com/office/drawing/2014/main" id="{00000000-0008-0000-0900-00004B000000}"/>
            </a:ext>
          </a:extLst>
        </xdr:cNvPr>
        <xdr:cNvSpPr txBox="1">
          <a:spLocks noChangeArrowheads="1"/>
        </xdr:cNvSpPr>
      </xdr:nvSpPr>
      <xdr:spPr bwMode="auto">
        <a:xfrm>
          <a:off x="11904512" y="85725"/>
          <a:ext cx="1033516" cy="237427"/>
        </a:xfrm>
        <a:prstGeom prst="rect">
          <a:avLst/>
        </a:prstGeom>
        <a:solidFill>
          <a:srgbClr val="FFE6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rgbClr val="00467A"/>
              </a:solidFill>
              <a:latin typeface="+mn-lt"/>
            </a:rPr>
            <a:t>Voltar ao</a:t>
          </a:r>
          <a:r>
            <a:rPr lang="en-US" altLang="pt-PT" sz="1000" b="1" baseline="0">
              <a:solidFill>
                <a:srgbClr val="00467A"/>
              </a:solidFill>
              <a:latin typeface="+mn-lt"/>
            </a:rPr>
            <a:t> Índice</a:t>
          </a:r>
          <a:endParaRPr lang="en-US" altLang="pt-PT" sz="1200" b="1">
            <a:solidFill>
              <a:srgbClr val="00467A"/>
            </a:solidFill>
            <a:latin typeface="Arial" charset="0"/>
          </a:endParaRP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6_q9_q12_q19_q27_Fig!$T$2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F5B681-359A-47D1-926E-EAFEA5AB8103}" type="TxLink">
            <a:rPr lang="en-US" sz="800" b="1" i="0" u="none" strike="noStrike">
              <a:solidFill>
                <a:schemeClr val="bg1"/>
              </a:solidFill>
              <a:latin typeface="Arial"/>
              <a:cs typeface="Arial"/>
            </a:rPr>
            <a:pPr algn="ctr"/>
            <a:t>2012</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3_q6_q9_q12_q19_q27_Fig!$AD$2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165300" y="20615"/>
          <a:ext cx="347837" cy="430826"/>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D635998-5C6E-4644-A5CE-BD8BE1E45122}" type="TxLink">
            <a:rPr lang="en-US" sz="800" b="1" i="0" u="none" strike="noStrike">
              <a:solidFill>
                <a:schemeClr val="bg1"/>
              </a:solidFill>
              <a:latin typeface="Arial"/>
              <a:cs typeface="Arial"/>
            </a:rPr>
            <a:pPr algn="ctr"/>
            <a:t>2022</a:t>
          </a:fld>
          <a:endParaRPr lang="pt-PT" sz="800" b="1">
            <a:solidFill>
              <a:schemeClr val="bg1"/>
            </a:solidFill>
          </a:endParaRPr>
        </a:p>
      </cdr:txBody>
    </cdr:sp>
  </cdr:relSizeAnchor>
  <cdr:relSizeAnchor xmlns:cdr="http://schemas.openxmlformats.org/drawingml/2006/chartDrawing">
    <cdr:from>
      <cdr:x>0.76561</cdr:x>
      <cdr:y>0.02071</cdr:y>
    </cdr:from>
    <cdr:to>
      <cdr:x>0.917</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294613" y="-78833"/>
          <a:ext cx="343086" cy="623723"/>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17.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6_q9_q12_q19_q27_Fig!$T$6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26F701-3CC2-4BEA-BFA8-70F65FD04085}" type="TxLink">
            <a:rPr lang="en-US" sz="800" b="1" i="0" u="none" strike="noStrike">
              <a:solidFill>
                <a:schemeClr val="bg1"/>
              </a:solidFill>
              <a:latin typeface="Arial"/>
              <a:cs typeface="Arial"/>
            </a:rPr>
            <a:pPr algn="ctr"/>
            <a:t>2012</a:t>
          </a:fld>
          <a:endParaRPr lang="pt-PT" sz="800" b="1">
            <a:solidFill>
              <a:schemeClr val="bg1"/>
            </a:solidFill>
          </a:endParaRPr>
        </a:p>
      </cdr:txBody>
    </cdr:sp>
  </cdr:relSizeAnchor>
  <cdr:relSizeAnchor xmlns:cdr="http://schemas.openxmlformats.org/drawingml/2006/chartDrawing">
    <cdr:from>
      <cdr:x>0.61598</cdr:x>
      <cdr:y>0.02092</cdr:y>
    </cdr:from>
    <cdr:to>
      <cdr:x>0.75312</cdr:x>
      <cdr:y>0.12191</cdr:y>
    </cdr:to>
    <cdr:sp macro="" textlink="q3_q6_q9_q12_q19_q27_Fig!$AD$6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655191" y="-68956"/>
          <a:ext cx="299842" cy="561975"/>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7372960-0221-471D-AC29-08DF5500A456}" type="TxLink">
            <a:rPr lang="en-US" sz="800" b="1" i="0" u="none" strike="noStrike">
              <a:solidFill>
                <a:schemeClr val="bg1"/>
              </a:solidFill>
              <a:latin typeface="Arial"/>
              <a:cs typeface="Arial"/>
            </a:rPr>
            <a:pPr algn="ctr"/>
            <a:t>2022</a:t>
          </a:fld>
          <a:endParaRPr lang="pt-PT" sz="800" b="1">
            <a:solidFill>
              <a:schemeClr val="bg1"/>
            </a:solidFill>
          </a:endParaRPr>
        </a:p>
      </cdr:txBody>
    </cdr:sp>
  </cdr:relSizeAnchor>
  <cdr:relSizeAnchor xmlns:cdr="http://schemas.openxmlformats.org/drawingml/2006/chartDrawing">
    <cdr:from>
      <cdr:x>0.76561</cdr:x>
      <cdr:y>0.02071</cdr:y>
    </cdr:from>
    <cdr:to>
      <cdr:x>0.94372</cdr:x>
      <cdr:y>0.12833</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342455" y="-143691"/>
          <a:ext cx="319517" cy="72987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18.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6_q9_q12_q19_q27_Fig!$T$10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A7BAF77C-8415-4B91-8D55-DD3E81F40666}" type="TxLink">
            <a:rPr lang="en-US" sz="800" b="1" i="0" u="none" strike="noStrike">
              <a:solidFill>
                <a:schemeClr val="bg1"/>
              </a:solidFill>
              <a:latin typeface="Arial"/>
              <a:cs typeface="Arial"/>
            </a:rPr>
            <a:pPr algn="ctr"/>
            <a:t>2012</a:t>
          </a:fld>
          <a:endParaRPr lang="pt-PT" sz="800" b="1">
            <a:solidFill>
              <a:schemeClr val="bg1"/>
            </a:solidFill>
          </a:endParaRPr>
        </a:p>
      </cdr:txBody>
    </cdr:sp>
  </cdr:relSizeAnchor>
  <cdr:relSizeAnchor xmlns:cdr="http://schemas.openxmlformats.org/drawingml/2006/chartDrawing">
    <cdr:from>
      <cdr:x>0.59416</cdr:x>
      <cdr:y>0.02092</cdr:y>
    </cdr:from>
    <cdr:to>
      <cdr:x>0.74212</cdr:x>
      <cdr:y>0.13245</cdr:y>
    </cdr:to>
    <cdr:sp macro="" textlink="q3_q6_q9_q12_q19_q27_Fig!$AD$10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92313" y="-84210"/>
          <a:ext cx="320822" cy="609599"/>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AF22FF0-8723-4CCA-84BD-EF9BD80F8DCB}" type="TxLink">
            <a:rPr lang="en-US" sz="800" b="1" i="0" u="none" strike="noStrike">
              <a:solidFill>
                <a:schemeClr val="bg1"/>
              </a:solidFill>
              <a:latin typeface="Arial"/>
              <a:cs typeface="Arial"/>
            </a:rPr>
            <a:pPr algn="ctr"/>
            <a:t>2022</a:t>
          </a:fld>
          <a:endParaRPr lang="pt-PT" sz="800" b="1">
            <a:solidFill>
              <a:schemeClr val="bg1"/>
            </a:solidFill>
          </a:endParaRPr>
        </a:p>
      </cdr:txBody>
    </cdr:sp>
  </cdr:relSizeAnchor>
  <cdr:relSizeAnchor xmlns:cdr="http://schemas.openxmlformats.org/drawingml/2006/chartDrawing">
    <cdr:from>
      <cdr:x>0.76561</cdr:x>
      <cdr:y>0.02071</cdr:y>
    </cdr:from>
    <cdr:to>
      <cdr:x>0.917</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904728" y="-160966"/>
          <a:ext cx="300137" cy="729647"/>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144116</xdr:colOff>
      <xdr:row>25</xdr:row>
      <xdr:rowOff>44033</xdr:rowOff>
    </xdr:from>
    <xdr:to>
      <xdr:col>7</xdr:col>
      <xdr:colOff>435092</xdr:colOff>
      <xdr:row>27</xdr:row>
      <xdr:rowOff>175817</xdr:rowOff>
    </xdr:to>
    <xdr:grpSp>
      <xdr:nvGrpSpPr>
        <xdr:cNvPr id="2" name="Agrupar 1">
          <a:extLst>
            <a:ext uri="{FF2B5EF4-FFF2-40B4-BE49-F238E27FC236}">
              <a16:creationId xmlns:a16="http://schemas.microsoft.com/office/drawing/2014/main" id="{00000000-0008-0000-0A00-000002000000}"/>
            </a:ext>
          </a:extLst>
        </xdr:cNvPr>
        <xdr:cNvGrpSpPr/>
      </xdr:nvGrpSpPr>
      <xdr:grpSpPr>
        <a:xfrm>
          <a:off x="144116" y="4854158"/>
          <a:ext cx="4224801" cy="512784"/>
          <a:chOff x="27137591" y="6707909"/>
          <a:chExt cx="3833088" cy="561600"/>
        </a:xfrm>
      </xdr:grpSpPr>
      <xdr:grpSp>
        <xdr:nvGrpSpPr>
          <xdr:cNvPr id="3" name="Agrupar 2">
            <a:extLst>
              <a:ext uri="{FF2B5EF4-FFF2-40B4-BE49-F238E27FC236}">
                <a16:creationId xmlns:a16="http://schemas.microsoft.com/office/drawing/2014/main" id="{00000000-0008-0000-0A00-000003000000}"/>
              </a:ext>
            </a:extLst>
          </xdr:cNvPr>
          <xdr:cNvGrpSpPr/>
        </xdr:nvGrpSpPr>
        <xdr:grpSpPr>
          <a:xfrm>
            <a:off x="27137591" y="6875734"/>
            <a:ext cx="2083577" cy="246637"/>
            <a:chOff x="120650" y="4292600"/>
            <a:chExt cx="2076455" cy="247564"/>
          </a:xfrm>
        </xdr:grpSpPr>
        <mc:AlternateContent xmlns:mc="http://schemas.openxmlformats.org/markup-compatibility/2006">
          <mc:Choice xmlns:a14="http://schemas.microsoft.com/office/drawing/2010/main" Requires="a14">
            <xdr:sp macro="" textlink="">
              <xdr:nvSpPr>
                <xdr:cNvPr id="288769" name="Drop Down 1" hidden="1">
                  <a:extLst>
                    <a:ext uri="{63B3BB69-23CF-44E3-9099-C40C66FF867C}">
                      <a14:compatExt spid="_x0000_s288769"/>
                    </a:ext>
                    <a:ext uri="{FF2B5EF4-FFF2-40B4-BE49-F238E27FC236}">
                      <a16:creationId xmlns:a16="http://schemas.microsoft.com/office/drawing/2014/main" id="{00000000-0008-0000-0A00-000001680400}"/>
                    </a:ext>
                  </a:extLst>
                </xdr:cNvPr>
                <xdr:cNvSpPr/>
              </xdr:nvSpPr>
              <xdr:spPr bwMode="auto">
                <a:xfrm>
                  <a:off x="1524005" y="4298864"/>
                  <a:ext cx="673100" cy="24130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6" name="Text Box 10">
              <a:extLst>
                <a:ext uri="{FF2B5EF4-FFF2-40B4-BE49-F238E27FC236}">
                  <a16:creationId xmlns:a16="http://schemas.microsoft.com/office/drawing/2014/main" id="{00000000-0008-0000-0A00-000006000000}"/>
                </a:ext>
              </a:extLst>
            </xdr:cNvPr>
            <xdr:cNvSpPr txBox="1">
              <a:spLocks noChangeArrowheads="1"/>
            </xdr:cNvSpPr>
          </xdr:nvSpPr>
          <xdr:spPr bwMode="auto">
            <a:xfrm>
              <a:off x="120650" y="4292600"/>
              <a:ext cx="1346200" cy="241300"/>
            </a:xfrm>
            <a:prstGeom prst="rect">
              <a:avLst/>
            </a:prstGeom>
            <a:solidFill>
              <a:srgbClr val="00467A"/>
            </a:solidFill>
            <a:ln>
              <a:noFill/>
            </a:ln>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xdr:grpSp>
      <xdr:graphicFrame macro="">
        <xdr:nvGraphicFramePr>
          <xdr:cNvPr id="4" name="Gráfico 3">
            <a:extLst>
              <a:ext uri="{FF2B5EF4-FFF2-40B4-BE49-F238E27FC236}">
                <a16:creationId xmlns:a16="http://schemas.microsoft.com/office/drawing/2014/main" id="{00000000-0008-0000-0A00-000004000000}"/>
              </a:ext>
            </a:extLst>
          </xdr:cNvPr>
          <xdr:cNvGraphicFramePr>
            <a:graphicFrameLocks/>
          </xdr:cNvGraphicFramePr>
        </xdr:nvGraphicFramePr>
        <xdr:xfrm>
          <a:off x="29394725" y="6707909"/>
          <a:ext cx="1575954" cy="561600"/>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0</xdr:col>
      <xdr:colOff>0</xdr:colOff>
      <xdr:row>4</xdr:row>
      <xdr:rowOff>107671</xdr:rowOff>
    </xdr:from>
    <xdr:to>
      <xdr:col>7</xdr:col>
      <xdr:colOff>366150</xdr:colOff>
      <xdr:row>6</xdr:row>
      <xdr:rowOff>29957</xdr:rowOff>
    </xdr:to>
    <xdr:grpSp>
      <xdr:nvGrpSpPr>
        <xdr:cNvPr id="17" name="Agrupar 16">
          <a:extLst>
            <a:ext uri="{FF2B5EF4-FFF2-40B4-BE49-F238E27FC236}">
              <a16:creationId xmlns:a16="http://schemas.microsoft.com/office/drawing/2014/main" id="{00000000-0008-0000-0A00-000011000000}"/>
            </a:ext>
          </a:extLst>
        </xdr:cNvPr>
        <xdr:cNvGrpSpPr/>
      </xdr:nvGrpSpPr>
      <xdr:grpSpPr>
        <a:xfrm>
          <a:off x="0" y="917296"/>
          <a:ext cx="4299975" cy="303286"/>
          <a:chOff x="230187" y="644543"/>
          <a:chExt cx="5846763" cy="466707"/>
        </a:xfrm>
      </xdr:grpSpPr>
      <xdr:sp macro="" textlink="">
        <xdr:nvSpPr>
          <xdr:cNvPr id="18" name="Rectangle 3">
            <a:extLst>
              <a:ext uri="{FF2B5EF4-FFF2-40B4-BE49-F238E27FC236}">
                <a16:creationId xmlns:a16="http://schemas.microsoft.com/office/drawing/2014/main" id="{00000000-0008-0000-0A00-000012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19" name="Text Box 10">
            <a:extLst>
              <a:ext uri="{FF2B5EF4-FFF2-40B4-BE49-F238E27FC236}">
                <a16:creationId xmlns:a16="http://schemas.microsoft.com/office/drawing/2014/main" id="{00000000-0008-0000-0A00-000013000000}"/>
              </a:ext>
            </a:extLst>
          </xdr:cNvPr>
          <xdr:cNvSpPr txBox="1">
            <a:spLocks noChangeArrowheads="1"/>
          </xdr:cNvSpPr>
        </xdr:nvSpPr>
        <xdr:spPr bwMode="auto">
          <a:xfrm>
            <a:off x="307902" y="644543"/>
            <a:ext cx="2564358" cy="389306"/>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Empresas e Estabelecimentos</a:t>
            </a:r>
            <a:endParaRPr lang="en-US" altLang="pt-PT" sz="1200" b="1">
              <a:solidFill>
                <a:srgbClr val="00467A"/>
              </a:solidFill>
              <a:latin typeface="Arial" charset="0"/>
            </a:endParaRPr>
          </a:p>
        </xdr:txBody>
      </xdr:sp>
    </xdr:grpSp>
    <xdr:clientData/>
  </xdr:twoCellAnchor>
  <xdr:twoCellAnchor editAs="oneCell">
    <xdr:from>
      <xdr:col>0</xdr:col>
      <xdr:colOff>66675</xdr:colOff>
      <xdr:row>0</xdr:row>
      <xdr:rowOff>0</xdr:rowOff>
    </xdr:from>
    <xdr:to>
      <xdr:col>1</xdr:col>
      <xdr:colOff>383503</xdr:colOff>
      <xdr:row>2</xdr:row>
      <xdr:rowOff>1361</xdr:rowOff>
    </xdr:to>
    <xdr:pic>
      <xdr:nvPicPr>
        <xdr:cNvPr id="20" name="Imagem 19">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2"/>
        <a:stretch>
          <a:fillRect/>
        </a:stretch>
      </xdr:blipFill>
      <xdr:spPr>
        <a:xfrm>
          <a:off x="66675" y="0"/>
          <a:ext cx="878803" cy="429986"/>
        </a:xfrm>
        <a:prstGeom prst="rect">
          <a:avLst/>
        </a:prstGeom>
      </xdr:spPr>
    </xdr:pic>
    <xdr:clientData/>
  </xdr:twoCellAnchor>
  <xdr:twoCellAnchor>
    <xdr:from>
      <xdr:col>1</xdr:col>
      <xdr:colOff>417362</xdr:colOff>
      <xdr:row>0</xdr:row>
      <xdr:rowOff>0</xdr:rowOff>
    </xdr:from>
    <xdr:to>
      <xdr:col>22</xdr:col>
      <xdr:colOff>577850</xdr:colOff>
      <xdr:row>2</xdr:row>
      <xdr:rowOff>76200</xdr:rowOff>
    </xdr:to>
    <xdr:sp macro="" textlink="">
      <xdr:nvSpPr>
        <xdr:cNvPr id="21" name="Rectangle 17">
          <a:extLst>
            <a:ext uri="{FF2B5EF4-FFF2-40B4-BE49-F238E27FC236}">
              <a16:creationId xmlns:a16="http://schemas.microsoft.com/office/drawing/2014/main" id="{00000000-0008-0000-0A00-000015000000}"/>
            </a:ext>
          </a:extLst>
        </xdr:cNvPr>
        <xdr:cNvSpPr>
          <a:spLocks noChangeArrowheads="1"/>
        </xdr:cNvSpPr>
      </xdr:nvSpPr>
      <xdr:spPr bwMode="auto">
        <a:xfrm rot="5400000">
          <a:off x="6755531" y="-5776194"/>
          <a:ext cx="504825" cy="12057213"/>
        </a:xfrm>
        <a:prstGeom prst="rect">
          <a:avLst/>
        </a:prstGeom>
        <a:solidFill>
          <a:srgbClr val="00467A"/>
        </a:solidFill>
        <a:ln w="28575" cap="rnd">
          <a:noFill/>
          <a:prstDash val="sysDot"/>
          <a:miter lim="800000"/>
          <a:headEnd/>
          <a:tailEnd/>
        </a:ln>
        <a:effectLst>
          <a:prstShdw prst="shdw18" dist="17961" dir="13500000">
            <a:srgbClr val="556B81">
              <a:gamma/>
              <a:shade val="60000"/>
              <a:invGamma/>
            </a:srgbClr>
          </a:prstShdw>
        </a:effectLst>
      </xdr:spPr>
      <xdr:txBody>
        <a:bodyPr vert="vert270"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r>
            <a:rPr lang="pt-PT" sz="1600" b="1" i="1">
              <a:solidFill>
                <a:schemeClr val="bg1"/>
              </a:solidFill>
              <a:effectLst>
                <a:outerShdw blurRad="38100" dist="38100" dir="2700000" algn="tl">
                  <a:srgbClr val="000000"/>
                </a:outerShdw>
              </a:effectLst>
              <a:latin typeface="Arial" charset="0"/>
            </a:rPr>
            <a:t>Séries Cronológicas 2012 - 2022: Quadros de Pessoal</a:t>
          </a:r>
        </a:p>
        <a:p>
          <a:pPr defTabSz="988538">
            <a:defRPr/>
          </a:pPr>
          <a:r>
            <a:rPr lang="pt-PT" sz="1600" b="1" i="1">
              <a:solidFill>
                <a:srgbClr val="FFE600"/>
              </a:solidFill>
              <a:effectLst>
                <a:outerShdw blurRad="38100" dist="38100" dir="2700000" algn="tl">
                  <a:srgbClr val="000000"/>
                </a:outerShdw>
              </a:effectLst>
              <a:latin typeface="Arial" charset="0"/>
            </a:rPr>
            <a:t>NUTS 2024</a:t>
          </a:r>
        </a:p>
      </xdr:txBody>
    </xdr:sp>
    <xdr:clientData/>
  </xdr:twoCellAnchor>
  <xdr:twoCellAnchor>
    <xdr:from>
      <xdr:col>7</xdr:col>
      <xdr:colOff>419100</xdr:colOff>
      <xdr:row>4</xdr:row>
      <xdr:rowOff>89698</xdr:rowOff>
    </xdr:from>
    <xdr:to>
      <xdr:col>15</xdr:col>
      <xdr:colOff>239150</xdr:colOff>
      <xdr:row>6</xdr:row>
      <xdr:rowOff>45398</xdr:rowOff>
    </xdr:to>
    <xdr:grpSp>
      <xdr:nvGrpSpPr>
        <xdr:cNvPr id="22" name="Agrupar 21">
          <a:extLst>
            <a:ext uri="{FF2B5EF4-FFF2-40B4-BE49-F238E27FC236}">
              <a16:creationId xmlns:a16="http://schemas.microsoft.com/office/drawing/2014/main" id="{00000000-0008-0000-0A00-000016000000}"/>
            </a:ext>
          </a:extLst>
        </xdr:cNvPr>
        <xdr:cNvGrpSpPr/>
      </xdr:nvGrpSpPr>
      <xdr:grpSpPr>
        <a:xfrm>
          <a:off x="4352925" y="899323"/>
          <a:ext cx="4277750" cy="336700"/>
          <a:chOff x="230187" y="612160"/>
          <a:chExt cx="5846763" cy="499090"/>
        </a:xfrm>
      </xdr:grpSpPr>
      <xdr:sp macro="" textlink="">
        <xdr:nvSpPr>
          <xdr:cNvPr id="23" name="Rectangle 3">
            <a:extLst>
              <a:ext uri="{FF2B5EF4-FFF2-40B4-BE49-F238E27FC236}">
                <a16:creationId xmlns:a16="http://schemas.microsoft.com/office/drawing/2014/main" id="{00000000-0008-0000-0A00-000017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24" name="Text Box 10">
            <a:extLst>
              <a:ext uri="{FF2B5EF4-FFF2-40B4-BE49-F238E27FC236}">
                <a16:creationId xmlns:a16="http://schemas.microsoft.com/office/drawing/2014/main" id="{00000000-0008-0000-0A00-000018000000}"/>
              </a:ext>
            </a:extLst>
          </xdr:cNvPr>
          <xdr:cNvSpPr txBox="1">
            <a:spLocks noChangeArrowheads="1"/>
          </xdr:cNvSpPr>
        </xdr:nvSpPr>
        <xdr:spPr bwMode="auto">
          <a:xfrm>
            <a:off x="273049" y="612160"/>
            <a:ext cx="2074661" cy="413240"/>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Pessoas ao serviço e TCO</a:t>
            </a:r>
          </a:p>
        </xdr:txBody>
      </xdr:sp>
    </xdr:grpSp>
    <xdr:clientData/>
  </xdr:twoCellAnchor>
  <xdr:twoCellAnchor>
    <xdr:from>
      <xdr:col>15</xdr:col>
      <xdr:colOff>317500</xdr:colOff>
      <xdr:row>4</xdr:row>
      <xdr:rowOff>81233</xdr:rowOff>
    </xdr:from>
    <xdr:to>
      <xdr:col>23</xdr:col>
      <xdr:colOff>0</xdr:colOff>
      <xdr:row>6</xdr:row>
      <xdr:rowOff>36933</xdr:rowOff>
    </xdr:to>
    <xdr:grpSp>
      <xdr:nvGrpSpPr>
        <xdr:cNvPr id="25" name="Agrupar 24">
          <a:extLst>
            <a:ext uri="{FF2B5EF4-FFF2-40B4-BE49-F238E27FC236}">
              <a16:creationId xmlns:a16="http://schemas.microsoft.com/office/drawing/2014/main" id="{00000000-0008-0000-0A00-000019000000}"/>
            </a:ext>
          </a:extLst>
        </xdr:cNvPr>
        <xdr:cNvGrpSpPr/>
      </xdr:nvGrpSpPr>
      <xdr:grpSpPr>
        <a:xfrm>
          <a:off x="8709025" y="890858"/>
          <a:ext cx="4330700" cy="336700"/>
          <a:chOff x="230187" y="612158"/>
          <a:chExt cx="5846763" cy="499092"/>
        </a:xfrm>
      </xdr:grpSpPr>
      <xdr:sp macro="" textlink="">
        <xdr:nvSpPr>
          <xdr:cNvPr id="26" name="Rectangle 3">
            <a:extLst>
              <a:ext uri="{FF2B5EF4-FFF2-40B4-BE49-F238E27FC236}">
                <a16:creationId xmlns:a16="http://schemas.microsoft.com/office/drawing/2014/main" id="{00000000-0008-0000-0A00-00001A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27" name="Text Box 10">
            <a:extLst>
              <a:ext uri="{FF2B5EF4-FFF2-40B4-BE49-F238E27FC236}">
                <a16:creationId xmlns:a16="http://schemas.microsoft.com/office/drawing/2014/main" id="{00000000-0008-0000-0A00-00001B000000}"/>
              </a:ext>
            </a:extLst>
          </xdr:cNvPr>
          <xdr:cNvSpPr txBox="1">
            <a:spLocks noChangeArrowheads="1"/>
          </xdr:cNvSpPr>
        </xdr:nvSpPr>
        <xdr:spPr bwMode="auto">
          <a:xfrm>
            <a:off x="264329" y="612158"/>
            <a:ext cx="2533750" cy="425733"/>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Remunerações</a:t>
            </a:r>
            <a:r>
              <a:rPr lang="en-US" altLang="pt-PT" sz="1000" b="1" baseline="0">
                <a:solidFill>
                  <a:srgbClr val="00467A"/>
                </a:solidFill>
                <a:latin typeface="+mn-lt"/>
              </a:rPr>
              <a:t> médias mensais</a:t>
            </a:r>
            <a:endParaRPr lang="en-US" altLang="pt-PT" sz="1000" b="1">
              <a:solidFill>
                <a:srgbClr val="00467A"/>
              </a:solidFill>
              <a:latin typeface="+mn-lt"/>
            </a:endParaRPr>
          </a:p>
        </xdr:txBody>
      </xdr:sp>
    </xdr:grpSp>
    <xdr:clientData/>
  </xdr:twoCellAnchor>
  <xdr:twoCellAnchor>
    <xdr:from>
      <xdr:col>0</xdr:col>
      <xdr:colOff>47996</xdr:colOff>
      <xdr:row>2</xdr:row>
      <xdr:rowOff>120650</xdr:rowOff>
    </xdr:from>
    <xdr:to>
      <xdr:col>22</xdr:col>
      <xdr:colOff>577849</xdr:colOff>
      <xdr:row>4</xdr:row>
      <xdr:rowOff>50800</xdr:rowOff>
    </xdr:to>
    <xdr:grpSp>
      <xdr:nvGrpSpPr>
        <xdr:cNvPr id="28" name="Agrupar 27">
          <a:extLst>
            <a:ext uri="{FF2B5EF4-FFF2-40B4-BE49-F238E27FC236}">
              <a16:creationId xmlns:a16="http://schemas.microsoft.com/office/drawing/2014/main" id="{00000000-0008-0000-0A00-00001C000000}"/>
            </a:ext>
          </a:extLst>
        </xdr:cNvPr>
        <xdr:cNvGrpSpPr/>
      </xdr:nvGrpSpPr>
      <xdr:grpSpPr>
        <a:xfrm>
          <a:off x="47996" y="549275"/>
          <a:ext cx="12988553" cy="311150"/>
          <a:chOff x="47996" y="590550"/>
          <a:chExt cx="13610853" cy="298450"/>
        </a:xfrm>
      </xdr:grpSpPr>
      <xdr:sp macro="" textlink="">
        <xdr:nvSpPr>
          <xdr:cNvPr id="29" name="Text Box 10">
            <a:extLst>
              <a:ext uri="{FF2B5EF4-FFF2-40B4-BE49-F238E27FC236}">
                <a16:creationId xmlns:a16="http://schemas.microsoft.com/office/drawing/2014/main" id="{00000000-0008-0000-0A00-00001D000000}"/>
              </a:ext>
            </a:extLst>
          </xdr:cNvPr>
          <xdr:cNvSpPr txBox="1">
            <a:spLocks noChangeArrowheads="1"/>
          </xdr:cNvSpPr>
        </xdr:nvSpPr>
        <xdr:spPr bwMode="auto">
          <a:xfrm>
            <a:off x="47996" y="590550"/>
            <a:ext cx="13610853" cy="298450"/>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endParaRPr lang="en-US" altLang="pt-PT" sz="1200" b="1">
              <a:solidFill>
                <a:srgbClr val="00467A"/>
              </a:solidFill>
              <a:latin typeface="Arial" charset="0"/>
            </a:endParaRPr>
          </a:p>
        </xdr:txBody>
      </xdr:sp>
      <mc:AlternateContent xmlns:mc="http://schemas.openxmlformats.org/markup-compatibility/2006">
        <mc:Choice xmlns:a14="http://schemas.microsoft.com/office/drawing/2010/main" Requires="a14">
          <xdr:sp macro="" textlink="">
            <xdr:nvSpPr>
              <xdr:cNvPr id="288772" name="Drop Down 4" hidden="1">
                <a:extLst>
                  <a:ext uri="{63B3BB69-23CF-44E3-9099-C40C66FF867C}">
                    <a14:compatExt spid="_x0000_s288772"/>
                  </a:ext>
                  <a:ext uri="{FF2B5EF4-FFF2-40B4-BE49-F238E27FC236}">
                    <a16:creationId xmlns:a16="http://schemas.microsoft.com/office/drawing/2014/main" id="{00000000-0008-0000-0A00-000004680400}"/>
                  </a:ext>
                </a:extLst>
              </xdr:cNvPr>
              <xdr:cNvSpPr/>
            </xdr:nvSpPr>
            <xdr:spPr bwMode="auto">
              <a:xfrm>
                <a:off x="2075099" y="635000"/>
                <a:ext cx="1388732" cy="19685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31" name="Text Box 10">
            <a:extLst>
              <a:ext uri="{FF2B5EF4-FFF2-40B4-BE49-F238E27FC236}">
                <a16:creationId xmlns:a16="http://schemas.microsoft.com/office/drawing/2014/main" id="{00000000-0008-0000-0A00-00001F000000}"/>
              </a:ext>
            </a:extLst>
          </xdr:cNvPr>
          <xdr:cNvSpPr txBox="1">
            <a:spLocks noChangeArrowheads="1"/>
          </xdr:cNvSpPr>
        </xdr:nvSpPr>
        <xdr:spPr bwMode="auto">
          <a:xfrm>
            <a:off x="150341" y="613164"/>
            <a:ext cx="1853612" cy="241300"/>
          </a:xfrm>
          <a:prstGeom prst="rect">
            <a:avLst/>
          </a:prstGeom>
          <a:solidFill>
            <a:srgbClr val="00467A"/>
          </a:solidFill>
          <a:ln>
            <a:noFill/>
          </a:ln>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uma região NUTS II</a:t>
            </a:r>
            <a:endParaRPr lang="en-US" altLang="pt-PT" sz="1200" b="1">
              <a:solidFill>
                <a:schemeClr val="bg1"/>
              </a:solidFill>
              <a:latin typeface="Arial" charset="0"/>
            </a:endParaRPr>
          </a:p>
        </xdr:txBody>
      </xdr:sp>
    </xdr:grpSp>
    <xdr:clientData/>
  </xdr:twoCellAnchor>
  <xdr:twoCellAnchor>
    <xdr:from>
      <xdr:col>0</xdr:col>
      <xdr:colOff>88900</xdr:colOff>
      <xdr:row>10</xdr:row>
      <xdr:rowOff>120650</xdr:rowOff>
    </xdr:from>
    <xdr:to>
      <xdr:col>7</xdr:col>
      <xdr:colOff>275050</xdr:colOff>
      <xdr:row>26</xdr:row>
      <xdr:rowOff>41550</xdr:rowOff>
    </xdr:to>
    <xdr:grpSp>
      <xdr:nvGrpSpPr>
        <xdr:cNvPr id="32" name="Agrupar 31">
          <a:extLst>
            <a:ext uri="{FF2B5EF4-FFF2-40B4-BE49-F238E27FC236}">
              <a16:creationId xmlns:a16="http://schemas.microsoft.com/office/drawing/2014/main" id="{00000000-0008-0000-0A00-000020000000}"/>
            </a:ext>
          </a:extLst>
        </xdr:cNvPr>
        <xdr:cNvGrpSpPr/>
      </xdr:nvGrpSpPr>
      <xdr:grpSpPr>
        <a:xfrm>
          <a:off x="88900" y="2073275"/>
          <a:ext cx="4119975" cy="2968900"/>
          <a:chOff x="36182300" y="8426450"/>
          <a:chExt cx="4819650" cy="2597244"/>
        </a:xfrm>
      </xdr:grpSpPr>
      <xdr:graphicFrame macro="">
        <xdr:nvGraphicFramePr>
          <xdr:cNvPr id="33" name="Gráfico 32">
            <a:extLst>
              <a:ext uri="{FF2B5EF4-FFF2-40B4-BE49-F238E27FC236}">
                <a16:creationId xmlns:a16="http://schemas.microsoft.com/office/drawing/2014/main" id="{00000000-0008-0000-0A00-000021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34" name="CaixaDeTexto 33">
            <a:extLst>
              <a:ext uri="{FF2B5EF4-FFF2-40B4-BE49-F238E27FC236}">
                <a16:creationId xmlns:a16="http://schemas.microsoft.com/office/drawing/2014/main" id="{00000000-0008-0000-0A00-000022000000}"/>
              </a:ext>
            </a:extLst>
          </xdr:cNvPr>
          <xdr:cNvSpPr txBox="1"/>
        </xdr:nvSpPr>
        <xdr:spPr>
          <a:xfrm>
            <a:off x="39836722" y="8902700"/>
            <a:ext cx="913867"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Empresas</a:t>
            </a:r>
          </a:p>
        </xdr:txBody>
      </xdr:sp>
      <xdr:sp macro="" textlink="">
        <xdr:nvSpPr>
          <xdr:cNvPr id="35" name="CaixaDeTexto 34">
            <a:extLst>
              <a:ext uri="{FF2B5EF4-FFF2-40B4-BE49-F238E27FC236}">
                <a16:creationId xmlns:a16="http://schemas.microsoft.com/office/drawing/2014/main" id="{00000000-0008-0000-0A00-000023000000}"/>
              </a:ext>
            </a:extLst>
          </xdr:cNvPr>
          <xdr:cNvSpPr txBox="1"/>
        </xdr:nvSpPr>
        <xdr:spPr>
          <a:xfrm>
            <a:off x="39833549" y="9721850"/>
            <a:ext cx="913497"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Estabelecimentos</a:t>
            </a:r>
          </a:p>
        </xdr:txBody>
      </xdr:sp>
      <xdr:sp macro="" textlink="'q3.1_6.1_9.1_12.1_19.1_27.1_Fig'!$AF$7">
        <xdr:nvSpPr>
          <xdr:cNvPr id="36" name="CaixaDeTexto 35">
            <a:extLst>
              <a:ext uri="{FF2B5EF4-FFF2-40B4-BE49-F238E27FC236}">
                <a16:creationId xmlns:a16="http://schemas.microsoft.com/office/drawing/2014/main" id="{00000000-0008-0000-0A00-000024000000}"/>
              </a:ext>
            </a:extLst>
          </xdr:cNvPr>
          <xdr:cNvSpPr txBox="1"/>
        </xdr:nvSpPr>
        <xdr:spPr>
          <a:xfrm>
            <a:off x="39839898" y="9994900"/>
            <a:ext cx="913867" cy="258246"/>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5F3DE539-7A98-45D5-8330-81D027DC3BE6}" type="TxLink">
              <a:rPr lang="en-US" sz="1000" b="1" i="0" u="none" strike="noStrike">
                <a:solidFill>
                  <a:schemeClr val="bg1"/>
                </a:solidFill>
                <a:latin typeface="Arial"/>
                <a:ea typeface="+mn-ea"/>
                <a:cs typeface="Arial"/>
              </a:rPr>
              <a:pPr marL="0" indent="0" algn="ctr"/>
              <a:t>4,2%</a:t>
            </a:fld>
            <a:endParaRPr lang="pt-PT" sz="1000" b="1" i="0" u="none" strike="noStrike">
              <a:solidFill>
                <a:schemeClr val="bg1"/>
              </a:solidFill>
              <a:latin typeface="+mn-lt"/>
              <a:ea typeface="+mn-ea"/>
              <a:cs typeface="Arial"/>
            </a:endParaRPr>
          </a:p>
        </xdr:txBody>
      </xdr:sp>
      <xdr:sp macro="" textlink="'q3.1_6.1_9.1_12.1_19.1_27.1_Fig'!$AF$6">
        <xdr:nvSpPr>
          <xdr:cNvPr id="37" name="CaixaDeTexto 36">
            <a:extLst>
              <a:ext uri="{FF2B5EF4-FFF2-40B4-BE49-F238E27FC236}">
                <a16:creationId xmlns:a16="http://schemas.microsoft.com/office/drawing/2014/main" id="{00000000-0008-0000-0A00-000025000000}"/>
              </a:ext>
            </a:extLst>
          </xdr:cNvPr>
          <xdr:cNvSpPr txBox="1"/>
        </xdr:nvSpPr>
        <xdr:spPr>
          <a:xfrm>
            <a:off x="39839898" y="9201150"/>
            <a:ext cx="913867" cy="25824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D787330-1778-4D91-88C1-A0718C0264B1}" type="TxLink">
              <a:rPr lang="en-US" sz="1000" b="1" i="0" u="none" strike="noStrike">
                <a:solidFill>
                  <a:schemeClr val="bg1"/>
                </a:solidFill>
                <a:latin typeface="Arial"/>
                <a:cs typeface="Arial"/>
              </a:rPr>
              <a:pPr algn="ctr"/>
              <a:t>6,6%</a:t>
            </a:fld>
            <a:endParaRPr lang="pt-PT" sz="1000" b="1">
              <a:solidFill>
                <a:schemeClr val="bg1"/>
              </a:solidFill>
              <a:latin typeface="+mn-lt"/>
            </a:endParaRPr>
          </a:p>
        </xdr:txBody>
      </xdr:sp>
    </xdr:grpSp>
    <xdr:clientData/>
  </xdr:twoCellAnchor>
  <xdr:twoCellAnchor>
    <xdr:from>
      <xdr:col>8</xdr:col>
      <xdr:colOff>47625</xdr:colOff>
      <xdr:row>10</xdr:row>
      <xdr:rowOff>133350</xdr:rowOff>
    </xdr:from>
    <xdr:to>
      <xdr:col>15</xdr:col>
      <xdr:colOff>249650</xdr:colOff>
      <xdr:row>26</xdr:row>
      <xdr:rowOff>54250</xdr:rowOff>
    </xdr:to>
    <xdr:grpSp>
      <xdr:nvGrpSpPr>
        <xdr:cNvPr id="43" name="Agrupar 42">
          <a:extLst>
            <a:ext uri="{FF2B5EF4-FFF2-40B4-BE49-F238E27FC236}">
              <a16:creationId xmlns:a16="http://schemas.microsoft.com/office/drawing/2014/main" id="{00000000-0008-0000-0A00-00002B000000}"/>
            </a:ext>
          </a:extLst>
        </xdr:cNvPr>
        <xdr:cNvGrpSpPr/>
      </xdr:nvGrpSpPr>
      <xdr:grpSpPr>
        <a:xfrm>
          <a:off x="4543425" y="2085975"/>
          <a:ext cx="4097750" cy="2968900"/>
          <a:chOff x="36182300" y="8426450"/>
          <a:chExt cx="4819650" cy="2597244"/>
        </a:xfrm>
      </xdr:grpSpPr>
      <xdr:graphicFrame macro="">
        <xdr:nvGraphicFramePr>
          <xdr:cNvPr id="44" name="Gráfico 43">
            <a:extLst>
              <a:ext uri="{FF2B5EF4-FFF2-40B4-BE49-F238E27FC236}">
                <a16:creationId xmlns:a16="http://schemas.microsoft.com/office/drawing/2014/main" id="{00000000-0008-0000-0A00-00002C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45" name="CaixaDeTexto 44">
            <a:extLst>
              <a:ext uri="{FF2B5EF4-FFF2-40B4-BE49-F238E27FC236}">
                <a16:creationId xmlns:a16="http://schemas.microsoft.com/office/drawing/2014/main" id="{00000000-0008-0000-0A00-00002D000000}"/>
              </a:ext>
            </a:extLst>
          </xdr:cNvPr>
          <xdr:cNvSpPr txBox="1"/>
        </xdr:nvSpPr>
        <xdr:spPr>
          <a:xfrm>
            <a:off x="39836724" y="8902700"/>
            <a:ext cx="918824"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Pessoas ao serviço</a:t>
            </a:r>
          </a:p>
        </xdr:txBody>
      </xdr:sp>
      <xdr:sp macro="" textlink="">
        <xdr:nvSpPr>
          <xdr:cNvPr id="46" name="CaixaDeTexto 45">
            <a:extLst>
              <a:ext uri="{FF2B5EF4-FFF2-40B4-BE49-F238E27FC236}">
                <a16:creationId xmlns:a16="http://schemas.microsoft.com/office/drawing/2014/main" id="{00000000-0008-0000-0A00-00002E000000}"/>
              </a:ext>
            </a:extLst>
          </xdr:cNvPr>
          <xdr:cNvSpPr txBox="1"/>
        </xdr:nvSpPr>
        <xdr:spPr>
          <a:xfrm>
            <a:off x="39833550" y="9721850"/>
            <a:ext cx="918824"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TCO</a:t>
            </a:r>
          </a:p>
        </xdr:txBody>
      </xdr:sp>
      <xdr:sp macro="" textlink="'q3.1_6.1_9.1_12.1_19.1_27.1_Fig'!$AF$39">
        <xdr:nvSpPr>
          <xdr:cNvPr id="47" name="CaixaDeTexto 46">
            <a:extLst>
              <a:ext uri="{FF2B5EF4-FFF2-40B4-BE49-F238E27FC236}">
                <a16:creationId xmlns:a16="http://schemas.microsoft.com/office/drawing/2014/main" id="{00000000-0008-0000-0A00-00002F000000}"/>
              </a:ext>
            </a:extLst>
          </xdr:cNvPr>
          <xdr:cNvSpPr txBox="1"/>
        </xdr:nvSpPr>
        <xdr:spPr>
          <a:xfrm>
            <a:off x="39839899" y="9994900"/>
            <a:ext cx="918824" cy="258246"/>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60AEEEB-B220-408C-9D25-033D671B24AA}" type="TxLink">
              <a:rPr lang="en-US" sz="1000" b="1" i="0" u="none" strike="noStrike">
                <a:solidFill>
                  <a:schemeClr val="bg1"/>
                </a:solidFill>
                <a:latin typeface="Arial"/>
                <a:ea typeface="+mn-ea"/>
                <a:cs typeface="Arial"/>
              </a:rPr>
              <a:pPr marL="0" indent="0" algn="ctr"/>
              <a:t>34,2%</a:t>
            </a:fld>
            <a:endParaRPr lang="pt-PT" sz="1000" b="1" i="0" u="none" strike="noStrike">
              <a:solidFill>
                <a:schemeClr val="bg1"/>
              </a:solidFill>
              <a:latin typeface="+mn-lt"/>
              <a:ea typeface="+mn-ea"/>
              <a:cs typeface="Arial"/>
            </a:endParaRPr>
          </a:p>
        </xdr:txBody>
      </xdr:sp>
      <xdr:sp macro="" textlink="'q3.1_6.1_9.1_12.1_19.1_27.1_Fig'!$AF$38">
        <xdr:nvSpPr>
          <xdr:cNvPr id="48" name="CaixaDeTexto 47">
            <a:extLst>
              <a:ext uri="{FF2B5EF4-FFF2-40B4-BE49-F238E27FC236}">
                <a16:creationId xmlns:a16="http://schemas.microsoft.com/office/drawing/2014/main" id="{00000000-0008-0000-0A00-000030000000}"/>
              </a:ext>
            </a:extLst>
          </xdr:cNvPr>
          <xdr:cNvSpPr txBox="1"/>
        </xdr:nvSpPr>
        <xdr:spPr>
          <a:xfrm>
            <a:off x="39839900" y="9201150"/>
            <a:ext cx="918824" cy="25824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A25F6D9-4EE6-4448-9CF6-5354ABD18DA3}" type="TxLink">
              <a:rPr lang="en-US" sz="1000" b="1" i="0" u="none" strike="noStrike">
                <a:solidFill>
                  <a:schemeClr val="bg1"/>
                </a:solidFill>
                <a:latin typeface="Arial"/>
                <a:cs typeface="Arial"/>
              </a:rPr>
              <a:pPr algn="ctr"/>
              <a:t>32,8%</a:t>
            </a:fld>
            <a:endParaRPr lang="pt-PT" sz="1000" b="1">
              <a:solidFill>
                <a:schemeClr val="bg1"/>
              </a:solidFill>
              <a:latin typeface="+mn-lt"/>
            </a:endParaRPr>
          </a:p>
        </xdr:txBody>
      </xdr:sp>
    </xdr:grpSp>
    <xdr:clientData/>
  </xdr:twoCellAnchor>
  <xdr:twoCellAnchor>
    <xdr:from>
      <xdr:col>15</xdr:col>
      <xdr:colOff>419100</xdr:colOff>
      <xdr:row>10</xdr:row>
      <xdr:rowOff>152400</xdr:rowOff>
    </xdr:from>
    <xdr:to>
      <xdr:col>22</xdr:col>
      <xdr:colOff>471900</xdr:colOff>
      <xdr:row>25</xdr:row>
      <xdr:rowOff>171450</xdr:rowOff>
    </xdr:to>
    <xdr:grpSp>
      <xdr:nvGrpSpPr>
        <xdr:cNvPr id="49" name="Agrupar 48">
          <a:extLst>
            <a:ext uri="{FF2B5EF4-FFF2-40B4-BE49-F238E27FC236}">
              <a16:creationId xmlns:a16="http://schemas.microsoft.com/office/drawing/2014/main" id="{00000000-0008-0000-0A00-000031000000}"/>
            </a:ext>
          </a:extLst>
        </xdr:cNvPr>
        <xdr:cNvGrpSpPr/>
      </xdr:nvGrpSpPr>
      <xdr:grpSpPr>
        <a:xfrm>
          <a:off x="8810625" y="2105025"/>
          <a:ext cx="4119975" cy="2876550"/>
          <a:chOff x="36182300" y="8426450"/>
          <a:chExt cx="4819650" cy="2597244"/>
        </a:xfrm>
      </xdr:grpSpPr>
      <xdr:graphicFrame macro="">
        <xdr:nvGraphicFramePr>
          <xdr:cNvPr id="50" name="Gráfico 49">
            <a:extLst>
              <a:ext uri="{FF2B5EF4-FFF2-40B4-BE49-F238E27FC236}">
                <a16:creationId xmlns:a16="http://schemas.microsoft.com/office/drawing/2014/main" id="{00000000-0008-0000-0A00-000032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51" name="CaixaDeTexto 50">
            <a:extLst>
              <a:ext uri="{FF2B5EF4-FFF2-40B4-BE49-F238E27FC236}">
                <a16:creationId xmlns:a16="http://schemas.microsoft.com/office/drawing/2014/main" id="{00000000-0008-0000-0A00-000033000000}"/>
              </a:ext>
            </a:extLst>
          </xdr:cNvPr>
          <xdr:cNvSpPr txBox="1"/>
        </xdr:nvSpPr>
        <xdr:spPr>
          <a:xfrm>
            <a:off x="39836724" y="8902700"/>
            <a:ext cx="913867" cy="266537"/>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a:t>
            </a:r>
            <a:r>
              <a:rPr lang="pt-PT" sz="800" b="1" baseline="0">
                <a:solidFill>
                  <a:schemeClr val="bg1"/>
                </a:solidFill>
                <a:latin typeface="+mn-lt"/>
                <a:ea typeface="+mn-ea"/>
                <a:cs typeface="+mn-cs"/>
              </a:rPr>
              <a:t> Base</a:t>
            </a:r>
          </a:p>
        </xdr:txBody>
      </xdr:sp>
      <xdr:sp macro="" textlink="">
        <xdr:nvSpPr>
          <xdr:cNvPr id="52" name="CaixaDeTexto 51">
            <a:extLst>
              <a:ext uri="{FF2B5EF4-FFF2-40B4-BE49-F238E27FC236}">
                <a16:creationId xmlns:a16="http://schemas.microsoft.com/office/drawing/2014/main" id="{00000000-0008-0000-0A00-000034000000}"/>
              </a:ext>
            </a:extLst>
          </xdr:cNvPr>
          <xdr:cNvSpPr txBox="1"/>
        </xdr:nvSpPr>
        <xdr:spPr>
          <a:xfrm>
            <a:off x="39833549" y="9721850"/>
            <a:ext cx="913867" cy="266537"/>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 Ganho</a:t>
            </a:r>
          </a:p>
        </xdr:txBody>
      </xdr:sp>
      <xdr:sp macro="" textlink="'q3.1_6.1_9.1_12.1_19.1_27.1_Fig'!$AF$73">
        <xdr:nvSpPr>
          <xdr:cNvPr id="53" name="CaixaDeTexto 52">
            <a:extLst>
              <a:ext uri="{FF2B5EF4-FFF2-40B4-BE49-F238E27FC236}">
                <a16:creationId xmlns:a16="http://schemas.microsoft.com/office/drawing/2014/main" id="{00000000-0008-0000-0A00-000035000000}"/>
              </a:ext>
            </a:extLst>
          </xdr:cNvPr>
          <xdr:cNvSpPr txBox="1"/>
        </xdr:nvSpPr>
        <xdr:spPr>
          <a:xfrm>
            <a:off x="39839897" y="9994900"/>
            <a:ext cx="913867" cy="266537"/>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6FE65740-4B2E-4268-BA56-C86EFD2798EC}" type="TxLink">
              <a:rPr lang="en-US" sz="1000" b="1" i="0" u="none" strike="noStrike">
                <a:solidFill>
                  <a:schemeClr val="bg1"/>
                </a:solidFill>
                <a:latin typeface="Arial"/>
                <a:ea typeface="+mn-ea"/>
                <a:cs typeface="Arial"/>
              </a:rPr>
              <a:pPr marL="0" indent="0" algn="ctr"/>
              <a:t>18,7%</a:t>
            </a:fld>
            <a:endParaRPr lang="pt-PT" sz="1000" b="1" i="0" u="none" strike="noStrike">
              <a:solidFill>
                <a:schemeClr val="bg1"/>
              </a:solidFill>
              <a:latin typeface="+mn-lt"/>
              <a:ea typeface="+mn-ea"/>
              <a:cs typeface="Arial"/>
            </a:endParaRPr>
          </a:p>
        </xdr:txBody>
      </xdr:sp>
      <xdr:sp macro="" textlink="'q3.1_6.1_9.1_12.1_19.1_27.1_Fig'!$AF$72">
        <xdr:nvSpPr>
          <xdr:cNvPr id="54" name="CaixaDeTexto 53">
            <a:extLst>
              <a:ext uri="{FF2B5EF4-FFF2-40B4-BE49-F238E27FC236}">
                <a16:creationId xmlns:a16="http://schemas.microsoft.com/office/drawing/2014/main" id="{00000000-0008-0000-0A00-000036000000}"/>
              </a:ext>
            </a:extLst>
          </xdr:cNvPr>
          <xdr:cNvSpPr txBox="1"/>
        </xdr:nvSpPr>
        <xdr:spPr>
          <a:xfrm>
            <a:off x="39839901" y="9201150"/>
            <a:ext cx="913867" cy="266537"/>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B6FDA-8F00-4469-98B0-46A1AD92D302}" type="TxLink">
              <a:rPr lang="en-US" sz="1000" b="1" i="0" u="none" strike="noStrike">
                <a:solidFill>
                  <a:schemeClr val="bg1"/>
                </a:solidFill>
                <a:latin typeface="Arial"/>
                <a:cs typeface="Arial"/>
              </a:rPr>
              <a:pPr algn="ctr"/>
              <a:t>18,9%</a:t>
            </a:fld>
            <a:endParaRPr lang="pt-PT" sz="1000" b="1">
              <a:solidFill>
                <a:schemeClr val="bg1"/>
              </a:solidFill>
              <a:latin typeface="+mn-lt"/>
            </a:endParaRPr>
          </a:p>
        </xdr:txBody>
      </xdr:sp>
    </xdr:grpSp>
    <xdr:clientData/>
  </xdr:twoCellAnchor>
  <xdr:twoCellAnchor>
    <xdr:from>
      <xdr:col>0</xdr:col>
      <xdr:colOff>0</xdr:colOff>
      <xdr:row>6</xdr:row>
      <xdr:rowOff>76200</xdr:rowOff>
    </xdr:from>
    <xdr:to>
      <xdr:col>7</xdr:col>
      <xdr:colOff>373350</xdr:colOff>
      <xdr:row>10</xdr:row>
      <xdr:rowOff>46900</xdr:rowOff>
    </xdr:to>
    <xdr:sp macro="" textlink="'q3.1_6.1_9.1_12.1_19.1_27.1_Fig'!$AD$13">
      <xdr:nvSpPr>
        <xdr:cNvPr id="65" name="CaixaDeTexto 64">
          <a:extLst>
            <a:ext uri="{FF2B5EF4-FFF2-40B4-BE49-F238E27FC236}">
              <a16:creationId xmlns:a16="http://schemas.microsoft.com/office/drawing/2014/main" id="{00000000-0008-0000-0A00-000041000000}"/>
            </a:ext>
          </a:extLst>
        </xdr:cNvPr>
        <xdr:cNvSpPr txBox="1"/>
      </xdr:nvSpPr>
      <xdr:spPr>
        <a:xfrm>
          <a:off x="0" y="1266825"/>
          <a:ext cx="4307175" cy="7327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2CC27F40-6CB2-4225-BDD6-339908AF6D74}" type="TxLink">
            <a:rPr lang="en-US" sz="1000" b="1" i="0" u="none" strike="noStrike">
              <a:solidFill>
                <a:srgbClr val="17375E"/>
              </a:solidFill>
              <a:latin typeface="Calibri"/>
              <a:cs typeface="Calibri"/>
            </a:rPr>
            <a:pPr algn="l"/>
            <a:t>2022:
A região Grande Lisboa era a sede de 57.854 empresas (6,6%, ou seja, mais 3.582 que em 2012) e era a localização de 68.270 estabelecimentos (4,2%, ou seja, mais 2.731 que em 2012).</a:t>
          </a:fld>
          <a:endParaRPr lang="pt-PT" sz="1000" b="1">
            <a:solidFill>
              <a:srgbClr val="17375E"/>
            </a:solidFill>
            <a:latin typeface="+mn-lt"/>
          </a:endParaRPr>
        </a:p>
      </xdr:txBody>
    </xdr:sp>
    <xdr:clientData/>
  </xdr:twoCellAnchor>
  <xdr:twoCellAnchor>
    <xdr:from>
      <xdr:col>7</xdr:col>
      <xdr:colOff>425450</xdr:colOff>
      <xdr:row>6</xdr:row>
      <xdr:rowOff>88900</xdr:rowOff>
    </xdr:from>
    <xdr:to>
      <xdr:col>15</xdr:col>
      <xdr:colOff>252700</xdr:colOff>
      <xdr:row>10</xdr:row>
      <xdr:rowOff>59600</xdr:rowOff>
    </xdr:to>
    <xdr:sp macro="" textlink="'q3.1_6.1_9.1_12.1_19.1_27.1_Fig'!$AD$45">
      <xdr:nvSpPr>
        <xdr:cNvPr id="66" name="CaixaDeTexto 65">
          <a:extLst>
            <a:ext uri="{FF2B5EF4-FFF2-40B4-BE49-F238E27FC236}">
              <a16:creationId xmlns:a16="http://schemas.microsoft.com/office/drawing/2014/main" id="{00000000-0008-0000-0A00-000042000000}"/>
            </a:ext>
          </a:extLst>
        </xdr:cNvPr>
        <xdr:cNvSpPr txBox="1"/>
      </xdr:nvSpPr>
      <xdr:spPr>
        <a:xfrm>
          <a:off x="4359275" y="1279525"/>
          <a:ext cx="4284950" cy="7327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29490F4A-3DAE-40A0-851F-070C7E3D07FE}" type="TxLink">
            <a:rPr lang="en-US" sz="1000" b="1" i="0" u="none" strike="noStrike">
              <a:solidFill>
                <a:srgbClr val="17375E"/>
              </a:solidFill>
              <a:latin typeface="Calibri"/>
              <a:cs typeface="Calibri"/>
            </a:rPr>
            <a:pPr algn="l"/>
            <a:t>2022:
As empresas da região Grande Lisboa tinham ao seu serviço 915.180 pessoas (32,8%, ou seja, mais 226.292 que em 2012) e tinham 875.584 TCO (34,2%, mais 223.230 que em 2012).</a:t>
          </a:fld>
          <a:endParaRPr lang="pt-PT" sz="1000" b="1">
            <a:solidFill>
              <a:srgbClr val="17375E"/>
            </a:solidFill>
            <a:latin typeface="+mn-lt"/>
          </a:endParaRPr>
        </a:p>
      </xdr:txBody>
    </xdr:sp>
    <xdr:clientData/>
  </xdr:twoCellAnchor>
  <xdr:twoCellAnchor>
    <xdr:from>
      <xdr:col>15</xdr:col>
      <xdr:colOff>317500</xdr:colOff>
      <xdr:row>6</xdr:row>
      <xdr:rowOff>82550</xdr:rowOff>
    </xdr:from>
    <xdr:to>
      <xdr:col>22</xdr:col>
      <xdr:colOff>558800</xdr:colOff>
      <xdr:row>10</xdr:row>
      <xdr:rowOff>53250</xdr:rowOff>
    </xdr:to>
    <xdr:sp macro="" textlink="'q3.1_6.1_9.1_12.1_19.1_27.1_Fig'!$AD$79">
      <xdr:nvSpPr>
        <xdr:cNvPr id="67" name="CaixaDeTexto 66">
          <a:extLst>
            <a:ext uri="{FF2B5EF4-FFF2-40B4-BE49-F238E27FC236}">
              <a16:creationId xmlns:a16="http://schemas.microsoft.com/office/drawing/2014/main" id="{00000000-0008-0000-0A00-000043000000}"/>
            </a:ext>
          </a:extLst>
        </xdr:cNvPr>
        <xdr:cNvSpPr txBox="1"/>
      </xdr:nvSpPr>
      <xdr:spPr>
        <a:xfrm>
          <a:off x="8709025" y="1273175"/>
          <a:ext cx="4308475" cy="7327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F338969-1A60-4888-B0D6-2FA99FBDD122}" type="TxLink">
            <a:rPr lang="en-US" sz="1000" b="1" i="0" u="none" strike="noStrike">
              <a:solidFill>
                <a:srgbClr val="17375E"/>
              </a:solidFill>
              <a:latin typeface="Calibri"/>
              <a:cs typeface="Calibri"/>
            </a:rPr>
            <a:pPr algn="l"/>
            <a:t>2022:
Na região Grande Lisboa a remuneração média mensal base era de 1.418 euros (18,9%, ou seja, mais 225,7 euros que em 2012) e de 1.705 euros a remuneração média mensal ganho (18,7%, mais 268,4 euros que em 2012).</a:t>
          </a:fld>
          <a:endParaRPr lang="pt-PT" sz="1000" b="1">
            <a:solidFill>
              <a:srgbClr val="17375E"/>
            </a:solidFill>
            <a:latin typeface="+mn-lt"/>
          </a:endParaRPr>
        </a:p>
      </xdr:txBody>
    </xdr:sp>
    <xdr:clientData/>
  </xdr:twoCellAnchor>
  <xdr:twoCellAnchor>
    <xdr:from>
      <xdr:col>21</xdr:col>
      <xdr:colOff>26837</xdr:colOff>
      <xdr:row>0</xdr:row>
      <xdr:rowOff>85725</xdr:rowOff>
    </xdr:from>
    <xdr:to>
      <xdr:col>22</xdr:col>
      <xdr:colOff>479328</xdr:colOff>
      <xdr:row>1</xdr:row>
      <xdr:rowOff>132652</xdr:rowOff>
    </xdr:to>
    <xdr:sp macro="" textlink="">
      <xdr:nvSpPr>
        <xdr:cNvPr id="71" name="Text Box 10">
          <a:hlinkClick xmlns:r="http://schemas.openxmlformats.org/officeDocument/2006/relationships" r:id="rId6"/>
          <a:extLst>
            <a:ext uri="{FF2B5EF4-FFF2-40B4-BE49-F238E27FC236}">
              <a16:creationId xmlns:a16="http://schemas.microsoft.com/office/drawing/2014/main" id="{00000000-0008-0000-0A00-000047000000}"/>
            </a:ext>
          </a:extLst>
        </xdr:cNvPr>
        <xdr:cNvSpPr txBox="1">
          <a:spLocks noChangeArrowheads="1"/>
        </xdr:cNvSpPr>
      </xdr:nvSpPr>
      <xdr:spPr bwMode="auto">
        <a:xfrm>
          <a:off x="11904512" y="85725"/>
          <a:ext cx="1033516" cy="237427"/>
        </a:xfrm>
        <a:prstGeom prst="rect">
          <a:avLst/>
        </a:prstGeom>
        <a:solidFill>
          <a:srgbClr val="FFE6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rgbClr val="00467A"/>
              </a:solidFill>
              <a:latin typeface="+mn-lt"/>
            </a:rPr>
            <a:t>Voltar ao</a:t>
          </a:r>
          <a:r>
            <a:rPr lang="en-US" altLang="pt-PT" sz="1000" b="1" baseline="0">
              <a:solidFill>
                <a:srgbClr val="00467A"/>
              </a:solidFill>
              <a:latin typeface="+mn-lt"/>
            </a:rPr>
            <a:t> Índice</a:t>
          </a:r>
          <a:endParaRPr lang="en-US" altLang="pt-PT" sz="1200" b="1">
            <a:solidFill>
              <a:srgbClr val="00467A"/>
            </a:solidFill>
            <a:latin typeface="Arial" charset="0"/>
          </a:endParaRPr>
        </a:p>
      </xdr:txBody>
    </xdr:sp>
    <xdr:clientData/>
  </xdr:twoCellAnchor>
  <xdr:twoCellAnchor>
    <xdr:from>
      <xdr:col>0</xdr:col>
      <xdr:colOff>85725</xdr:colOff>
      <xdr:row>32</xdr:row>
      <xdr:rowOff>49027</xdr:rowOff>
    </xdr:from>
    <xdr:to>
      <xdr:col>7</xdr:col>
      <xdr:colOff>428905</xdr:colOff>
      <xdr:row>56</xdr:row>
      <xdr:rowOff>119062</xdr:rowOff>
    </xdr:to>
    <xdr:grpSp>
      <xdr:nvGrpSpPr>
        <xdr:cNvPr id="94" name="Agrupar 93">
          <a:extLst>
            <a:ext uri="{FF2B5EF4-FFF2-40B4-BE49-F238E27FC236}">
              <a16:creationId xmlns:a16="http://schemas.microsoft.com/office/drawing/2014/main" id="{00000000-0008-0000-0A00-00005E000000}"/>
            </a:ext>
          </a:extLst>
        </xdr:cNvPr>
        <xdr:cNvGrpSpPr/>
      </xdr:nvGrpSpPr>
      <xdr:grpSpPr>
        <a:xfrm>
          <a:off x="85725" y="6192652"/>
          <a:ext cx="4277005" cy="4642035"/>
          <a:chOff x="28561888" y="7200898"/>
          <a:chExt cx="5383746" cy="4611462"/>
        </a:xfrm>
      </xdr:grpSpPr>
      <xdr:grpSp>
        <xdr:nvGrpSpPr>
          <xdr:cNvPr id="95" name="Agrupar 94">
            <a:extLst>
              <a:ext uri="{FF2B5EF4-FFF2-40B4-BE49-F238E27FC236}">
                <a16:creationId xmlns:a16="http://schemas.microsoft.com/office/drawing/2014/main" id="{00000000-0008-0000-0A00-00005F000000}"/>
              </a:ext>
            </a:extLst>
          </xdr:cNvPr>
          <xdr:cNvGrpSpPr/>
        </xdr:nvGrpSpPr>
        <xdr:grpSpPr>
          <a:xfrm>
            <a:off x="30577059" y="7200898"/>
            <a:ext cx="3368575" cy="4368645"/>
            <a:chOff x="30803162" y="7231324"/>
            <a:chExt cx="3364246" cy="4315203"/>
          </a:xfrm>
          <a:solidFill>
            <a:schemeClr val="bg1"/>
          </a:solidFill>
        </xdr:grpSpPr>
        <xdr:grpSp>
          <xdr:nvGrpSpPr>
            <xdr:cNvPr id="97" name="Agrupar 96">
              <a:extLst>
                <a:ext uri="{FF2B5EF4-FFF2-40B4-BE49-F238E27FC236}">
                  <a16:creationId xmlns:a16="http://schemas.microsoft.com/office/drawing/2014/main" id="{00000000-0008-0000-0A00-000061000000}"/>
                </a:ext>
              </a:extLst>
            </xdr:cNvPr>
            <xdr:cNvGrpSpPr/>
          </xdr:nvGrpSpPr>
          <xdr:grpSpPr>
            <a:xfrm>
              <a:off x="30803162" y="7422149"/>
              <a:ext cx="3364246" cy="4124378"/>
              <a:chOff x="14530245" y="132576"/>
              <a:chExt cx="5450221" cy="7645400"/>
            </a:xfrm>
            <a:grpFill/>
          </xdr:grpSpPr>
          <xdr:pic>
            <xdr:nvPicPr>
              <xdr:cNvPr id="105" name="Imagem 104" descr="2024">
                <a:extLst>
                  <a:ext uri="{FF2B5EF4-FFF2-40B4-BE49-F238E27FC236}">
                    <a16:creationId xmlns:a16="http://schemas.microsoft.com/office/drawing/2014/main" id="{00000000-0008-0000-0A00-000069000000}"/>
                  </a:ext>
                </a:extLst>
              </xdr:cNvPr>
              <xdr:cNvPicPr>
                <a:picLocks noChangeAspect="1" noChangeArrowheads="1"/>
              </xdr:cNvPicPr>
            </xdr:nvPicPr>
            <xdr:blipFill>
              <a:blip xmlns:r="http://schemas.openxmlformats.org/officeDocument/2006/relationships" r:embed="rId7" cstate="print">
                <a:duotone>
                  <a:schemeClr val="accent1">
                    <a:shade val="45000"/>
                    <a:satMod val="135000"/>
                  </a:schemeClr>
                  <a:prstClr val="white"/>
                </a:duotone>
                <a:extLst>
                  <a:ext uri="{BEBA8EAE-BF5A-486C-A8C5-ECC9F3942E4B}">
                    <a14:imgProps xmlns:a14="http://schemas.microsoft.com/office/drawing/2010/main">
                      <a14:imgLayer r:embed="rId8">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14530245" y="132576"/>
                <a:ext cx="5450221" cy="7645400"/>
              </a:xfrm>
              <a:prstGeom prst="rect">
                <a:avLst/>
              </a:prstGeom>
              <a:grpFill/>
            </xdr:spPr>
          </xdr:pic>
          <xdr:sp macro="" textlink="">
            <xdr:nvSpPr>
              <xdr:cNvPr id="106" name="Retângulo 105">
                <a:extLst>
                  <a:ext uri="{FF2B5EF4-FFF2-40B4-BE49-F238E27FC236}">
                    <a16:creationId xmlns:a16="http://schemas.microsoft.com/office/drawing/2014/main" id="{00000000-0008-0000-0A00-00006A000000}"/>
                  </a:ext>
                </a:extLst>
              </xdr:cNvPr>
              <xdr:cNvSpPr/>
            </xdr:nvSpPr>
            <xdr:spPr>
              <a:xfrm>
                <a:off x="14723711" y="830833"/>
                <a:ext cx="1838325" cy="158115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107" name="Retângulo 106">
                <a:extLst>
                  <a:ext uri="{FF2B5EF4-FFF2-40B4-BE49-F238E27FC236}">
                    <a16:creationId xmlns:a16="http://schemas.microsoft.com/office/drawing/2014/main" id="{00000000-0008-0000-0A00-00006B000000}"/>
                  </a:ext>
                </a:extLst>
              </xdr:cNvPr>
              <xdr:cNvSpPr/>
            </xdr:nvSpPr>
            <xdr:spPr>
              <a:xfrm>
                <a:off x="14825594" y="6227848"/>
                <a:ext cx="1465935" cy="134144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aphicFrame macro="">
          <xdr:nvGraphicFramePr>
            <xdr:cNvPr id="98" name="Gráfico 97">
              <a:extLst>
                <a:ext uri="{FF2B5EF4-FFF2-40B4-BE49-F238E27FC236}">
                  <a16:creationId xmlns:a16="http://schemas.microsoft.com/office/drawing/2014/main" id="{00000000-0008-0000-0A00-000062000000}"/>
                </a:ext>
              </a:extLst>
            </xdr:cNvPr>
            <xdr:cNvGraphicFramePr/>
          </xdr:nvGraphicFramePr>
          <xdr:xfrm>
            <a:off x="32114942" y="7231324"/>
            <a:ext cx="756000" cy="1194648"/>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99" name="Gráfico 98">
              <a:extLst>
                <a:ext uri="{FF2B5EF4-FFF2-40B4-BE49-F238E27FC236}">
                  <a16:creationId xmlns:a16="http://schemas.microsoft.com/office/drawing/2014/main" id="{00000000-0008-0000-0A00-000063000000}"/>
                </a:ext>
              </a:extLst>
            </xdr:cNvPr>
            <xdr:cNvGraphicFramePr>
              <a:graphicFrameLocks/>
            </xdr:cNvGraphicFramePr>
          </xdr:nvGraphicFramePr>
          <xdr:xfrm>
            <a:off x="32867357" y="7811507"/>
            <a:ext cx="756000" cy="1265757"/>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00" name="Gráfico 99">
              <a:extLst>
                <a:ext uri="{FF2B5EF4-FFF2-40B4-BE49-F238E27FC236}">
                  <a16:creationId xmlns:a16="http://schemas.microsoft.com/office/drawing/2014/main" id="{00000000-0008-0000-0A00-000064000000}"/>
                </a:ext>
              </a:extLst>
            </xdr:cNvPr>
            <xdr:cNvGraphicFramePr>
              <a:graphicFrameLocks/>
            </xdr:cNvGraphicFramePr>
          </xdr:nvGraphicFramePr>
          <xdr:xfrm>
            <a:off x="31544838" y="7564654"/>
            <a:ext cx="756000" cy="2258034"/>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01" name="Gráfico 100">
              <a:extLst>
                <a:ext uri="{FF2B5EF4-FFF2-40B4-BE49-F238E27FC236}">
                  <a16:creationId xmlns:a16="http://schemas.microsoft.com/office/drawing/2014/main" id="{00000000-0008-0000-0A00-000065000000}"/>
                </a:ext>
              </a:extLst>
            </xdr:cNvPr>
            <xdr:cNvGraphicFramePr>
              <a:graphicFrameLocks/>
            </xdr:cNvGraphicFramePr>
          </xdr:nvGraphicFramePr>
          <xdr:xfrm>
            <a:off x="31913459" y="7880509"/>
            <a:ext cx="708375" cy="2553730"/>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02" name="Gráfico 101">
              <a:extLst>
                <a:ext uri="{FF2B5EF4-FFF2-40B4-BE49-F238E27FC236}">
                  <a16:creationId xmlns:a16="http://schemas.microsoft.com/office/drawing/2014/main" id="{00000000-0008-0000-0A00-000066000000}"/>
                </a:ext>
              </a:extLst>
            </xdr:cNvPr>
            <xdr:cNvGraphicFramePr>
              <a:graphicFrameLocks/>
            </xdr:cNvGraphicFramePr>
          </xdr:nvGraphicFramePr>
          <xdr:xfrm>
            <a:off x="30880757" y="9132749"/>
            <a:ext cx="756000" cy="1170944"/>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03" name="Gráfico 102">
              <a:extLst>
                <a:ext uri="{FF2B5EF4-FFF2-40B4-BE49-F238E27FC236}">
                  <a16:creationId xmlns:a16="http://schemas.microsoft.com/office/drawing/2014/main" id="{00000000-0008-0000-0A00-000067000000}"/>
                </a:ext>
              </a:extLst>
            </xdr:cNvPr>
            <xdr:cNvGraphicFramePr>
              <a:graphicFrameLocks/>
            </xdr:cNvGraphicFramePr>
          </xdr:nvGraphicFramePr>
          <xdr:xfrm>
            <a:off x="32786969" y="8115722"/>
            <a:ext cx="756000" cy="2641093"/>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04" name="Gráfico 103">
              <a:extLst>
                <a:ext uri="{FF2B5EF4-FFF2-40B4-BE49-F238E27FC236}">
                  <a16:creationId xmlns:a16="http://schemas.microsoft.com/office/drawing/2014/main" id="{00000000-0008-0000-0A00-000068000000}"/>
                </a:ext>
              </a:extLst>
            </xdr:cNvPr>
            <xdr:cNvGraphicFramePr>
              <a:graphicFrameLocks/>
            </xdr:cNvGraphicFramePr>
          </xdr:nvGraphicFramePr>
          <xdr:xfrm>
            <a:off x="32748992" y="9238020"/>
            <a:ext cx="756000" cy="2216038"/>
          </xdr:xfrm>
          <a:graphic>
            <a:graphicData uri="http://schemas.openxmlformats.org/drawingml/2006/chart">
              <c:chart xmlns:c="http://schemas.openxmlformats.org/drawingml/2006/chart" xmlns:r="http://schemas.openxmlformats.org/officeDocument/2006/relationships" r:id="rId15"/>
            </a:graphicData>
          </a:graphic>
        </xdr:graphicFrame>
      </xdr:grpSp>
      <xdr:graphicFrame macro="">
        <xdr:nvGraphicFramePr>
          <xdr:cNvPr id="96" name="Gráfico 95">
            <a:extLst>
              <a:ext uri="{FF2B5EF4-FFF2-40B4-BE49-F238E27FC236}">
                <a16:creationId xmlns:a16="http://schemas.microsoft.com/office/drawing/2014/main" id="{00000000-0008-0000-0A00-000060000000}"/>
              </a:ext>
            </a:extLst>
          </xdr:cNvPr>
          <xdr:cNvGraphicFramePr/>
        </xdr:nvGraphicFramePr>
        <xdr:xfrm>
          <a:off x="28561888" y="7335610"/>
          <a:ext cx="2902775" cy="4476750"/>
        </xdr:xfrm>
        <a:graphic>
          <a:graphicData uri="http://schemas.openxmlformats.org/drawingml/2006/chart">
            <c:chart xmlns:c="http://schemas.openxmlformats.org/drawingml/2006/chart" xmlns:r="http://schemas.openxmlformats.org/officeDocument/2006/relationships" r:id="rId16"/>
          </a:graphicData>
        </a:graphic>
      </xdr:graphicFrame>
    </xdr:grpSp>
    <xdr:clientData/>
  </xdr:twoCellAnchor>
  <xdr:twoCellAnchor>
    <xdr:from>
      <xdr:col>8</xdr:col>
      <xdr:colOff>197466</xdr:colOff>
      <xdr:row>25</xdr:row>
      <xdr:rowOff>63033</xdr:rowOff>
    </xdr:from>
    <xdr:to>
      <xdr:col>15</xdr:col>
      <xdr:colOff>142884</xdr:colOff>
      <xdr:row>27</xdr:row>
      <xdr:rowOff>177168</xdr:rowOff>
    </xdr:to>
    <xdr:grpSp>
      <xdr:nvGrpSpPr>
        <xdr:cNvPr id="5" name="Agrupar 4">
          <a:extLst>
            <a:ext uri="{FF2B5EF4-FFF2-40B4-BE49-F238E27FC236}">
              <a16:creationId xmlns:a16="http://schemas.microsoft.com/office/drawing/2014/main" id="{00000000-0008-0000-0A00-000005000000}"/>
            </a:ext>
          </a:extLst>
        </xdr:cNvPr>
        <xdr:cNvGrpSpPr/>
      </xdr:nvGrpSpPr>
      <xdr:grpSpPr>
        <a:xfrm>
          <a:off x="4693266" y="4873158"/>
          <a:ext cx="3841143" cy="495135"/>
          <a:chOff x="4595774" y="4832536"/>
          <a:chExt cx="3839462" cy="492334"/>
        </a:xfrm>
      </xdr:grpSpPr>
      <xdr:grpSp>
        <xdr:nvGrpSpPr>
          <xdr:cNvPr id="8" name="Agrupar 7">
            <a:extLst>
              <a:ext uri="{FF2B5EF4-FFF2-40B4-BE49-F238E27FC236}">
                <a16:creationId xmlns:a16="http://schemas.microsoft.com/office/drawing/2014/main" id="{00000000-0008-0000-0A00-000008000000}"/>
              </a:ext>
            </a:extLst>
          </xdr:cNvPr>
          <xdr:cNvGrpSpPr/>
        </xdr:nvGrpSpPr>
        <xdr:grpSpPr>
          <a:xfrm>
            <a:off x="4595774" y="4969291"/>
            <a:ext cx="2250599" cy="210038"/>
            <a:chOff x="5127622" y="4549780"/>
            <a:chExt cx="2051024" cy="241300"/>
          </a:xfrm>
        </xdr:grpSpPr>
        <xdr:sp macro="" textlink="">
          <xdr:nvSpPr>
            <xdr:cNvPr id="10" name="Text Box 10">
              <a:extLst>
                <a:ext uri="{FF2B5EF4-FFF2-40B4-BE49-F238E27FC236}">
                  <a16:creationId xmlns:a16="http://schemas.microsoft.com/office/drawing/2014/main" id="{00000000-0008-0000-0A00-00000A000000}"/>
                </a:ext>
              </a:extLst>
            </xdr:cNvPr>
            <xdr:cNvSpPr txBox="1">
              <a:spLocks noChangeArrowheads="1"/>
            </xdr:cNvSpPr>
          </xdr:nvSpPr>
          <xdr:spPr bwMode="auto">
            <a:xfrm>
              <a:off x="5127622" y="4549780"/>
              <a:ext cx="1346200" cy="241300"/>
            </a:xfrm>
            <a:prstGeom prst="rect">
              <a:avLst/>
            </a:prstGeom>
            <a:solidFill>
              <a:srgbClr val="00467A"/>
            </a:solidFill>
            <a:ln>
              <a:noFill/>
            </a:ln>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mc:AlternateContent xmlns:mc="http://schemas.openxmlformats.org/markup-compatibility/2006">
          <mc:Choice xmlns:a14="http://schemas.microsoft.com/office/drawing/2010/main" Requires="a14">
            <xdr:sp macro="" textlink="">
              <xdr:nvSpPr>
                <xdr:cNvPr id="288770" name="Drop Down 2" hidden="1">
                  <a:extLst>
                    <a:ext uri="{63B3BB69-23CF-44E3-9099-C40C66FF867C}">
                      <a14:compatExt spid="_x0000_s288770"/>
                    </a:ext>
                    <a:ext uri="{FF2B5EF4-FFF2-40B4-BE49-F238E27FC236}">
                      <a16:creationId xmlns:a16="http://schemas.microsoft.com/office/drawing/2014/main" id="{00000000-0008-0000-0A00-000002680400}"/>
                    </a:ext>
                  </a:extLst>
                </xdr:cNvPr>
                <xdr:cNvSpPr/>
              </xdr:nvSpPr>
              <xdr:spPr bwMode="auto">
                <a:xfrm>
                  <a:off x="6505556" y="4549780"/>
                  <a:ext cx="673090" cy="241202"/>
                </a:xfrm>
                <a:prstGeom prst="rect">
                  <a:avLst/>
                </a:prstGeom>
                <a:noFill/>
                <a:ln>
                  <a:noFill/>
                </a:ln>
                <a:extLst>
                  <a:ext uri="{91240B29-F687-4F45-9708-019B960494DF}">
                    <a14:hiddenLine w="9525">
                      <a:noFill/>
                      <a:miter lim="800000"/>
                      <a:headEnd/>
                      <a:tailEnd/>
                    </a14:hiddenLine>
                  </a:ext>
                </a:extLst>
              </xdr:spPr>
            </xdr:sp>
          </mc:Choice>
          <mc:Fallback/>
        </mc:AlternateContent>
      </xdr:grpSp>
      <xdr:graphicFrame macro="">
        <xdr:nvGraphicFramePr>
          <xdr:cNvPr id="108" name="Gráfico 107">
            <a:extLst>
              <a:ext uri="{FF2B5EF4-FFF2-40B4-BE49-F238E27FC236}">
                <a16:creationId xmlns:a16="http://schemas.microsoft.com/office/drawing/2014/main" id="{00000000-0008-0000-0A00-00006C000000}"/>
              </a:ext>
            </a:extLst>
          </xdr:cNvPr>
          <xdr:cNvGraphicFramePr>
            <a:graphicFrameLocks/>
          </xdr:cNvGraphicFramePr>
        </xdr:nvGraphicFramePr>
        <xdr:xfrm>
          <a:off x="6947648" y="4832536"/>
          <a:ext cx="1487588" cy="492334"/>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7</xdr:col>
      <xdr:colOff>406211</xdr:colOff>
      <xdr:row>32</xdr:row>
      <xdr:rowOff>154081</xdr:rowOff>
    </xdr:from>
    <xdr:to>
      <xdr:col>15</xdr:col>
      <xdr:colOff>154081</xdr:colOff>
      <xdr:row>56</xdr:row>
      <xdr:rowOff>42022</xdr:rowOff>
    </xdr:to>
    <xdr:grpSp>
      <xdr:nvGrpSpPr>
        <xdr:cNvPr id="109" name="Agrupar 108">
          <a:extLst>
            <a:ext uri="{FF2B5EF4-FFF2-40B4-BE49-F238E27FC236}">
              <a16:creationId xmlns:a16="http://schemas.microsoft.com/office/drawing/2014/main" id="{00000000-0008-0000-0A00-00006D000000}"/>
            </a:ext>
          </a:extLst>
        </xdr:cNvPr>
        <xdr:cNvGrpSpPr/>
      </xdr:nvGrpSpPr>
      <xdr:grpSpPr>
        <a:xfrm>
          <a:off x="4340036" y="6297706"/>
          <a:ext cx="4205570" cy="4459941"/>
          <a:chOff x="39003020" y="7175230"/>
          <a:chExt cx="5483050" cy="5027647"/>
        </a:xfrm>
      </xdr:grpSpPr>
      <xdr:grpSp>
        <xdr:nvGrpSpPr>
          <xdr:cNvPr id="110" name="Agrupar 109">
            <a:extLst>
              <a:ext uri="{FF2B5EF4-FFF2-40B4-BE49-F238E27FC236}">
                <a16:creationId xmlns:a16="http://schemas.microsoft.com/office/drawing/2014/main" id="{00000000-0008-0000-0A00-00006E000000}"/>
              </a:ext>
            </a:extLst>
          </xdr:cNvPr>
          <xdr:cNvGrpSpPr/>
        </xdr:nvGrpSpPr>
        <xdr:grpSpPr>
          <a:xfrm>
            <a:off x="41100177" y="7175230"/>
            <a:ext cx="3385893" cy="4909149"/>
            <a:chOff x="30982191" y="7062130"/>
            <a:chExt cx="3364246" cy="4847719"/>
          </a:xfrm>
          <a:solidFill>
            <a:schemeClr val="bg1"/>
          </a:solidFill>
        </xdr:grpSpPr>
        <xdr:grpSp>
          <xdr:nvGrpSpPr>
            <xdr:cNvPr id="112" name="Agrupar 111">
              <a:extLst>
                <a:ext uri="{FF2B5EF4-FFF2-40B4-BE49-F238E27FC236}">
                  <a16:creationId xmlns:a16="http://schemas.microsoft.com/office/drawing/2014/main" id="{00000000-0008-0000-0A00-000070000000}"/>
                </a:ext>
              </a:extLst>
            </xdr:cNvPr>
            <xdr:cNvGrpSpPr/>
          </xdr:nvGrpSpPr>
          <xdr:grpSpPr>
            <a:xfrm>
              <a:off x="30982191" y="7202194"/>
              <a:ext cx="3364246" cy="4707655"/>
              <a:chOff x="14820280" y="-275157"/>
              <a:chExt cx="5450221" cy="8726627"/>
            </a:xfrm>
            <a:grpFill/>
          </xdr:grpSpPr>
          <xdr:pic>
            <xdr:nvPicPr>
              <xdr:cNvPr id="120" name="Imagem 119" descr="2024">
                <a:extLst>
                  <a:ext uri="{FF2B5EF4-FFF2-40B4-BE49-F238E27FC236}">
                    <a16:creationId xmlns:a16="http://schemas.microsoft.com/office/drawing/2014/main" id="{00000000-0008-0000-0A00-000078000000}"/>
                  </a:ext>
                </a:extLst>
              </xdr:cNvPr>
              <xdr:cNvPicPr>
                <a:picLocks noChangeAspect="1" noChangeArrowheads="1"/>
              </xdr:cNvPicPr>
            </xdr:nvPicPr>
            <xdr:blipFill>
              <a:blip xmlns:r="http://schemas.openxmlformats.org/officeDocument/2006/relationships" r:embed="rId7" cstate="print">
                <a:duotone>
                  <a:schemeClr val="accent1">
                    <a:shade val="45000"/>
                    <a:satMod val="135000"/>
                  </a:schemeClr>
                  <a:prstClr val="white"/>
                </a:duotone>
                <a:extLst>
                  <a:ext uri="{BEBA8EAE-BF5A-486C-A8C5-ECC9F3942E4B}">
                    <a14:imgProps xmlns:a14="http://schemas.microsoft.com/office/drawing/2010/main">
                      <a14:imgLayer r:embed="rId8">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14820280" y="-275157"/>
                <a:ext cx="5450221" cy="8726627"/>
              </a:xfrm>
              <a:prstGeom prst="rect">
                <a:avLst/>
              </a:prstGeom>
              <a:grpFill/>
            </xdr:spPr>
          </xdr:pic>
          <xdr:sp macro="" textlink="">
            <xdr:nvSpPr>
              <xdr:cNvPr id="121" name="Retângulo 120">
                <a:extLst>
                  <a:ext uri="{FF2B5EF4-FFF2-40B4-BE49-F238E27FC236}">
                    <a16:creationId xmlns:a16="http://schemas.microsoft.com/office/drawing/2014/main" id="{00000000-0008-0000-0A00-000079000000}"/>
                  </a:ext>
                </a:extLst>
              </xdr:cNvPr>
              <xdr:cNvSpPr/>
            </xdr:nvSpPr>
            <xdr:spPr>
              <a:xfrm>
                <a:off x="14991734" y="412538"/>
                <a:ext cx="1838324" cy="1923077"/>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122" name="Retângulo 121">
                <a:extLst>
                  <a:ext uri="{FF2B5EF4-FFF2-40B4-BE49-F238E27FC236}">
                    <a16:creationId xmlns:a16="http://schemas.microsoft.com/office/drawing/2014/main" id="{00000000-0008-0000-0A00-00007A000000}"/>
                  </a:ext>
                </a:extLst>
              </xdr:cNvPr>
              <xdr:cNvSpPr/>
            </xdr:nvSpPr>
            <xdr:spPr>
              <a:xfrm>
                <a:off x="15026381" y="6547476"/>
                <a:ext cx="1465935" cy="1629934"/>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aphicFrame macro="">
          <xdr:nvGraphicFramePr>
            <xdr:cNvPr id="113" name="Gráfico 112">
              <a:extLst>
                <a:ext uri="{FF2B5EF4-FFF2-40B4-BE49-F238E27FC236}">
                  <a16:creationId xmlns:a16="http://schemas.microsoft.com/office/drawing/2014/main" id="{00000000-0008-0000-0A00-000071000000}"/>
                </a:ext>
              </a:extLst>
            </xdr:cNvPr>
            <xdr:cNvGraphicFramePr/>
          </xdr:nvGraphicFramePr>
          <xdr:xfrm>
            <a:off x="32311528" y="7202454"/>
            <a:ext cx="756000" cy="1038904"/>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114" name="Gráfico 113">
              <a:extLst>
                <a:ext uri="{FF2B5EF4-FFF2-40B4-BE49-F238E27FC236}">
                  <a16:creationId xmlns:a16="http://schemas.microsoft.com/office/drawing/2014/main" id="{00000000-0008-0000-0A00-000072000000}"/>
                </a:ext>
              </a:extLst>
            </xdr:cNvPr>
            <xdr:cNvGraphicFramePr>
              <a:graphicFrameLocks/>
            </xdr:cNvGraphicFramePr>
          </xdr:nvGraphicFramePr>
          <xdr:xfrm>
            <a:off x="33009617" y="7708303"/>
            <a:ext cx="756000" cy="1265757"/>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115" name="Gráfico 114">
              <a:extLst>
                <a:ext uri="{FF2B5EF4-FFF2-40B4-BE49-F238E27FC236}">
                  <a16:creationId xmlns:a16="http://schemas.microsoft.com/office/drawing/2014/main" id="{00000000-0008-0000-0A00-000073000000}"/>
                </a:ext>
              </a:extLst>
            </xdr:cNvPr>
            <xdr:cNvGraphicFramePr>
              <a:graphicFrameLocks/>
            </xdr:cNvGraphicFramePr>
          </xdr:nvGraphicFramePr>
          <xdr:xfrm>
            <a:off x="31671934" y="7440487"/>
            <a:ext cx="756000" cy="238447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116" name="Gráfico 115">
              <a:extLst>
                <a:ext uri="{FF2B5EF4-FFF2-40B4-BE49-F238E27FC236}">
                  <a16:creationId xmlns:a16="http://schemas.microsoft.com/office/drawing/2014/main" id="{00000000-0008-0000-0A00-000074000000}"/>
                </a:ext>
              </a:extLst>
            </xdr:cNvPr>
            <xdr:cNvGraphicFramePr>
              <a:graphicFrameLocks/>
            </xdr:cNvGraphicFramePr>
          </xdr:nvGraphicFramePr>
          <xdr:xfrm>
            <a:off x="32102011" y="7605982"/>
            <a:ext cx="708375" cy="2967915"/>
          </xdr:xfrm>
          <a:graphic>
            <a:graphicData uri="http://schemas.openxmlformats.org/drawingml/2006/chart">
              <c:chart xmlns:c="http://schemas.openxmlformats.org/drawingml/2006/chart" xmlns:r="http://schemas.openxmlformats.org/officeDocument/2006/relationships" r:id="rId21"/>
            </a:graphicData>
          </a:graphic>
        </xdr:graphicFrame>
        <xdr:graphicFrame macro="">
          <xdr:nvGraphicFramePr>
            <xdr:cNvPr id="117" name="Gráfico 116">
              <a:extLst>
                <a:ext uri="{FF2B5EF4-FFF2-40B4-BE49-F238E27FC236}">
                  <a16:creationId xmlns:a16="http://schemas.microsoft.com/office/drawing/2014/main" id="{00000000-0008-0000-0A00-000075000000}"/>
                </a:ext>
              </a:extLst>
            </xdr:cNvPr>
            <xdr:cNvGraphicFramePr>
              <a:graphicFrameLocks/>
            </xdr:cNvGraphicFramePr>
          </xdr:nvGraphicFramePr>
          <xdr:xfrm>
            <a:off x="31052261" y="9141595"/>
            <a:ext cx="756000" cy="1170944"/>
          </xdr:xfrm>
          <a:graphic>
            <a:graphicData uri="http://schemas.openxmlformats.org/drawingml/2006/chart">
              <c:chart xmlns:c="http://schemas.openxmlformats.org/drawingml/2006/chart" xmlns:r="http://schemas.openxmlformats.org/officeDocument/2006/relationships" r:id="rId22"/>
            </a:graphicData>
          </a:graphic>
        </xdr:graphicFrame>
        <xdr:graphicFrame macro="">
          <xdr:nvGraphicFramePr>
            <xdr:cNvPr id="118" name="Gráfico 117">
              <a:extLst>
                <a:ext uri="{FF2B5EF4-FFF2-40B4-BE49-F238E27FC236}">
                  <a16:creationId xmlns:a16="http://schemas.microsoft.com/office/drawing/2014/main" id="{00000000-0008-0000-0A00-000076000000}"/>
                </a:ext>
              </a:extLst>
            </xdr:cNvPr>
            <xdr:cNvGraphicFramePr>
              <a:graphicFrameLocks/>
            </xdr:cNvGraphicFramePr>
          </xdr:nvGraphicFramePr>
          <xdr:xfrm>
            <a:off x="32966665" y="7062130"/>
            <a:ext cx="756000" cy="3758344"/>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119" name="Gráfico 118">
              <a:extLst>
                <a:ext uri="{FF2B5EF4-FFF2-40B4-BE49-F238E27FC236}">
                  <a16:creationId xmlns:a16="http://schemas.microsoft.com/office/drawing/2014/main" id="{00000000-0008-0000-0A00-000077000000}"/>
                </a:ext>
              </a:extLst>
            </xdr:cNvPr>
            <xdr:cNvGraphicFramePr>
              <a:graphicFrameLocks/>
            </xdr:cNvGraphicFramePr>
          </xdr:nvGraphicFramePr>
          <xdr:xfrm>
            <a:off x="32891323" y="8416787"/>
            <a:ext cx="756000" cy="3146566"/>
          </xdr:xfrm>
          <a:graphic>
            <a:graphicData uri="http://schemas.openxmlformats.org/drawingml/2006/chart">
              <c:chart xmlns:c="http://schemas.openxmlformats.org/drawingml/2006/chart" xmlns:r="http://schemas.openxmlformats.org/officeDocument/2006/relationships" r:id="rId24"/>
            </a:graphicData>
          </a:graphic>
        </xdr:graphicFrame>
      </xdr:grpSp>
      <xdr:graphicFrame macro="">
        <xdr:nvGraphicFramePr>
          <xdr:cNvPr id="111" name="Gráfico 110">
            <a:extLst>
              <a:ext uri="{FF2B5EF4-FFF2-40B4-BE49-F238E27FC236}">
                <a16:creationId xmlns:a16="http://schemas.microsoft.com/office/drawing/2014/main" id="{00000000-0008-0000-0A00-00006F000000}"/>
              </a:ext>
            </a:extLst>
          </xdr:cNvPr>
          <xdr:cNvGraphicFramePr>
            <a:graphicFrameLocks/>
          </xdr:cNvGraphicFramePr>
        </xdr:nvGraphicFramePr>
        <xdr:xfrm>
          <a:off x="39003020" y="7277666"/>
          <a:ext cx="2913290" cy="4925211"/>
        </xdr:xfrm>
        <a:graphic>
          <a:graphicData uri="http://schemas.openxmlformats.org/drawingml/2006/chart">
            <c:chart xmlns:c="http://schemas.openxmlformats.org/drawingml/2006/chart" xmlns:r="http://schemas.openxmlformats.org/officeDocument/2006/relationships" r:id="rId25"/>
          </a:graphicData>
        </a:graphic>
      </xdr:graphicFrame>
    </xdr:grpSp>
    <xdr:clientData/>
  </xdr:twoCellAnchor>
  <xdr:twoCellAnchor>
    <xdr:from>
      <xdr:col>15</xdr:col>
      <xdr:colOff>224118</xdr:colOff>
      <xdr:row>31</xdr:row>
      <xdr:rowOff>133070</xdr:rowOff>
    </xdr:from>
    <xdr:to>
      <xdr:col>22</xdr:col>
      <xdr:colOff>546287</xdr:colOff>
      <xdr:row>56</xdr:row>
      <xdr:rowOff>119062</xdr:rowOff>
    </xdr:to>
    <xdr:grpSp>
      <xdr:nvGrpSpPr>
        <xdr:cNvPr id="123" name="Agrupar 122">
          <a:extLst>
            <a:ext uri="{FF2B5EF4-FFF2-40B4-BE49-F238E27FC236}">
              <a16:creationId xmlns:a16="http://schemas.microsoft.com/office/drawing/2014/main" id="{00000000-0008-0000-0A00-00007B000000}"/>
            </a:ext>
          </a:extLst>
        </xdr:cNvPr>
        <xdr:cNvGrpSpPr/>
      </xdr:nvGrpSpPr>
      <xdr:grpSpPr>
        <a:xfrm>
          <a:off x="8615643" y="6086195"/>
          <a:ext cx="4389344" cy="4748492"/>
          <a:chOff x="48482250" y="7384596"/>
          <a:chExt cx="5787554" cy="4690258"/>
        </a:xfrm>
      </xdr:grpSpPr>
      <xdr:grpSp>
        <xdr:nvGrpSpPr>
          <xdr:cNvPr id="124" name="Agrupar 123">
            <a:extLst>
              <a:ext uri="{FF2B5EF4-FFF2-40B4-BE49-F238E27FC236}">
                <a16:creationId xmlns:a16="http://schemas.microsoft.com/office/drawing/2014/main" id="{00000000-0008-0000-0A00-00007C000000}"/>
              </a:ext>
            </a:extLst>
          </xdr:cNvPr>
          <xdr:cNvGrpSpPr/>
        </xdr:nvGrpSpPr>
        <xdr:grpSpPr>
          <a:xfrm>
            <a:off x="50879829" y="7384596"/>
            <a:ext cx="3389975" cy="4473295"/>
            <a:chOff x="31000212" y="7285159"/>
            <a:chExt cx="3364246" cy="4415936"/>
          </a:xfrm>
          <a:solidFill>
            <a:schemeClr val="bg1"/>
          </a:solidFill>
        </xdr:grpSpPr>
        <xdr:grpSp>
          <xdr:nvGrpSpPr>
            <xdr:cNvPr id="126" name="Agrupar 125">
              <a:extLst>
                <a:ext uri="{FF2B5EF4-FFF2-40B4-BE49-F238E27FC236}">
                  <a16:creationId xmlns:a16="http://schemas.microsoft.com/office/drawing/2014/main" id="{00000000-0008-0000-0A00-00007E000000}"/>
                </a:ext>
              </a:extLst>
            </xdr:cNvPr>
            <xdr:cNvGrpSpPr/>
          </xdr:nvGrpSpPr>
          <xdr:grpSpPr>
            <a:xfrm>
              <a:off x="31000212" y="7576717"/>
              <a:ext cx="3364246" cy="4124378"/>
              <a:chOff x="14849475" y="419100"/>
              <a:chExt cx="5450221" cy="7645400"/>
            </a:xfrm>
            <a:grpFill/>
          </xdr:grpSpPr>
          <xdr:pic>
            <xdr:nvPicPr>
              <xdr:cNvPr id="134" name="Imagem 133" descr="2024">
                <a:extLst>
                  <a:ext uri="{FF2B5EF4-FFF2-40B4-BE49-F238E27FC236}">
                    <a16:creationId xmlns:a16="http://schemas.microsoft.com/office/drawing/2014/main" id="{00000000-0008-0000-0A00-000086000000}"/>
                  </a:ext>
                </a:extLst>
              </xdr:cNvPr>
              <xdr:cNvPicPr>
                <a:picLocks noChangeAspect="1" noChangeArrowheads="1"/>
              </xdr:cNvPicPr>
            </xdr:nvPicPr>
            <xdr:blipFill>
              <a:blip xmlns:r="http://schemas.openxmlformats.org/officeDocument/2006/relationships" r:embed="rId7" cstate="print">
                <a:duotone>
                  <a:schemeClr val="accent1">
                    <a:shade val="45000"/>
                    <a:satMod val="135000"/>
                  </a:schemeClr>
                  <a:prstClr val="white"/>
                </a:duotone>
                <a:extLst>
                  <a:ext uri="{BEBA8EAE-BF5A-486C-A8C5-ECC9F3942E4B}">
                    <a14:imgProps xmlns:a14="http://schemas.microsoft.com/office/drawing/2010/main">
                      <a14:imgLayer r:embed="rId8">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14849475" y="419100"/>
                <a:ext cx="5450221" cy="7645400"/>
              </a:xfrm>
              <a:prstGeom prst="rect">
                <a:avLst/>
              </a:prstGeom>
              <a:grpFill/>
            </xdr:spPr>
          </xdr:pic>
          <xdr:sp macro="" textlink="">
            <xdr:nvSpPr>
              <xdr:cNvPr id="135" name="Retângulo 134">
                <a:extLst>
                  <a:ext uri="{FF2B5EF4-FFF2-40B4-BE49-F238E27FC236}">
                    <a16:creationId xmlns:a16="http://schemas.microsoft.com/office/drawing/2014/main" id="{00000000-0008-0000-0A00-000087000000}"/>
                  </a:ext>
                </a:extLst>
              </xdr:cNvPr>
              <xdr:cNvSpPr/>
            </xdr:nvSpPr>
            <xdr:spPr>
              <a:xfrm>
                <a:off x="15020925" y="1104900"/>
                <a:ext cx="1838325" cy="15811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136" name="Retângulo 135">
                <a:extLst>
                  <a:ext uri="{FF2B5EF4-FFF2-40B4-BE49-F238E27FC236}">
                    <a16:creationId xmlns:a16="http://schemas.microsoft.com/office/drawing/2014/main" id="{00000000-0008-0000-0A00-000088000000}"/>
                  </a:ext>
                </a:extLst>
              </xdr:cNvPr>
              <xdr:cNvSpPr/>
            </xdr:nvSpPr>
            <xdr:spPr>
              <a:xfrm>
                <a:off x="15111800" y="6477001"/>
                <a:ext cx="1465936" cy="1341442"/>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aphicFrame macro="">
          <xdr:nvGraphicFramePr>
            <xdr:cNvPr id="127" name="Gráfico 126">
              <a:extLst>
                <a:ext uri="{FF2B5EF4-FFF2-40B4-BE49-F238E27FC236}">
                  <a16:creationId xmlns:a16="http://schemas.microsoft.com/office/drawing/2014/main" id="{00000000-0008-0000-0A00-00007F000000}"/>
                </a:ext>
              </a:extLst>
            </xdr:cNvPr>
            <xdr:cNvGraphicFramePr/>
          </xdr:nvGraphicFramePr>
          <xdr:xfrm>
            <a:off x="32339257" y="7285159"/>
            <a:ext cx="756000" cy="1194648"/>
          </xdr:xfrm>
          <a:graphic>
            <a:graphicData uri="http://schemas.openxmlformats.org/drawingml/2006/chart">
              <c:chart xmlns:c="http://schemas.openxmlformats.org/drawingml/2006/chart" xmlns:r="http://schemas.openxmlformats.org/officeDocument/2006/relationships" r:id="rId26"/>
            </a:graphicData>
          </a:graphic>
        </xdr:graphicFrame>
        <xdr:graphicFrame macro="">
          <xdr:nvGraphicFramePr>
            <xdr:cNvPr id="128" name="Gráfico 127">
              <a:extLst>
                <a:ext uri="{FF2B5EF4-FFF2-40B4-BE49-F238E27FC236}">
                  <a16:creationId xmlns:a16="http://schemas.microsoft.com/office/drawing/2014/main" id="{00000000-0008-0000-0A00-000080000000}"/>
                </a:ext>
              </a:extLst>
            </xdr:cNvPr>
            <xdr:cNvGraphicFramePr>
              <a:graphicFrameLocks/>
            </xdr:cNvGraphicFramePr>
          </xdr:nvGraphicFramePr>
          <xdr:xfrm>
            <a:off x="33064364" y="8013242"/>
            <a:ext cx="756000" cy="1265757"/>
          </xdr:xfrm>
          <a:graphic>
            <a:graphicData uri="http://schemas.openxmlformats.org/drawingml/2006/chart">
              <c:chart xmlns:c="http://schemas.openxmlformats.org/drawingml/2006/chart" xmlns:r="http://schemas.openxmlformats.org/officeDocument/2006/relationships" r:id="rId27"/>
            </a:graphicData>
          </a:graphic>
        </xdr:graphicFrame>
        <xdr:graphicFrame macro="">
          <xdr:nvGraphicFramePr>
            <xdr:cNvPr id="129" name="Gráfico 128">
              <a:extLst>
                <a:ext uri="{FF2B5EF4-FFF2-40B4-BE49-F238E27FC236}">
                  <a16:creationId xmlns:a16="http://schemas.microsoft.com/office/drawing/2014/main" id="{00000000-0008-0000-0A00-000081000000}"/>
                </a:ext>
              </a:extLst>
            </xdr:cNvPr>
            <xdr:cNvGraphicFramePr>
              <a:graphicFrameLocks/>
            </xdr:cNvGraphicFramePr>
          </xdr:nvGraphicFramePr>
          <xdr:xfrm>
            <a:off x="31742318" y="8755169"/>
            <a:ext cx="756000" cy="1170945"/>
          </xdr:xfrm>
          <a:graphic>
            <a:graphicData uri="http://schemas.openxmlformats.org/drawingml/2006/chart">
              <c:chart xmlns:c="http://schemas.openxmlformats.org/drawingml/2006/chart" xmlns:r="http://schemas.openxmlformats.org/officeDocument/2006/relationships" r:id="rId28"/>
            </a:graphicData>
          </a:graphic>
        </xdr:graphicFrame>
        <xdr:graphicFrame macro="">
          <xdr:nvGraphicFramePr>
            <xdr:cNvPr id="130" name="Gráfico 129">
              <a:extLst>
                <a:ext uri="{FF2B5EF4-FFF2-40B4-BE49-F238E27FC236}">
                  <a16:creationId xmlns:a16="http://schemas.microsoft.com/office/drawing/2014/main" id="{00000000-0008-0000-0A00-000082000000}"/>
                </a:ext>
              </a:extLst>
            </xdr:cNvPr>
            <xdr:cNvGraphicFramePr>
              <a:graphicFrameLocks/>
            </xdr:cNvGraphicFramePr>
          </xdr:nvGraphicFramePr>
          <xdr:xfrm>
            <a:off x="32076536" y="9700927"/>
            <a:ext cx="708375" cy="895985"/>
          </xdr:xfrm>
          <a:graphic>
            <a:graphicData uri="http://schemas.openxmlformats.org/drawingml/2006/chart">
              <c:chart xmlns:c="http://schemas.openxmlformats.org/drawingml/2006/chart" xmlns:r="http://schemas.openxmlformats.org/officeDocument/2006/relationships" r:id="rId29"/>
            </a:graphicData>
          </a:graphic>
        </xdr:graphicFrame>
        <xdr:graphicFrame macro="">
          <xdr:nvGraphicFramePr>
            <xdr:cNvPr id="131" name="Gráfico 130">
              <a:extLst>
                <a:ext uri="{FF2B5EF4-FFF2-40B4-BE49-F238E27FC236}">
                  <a16:creationId xmlns:a16="http://schemas.microsoft.com/office/drawing/2014/main" id="{00000000-0008-0000-0A00-000083000000}"/>
                </a:ext>
              </a:extLst>
            </xdr:cNvPr>
            <xdr:cNvGraphicFramePr>
              <a:graphicFrameLocks/>
            </xdr:cNvGraphicFramePr>
          </xdr:nvGraphicFramePr>
          <xdr:xfrm>
            <a:off x="31104987" y="9273876"/>
            <a:ext cx="756000" cy="1170944"/>
          </xdr:xfrm>
          <a:graphic>
            <a:graphicData uri="http://schemas.openxmlformats.org/drawingml/2006/chart">
              <c:chart xmlns:c="http://schemas.openxmlformats.org/drawingml/2006/chart" xmlns:r="http://schemas.openxmlformats.org/officeDocument/2006/relationships" r:id="rId30"/>
            </a:graphicData>
          </a:graphic>
        </xdr:graphicFrame>
        <xdr:graphicFrame macro="">
          <xdr:nvGraphicFramePr>
            <xdr:cNvPr id="132" name="Gráfico 131">
              <a:extLst>
                <a:ext uri="{FF2B5EF4-FFF2-40B4-BE49-F238E27FC236}">
                  <a16:creationId xmlns:a16="http://schemas.microsoft.com/office/drawing/2014/main" id="{00000000-0008-0000-0A00-000084000000}"/>
                </a:ext>
              </a:extLst>
            </xdr:cNvPr>
            <xdr:cNvGraphicFramePr>
              <a:graphicFrameLocks/>
            </xdr:cNvGraphicFramePr>
          </xdr:nvGraphicFramePr>
          <xdr:xfrm>
            <a:off x="32895687" y="9941216"/>
            <a:ext cx="756000" cy="878117"/>
          </xdr:xfrm>
          <a:graphic>
            <a:graphicData uri="http://schemas.openxmlformats.org/drawingml/2006/chart">
              <c:chart xmlns:c="http://schemas.openxmlformats.org/drawingml/2006/chart" xmlns:r="http://schemas.openxmlformats.org/officeDocument/2006/relationships" r:id="rId31"/>
            </a:graphicData>
          </a:graphic>
        </xdr:graphicFrame>
        <xdr:graphicFrame macro="">
          <xdr:nvGraphicFramePr>
            <xdr:cNvPr id="133" name="Gráfico 132">
              <a:extLst>
                <a:ext uri="{FF2B5EF4-FFF2-40B4-BE49-F238E27FC236}">
                  <a16:creationId xmlns:a16="http://schemas.microsoft.com/office/drawing/2014/main" id="{00000000-0008-0000-0A00-000085000000}"/>
                </a:ext>
              </a:extLst>
            </xdr:cNvPr>
            <xdr:cNvGraphicFramePr>
              <a:graphicFrameLocks/>
            </xdr:cNvGraphicFramePr>
          </xdr:nvGraphicFramePr>
          <xdr:xfrm>
            <a:off x="32952837" y="10861631"/>
            <a:ext cx="756000" cy="787316"/>
          </xdr:xfrm>
          <a:graphic>
            <a:graphicData uri="http://schemas.openxmlformats.org/drawingml/2006/chart">
              <c:chart xmlns:c="http://schemas.openxmlformats.org/drawingml/2006/chart" xmlns:r="http://schemas.openxmlformats.org/officeDocument/2006/relationships" r:id="rId32"/>
            </a:graphicData>
          </a:graphic>
        </xdr:graphicFrame>
      </xdr:grpSp>
      <xdr:graphicFrame macro="">
        <xdr:nvGraphicFramePr>
          <xdr:cNvPr id="125" name="Gráfico 124">
            <a:extLst>
              <a:ext uri="{FF2B5EF4-FFF2-40B4-BE49-F238E27FC236}">
                <a16:creationId xmlns:a16="http://schemas.microsoft.com/office/drawing/2014/main" id="{00000000-0008-0000-0A00-00007D000000}"/>
              </a:ext>
            </a:extLst>
          </xdr:cNvPr>
          <xdr:cNvGraphicFramePr>
            <a:graphicFrameLocks/>
          </xdr:cNvGraphicFramePr>
        </xdr:nvGraphicFramePr>
        <xdr:xfrm>
          <a:off x="48482250" y="7596868"/>
          <a:ext cx="3260863" cy="4477986"/>
        </xdr:xfrm>
        <a:graphic>
          <a:graphicData uri="http://schemas.openxmlformats.org/drawingml/2006/chart">
            <c:chart xmlns:c="http://schemas.openxmlformats.org/drawingml/2006/chart" xmlns:r="http://schemas.openxmlformats.org/officeDocument/2006/relationships" r:id="rId33"/>
          </a:graphicData>
        </a:graphic>
      </xdr:graphicFrame>
    </xdr:grpSp>
    <xdr:clientData/>
  </xdr:twoCellAnchor>
  <xdr:twoCellAnchor>
    <xdr:from>
      <xdr:col>16</xdr:col>
      <xdr:colOff>251307</xdr:colOff>
      <xdr:row>25</xdr:row>
      <xdr:rowOff>42023</xdr:rowOff>
    </xdr:from>
    <xdr:to>
      <xdr:col>22</xdr:col>
      <xdr:colOff>521082</xdr:colOff>
      <xdr:row>28</xdr:row>
      <xdr:rowOff>22407</xdr:rowOff>
    </xdr:to>
    <xdr:grpSp>
      <xdr:nvGrpSpPr>
        <xdr:cNvPr id="11" name="Agrupar 10">
          <a:extLst>
            <a:ext uri="{FF2B5EF4-FFF2-40B4-BE49-F238E27FC236}">
              <a16:creationId xmlns:a16="http://schemas.microsoft.com/office/drawing/2014/main" id="{00000000-0008-0000-0A00-00000B000000}"/>
            </a:ext>
          </a:extLst>
        </xdr:cNvPr>
        <xdr:cNvGrpSpPr/>
      </xdr:nvGrpSpPr>
      <xdr:grpSpPr>
        <a:xfrm>
          <a:off x="9223857" y="4852148"/>
          <a:ext cx="3755925" cy="551884"/>
          <a:chOff x="9068935" y="4776508"/>
          <a:chExt cx="3757606" cy="547682"/>
        </a:xfrm>
      </xdr:grpSpPr>
      <xdr:grpSp>
        <xdr:nvGrpSpPr>
          <xdr:cNvPr id="13" name="Agrupar 12">
            <a:extLst>
              <a:ext uri="{FF2B5EF4-FFF2-40B4-BE49-F238E27FC236}">
                <a16:creationId xmlns:a16="http://schemas.microsoft.com/office/drawing/2014/main" id="{00000000-0008-0000-0A00-00000D000000}"/>
              </a:ext>
            </a:extLst>
          </xdr:cNvPr>
          <xdr:cNvGrpSpPr/>
        </xdr:nvGrpSpPr>
        <xdr:grpSpPr>
          <a:xfrm>
            <a:off x="9068935" y="4940857"/>
            <a:ext cx="2257892" cy="223972"/>
            <a:chOff x="9423400" y="4330700"/>
            <a:chExt cx="2063798" cy="247567"/>
          </a:xfrm>
        </xdr:grpSpPr>
        <xdr:sp macro="" textlink="">
          <xdr:nvSpPr>
            <xdr:cNvPr id="15" name="Text Box 10">
              <a:extLst>
                <a:ext uri="{FF2B5EF4-FFF2-40B4-BE49-F238E27FC236}">
                  <a16:creationId xmlns:a16="http://schemas.microsoft.com/office/drawing/2014/main" id="{00000000-0008-0000-0A00-00000F000000}"/>
                </a:ext>
              </a:extLst>
            </xdr:cNvPr>
            <xdr:cNvSpPr txBox="1">
              <a:spLocks noChangeArrowheads="1"/>
            </xdr:cNvSpPr>
          </xdr:nvSpPr>
          <xdr:spPr bwMode="auto">
            <a:xfrm>
              <a:off x="9423400" y="4330700"/>
              <a:ext cx="1346200" cy="241300"/>
            </a:xfrm>
            <a:prstGeom prst="rect">
              <a:avLst/>
            </a:prstGeom>
            <a:solidFill>
              <a:srgbClr val="00467A"/>
            </a:solidFill>
            <a:ln>
              <a:noFill/>
            </a:ln>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mc:AlternateContent xmlns:mc="http://schemas.openxmlformats.org/markup-compatibility/2006">
          <mc:Choice xmlns:a14="http://schemas.microsoft.com/office/drawing/2010/main" Requires="a14">
            <xdr:sp macro="" textlink="">
              <xdr:nvSpPr>
                <xdr:cNvPr id="288771" name="Drop Down 3" hidden="1">
                  <a:extLst>
                    <a:ext uri="{63B3BB69-23CF-44E3-9099-C40C66FF867C}">
                      <a14:compatExt spid="_x0000_s288771"/>
                    </a:ext>
                    <a:ext uri="{FF2B5EF4-FFF2-40B4-BE49-F238E27FC236}">
                      <a16:creationId xmlns:a16="http://schemas.microsoft.com/office/drawing/2014/main" id="{00000000-0008-0000-0A00-000003680400}"/>
                    </a:ext>
                  </a:extLst>
                </xdr:cNvPr>
                <xdr:cNvSpPr/>
              </xdr:nvSpPr>
              <xdr:spPr bwMode="auto">
                <a:xfrm>
                  <a:off x="10814087" y="4337059"/>
                  <a:ext cx="673111" cy="241208"/>
                </a:xfrm>
                <a:prstGeom prst="rect">
                  <a:avLst/>
                </a:prstGeom>
                <a:noFill/>
                <a:ln>
                  <a:noFill/>
                </a:ln>
                <a:extLst>
                  <a:ext uri="{91240B29-F687-4F45-9708-019B960494DF}">
                    <a14:hiddenLine w="9525">
                      <a:noFill/>
                      <a:miter lim="800000"/>
                      <a:headEnd/>
                      <a:tailEnd/>
                    </a14:hiddenLine>
                  </a:ext>
                </a:extLst>
              </xdr:spPr>
            </xdr:sp>
          </mc:Choice>
          <mc:Fallback/>
        </mc:AlternateContent>
      </xdr:grpSp>
      <xdr:graphicFrame macro="">
        <xdr:nvGraphicFramePr>
          <xdr:cNvPr id="137" name="Gráfico 136">
            <a:extLst>
              <a:ext uri="{FF2B5EF4-FFF2-40B4-BE49-F238E27FC236}">
                <a16:creationId xmlns:a16="http://schemas.microsoft.com/office/drawing/2014/main" id="{00000000-0008-0000-0A00-000089000000}"/>
              </a:ext>
            </a:extLst>
          </xdr:cNvPr>
          <xdr:cNvGraphicFramePr>
            <a:graphicFrameLocks/>
          </xdr:cNvGraphicFramePr>
        </xdr:nvGraphicFramePr>
        <xdr:xfrm>
          <a:off x="11338953" y="4776508"/>
          <a:ext cx="1487588" cy="547682"/>
        </xdr:xfrm>
        <a:graphic>
          <a:graphicData uri="http://schemas.openxmlformats.org/drawingml/2006/chart">
            <c:chart xmlns:c="http://schemas.openxmlformats.org/drawingml/2006/chart" xmlns:r="http://schemas.openxmlformats.org/officeDocument/2006/relationships" r:id="rId34"/>
          </a:graphicData>
        </a:graphic>
      </xdr:graphicFrame>
    </xdr:grpSp>
    <xdr:clientData/>
  </xdr:twoCellAnchor>
  <xdr:twoCellAnchor>
    <xdr:from>
      <xdr:col>0</xdr:col>
      <xdr:colOff>171450</xdr:colOff>
      <xdr:row>27</xdr:row>
      <xdr:rowOff>114301</xdr:rowOff>
    </xdr:from>
    <xdr:to>
      <xdr:col>3</xdr:col>
      <xdr:colOff>323851</xdr:colOff>
      <xdr:row>32</xdr:row>
      <xdr:rowOff>174173</xdr:rowOff>
    </xdr:to>
    <xdr:sp macro="" textlink="'q3.1_6.1_9.1_12.1_19.1_27.1_Fig'!$AW$92">
      <xdr:nvSpPr>
        <xdr:cNvPr id="138" name="CaixaDeTexto 137">
          <a:extLst>
            <a:ext uri="{FF2B5EF4-FFF2-40B4-BE49-F238E27FC236}">
              <a16:creationId xmlns:a16="http://schemas.microsoft.com/office/drawing/2014/main" id="{00000000-0008-0000-0A00-00008A000000}"/>
            </a:ext>
          </a:extLst>
        </xdr:cNvPr>
        <xdr:cNvSpPr txBox="1"/>
      </xdr:nvSpPr>
      <xdr:spPr>
        <a:xfrm>
          <a:off x="171450" y="5305426"/>
          <a:ext cx="1838326" cy="1012372"/>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38F4CF3-8FCD-4D05-AE2F-9C601F4C47B9}" type="TxLink">
            <a:rPr lang="en-US" sz="700" b="1" i="0" u="none" strike="noStrike">
              <a:solidFill>
                <a:srgbClr val="19375E"/>
              </a:solidFill>
              <a:latin typeface="Calibri"/>
              <a:cs typeface="Calibri"/>
            </a:rPr>
            <a:pPr algn="l"/>
            <a:t>EMPRESAS
NUTS II Grande Lisboa: 57.854 (20,3% do Continente; 2ª região de 7)
Esta NUTS II coincide com a NUTS III.</a:t>
          </a:fld>
          <a:endParaRPr lang="pt-PT" sz="700" b="1">
            <a:solidFill>
              <a:srgbClr val="19375E"/>
            </a:solidFill>
            <a:latin typeface="+mn-lt"/>
          </a:endParaRPr>
        </a:p>
      </xdr:txBody>
    </xdr:sp>
    <xdr:clientData/>
  </xdr:twoCellAnchor>
  <xdr:twoCellAnchor>
    <xdr:from>
      <xdr:col>4</xdr:col>
      <xdr:colOff>37194</xdr:colOff>
      <xdr:row>27</xdr:row>
      <xdr:rowOff>115888</xdr:rowOff>
    </xdr:from>
    <xdr:to>
      <xdr:col>7</xdr:col>
      <xdr:colOff>189706</xdr:colOff>
      <xdr:row>32</xdr:row>
      <xdr:rowOff>174988</xdr:rowOff>
    </xdr:to>
    <xdr:sp macro="" textlink="'q3.1_6.1_9.1_12.1_19.1_27.1_Fig'!$AW$112">
      <xdr:nvSpPr>
        <xdr:cNvPr id="139" name="CaixaDeTexto 138">
          <a:extLst>
            <a:ext uri="{FF2B5EF4-FFF2-40B4-BE49-F238E27FC236}">
              <a16:creationId xmlns:a16="http://schemas.microsoft.com/office/drawing/2014/main" id="{00000000-0008-0000-0A00-00008B000000}"/>
            </a:ext>
          </a:extLst>
        </xdr:cNvPr>
        <xdr:cNvSpPr txBox="1"/>
      </xdr:nvSpPr>
      <xdr:spPr>
        <a:xfrm>
          <a:off x="2291444" y="5307013"/>
          <a:ext cx="1843200" cy="10116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1A9A4EBE-A839-44CF-898E-ECD78006CA25}" type="TxLink">
            <a:rPr lang="en-US" sz="700" b="1" i="0" u="none" strike="noStrike">
              <a:solidFill>
                <a:srgbClr val="19375E"/>
              </a:solidFill>
              <a:latin typeface="Calibri"/>
              <a:cs typeface="Calibri"/>
            </a:rPr>
            <a:pPr algn="l"/>
            <a:t>ESTABELECIMENTOS
NUTS II Grande Lisboa: 68.270 (20,5% do Continente; 2ª região de 7)
Esta NUTS II coincide com a NUTS III.</a:t>
          </a:fld>
          <a:endParaRPr lang="pt-PT" sz="700" b="1">
            <a:solidFill>
              <a:srgbClr val="19375E"/>
            </a:solidFill>
            <a:latin typeface="+mn-lt"/>
          </a:endParaRPr>
        </a:p>
      </xdr:txBody>
    </xdr:sp>
    <xdr:clientData/>
  </xdr:twoCellAnchor>
  <xdr:twoCellAnchor>
    <xdr:from>
      <xdr:col>8</xdr:col>
      <xdr:colOff>23813</xdr:colOff>
      <xdr:row>27</xdr:row>
      <xdr:rowOff>150813</xdr:rowOff>
    </xdr:from>
    <xdr:to>
      <xdr:col>11</xdr:col>
      <xdr:colOff>176214</xdr:colOff>
      <xdr:row>33</xdr:row>
      <xdr:rowOff>20185</xdr:rowOff>
    </xdr:to>
    <xdr:sp macro="" textlink="'q3.1_6.1_9.1_12.1_19.1_27.1_Fig'!$BS$92">
      <xdr:nvSpPr>
        <xdr:cNvPr id="140" name="CaixaDeTexto 139">
          <a:extLst>
            <a:ext uri="{FF2B5EF4-FFF2-40B4-BE49-F238E27FC236}">
              <a16:creationId xmlns:a16="http://schemas.microsoft.com/office/drawing/2014/main" id="{00000000-0008-0000-0A00-00008C000000}"/>
            </a:ext>
          </a:extLst>
        </xdr:cNvPr>
        <xdr:cNvSpPr txBox="1"/>
      </xdr:nvSpPr>
      <xdr:spPr>
        <a:xfrm>
          <a:off x="4532313" y="5341938"/>
          <a:ext cx="1843089" cy="1012372"/>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12A90A69-20BD-453C-8746-2511FA3E4562}" type="TxLink">
            <a:rPr lang="en-US" sz="700" b="1" i="0" u="none" strike="noStrike">
              <a:solidFill>
                <a:srgbClr val="19375E"/>
              </a:solidFill>
              <a:latin typeface="Calibri"/>
              <a:cs typeface="Calibri"/>
            </a:rPr>
            <a:pPr algn="l"/>
            <a:t>PESSOAS AO SERVIÇO
NUTS II Grande Lisboa: 915.180 (27,4% do Continente; 2ª região de 7)
Esta NUTS II coincide com a NUTS III.</a:t>
          </a:fld>
          <a:endParaRPr lang="pt-PT" sz="700" b="1">
            <a:solidFill>
              <a:srgbClr val="19375E"/>
            </a:solidFill>
            <a:latin typeface="+mn-lt"/>
          </a:endParaRPr>
        </a:p>
      </xdr:txBody>
    </xdr:sp>
    <xdr:clientData/>
  </xdr:twoCellAnchor>
  <xdr:twoCellAnchor>
    <xdr:from>
      <xdr:col>11</xdr:col>
      <xdr:colOff>357868</xdr:colOff>
      <xdr:row>27</xdr:row>
      <xdr:rowOff>152400</xdr:rowOff>
    </xdr:from>
    <xdr:to>
      <xdr:col>14</xdr:col>
      <xdr:colOff>573881</xdr:colOff>
      <xdr:row>33</xdr:row>
      <xdr:rowOff>21000</xdr:rowOff>
    </xdr:to>
    <xdr:sp macro="" textlink="'q3.1_6.1_9.1_12.1_19.1_27.1_Fig'!$BS$112">
      <xdr:nvSpPr>
        <xdr:cNvPr id="141" name="CaixaDeTexto 140">
          <a:extLst>
            <a:ext uri="{FF2B5EF4-FFF2-40B4-BE49-F238E27FC236}">
              <a16:creationId xmlns:a16="http://schemas.microsoft.com/office/drawing/2014/main" id="{00000000-0008-0000-0A00-00008D000000}"/>
            </a:ext>
          </a:extLst>
        </xdr:cNvPr>
        <xdr:cNvSpPr txBox="1"/>
      </xdr:nvSpPr>
      <xdr:spPr>
        <a:xfrm>
          <a:off x="6557056" y="5343525"/>
          <a:ext cx="1843200" cy="10116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BA920C0E-4279-44CB-808C-F5FE85BD6B68}" type="TxLink">
            <a:rPr lang="en-US" sz="700" b="1" i="0" u="none" strike="noStrike">
              <a:solidFill>
                <a:srgbClr val="19375E"/>
              </a:solidFill>
              <a:latin typeface="Calibri"/>
              <a:cs typeface="Calibri"/>
            </a:rPr>
            <a:pPr algn="l"/>
            <a:t>TCO
NUTS II Grande Lisboa: 875.584 (27,8% do Continente; 2ª região de 7)
Esta NUTS II coincide com a NUTS III.</a:t>
          </a:fld>
          <a:endParaRPr lang="pt-PT" sz="700" b="1">
            <a:solidFill>
              <a:srgbClr val="19375E"/>
            </a:solidFill>
            <a:latin typeface="+mn-lt"/>
          </a:endParaRPr>
        </a:p>
      </xdr:txBody>
    </xdr:sp>
    <xdr:clientData/>
  </xdr:twoCellAnchor>
  <xdr:twoCellAnchor>
    <xdr:from>
      <xdr:col>16</xdr:col>
      <xdr:colOff>0</xdr:colOff>
      <xdr:row>28</xdr:row>
      <xdr:rowOff>0</xdr:rowOff>
    </xdr:from>
    <xdr:to>
      <xdr:col>19</xdr:col>
      <xdr:colOff>104776</xdr:colOff>
      <xdr:row>33</xdr:row>
      <xdr:rowOff>59872</xdr:rowOff>
    </xdr:to>
    <xdr:sp macro="" textlink="'q3.1_6.1_9.1_12.1_19.1_27.1_Fig'!$CM$92">
      <xdr:nvSpPr>
        <xdr:cNvPr id="142" name="CaixaDeTexto 141">
          <a:extLst>
            <a:ext uri="{FF2B5EF4-FFF2-40B4-BE49-F238E27FC236}">
              <a16:creationId xmlns:a16="http://schemas.microsoft.com/office/drawing/2014/main" id="{00000000-0008-0000-0A00-00008E000000}"/>
            </a:ext>
          </a:extLst>
        </xdr:cNvPr>
        <xdr:cNvSpPr txBox="1"/>
      </xdr:nvSpPr>
      <xdr:spPr>
        <a:xfrm>
          <a:off x="8985250" y="5381625"/>
          <a:ext cx="1843089" cy="1012372"/>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FF76F659-DF53-422A-85C8-74CE0E8D2587}" type="TxLink">
            <a:rPr lang="en-US" sz="700" b="1" i="0" u="none" strike="noStrike">
              <a:solidFill>
                <a:srgbClr val="19375E"/>
              </a:solidFill>
              <a:latin typeface="Calibri"/>
              <a:cs typeface="Calibri"/>
            </a:rPr>
            <a:pPr algn="l"/>
            <a:t>REMUNERAÇÃO BASE
NUTS II Grande Lisboa: 1.418 euros (24,0% que no Continente; 1ª região de 7)
Esta NUTS II coincide com a NUTS III.</a:t>
          </a:fld>
          <a:endParaRPr lang="pt-PT" sz="700" b="1">
            <a:solidFill>
              <a:srgbClr val="19375E"/>
            </a:solidFill>
            <a:latin typeface="+mn-lt"/>
          </a:endParaRPr>
        </a:p>
      </xdr:txBody>
    </xdr:sp>
    <xdr:clientData/>
  </xdr:twoCellAnchor>
  <xdr:twoCellAnchor>
    <xdr:from>
      <xdr:col>19</xdr:col>
      <xdr:colOff>286430</xdr:colOff>
      <xdr:row>28</xdr:row>
      <xdr:rowOff>1587</xdr:rowOff>
    </xdr:from>
    <xdr:to>
      <xdr:col>22</xdr:col>
      <xdr:colOff>391318</xdr:colOff>
      <xdr:row>33</xdr:row>
      <xdr:rowOff>60687</xdr:rowOff>
    </xdr:to>
    <xdr:sp macro="" textlink="'q3.1_6.1_9.1_12.1_19.1_27.1_Fig'!$CM$112">
      <xdr:nvSpPr>
        <xdr:cNvPr id="143" name="CaixaDeTexto 142">
          <a:extLst>
            <a:ext uri="{FF2B5EF4-FFF2-40B4-BE49-F238E27FC236}">
              <a16:creationId xmlns:a16="http://schemas.microsoft.com/office/drawing/2014/main" id="{00000000-0008-0000-0A00-00008F000000}"/>
            </a:ext>
          </a:extLst>
        </xdr:cNvPr>
        <xdr:cNvSpPr txBox="1"/>
      </xdr:nvSpPr>
      <xdr:spPr>
        <a:xfrm>
          <a:off x="11009993" y="5383212"/>
          <a:ext cx="1843200" cy="10116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934C0CB7-42C3-4B2F-8393-A57409DBE2B3}" type="TxLink">
            <a:rPr lang="en-US" sz="700" b="1" i="0" u="none" strike="noStrike">
              <a:solidFill>
                <a:srgbClr val="19375E"/>
              </a:solidFill>
              <a:latin typeface="Calibri"/>
              <a:cs typeface="Calibri"/>
            </a:rPr>
            <a:pPr algn="l"/>
            <a:t>REMUNERAÇÃO GANHO
NUTS II Grande Lisboa: 1.705 euros (24,6% que no Continente; 1ª região de 7)
Esta NUTS II coincide com a NUTS III.</a:t>
          </a:fld>
          <a:endParaRPr lang="pt-PT" sz="700" b="1">
            <a:solidFill>
              <a:srgbClr val="19375E"/>
            </a:solidFill>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69849</xdr:colOff>
      <xdr:row>5</xdr:row>
      <xdr:rowOff>177800</xdr:rowOff>
    </xdr:from>
    <xdr:to>
      <xdr:col>11</xdr:col>
      <xdr:colOff>217713</xdr:colOff>
      <xdr:row>9</xdr:row>
      <xdr:rowOff>27214</xdr:rowOff>
    </xdr:to>
    <xdr:sp macro="" textlink="">
      <xdr:nvSpPr>
        <xdr:cNvPr id="2" name="Rectangle 13">
          <a:extLst>
            <a:ext uri="{FF2B5EF4-FFF2-40B4-BE49-F238E27FC236}">
              <a16:creationId xmlns:a16="http://schemas.microsoft.com/office/drawing/2014/main" id="{00000000-0008-0000-0100-000002000000}"/>
            </a:ext>
          </a:extLst>
        </xdr:cNvPr>
        <xdr:cNvSpPr>
          <a:spLocks noChangeArrowheads="1"/>
        </xdr:cNvSpPr>
      </xdr:nvSpPr>
      <xdr:spPr bwMode="auto">
        <a:xfrm>
          <a:off x="69849" y="1130300"/>
          <a:ext cx="6539139" cy="611414"/>
        </a:xfrm>
        <a:prstGeom prst="rect">
          <a:avLst/>
        </a:prstGeom>
        <a:solidFill>
          <a:srgbClr val="00467A"/>
        </a:solidFill>
        <a:ln w="9525">
          <a:solidFill>
            <a:srgbClr val="004A82"/>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0</xdr:col>
      <xdr:colOff>0</xdr:colOff>
      <xdr:row>3</xdr:row>
      <xdr:rowOff>100012</xdr:rowOff>
    </xdr:from>
    <xdr:to>
      <xdr:col>5</xdr:col>
      <xdr:colOff>219075</xdr:colOff>
      <xdr:row>10</xdr:row>
      <xdr:rowOff>146047</xdr:rowOff>
    </xdr:to>
    <xdr:grpSp>
      <xdr:nvGrpSpPr>
        <xdr:cNvPr id="3" name="Group 14">
          <a:extLst>
            <a:ext uri="{FF2B5EF4-FFF2-40B4-BE49-F238E27FC236}">
              <a16:creationId xmlns:a16="http://schemas.microsoft.com/office/drawing/2014/main" id="{00000000-0008-0000-0100-000003000000}"/>
            </a:ext>
          </a:extLst>
        </xdr:cNvPr>
        <xdr:cNvGrpSpPr>
          <a:grpSpLocks/>
        </xdr:cNvGrpSpPr>
      </xdr:nvGrpSpPr>
      <xdr:grpSpPr bwMode="auto">
        <a:xfrm>
          <a:off x="0" y="671512"/>
          <a:ext cx="6172200" cy="1379535"/>
          <a:chOff x="198" y="603"/>
          <a:chExt cx="1962" cy="839"/>
        </a:xfrm>
      </xdr:grpSpPr>
      <xdr:sp macro="" textlink="">
        <xdr:nvSpPr>
          <xdr:cNvPr id="4" name="Rectangle 15">
            <a:extLst>
              <a:ext uri="{FF2B5EF4-FFF2-40B4-BE49-F238E27FC236}">
                <a16:creationId xmlns:a16="http://schemas.microsoft.com/office/drawing/2014/main" id="{00000000-0008-0000-0100-000004000000}"/>
              </a:ext>
            </a:extLst>
          </xdr:cNvPr>
          <xdr:cNvSpPr>
            <a:spLocks noChangeArrowheads="1"/>
          </xdr:cNvSpPr>
        </xdr:nvSpPr>
        <xdr:spPr bwMode="auto">
          <a:xfrm>
            <a:off x="198" y="603"/>
            <a:ext cx="1962" cy="192"/>
          </a:xfrm>
          <a:prstGeom prst="rect">
            <a:avLst/>
          </a:prstGeom>
          <a:solidFill>
            <a:srgbClr val="FFFF00"/>
          </a:solidFill>
          <a:ln>
            <a:noFill/>
          </a:ln>
          <a:extLst>
            <a:ext uri="{91240B29-F687-4F45-9708-019B960494DF}">
              <a14:hiddenLine xmlns:a14="http://schemas.microsoft.com/office/drawing/2010/main" w="12700" cap="rnd">
                <a:solidFill>
                  <a:srgbClr val="000000"/>
                </a:solidFill>
                <a:prstDash val="sysDot"/>
                <a:miter lim="800000"/>
                <a:headEnd/>
                <a:tailEnd/>
              </a14:hiddenLine>
            </a:ext>
          </a:extLst>
        </xdr:spPr>
        <xdr:txBody>
          <a:bodyPr wrap="square"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5" name="Rectangle 16">
            <a:extLst>
              <a:ext uri="{FF2B5EF4-FFF2-40B4-BE49-F238E27FC236}">
                <a16:creationId xmlns:a16="http://schemas.microsoft.com/office/drawing/2014/main" id="{00000000-0008-0000-0100-000005000000}"/>
              </a:ext>
            </a:extLst>
          </xdr:cNvPr>
          <xdr:cNvSpPr>
            <a:spLocks noChangeArrowheads="1"/>
          </xdr:cNvSpPr>
        </xdr:nvSpPr>
        <xdr:spPr bwMode="auto">
          <a:xfrm rot="5393061">
            <a:off x="-95" y="916"/>
            <a:ext cx="819" cy="234"/>
          </a:xfrm>
          <a:prstGeom prst="rect">
            <a:avLst/>
          </a:prstGeom>
          <a:solidFill>
            <a:srgbClr val="FFFF00"/>
          </a:solidFill>
          <a:ln>
            <a:noFill/>
          </a:ln>
          <a:extLst>
            <a:ext uri="{91240B29-F687-4F45-9708-019B960494DF}">
              <a14:hiddenLine xmlns:a14="http://schemas.microsoft.com/office/drawing/2010/main" w="12700" cap="rnd">
                <a:solidFill>
                  <a:srgbClr val="000000"/>
                </a:solidFill>
                <a:prstDash val="sysDot"/>
                <a:miter lim="800000"/>
                <a:headEnd/>
                <a:tailEnd/>
              </a14:hiddenLine>
            </a:ext>
          </a:extLst>
        </xdr:spPr>
        <xdr:txBody>
          <a:bodyPr wrap="square"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grpSp>
    <xdr:clientData/>
  </xdr:twoCellAnchor>
  <xdr:twoCellAnchor>
    <xdr:from>
      <xdr:col>0</xdr:col>
      <xdr:colOff>217488</xdr:colOff>
      <xdr:row>4</xdr:row>
      <xdr:rowOff>127000</xdr:rowOff>
    </xdr:from>
    <xdr:to>
      <xdr:col>11</xdr:col>
      <xdr:colOff>598714</xdr:colOff>
      <xdr:row>8</xdr:row>
      <xdr:rowOff>122464</xdr:rowOff>
    </xdr:to>
    <xdr:sp macro="" textlink="">
      <xdr:nvSpPr>
        <xdr:cNvPr id="6" name="Rectangle 17">
          <a:extLst>
            <a:ext uri="{FF2B5EF4-FFF2-40B4-BE49-F238E27FC236}">
              <a16:creationId xmlns:a16="http://schemas.microsoft.com/office/drawing/2014/main" id="{00000000-0008-0000-0100-000006000000}"/>
            </a:ext>
          </a:extLst>
        </xdr:cNvPr>
        <xdr:cNvSpPr>
          <a:spLocks noChangeArrowheads="1"/>
        </xdr:cNvSpPr>
      </xdr:nvSpPr>
      <xdr:spPr bwMode="auto">
        <a:xfrm>
          <a:off x="217488" y="889000"/>
          <a:ext cx="6772501" cy="757464"/>
        </a:xfrm>
        <a:prstGeom prst="rect">
          <a:avLst/>
        </a:prstGeom>
        <a:solidFill>
          <a:srgbClr val="002060"/>
        </a:solidFill>
        <a:ln w="28575" cap="rnd">
          <a:noFill/>
          <a:prstDash val="sysDot"/>
          <a:miter lim="800000"/>
          <a:headEnd/>
          <a:tailEnd/>
        </a:ln>
        <a:effectLst>
          <a:prstShdw prst="shdw18" dist="17961" dir="13500000">
            <a:srgbClr val="556B81">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defTabSz="988538">
            <a:defRPr/>
          </a:pPr>
          <a:r>
            <a:rPr lang="pt-PT" sz="2100" b="1" i="1">
              <a:solidFill>
                <a:schemeClr val="bg1"/>
              </a:solidFill>
              <a:effectLst>
                <a:outerShdw blurRad="38100" dist="38100" dir="2700000" algn="tl">
                  <a:srgbClr val="000000"/>
                </a:outerShdw>
              </a:effectLst>
              <a:latin typeface="Arial" charset="0"/>
            </a:rPr>
            <a:t>Dashboard / Excel Interativo</a:t>
          </a:r>
        </a:p>
        <a:p>
          <a:pPr marL="0" marR="0" lvl="0" indent="0" algn="l" defTabSz="988538" rtl="0" eaLnBrk="0" fontAlgn="base" latinLnBrk="0" hangingPunct="0">
            <a:lnSpc>
              <a:spcPct val="100000"/>
            </a:lnSpc>
            <a:spcBef>
              <a:spcPct val="0"/>
            </a:spcBef>
            <a:spcAft>
              <a:spcPct val="0"/>
            </a:spcAft>
            <a:buClrTx/>
            <a:buSzTx/>
            <a:buFontTx/>
            <a:buNone/>
            <a:tabLst/>
            <a:defRPr/>
          </a:pPr>
          <a:r>
            <a:rPr lang="pt-PT" sz="2500" b="1" i="1" kern="1200">
              <a:solidFill>
                <a:schemeClr val="bg1"/>
              </a:solidFill>
              <a:effectLst>
                <a:outerShdw blurRad="38100" dist="38100" dir="2700000" algn="tl" rotWithShape="0">
                  <a:srgbClr val="000000"/>
                </a:outerShdw>
              </a:effectLst>
              <a:latin typeface="Times New Roman" pitchFamily="18" charset="0"/>
              <a:ea typeface="+mn-ea"/>
              <a:cs typeface="+mn-cs"/>
            </a:rPr>
            <a:t>	   Séries Cronológicas:</a:t>
          </a:r>
          <a:endParaRPr lang="pt-PT" sz="2400" i="1">
            <a:solidFill>
              <a:schemeClr val="bg1"/>
            </a:solidFill>
            <a:effectLst/>
          </a:endParaRPr>
        </a:p>
      </xdr:txBody>
    </xdr:sp>
    <xdr:clientData/>
  </xdr:twoCellAnchor>
  <xdr:twoCellAnchor>
    <xdr:from>
      <xdr:col>9</xdr:col>
      <xdr:colOff>198438</xdr:colOff>
      <xdr:row>5</xdr:row>
      <xdr:rowOff>114300</xdr:rowOff>
    </xdr:from>
    <xdr:to>
      <xdr:col>9</xdr:col>
      <xdr:colOff>419100</xdr:colOff>
      <xdr:row>10</xdr:row>
      <xdr:rowOff>142875</xdr:rowOff>
    </xdr:to>
    <xdr:sp macro="" textlink="">
      <xdr:nvSpPr>
        <xdr:cNvPr id="7" name="Rectangle 19">
          <a:extLst>
            <a:ext uri="{FF2B5EF4-FFF2-40B4-BE49-F238E27FC236}">
              <a16:creationId xmlns:a16="http://schemas.microsoft.com/office/drawing/2014/main" id="{00000000-0008-0000-0100-000007000000}"/>
            </a:ext>
          </a:extLst>
        </xdr:cNvPr>
        <xdr:cNvSpPr>
          <a:spLocks noChangeArrowheads="1"/>
        </xdr:cNvSpPr>
      </xdr:nvSpPr>
      <xdr:spPr bwMode="auto">
        <a:xfrm>
          <a:off x="5427663" y="1066800"/>
          <a:ext cx="220662" cy="981075"/>
        </a:xfrm>
        <a:prstGeom prst="rect">
          <a:avLst/>
        </a:prstGeom>
        <a:solidFill>
          <a:srgbClr val="FFFF00"/>
        </a:solidFill>
        <a:ln>
          <a:noFill/>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8</xdr:col>
      <xdr:colOff>387350</xdr:colOff>
      <xdr:row>5</xdr:row>
      <xdr:rowOff>114300</xdr:rowOff>
    </xdr:from>
    <xdr:to>
      <xdr:col>11</xdr:col>
      <xdr:colOff>157163</xdr:colOff>
      <xdr:row>5</xdr:row>
      <xdr:rowOff>115888</xdr:rowOff>
    </xdr:to>
    <xdr:sp macro="" textlink="">
      <xdr:nvSpPr>
        <xdr:cNvPr id="8" name="Line 21">
          <a:extLst>
            <a:ext uri="{FF2B5EF4-FFF2-40B4-BE49-F238E27FC236}">
              <a16:creationId xmlns:a16="http://schemas.microsoft.com/office/drawing/2014/main" id="{00000000-0008-0000-0100-000008000000}"/>
            </a:ext>
          </a:extLst>
        </xdr:cNvPr>
        <xdr:cNvSpPr>
          <a:spLocks noChangeShapeType="1"/>
        </xdr:cNvSpPr>
      </xdr:nvSpPr>
      <xdr:spPr bwMode="auto">
        <a:xfrm>
          <a:off x="5035550" y="1066800"/>
          <a:ext cx="1512888" cy="1588"/>
        </a:xfrm>
        <a:prstGeom prst="line">
          <a:avLst/>
        </a:prstGeom>
        <a:noFill/>
        <a:ln w="28575">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3</xdr:col>
      <xdr:colOff>398463</xdr:colOff>
      <xdr:row>10</xdr:row>
      <xdr:rowOff>142875</xdr:rowOff>
    </xdr:from>
    <xdr:to>
      <xdr:col>9</xdr:col>
      <xdr:colOff>417513</xdr:colOff>
      <xdr:row>10</xdr:row>
      <xdr:rowOff>142875</xdr:rowOff>
    </xdr:to>
    <xdr:sp macro="" textlink="">
      <xdr:nvSpPr>
        <xdr:cNvPr id="9" name="Line 22">
          <a:extLst>
            <a:ext uri="{FF2B5EF4-FFF2-40B4-BE49-F238E27FC236}">
              <a16:creationId xmlns:a16="http://schemas.microsoft.com/office/drawing/2014/main" id="{00000000-0008-0000-0100-000009000000}"/>
            </a:ext>
          </a:extLst>
        </xdr:cNvPr>
        <xdr:cNvSpPr>
          <a:spLocks noChangeShapeType="1"/>
        </xdr:cNvSpPr>
      </xdr:nvSpPr>
      <xdr:spPr bwMode="auto">
        <a:xfrm>
          <a:off x="2141538" y="2047875"/>
          <a:ext cx="3505200" cy="0"/>
        </a:xfrm>
        <a:prstGeom prst="line">
          <a:avLst/>
        </a:prstGeom>
        <a:noFill/>
        <a:ln w="28575">
          <a:solidFill>
            <a:srgbClr val="FFFF00"/>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6</xdr:col>
      <xdr:colOff>428625</xdr:colOff>
      <xdr:row>10</xdr:row>
      <xdr:rowOff>163513</xdr:rowOff>
    </xdr:from>
    <xdr:to>
      <xdr:col>9</xdr:col>
      <xdr:colOff>168275</xdr:colOff>
      <xdr:row>12</xdr:row>
      <xdr:rowOff>147835</xdr:rowOff>
    </xdr:to>
    <xdr:sp macro="" textlink="">
      <xdr:nvSpPr>
        <xdr:cNvPr id="10" name="Text Box 26">
          <a:extLst>
            <a:ext uri="{FF2B5EF4-FFF2-40B4-BE49-F238E27FC236}">
              <a16:creationId xmlns:a16="http://schemas.microsoft.com/office/drawing/2014/main" id="{00000000-0008-0000-0100-00000A000000}"/>
            </a:ext>
          </a:extLst>
        </xdr:cNvPr>
        <xdr:cNvSpPr txBox="1">
          <a:spLocks noChangeArrowheads="1"/>
        </xdr:cNvSpPr>
      </xdr:nvSpPr>
      <xdr:spPr bwMode="auto">
        <a:xfrm>
          <a:off x="7885339" y="1977799"/>
          <a:ext cx="3468007" cy="347179"/>
        </a:xfrm>
        <a:prstGeom prst="rect">
          <a:avLst/>
        </a:prstGeom>
        <a:noFill/>
        <a:ln>
          <a:noFill/>
        </a:ln>
        <a:effectLst>
          <a:outerShdw dist="563972" dir="14049741" sx="125000" sy="125000" algn="tl" rotWithShape="0">
            <a:srgbClr val="C7DFD3"/>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9050">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r"/>
          <a:r>
            <a:rPr lang="pt-PT" altLang="pt-PT" sz="1700" b="1">
              <a:solidFill>
                <a:schemeClr val="bg1"/>
              </a:solidFill>
              <a:latin typeface="Arial" charset="0"/>
            </a:rPr>
            <a:t>2012 - 2022</a:t>
          </a:r>
        </a:p>
      </xdr:txBody>
    </xdr:sp>
    <xdr:clientData/>
  </xdr:twoCellAnchor>
  <xdr:twoCellAnchor>
    <xdr:from>
      <xdr:col>0</xdr:col>
      <xdr:colOff>152400</xdr:colOff>
      <xdr:row>52</xdr:row>
      <xdr:rowOff>476250</xdr:rowOff>
    </xdr:from>
    <xdr:to>
      <xdr:col>11</xdr:col>
      <xdr:colOff>639763</xdr:colOff>
      <xdr:row>52</xdr:row>
      <xdr:rowOff>800220</xdr:rowOff>
    </xdr:to>
    <xdr:sp macro="" textlink="">
      <xdr:nvSpPr>
        <xdr:cNvPr id="11" name="Rectangle 28">
          <a:extLst>
            <a:ext uri="{FF2B5EF4-FFF2-40B4-BE49-F238E27FC236}">
              <a16:creationId xmlns:a16="http://schemas.microsoft.com/office/drawing/2014/main" id="{00000000-0008-0000-0100-00000B000000}"/>
            </a:ext>
          </a:extLst>
        </xdr:cNvPr>
        <xdr:cNvSpPr>
          <a:spLocks noChangeArrowheads="1"/>
        </xdr:cNvSpPr>
      </xdr:nvSpPr>
      <xdr:spPr bwMode="auto">
        <a:xfrm>
          <a:off x="152400" y="10382250"/>
          <a:ext cx="6878638" cy="323970"/>
        </a:xfrm>
        <a:prstGeom prst="rect">
          <a:avLst/>
        </a:prstGeom>
        <a:noFill/>
        <a:ln>
          <a:noFill/>
        </a:ln>
        <a:effectLst>
          <a:outerShdw dist="563972" dir="14049741" sx="125000" sy="125000" algn="tl" rotWithShape="0">
            <a:srgbClr val="C7DFD3"/>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9050">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altLang="pt-PT" sz="800" b="1">
              <a:solidFill>
                <a:schemeClr val="bg1"/>
              </a:solidFill>
              <a:latin typeface="Arial" charset="0"/>
            </a:rPr>
            <a:t>Gabinete de Estratégia e Planeamento (GEP)</a:t>
          </a:r>
        </a:p>
        <a:p>
          <a:r>
            <a:rPr lang="pt-PT" altLang="pt-PT" sz="700">
              <a:solidFill>
                <a:schemeClr val="bg1"/>
              </a:solidFill>
              <a:latin typeface="Arial" charset="0"/>
            </a:rPr>
            <a:t>MINISTÉRIO DO TRABALHO, SOLIDARIEDADE E SEGURANÇA SOCIAL (MTSSS)</a:t>
          </a:r>
        </a:p>
      </xdr:txBody>
    </xdr:sp>
    <xdr:clientData/>
  </xdr:twoCellAnchor>
  <xdr:twoCellAnchor>
    <xdr:from>
      <xdr:col>4</xdr:col>
      <xdr:colOff>165100</xdr:colOff>
      <xdr:row>8</xdr:row>
      <xdr:rowOff>177800</xdr:rowOff>
    </xdr:from>
    <xdr:to>
      <xdr:col>9</xdr:col>
      <xdr:colOff>257175</xdr:colOff>
      <xdr:row>11</xdr:row>
      <xdr:rowOff>11764</xdr:rowOff>
    </xdr:to>
    <xdr:sp macro="" textlink="">
      <xdr:nvSpPr>
        <xdr:cNvPr id="12" name="Text Box 24">
          <a:extLst>
            <a:ext uri="{FF2B5EF4-FFF2-40B4-BE49-F238E27FC236}">
              <a16:creationId xmlns:a16="http://schemas.microsoft.com/office/drawing/2014/main" id="{00000000-0008-0000-0100-00000C000000}"/>
            </a:ext>
          </a:extLst>
        </xdr:cNvPr>
        <xdr:cNvSpPr txBox="1">
          <a:spLocks noChangeArrowheads="1"/>
        </xdr:cNvSpPr>
      </xdr:nvSpPr>
      <xdr:spPr bwMode="auto">
        <a:xfrm>
          <a:off x="2489200" y="1701800"/>
          <a:ext cx="2997200" cy="40546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9050">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altLang="pt-PT" sz="2000" b="1">
              <a:solidFill>
                <a:srgbClr val="FFFFFF"/>
              </a:solidFill>
              <a:latin typeface="Arial Narrow" pitchFamily="34" charset="0"/>
            </a:rPr>
            <a:t>QUADROS</a:t>
          </a:r>
          <a:r>
            <a:rPr lang="pt-PT" altLang="pt-PT" sz="2000" b="1" baseline="0">
              <a:solidFill>
                <a:srgbClr val="FFFFFF"/>
              </a:solidFill>
              <a:latin typeface="Arial Narrow" pitchFamily="34" charset="0"/>
            </a:rPr>
            <a:t> DE PESSOAL</a:t>
          </a:r>
          <a:endParaRPr lang="pt-PT" altLang="pt-PT" sz="2000" b="1">
            <a:solidFill>
              <a:srgbClr val="FFFFFF"/>
            </a:solidFill>
            <a:latin typeface="Arial Narrow" pitchFamily="34" charset="0"/>
          </a:endParaRPr>
        </a:p>
      </xdr:txBody>
    </xdr:sp>
    <xdr:clientData/>
  </xdr:twoCellAnchor>
  <xdr:twoCellAnchor>
    <xdr:from>
      <xdr:col>6</xdr:col>
      <xdr:colOff>508000</xdr:colOff>
      <xdr:row>0</xdr:row>
      <xdr:rowOff>136551</xdr:rowOff>
    </xdr:from>
    <xdr:to>
      <xdr:col>10</xdr:col>
      <xdr:colOff>307975</xdr:colOff>
      <xdr:row>0</xdr:row>
      <xdr:rowOff>136551</xdr:rowOff>
    </xdr:to>
    <xdr:sp macro="" textlink="">
      <xdr:nvSpPr>
        <xdr:cNvPr id="13" name="Line 18">
          <a:extLst>
            <a:ext uri="{FF2B5EF4-FFF2-40B4-BE49-F238E27FC236}">
              <a16:creationId xmlns:a16="http://schemas.microsoft.com/office/drawing/2014/main" id="{00000000-0008-0000-0100-00000D000000}"/>
            </a:ext>
          </a:extLst>
        </xdr:cNvPr>
        <xdr:cNvSpPr>
          <a:spLocks noChangeShapeType="1"/>
        </xdr:cNvSpPr>
      </xdr:nvSpPr>
      <xdr:spPr bwMode="auto">
        <a:xfrm>
          <a:off x="3994150" y="136551"/>
          <a:ext cx="2124075" cy="0"/>
        </a:xfrm>
        <a:prstGeom prst="line">
          <a:avLst/>
        </a:prstGeom>
        <a:noFill/>
        <a:ln w="25400">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203200</xdr:colOff>
      <xdr:row>0</xdr:row>
      <xdr:rowOff>26</xdr:rowOff>
    </xdr:from>
    <xdr:to>
      <xdr:col>9</xdr:col>
      <xdr:colOff>219075</xdr:colOff>
      <xdr:row>12</xdr:row>
      <xdr:rowOff>157189</xdr:rowOff>
    </xdr:to>
    <xdr:sp macro="" textlink="">
      <xdr:nvSpPr>
        <xdr:cNvPr id="14" name="Line 20">
          <a:extLst>
            <a:ext uri="{FF2B5EF4-FFF2-40B4-BE49-F238E27FC236}">
              <a16:creationId xmlns:a16="http://schemas.microsoft.com/office/drawing/2014/main" id="{00000000-0008-0000-0100-00000E000000}"/>
            </a:ext>
          </a:extLst>
        </xdr:cNvPr>
        <xdr:cNvSpPr>
          <a:spLocks noChangeShapeType="1"/>
        </xdr:cNvSpPr>
      </xdr:nvSpPr>
      <xdr:spPr bwMode="auto">
        <a:xfrm rot="5421033" flipH="1">
          <a:off x="4218781" y="1213670"/>
          <a:ext cx="2443163" cy="15875"/>
        </a:xfrm>
        <a:prstGeom prst="line">
          <a:avLst/>
        </a:prstGeom>
        <a:noFill/>
        <a:ln w="2857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418182</xdr:colOff>
      <xdr:row>2</xdr:row>
      <xdr:rowOff>28608</xdr:rowOff>
    </xdr:from>
    <xdr:to>
      <xdr:col>9</xdr:col>
      <xdr:colOff>438053</xdr:colOff>
      <xdr:row>13</xdr:row>
      <xdr:rowOff>47617</xdr:rowOff>
    </xdr:to>
    <xdr:sp macro="" textlink="">
      <xdr:nvSpPr>
        <xdr:cNvPr id="15" name="Line 23">
          <a:extLst>
            <a:ext uri="{FF2B5EF4-FFF2-40B4-BE49-F238E27FC236}">
              <a16:creationId xmlns:a16="http://schemas.microsoft.com/office/drawing/2014/main" id="{00000000-0008-0000-0100-00000F000000}"/>
            </a:ext>
          </a:extLst>
        </xdr:cNvPr>
        <xdr:cNvSpPr>
          <a:spLocks noChangeShapeType="1"/>
        </xdr:cNvSpPr>
      </xdr:nvSpPr>
      <xdr:spPr bwMode="auto">
        <a:xfrm rot="5397016">
          <a:off x="4600088" y="1456927"/>
          <a:ext cx="2114509" cy="19871"/>
        </a:xfrm>
        <a:prstGeom prst="line">
          <a:avLst/>
        </a:prstGeom>
        <a:noFill/>
        <a:ln w="1460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0</xdr:col>
      <xdr:colOff>28575</xdr:colOff>
      <xdr:row>13</xdr:row>
      <xdr:rowOff>9524</xdr:rowOff>
    </xdr:from>
    <xdr:to>
      <xdr:col>11</xdr:col>
      <xdr:colOff>752475</xdr:colOff>
      <xdr:row>19</xdr:row>
      <xdr:rowOff>9525</xdr:rowOff>
    </xdr:to>
    <xdr:sp macro="" textlink="">
      <xdr:nvSpPr>
        <xdr:cNvPr id="16" name="Rectangle 3">
          <a:extLst>
            <a:ext uri="{FF2B5EF4-FFF2-40B4-BE49-F238E27FC236}">
              <a16:creationId xmlns:a16="http://schemas.microsoft.com/office/drawing/2014/main" id="{00000000-0008-0000-0100-000010000000}"/>
            </a:ext>
          </a:extLst>
        </xdr:cNvPr>
        <xdr:cNvSpPr>
          <a:spLocks noChangeArrowheads="1"/>
        </xdr:cNvSpPr>
      </xdr:nvSpPr>
      <xdr:spPr bwMode="auto">
        <a:xfrm>
          <a:off x="28575" y="2486024"/>
          <a:ext cx="7115175" cy="1143001"/>
        </a:xfrm>
        <a:prstGeom prst="rect">
          <a:avLst/>
        </a:prstGeom>
        <a:solidFill>
          <a:srgbClr val="FFFF00"/>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rgbClr val="00467A"/>
            </a:solidFill>
            <a:effectLst>
              <a:outerShdw blurRad="38100" dist="38100" dir="2700000" algn="tl">
                <a:srgbClr val="000000"/>
              </a:outerShdw>
            </a:effectLst>
            <a:latin typeface="Arial" charset="0"/>
          </a:endParaRPr>
        </a:p>
      </xdr:txBody>
    </xdr:sp>
    <xdr:clientData/>
  </xdr:twoCellAnchor>
  <xdr:twoCellAnchor>
    <xdr:from>
      <xdr:col>0</xdr:col>
      <xdr:colOff>0</xdr:colOff>
      <xdr:row>15</xdr:row>
      <xdr:rowOff>1</xdr:rowOff>
    </xdr:from>
    <xdr:to>
      <xdr:col>3</xdr:col>
      <xdr:colOff>123825</xdr:colOff>
      <xdr:row>20</xdr:row>
      <xdr:rowOff>28828</xdr:rowOff>
    </xdr:to>
    <xdr:sp macro="" textlink="">
      <xdr:nvSpPr>
        <xdr:cNvPr id="17" name="Text Box 10">
          <a:extLst>
            <a:ext uri="{FF2B5EF4-FFF2-40B4-BE49-F238E27FC236}">
              <a16:creationId xmlns:a16="http://schemas.microsoft.com/office/drawing/2014/main" id="{00000000-0008-0000-0100-000011000000}"/>
            </a:ext>
          </a:extLst>
        </xdr:cNvPr>
        <xdr:cNvSpPr txBox="1">
          <a:spLocks noChangeArrowheads="1"/>
        </xdr:cNvSpPr>
      </xdr:nvSpPr>
      <xdr:spPr bwMode="auto">
        <a:xfrm>
          <a:off x="0" y="2857501"/>
          <a:ext cx="1866900" cy="981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lvl="0" indent="0" algn="l" rtl="0" eaLnBrk="0" fontAlgn="base" hangingPunct="0">
            <a:spcBef>
              <a:spcPct val="50000"/>
            </a:spcBef>
            <a:spcAft>
              <a:spcPct val="0"/>
            </a:spcAft>
          </a:pPr>
          <a:r>
            <a:rPr lang="pt-PT" sz="1500" b="1" kern="1200">
              <a:solidFill>
                <a:srgbClr val="00467A"/>
              </a:solidFill>
              <a:latin typeface="Arial" charset="0"/>
              <a:ea typeface="+mn-ea"/>
              <a:cs typeface="+mn-cs"/>
            </a:rPr>
            <a:t>Empresas</a:t>
          </a:r>
        </a:p>
        <a:p>
          <a:pPr marL="0" lvl="0" indent="0" algn="l" rtl="0" eaLnBrk="0" fontAlgn="base" hangingPunct="0">
            <a:spcBef>
              <a:spcPct val="50000"/>
            </a:spcBef>
            <a:spcAft>
              <a:spcPct val="0"/>
            </a:spcAft>
          </a:pPr>
          <a:r>
            <a:rPr lang="pt-PT" sz="1500" b="1" kern="1200">
              <a:solidFill>
                <a:srgbClr val="00467A"/>
              </a:solidFill>
              <a:latin typeface="Arial" charset="0"/>
              <a:ea typeface="+mn-ea"/>
              <a:cs typeface="+mn-cs"/>
            </a:rPr>
            <a:t>Estabelecimentos</a:t>
          </a:r>
        </a:p>
        <a:p>
          <a:pPr algn="l">
            <a:spcBef>
              <a:spcPct val="50000"/>
            </a:spcBef>
          </a:pPr>
          <a:endParaRPr lang="en-US" altLang="pt-PT" sz="1500" b="1">
            <a:solidFill>
              <a:srgbClr val="00467A"/>
            </a:solidFill>
            <a:latin typeface="Arial" charset="0"/>
          </a:endParaRPr>
        </a:p>
      </xdr:txBody>
    </xdr:sp>
    <xdr:clientData/>
  </xdr:twoCellAnchor>
  <xdr:twoCellAnchor>
    <xdr:from>
      <xdr:col>3</xdr:col>
      <xdr:colOff>361949</xdr:colOff>
      <xdr:row>14</xdr:row>
      <xdr:rowOff>171449</xdr:rowOff>
    </xdr:from>
    <xdr:to>
      <xdr:col>9</xdr:col>
      <xdr:colOff>85724</xdr:colOff>
      <xdr:row>18</xdr:row>
      <xdr:rowOff>58954</xdr:rowOff>
    </xdr:to>
    <xdr:sp macro="" textlink="">
      <xdr:nvSpPr>
        <xdr:cNvPr id="18" name="Text Box 10">
          <a:extLst>
            <a:ext uri="{FF2B5EF4-FFF2-40B4-BE49-F238E27FC236}">
              <a16:creationId xmlns:a16="http://schemas.microsoft.com/office/drawing/2014/main" id="{00000000-0008-0000-0100-000012000000}"/>
            </a:ext>
          </a:extLst>
        </xdr:cNvPr>
        <xdr:cNvSpPr txBox="1">
          <a:spLocks noChangeArrowheads="1"/>
        </xdr:cNvSpPr>
      </xdr:nvSpPr>
      <xdr:spPr bwMode="auto">
        <a:xfrm>
          <a:off x="2105024" y="2838449"/>
          <a:ext cx="3209925" cy="64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lvl="0" indent="0" algn="l" rtl="0" eaLnBrk="0" fontAlgn="base" hangingPunct="0">
            <a:spcBef>
              <a:spcPct val="50000"/>
            </a:spcBef>
            <a:spcAft>
              <a:spcPct val="0"/>
            </a:spcAft>
          </a:pPr>
          <a:r>
            <a:rPr lang="pt-PT" sz="1500" b="1" kern="1200">
              <a:solidFill>
                <a:srgbClr val="00467A"/>
              </a:solidFill>
              <a:latin typeface="Arial" charset="0"/>
              <a:ea typeface="+mn-ea"/>
              <a:cs typeface="+mn-cs"/>
            </a:rPr>
            <a:t>Pessoas ao Serviço</a:t>
          </a:r>
        </a:p>
        <a:p>
          <a:pPr marL="0" lvl="0" indent="0" algn="l" rtl="0" eaLnBrk="0" fontAlgn="base" hangingPunct="0">
            <a:spcBef>
              <a:spcPct val="50000"/>
            </a:spcBef>
            <a:spcAft>
              <a:spcPct val="0"/>
            </a:spcAft>
          </a:pPr>
          <a:r>
            <a:rPr lang="pt-PT" sz="1500" b="1" kern="1200">
              <a:solidFill>
                <a:srgbClr val="00467A"/>
              </a:solidFill>
              <a:latin typeface="Arial" charset="0"/>
              <a:ea typeface="+mn-ea"/>
              <a:cs typeface="+mn-cs"/>
            </a:rPr>
            <a:t>TCO</a:t>
          </a:r>
        </a:p>
      </xdr:txBody>
    </xdr:sp>
    <xdr:clientData/>
  </xdr:twoCellAnchor>
  <xdr:twoCellAnchor>
    <xdr:from>
      <xdr:col>7</xdr:col>
      <xdr:colOff>361950</xdr:colOff>
      <xdr:row>14</xdr:row>
      <xdr:rowOff>171451</xdr:rowOff>
    </xdr:from>
    <xdr:to>
      <xdr:col>12</xdr:col>
      <xdr:colOff>466725</xdr:colOff>
      <xdr:row>20</xdr:row>
      <xdr:rowOff>9778</xdr:rowOff>
    </xdr:to>
    <xdr:sp macro="" textlink="">
      <xdr:nvSpPr>
        <xdr:cNvPr id="19" name="Text Box 10">
          <a:extLst>
            <a:ext uri="{FF2B5EF4-FFF2-40B4-BE49-F238E27FC236}">
              <a16:creationId xmlns:a16="http://schemas.microsoft.com/office/drawing/2014/main" id="{00000000-0008-0000-0100-000013000000}"/>
            </a:ext>
          </a:extLst>
        </xdr:cNvPr>
        <xdr:cNvSpPr txBox="1">
          <a:spLocks noChangeArrowheads="1"/>
        </xdr:cNvSpPr>
      </xdr:nvSpPr>
      <xdr:spPr bwMode="auto">
        <a:xfrm>
          <a:off x="4429125" y="2838451"/>
          <a:ext cx="3209925" cy="981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lvl="0" indent="0" algn="l" rtl="0" eaLnBrk="0" fontAlgn="base" hangingPunct="0">
            <a:spcBef>
              <a:spcPct val="50000"/>
            </a:spcBef>
            <a:spcAft>
              <a:spcPct val="0"/>
            </a:spcAft>
          </a:pPr>
          <a:r>
            <a:rPr lang="pt-PT" sz="1500" b="1" kern="1200">
              <a:solidFill>
                <a:srgbClr val="00467A"/>
              </a:solidFill>
              <a:latin typeface="Arial" charset="0"/>
              <a:ea typeface="+mn-ea"/>
              <a:cs typeface="+mn-cs"/>
            </a:rPr>
            <a:t>Remuneração mensal base</a:t>
          </a:r>
        </a:p>
        <a:p>
          <a:pPr marL="0" lvl="0" indent="0" algn="l" rtl="0" eaLnBrk="0" fontAlgn="base" hangingPunct="0">
            <a:spcBef>
              <a:spcPct val="50000"/>
            </a:spcBef>
            <a:spcAft>
              <a:spcPct val="0"/>
            </a:spcAft>
          </a:pPr>
          <a:r>
            <a:rPr lang="pt-PT" sz="1500" b="1" kern="1200">
              <a:solidFill>
                <a:srgbClr val="00467A"/>
              </a:solidFill>
              <a:latin typeface="Arial" charset="0"/>
              <a:ea typeface="+mn-ea"/>
              <a:cs typeface="+mn-cs"/>
            </a:rPr>
            <a:t>Remuneração mensal ganho</a:t>
          </a:r>
        </a:p>
        <a:p>
          <a:pPr algn="l">
            <a:spcBef>
              <a:spcPct val="50000"/>
            </a:spcBef>
          </a:pPr>
          <a:endParaRPr lang="en-US" altLang="pt-PT" sz="1500" b="1">
            <a:solidFill>
              <a:srgbClr val="00467A"/>
            </a:solidFill>
            <a:latin typeface="Arial" charset="0"/>
          </a:endParaRPr>
        </a:p>
      </xdr:txBody>
    </xdr:sp>
    <xdr:clientData/>
  </xdr:twoCellAnchor>
  <xdr:twoCellAnchor>
    <xdr:from>
      <xdr:col>0</xdr:col>
      <xdr:colOff>57150</xdr:colOff>
      <xdr:row>13</xdr:row>
      <xdr:rowOff>38101</xdr:rowOff>
    </xdr:from>
    <xdr:to>
      <xdr:col>11</xdr:col>
      <xdr:colOff>714375</xdr:colOff>
      <xdr:row>14</xdr:row>
      <xdr:rowOff>165284</xdr:rowOff>
    </xdr:to>
    <xdr:sp macro="" textlink="">
      <xdr:nvSpPr>
        <xdr:cNvPr id="20" name="Text Box 10">
          <a:extLst>
            <a:ext uri="{FF2B5EF4-FFF2-40B4-BE49-F238E27FC236}">
              <a16:creationId xmlns:a16="http://schemas.microsoft.com/office/drawing/2014/main" id="{00000000-0008-0000-0100-000014000000}"/>
            </a:ext>
          </a:extLst>
        </xdr:cNvPr>
        <xdr:cNvSpPr txBox="1">
          <a:spLocks noChangeArrowheads="1"/>
        </xdr:cNvSpPr>
      </xdr:nvSpPr>
      <xdr:spPr bwMode="auto">
        <a:xfrm>
          <a:off x="57150" y="2514601"/>
          <a:ext cx="7048500" cy="317683"/>
        </a:xfrm>
        <a:prstGeom prst="rect">
          <a:avLst/>
        </a:prstGeom>
        <a:noFill/>
        <a:ln w="28575">
          <a:noFill/>
          <a:miter lim="800000"/>
          <a:headEnd/>
          <a:tailEnd/>
        </a:ln>
        <a:extLst>
          <a:ext uri="{909E8E84-426E-40DD-AFC4-6F175D3DCCD1}">
            <a14:hiddenFill xmlns:a14="http://schemas.microsoft.com/office/drawing/2010/main">
              <a:solidFill>
                <a:srgbClr val="FFFFFF"/>
              </a:solidFill>
            </a14:hiddenFill>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500" b="1" u="sng">
              <a:solidFill>
                <a:srgbClr val="00467A"/>
              </a:solidFill>
              <a:latin typeface="Arial" charset="0"/>
            </a:rPr>
            <a:t>Variáveis</a:t>
          </a:r>
        </a:p>
      </xdr:txBody>
    </xdr:sp>
    <xdr:clientData/>
  </xdr:twoCellAnchor>
  <xdr:twoCellAnchor>
    <xdr:from>
      <xdr:col>0</xdr:col>
      <xdr:colOff>0</xdr:colOff>
      <xdr:row>35</xdr:row>
      <xdr:rowOff>122467</xdr:rowOff>
    </xdr:from>
    <xdr:to>
      <xdr:col>10</xdr:col>
      <xdr:colOff>508000</xdr:colOff>
      <xdr:row>39</xdr:row>
      <xdr:rowOff>116468</xdr:rowOff>
    </xdr:to>
    <xdr:grpSp>
      <xdr:nvGrpSpPr>
        <xdr:cNvPr id="21" name="Agrupar 20">
          <a:extLst>
            <a:ext uri="{FF2B5EF4-FFF2-40B4-BE49-F238E27FC236}">
              <a16:creationId xmlns:a16="http://schemas.microsoft.com/office/drawing/2014/main" id="{00000000-0008-0000-0100-000015000000}"/>
            </a:ext>
          </a:extLst>
        </xdr:cNvPr>
        <xdr:cNvGrpSpPr/>
      </xdr:nvGrpSpPr>
      <xdr:grpSpPr>
        <a:xfrm>
          <a:off x="0" y="6789967"/>
          <a:ext cx="12414250" cy="756001"/>
          <a:chOff x="81583" y="6572250"/>
          <a:chExt cx="6359071" cy="964947"/>
        </a:xfrm>
      </xdr:grpSpPr>
      <xdr:sp macro="" textlink="">
        <xdr:nvSpPr>
          <xdr:cNvPr id="22" name="Rectangle 8">
            <a:extLst>
              <a:ext uri="{FF2B5EF4-FFF2-40B4-BE49-F238E27FC236}">
                <a16:creationId xmlns:a16="http://schemas.microsoft.com/office/drawing/2014/main" id="{00000000-0008-0000-0100-000016000000}"/>
              </a:ext>
            </a:extLst>
          </xdr:cNvPr>
          <xdr:cNvSpPr>
            <a:spLocks noChangeArrowheads="1"/>
          </xdr:cNvSpPr>
        </xdr:nvSpPr>
        <xdr:spPr bwMode="auto">
          <a:xfrm>
            <a:off x="81583" y="6727825"/>
            <a:ext cx="6359071" cy="738448"/>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23" name="Rectangle 9">
            <a:hlinkClick xmlns:r="http://schemas.openxmlformats.org/officeDocument/2006/relationships" r:id="rId1"/>
            <a:extLst>
              <a:ext uri="{FF2B5EF4-FFF2-40B4-BE49-F238E27FC236}">
                <a16:creationId xmlns:a16="http://schemas.microsoft.com/office/drawing/2014/main" id="{00000000-0008-0000-0100-000017000000}"/>
              </a:ext>
            </a:extLst>
          </xdr:cNvPr>
          <xdr:cNvSpPr>
            <a:spLocks noChangeArrowheads="1"/>
          </xdr:cNvSpPr>
        </xdr:nvSpPr>
        <xdr:spPr bwMode="auto">
          <a:xfrm>
            <a:off x="106598" y="6572250"/>
            <a:ext cx="3301093" cy="722313"/>
          </a:xfrm>
          <a:prstGeom prst="rect">
            <a:avLst/>
          </a:prstGeom>
          <a:solidFill>
            <a:srgbClr val="FFFF00"/>
          </a:solidFill>
          <a:ln w="28575" cap="rnd">
            <a:noFill/>
            <a:prstDash val="sysDot"/>
            <a:miter lim="800000"/>
            <a:headEnd/>
            <a:tailEn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sp macro="" textlink="">
        <xdr:nvSpPr>
          <xdr:cNvPr id="24" name="Text Box 12">
            <a:hlinkClick xmlns:r="http://schemas.openxmlformats.org/officeDocument/2006/relationships" r:id="rId1" tooltip="Distritos"/>
            <a:extLst>
              <a:ext uri="{FF2B5EF4-FFF2-40B4-BE49-F238E27FC236}">
                <a16:creationId xmlns:a16="http://schemas.microsoft.com/office/drawing/2014/main" id="{00000000-0008-0000-0100-000018000000}"/>
              </a:ext>
            </a:extLst>
          </xdr:cNvPr>
          <xdr:cNvSpPr txBox="1">
            <a:spLocks noChangeArrowheads="1"/>
          </xdr:cNvSpPr>
        </xdr:nvSpPr>
        <xdr:spPr bwMode="auto">
          <a:xfrm>
            <a:off x="444774" y="6641715"/>
            <a:ext cx="2459492" cy="484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500" b="1">
                <a:solidFill>
                  <a:srgbClr val="00467A"/>
                </a:solidFill>
                <a:latin typeface="Arial" charset="0"/>
              </a:rPr>
              <a:t>Distritos</a:t>
            </a:r>
          </a:p>
        </xdr:txBody>
      </xdr:sp>
      <xdr:grpSp>
        <xdr:nvGrpSpPr>
          <xdr:cNvPr id="25" name="Agrupar 24">
            <a:extLst>
              <a:ext uri="{FF2B5EF4-FFF2-40B4-BE49-F238E27FC236}">
                <a16:creationId xmlns:a16="http://schemas.microsoft.com/office/drawing/2014/main" id="{00000000-0008-0000-0100-000019000000}"/>
              </a:ext>
            </a:extLst>
          </xdr:cNvPr>
          <xdr:cNvGrpSpPr/>
        </xdr:nvGrpSpPr>
        <xdr:grpSpPr>
          <a:xfrm>
            <a:off x="5720443" y="6892925"/>
            <a:ext cx="542245" cy="474663"/>
            <a:chOff x="5761264" y="7940675"/>
            <a:chExt cx="542245" cy="474663"/>
          </a:xfrm>
        </xdr:grpSpPr>
        <xdr:sp macro="" textlink="">
          <xdr:nvSpPr>
            <xdr:cNvPr id="27" name="WordArt 25">
              <a:extLst>
                <a:ext uri="{FF2B5EF4-FFF2-40B4-BE49-F238E27FC236}">
                  <a16:creationId xmlns:a16="http://schemas.microsoft.com/office/drawing/2014/main" id="{00000000-0008-0000-0100-00001B000000}"/>
                </a:ext>
              </a:extLst>
            </xdr:cNvPr>
            <xdr:cNvSpPr>
              <a:spLocks noChangeArrowheads="1" noChangeShapeType="1" noTextEdit="1"/>
            </xdr:cNvSpPr>
          </xdr:nvSpPr>
          <xdr:spPr bwMode="auto">
            <a:xfrm>
              <a:off x="5966959" y="7940675"/>
              <a:ext cx="336550" cy="474663"/>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II</a:t>
              </a:r>
            </a:p>
          </xdr:txBody>
        </xdr:sp>
        <xdr:sp macro="" textlink="">
          <xdr:nvSpPr>
            <xdr:cNvPr id="28" name="WordArt 4">
              <a:extLst>
                <a:ext uri="{FF2B5EF4-FFF2-40B4-BE49-F238E27FC236}">
                  <a16:creationId xmlns:a16="http://schemas.microsoft.com/office/drawing/2014/main" id="{00000000-0008-0000-0100-00001C000000}"/>
                </a:ext>
              </a:extLst>
            </xdr:cNvPr>
            <xdr:cNvSpPr>
              <a:spLocks noChangeArrowheads="1" noChangeShapeType="1" noTextEdit="1"/>
            </xdr:cNvSpPr>
          </xdr:nvSpPr>
          <xdr:spPr bwMode="auto">
            <a:xfrm>
              <a:off x="5761264" y="7943850"/>
              <a:ext cx="115207" cy="4699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a:t>
              </a:r>
            </a:p>
          </xdr:txBody>
        </xdr:sp>
      </xdr:grpSp>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3493865" y="6849601"/>
            <a:ext cx="1937617" cy="687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100" b="1" u="sng">
                <a:solidFill>
                  <a:srgbClr val="FFFF00"/>
                </a:solidFill>
              </a:rPr>
              <a:t>Variáveis</a:t>
            </a:r>
            <a:r>
              <a:rPr lang="pt-PT" sz="1100" b="1" u="none">
                <a:solidFill>
                  <a:srgbClr val="FFFF00"/>
                </a:solidFill>
              </a:rPr>
              <a:t> p</a:t>
            </a:r>
            <a:r>
              <a:rPr lang="pt-PT" sz="1100" b="1">
                <a:solidFill>
                  <a:srgbClr val="FFFF00"/>
                </a:solidFill>
              </a:rPr>
              <a:t>or:</a:t>
            </a:r>
          </a:p>
          <a:p>
            <a:r>
              <a:rPr lang="pt-PT" sz="1100">
                <a:solidFill>
                  <a:srgbClr val="FFFF00"/>
                </a:solidFill>
              </a:rPr>
              <a:t>- Distrito</a:t>
            </a:r>
          </a:p>
        </xdr:txBody>
      </xdr:sp>
    </xdr:grpSp>
    <xdr:clientData/>
  </xdr:twoCellAnchor>
  <xdr:twoCellAnchor>
    <xdr:from>
      <xdr:col>0</xdr:col>
      <xdr:colOff>0</xdr:colOff>
      <xdr:row>25</xdr:row>
      <xdr:rowOff>3857</xdr:rowOff>
    </xdr:from>
    <xdr:to>
      <xdr:col>10</xdr:col>
      <xdr:colOff>508000</xdr:colOff>
      <xdr:row>28</xdr:row>
      <xdr:rowOff>179285</xdr:rowOff>
    </xdr:to>
    <xdr:grpSp>
      <xdr:nvGrpSpPr>
        <xdr:cNvPr id="29" name="Agrupar 28">
          <a:extLst>
            <a:ext uri="{FF2B5EF4-FFF2-40B4-BE49-F238E27FC236}">
              <a16:creationId xmlns:a16="http://schemas.microsoft.com/office/drawing/2014/main" id="{00000000-0008-0000-0100-00001D000000}"/>
            </a:ext>
          </a:extLst>
        </xdr:cNvPr>
        <xdr:cNvGrpSpPr/>
      </xdr:nvGrpSpPr>
      <xdr:grpSpPr>
        <a:xfrm>
          <a:off x="0" y="4766357"/>
          <a:ext cx="12414250" cy="746928"/>
          <a:chOff x="87368" y="4457925"/>
          <a:chExt cx="6359071" cy="896937"/>
        </a:xfrm>
      </xdr:grpSpPr>
      <xdr:grpSp>
        <xdr:nvGrpSpPr>
          <xdr:cNvPr id="30" name="Agrupar 29">
            <a:extLst>
              <a:ext uri="{FF2B5EF4-FFF2-40B4-BE49-F238E27FC236}">
                <a16:creationId xmlns:a16="http://schemas.microsoft.com/office/drawing/2014/main" id="{00000000-0008-0000-0100-00001E000000}"/>
              </a:ext>
            </a:extLst>
          </xdr:cNvPr>
          <xdr:cNvGrpSpPr/>
        </xdr:nvGrpSpPr>
        <xdr:grpSpPr>
          <a:xfrm>
            <a:off x="87368" y="4457925"/>
            <a:ext cx="6359071" cy="896937"/>
            <a:chOff x="87368" y="4457925"/>
            <a:chExt cx="6359071" cy="896937"/>
          </a:xfrm>
        </xdr:grpSpPr>
        <xdr:sp macro="" textlink="">
          <xdr:nvSpPr>
            <xdr:cNvPr id="32" name="Rectangle 2">
              <a:extLst>
                <a:ext uri="{FF2B5EF4-FFF2-40B4-BE49-F238E27FC236}">
                  <a16:creationId xmlns:a16="http://schemas.microsoft.com/office/drawing/2014/main" id="{00000000-0008-0000-0100-000020000000}"/>
                </a:ext>
              </a:extLst>
            </xdr:cNvPr>
            <xdr:cNvSpPr>
              <a:spLocks noChangeArrowheads="1"/>
            </xdr:cNvSpPr>
          </xdr:nvSpPr>
          <xdr:spPr bwMode="auto">
            <a:xfrm>
              <a:off x="87368" y="4619850"/>
              <a:ext cx="6359071" cy="735012"/>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33" name="Rectangle 3">
              <a:hlinkClick xmlns:r="http://schemas.openxmlformats.org/officeDocument/2006/relationships" r:id="rId2"/>
              <a:extLst>
                <a:ext uri="{FF2B5EF4-FFF2-40B4-BE49-F238E27FC236}">
                  <a16:creationId xmlns:a16="http://schemas.microsoft.com/office/drawing/2014/main" id="{00000000-0008-0000-0100-000021000000}"/>
                </a:ext>
              </a:extLst>
            </xdr:cNvPr>
            <xdr:cNvSpPr>
              <a:spLocks noChangeArrowheads="1"/>
            </xdr:cNvSpPr>
          </xdr:nvSpPr>
          <xdr:spPr bwMode="auto">
            <a:xfrm>
              <a:off x="112384" y="4457925"/>
              <a:ext cx="3301093" cy="728662"/>
            </a:xfrm>
            <a:prstGeom prst="rect">
              <a:avLst/>
            </a:prstGeom>
            <a:solidFill>
              <a:srgbClr val="FFFF00"/>
            </a:solidFill>
            <a:ln w="28575" cap="rnd">
              <a:noFill/>
              <a:prstDash val="sysDot"/>
              <a:miter lim="800000"/>
              <a:headEnd/>
              <a:tailEn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sp macro="" textlink="">
          <xdr:nvSpPr>
            <xdr:cNvPr id="34" name="Text Box 10">
              <a:hlinkClick xmlns:r="http://schemas.openxmlformats.org/officeDocument/2006/relationships" r:id="rId2" tooltip="Estrutura Empresarial"/>
              <a:extLst>
                <a:ext uri="{FF2B5EF4-FFF2-40B4-BE49-F238E27FC236}">
                  <a16:creationId xmlns:a16="http://schemas.microsoft.com/office/drawing/2014/main" id="{00000000-0008-0000-0100-000022000000}"/>
                </a:ext>
              </a:extLst>
            </xdr:cNvPr>
            <xdr:cNvSpPr txBox="1">
              <a:spLocks noChangeArrowheads="1"/>
            </xdr:cNvSpPr>
          </xdr:nvSpPr>
          <xdr:spPr bwMode="auto">
            <a:xfrm>
              <a:off x="450417" y="4609164"/>
              <a:ext cx="2459492" cy="376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500" b="1">
                  <a:solidFill>
                    <a:srgbClr val="00467A"/>
                  </a:solidFill>
                  <a:latin typeface="Arial" charset="0"/>
                </a:rPr>
                <a:t>Estrutura</a:t>
              </a:r>
              <a:r>
                <a:rPr lang="en-US" altLang="pt-PT" sz="1500" b="1" baseline="0">
                  <a:solidFill>
                    <a:srgbClr val="00467A"/>
                  </a:solidFill>
                  <a:latin typeface="Arial" charset="0"/>
                </a:rPr>
                <a:t> Empresarial</a:t>
              </a:r>
              <a:endParaRPr lang="en-US" altLang="pt-PT" sz="1500" b="1">
                <a:solidFill>
                  <a:srgbClr val="00467A"/>
                </a:solidFill>
                <a:latin typeface="Arial" charset="0"/>
              </a:endParaRPr>
            </a:p>
          </xdr:txBody>
        </xdr:sp>
        <xdr:sp macro="" textlink="">
          <xdr:nvSpPr>
            <xdr:cNvPr id="35" name="CaixaDeTexto 34">
              <a:extLst>
                <a:ext uri="{FF2B5EF4-FFF2-40B4-BE49-F238E27FC236}">
                  <a16:creationId xmlns:a16="http://schemas.microsoft.com/office/drawing/2014/main" id="{00000000-0008-0000-0100-000023000000}"/>
                </a:ext>
              </a:extLst>
            </xdr:cNvPr>
            <xdr:cNvSpPr txBox="1"/>
          </xdr:nvSpPr>
          <xdr:spPr>
            <a:xfrm>
              <a:off x="3484249" y="4576079"/>
              <a:ext cx="1937617" cy="770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100" b="1" u="sng">
                  <a:solidFill>
                    <a:srgbClr val="FFFF00"/>
                  </a:solidFill>
                </a:rPr>
                <a:t>Variáveis</a:t>
              </a:r>
              <a:r>
                <a:rPr lang="pt-PT" sz="1100" b="1" u="none">
                  <a:solidFill>
                    <a:srgbClr val="FFFF00"/>
                  </a:solidFill>
                </a:rPr>
                <a:t> p</a:t>
              </a:r>
              <a:r>
                <a:rPr lang="pt-PT" sz="1100" b="1">
                  <a:solidFill>
                    <a:srgbClr val="FFFF00"/>
                  </a:solidFill>
                </a:rPr>
                <a:t>or:</a:t>
              </a:r>
            </a:p>
            <a:p>
              <a:r>
                <a:rPr lang="pt-PT" sz="1100">
                  <a:solidFill>
                    <a:srgbClr val="FFFF00"/>
                  </a:solidFill>
                </a:rPr>
                <a:t>- Atividade económica da empresa/ estabelecimento</a:t>
              </a:r>
            </a:p>
            <a:p>
              <a:r>
                <a:rPr lang="pt-PT" sz="1100">
                  <a:solidFill>
                    <a:srgbClr val="FFFF00"/>
                  </a:solidFill>
                </a:rPr>
                <a:t>- Dimensão da empresa</a:t>
              </a:r>
              <a:r>
                <a:rPr lang="pt-PT" sz="1100" baseline="0">
                  <a:solidFill>
                    <a:srgbClr val="FFFF00"/>
                  </a:solidFill>
                </a:rPr>
                <a:t>/</a:t>
              </a:r>
              <a:r>
                <a:rPr lang="pt-PT" sz="1100">
                  <a:solidFill>
                    <a:srgbClr val="FFFF00"/>
                  </a:solidFill>
                  <a:latin typeface="+mn-lt"/>
                  <a:ea typeface="+mn-ea"/>
                  <a:cs typeface="+mn-cs"/>
                </a:rPr>
                <a:t>estabelecimento</a:t>
              </a:r>
            </a:p>
          </xdr:txBody>
        </xdr:sp>
      </xdr:grpSp>
      <xdr:sp macro="" textlink="">
        <xdr:nvSpPr>
          <xdr:cNvPr id="31" name="WordArt 4">
            <a:extLst>
              <a:ext uri="{FF2B5EF4-FFF2-40B4-BE49-F238E27FC236}">
                <a16:creationId xmlns:a16="http://schemas.microsoft.com/office/drawing/2014/main" id="{00000000-0008-0000-0100-00001F000000}"/>
              </a:ext>
            </a:extLst>
          </xdr:cNvPr>
          <xdr:cNvSpPr>
            <a:spLocks noChangeArrowheads="1" noChangeShapeType="1" noTextEdit="1"/>
          </xdr:cNvSpPr>
        </xdr:nvSpPr>
        <xdr:spPr bwMode="auto">
          <a:xfrm>
            <a:off x="6076950" y="4762047"/>
            <a:ext cx="111125" cy="4699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a:t>
            </a:r>
          </a:p>
        </xdr:txBody>
      </xdr:sp>
    </xdr:grpSp>
    <xdr:clientData/>
  </xdr:twoCellAnchor>
  <xdr:twoCellAnchor>
    <xdr:from>
      <xdr:col>0</xdr:col>
      <xdr:colOff>0</xdr:colOff>
      <xdr:row>44</xdr:row>
      <xdr:rowOff>165996</xdr:rowOff>
    </xdr:from>
    <xdr:to>
      <xdr:col>10</xdr:col>
      <xdr:colOff>398060</xdr:colOff>
      <xdr:row>49</xdr:row>
      <xdr:rowOff>81642</xdr:rowOff>
    </xdr:to>
    <xdr:grpSp>
      <xdr:nvGrpSpPr>
        <xdr:cNvPr id="36" name="Agrupar 35">
          <a:extLst>
            <a:ext uri="{FF2B5EF4-FFF2-40B4-BE49-F238E27FC236}">
              <a16:creationId xmlns:a16="http://schemas.microsoft.com/office/drawing/2014/main" id="{00000000-0008-0000-0100-000024000000}"/>
            </a:ext>
          </a:extLst>
        </xdr:cNvPr>
        <xdr:cNvGrpSpPr/>
      </xdr:nvGrpSpPr>
      <xdr:grpSpPr>
        <a:xfrm>
          <a:off x="0" y="8547996"/>
          <a:ext cx="12304310" cy="868146"/>
          <a:chOff x="29714" y="7622719"/>
          <a:chExt cx="6361601" cy="1069451"/>
        </a:xfrm>
      </xdr:grpSpPr>
      <xdr:sp macro="" textlink="">
        <xdr:nvSpPr>
          <xdr:cNvPr id="37" name="Rectangle 8">
            <a:extLst>
              <a:ext uri="{FF2B5EF4-FFF2-40B4-BE49-F238E27FC236}">
                <a16:creationId xmlns:a16="http://schemas.microsoft.com/office/drawing/2014/main" id="{00000000-0008-0000-0100-000025000000}"/>
              </a:ext>
            </a:extLst>
          </xdr:cNvPr>
          <xdr:cNvSpPr>
            <a:spLocks noChangeArrowheads="1"/>
          </xdr:cNvSpPr>
        </xdr:nvSpPr>
        <xdr:spPr bwMode="auto">
          <a:xfrm>
            <a:off x="32244" y="7737477"/>
            <a:ext cx="6359071" cy="836791"/>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38" name="Rectangle 9">
            <a:hlinkClick xmlns:r="http://schemas.openxmlformats.org/officeDocument/2006/relationships" r:id="rId3"/>
            <a:extLst>
              <a:ext uri="{FF2B5EF4-FFF2-40B4-BE49-F238E27FC236}">
                <a16:creationId xmlns:a16="http://schemas.microsoft.com/office/drawing/2014/main" id="{00000000-0008-0000-0100-000026000000}"/>
              </a:ext>
            </a:extLst>
          </xdr:cNvPr>
          <xdr:cNvSpPr>
            <a:spLocks noChangeArrowheads="1"/>
          </xdr:cNvSpPr>
        </xdr:nvSpPr>
        <xdr:spPr bwMode="auto">
          <a:xfrm>
            <a:off x="44541" y="7622719"/>
            <a:ext cx="3301093" cy="722312"/>
          </a:xfrm>
          <a:prstGeom prst="rect">
            <a:avLst/>
          </a:prstGeom>
          <a:solidFill>
            <a:srgbClr val="FFFF00"/>
          </a:solidFill>
          <a:ln w="28575" cap="rnd">
            <a:noFill/>
            <a:prstDash val="sysDot"/>
            <a:miter lim="800000"/>
            <a:headEnd/>
            <a:tailEn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sp macro="" textlink="">
        <xdr:nvSpPr>
          <xdr:cNvPr id="39" name="CaixaDeTexto 38">
            <a:extLst>
              <a:ext uri="{FF2B5EF4-FFF2-40B4-BE49-F238E27FC236}">
                <a16:creationId xmlns:a16="http://schemas.microsoft.com/office/drawing/2014/main" id="{00000000-0008-0000-0100-000027000000}"/>
              </a:ext>
            </a:extLst>
          </xdr:cNvPr>
          <xdr:cNvSpPr txBox="1"/>
        </xdr:nvSpPr>
        <xdr:spPr>
          <a:xfrm>
            <a:off x="3450279" y="7673677"/>
            <a:ext cx="2104686" cy="101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100" b="1" u="sng">
                <a:solidFill>
                  <a:srgbClr val="FFFF00"/>
                </a:solidFill>
              </a:rPr>
              <a:t>Variáveis</a:t>
            </a:r>
            <a:r>
              <a:rPr lang="pt-PT" sz="1100" b="1" u="none">
                <a:solidFill>
                  <a:srgbClr val="FFFF00"/>
                </a:solidFill>
              </a:rPr>
              <a:t> p</a:t>
            </a:r>
            <a:r>
              <a:rPr lang="pt-PT" sz="1100" b="1">
                <a:solidFill>
                  <a:srgbClr val="FFFF00"/>
                </a:solidFill>
              </a:rPr>
              <a:t>or:</a:t>
            </a:r>
          </a:p>
          <a:p>
            <a:pPr lvl="0"/>
            <a:r>
              <a:rPr lang="pt-PT" sz="1100" u="none">
                <a:solidFill>
                  <a:srgbClr val="FFFF00"/>
                </a:solidFill>
                <a:effectLst/>
                <a:latin typeface="+mn-lt"/>
                <a:ea typeface="+mn-ea"/>
                <a:cs typeface="+mn-cs"/>
              </a:rPr>
              <a:t>- Grupo Etário e Sexo</a:t>
            </a:r>
          </a:p>
          <a:p>
            <a:pPr lvl="0"/>
            <a:r>
              <a:rPr lang="pt-PT" sz="1100" u="none">
                <a:solidFill>
                  <a:srgbClr val="FFFF00"/>
                </a:solidFill>
                <a:effectLst/>
                <a:latin typeface="+mn-lt"/>
                <a:ea typeface="+mn-ea"/>
                <a:cs typeface="+mn-cs"/>
              </a:rPr>
              <a:t>-</a:t>
            </a:r>
            <a:r>
              <a:rPr lang="pt-PT" sz="1100" u="none" baseline="0">
                <a:solidFill>
                  <a:srgbClr val="FFFF00"/>
                </a:solidFill>
                <a:effectLst/>
                <a:latin typeface="+mn-lt"/>
                <a:ea typeface="+mn-ea"/>
                <a:cs typeface="+mn-cs"/>
              </a:rPr>
              <a:t> </a:t>
            </a:r>
            <a:r>
              <a:rPr lang="pt-PT" sz="1100" u="none">
                <a:solidFill>
                  <a:srgbClr val="FFFF00"/>
                </a:solidFill>
                <a:effectLst/>
                <a:latin typeface="+mn-lt"/>
                <a:ea typeface="+mn-ea"/>
                <a:cs typeface="+mn-cs"/>
              </a:rPr>
              <a:t>Nível de Qualificação e Sexo</a:t>
            </a:r>
          </a:p>
          <a:p>
            <a:pPr lvl="0"/>
            <a:r>
              <a:rPr lang="pt-PT" sz="1100" u="none">
                <a:solidFill>
                  <a:srgbClr val="FFFF00"/>
                </a:solidFill>
                <a:effectLst/>
                <a:latin typeface="+mn-lt"/>
                <a:ea typeface="+mn-ea"/>
                <a:cs typeface="+mn-cs"/>
              </a:rPr>
              <a:t>- Nível de Habilitação </a:t>
            </a:r>
          </a:p>
        </xdr:txBody>
      </xdr:sp>
      <xdr:sp macro="" textlink="">
        <xdr:nvSpPr>
          <xdr:cNvPr id="40" name="Text Box 12">
            <a:hlinkClick xmlns:r="http://schemas.openxmlformats.org/officeDocument/2006/relationships" r:id="rId3" tooltip="Características dos Trabalhadores por Conta de Outrem (TCO)"/>
            <a:extLst>
              <a:ext uri="{FF2B5EF4-FFF2-40B4-BE49-F238E27FC236}">
                <a16:creationId xmlns:a16="http://schemas.microsoft.com/office/drawing/2014/main" id="{00000000-0008-0000-0100-000028000000}"/>
              </a:ext>
            </a:extLst>
          </xdr:cNvPr>
          <xdr:cNvSpPr txBox="1">
            <a:spLocks noChangeArrowheads="1"/>
          </xdr:cNvSpPr>
        </xdr:nvSpPr>
        <xdr:spPr bwMode="auto">
          <a:xfrm>
            <a:off x="29714" y="7637015"/>
            <a:ext cx="3169418" cy="623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500" b="1">
                <a:solidFill>
                  <a:srgbClr val="00467A"/>
                </a:solidFill>
                <a:latin typeface="Arial" charset="0"/>
              </a:rPr>
              <a:t>Características dos Trabalhadores</a:t>
            </a:r>
            <a:r>
              <a:rPr lang="en-US" altLang="pt-PT" sz="1500" b="1" baseline="0">
                <a:solidFill>
                  <a:srgbClr val="00467A"/>
                </a:solidFill>
                <a:latin typeface="Arial" charset="0"/>
              </a:rPr>
              <a:t> por Conta de Outrem (TCO)</a:t>
            </a:r>
            <a:endParaRPr lang="en-US" altLang="pt-PT" sz="1500" b="1">
              <a:solidFill>
                <a:srgbClr val="00467A"/>
              </a:solidFill>
              <a:latin typeface="Arial" charset="0"/>
            </a:endParaRPr>
          </a:p>
        </xdr:txBody>
      </xdr:sp>
      <xdr:sp macro="" textlink="">
        <xdr:nvSpPr>
          <xdr:cNvPr id="41" name="WordArt 37">
            <a:extLst>
              <a:ext uri="{FF2B5EF4-FFF2-40B4-BE49-F238E27FC236}">
                <a16:creationId xmlns:a16="http://schemas.microsoft.com/office/drawing/2014/main" id="{00000000-0008-0000-0100-000029000000}"/>
              </a:ext>
            </a:extLst>
          </xdr:cNvPr>
          <xdr:cNvSpPr>
            <a:spLocks noChangeArrowheads="1" noChangeShapeType="1" noTextEdit="1"/>
          </xdr:cNvSpPr>
        </xdr:nvSpPr>
        <xdr:spPr bwMode="auto">
          <a:xfrm>
            <a:off x="5913777" y="7878536"/>
            <a:ext cx="345986" cy="4699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V</a:t>
            </a:r>
          </a:p>
        </xdr:txBody>
      </xdr:sp>
    </xdr:grpSp>
    <xdr:clientData/>
  </xdr:twoCellAnchor>
  <xdr:twoCellAnchor>
    <xdr:from>
      <xdr:col>0</xdr:col>
      <xdr:colOff>27211</xdr:colOff>
      <xdr:row>49</xdr:row>
      <xdr:rowOff>132432</xdr:rowOff>
    </xdr:from>
    <xdr:to>
      <xdr:col>10</xdr:col>
      <xdr:colOff>535211</xdr:colOff>
      <xdr:row>52</xdr:row>
      <xdr:rowOff>453573</xdr:rowOff>
    </xdr:to>
    <xdr:grpSp>
      <xdr:nvGrpSpPr>
        <xdr:cNvPr id="42" name="Agrupar 41">
          <a:extLst>
            <a:ext uri="{FF2B5EF4-FFF2-40B4-BE49-F238E27FC236}">
              <a16:creationId xmlns:a16="http://schemas.microsoft.com/office/drawing/2014/main" id="{00000000-0008-0000-0100-00002A000000}"/>
            </a:ext>
          </a:extLst>
        </xdr:cNvPr>
        <xdr:cNvGrpSpPr/>
      </xdr:nvGrpSpPr>
      <xdr:grpSpPr>
        <a:xfrm>
          <a:off x="27211" y="9466932"/>
          <a:ext cx="12414250" cy="892641"/>
          <a:chOff x="78831" y="8664826"/>
          <a:chExt cx="6359071" cy="1035176"/>
        </a:xfrm>
      </xdr:grpSpPr>
      <xdr:sp macro="" textlink="">
        <xdr:nvSpPr>
          <xdr:cNvPr id="43" name="Rectangle 8">
            <a:extLst>
              <a:ext uri="{FF2B5EF4-FFF2-40B4-BE49-F238E27FC236}">
                <a16:creationId xmlns:a16="http://schemas.microsoft.com/office/drawing/2014/main" id="{00000000-0008-0000-0100-00002B000000}"/>
              </a:ext>
            </a:extLst>
          </xdr:cNvPr>
          <xdr:cNvSpPr>
            <a:spLocks noChangeArrowheads="1"/>
          </xdr:cNvSpPr>
        </xdr:nvSpPr>
        <xdr:spPr bwMode="auto">
          <a:xfrm>
            <a:off x="78831" y="8801547"/>
            <a:ext cx="6359071" cy="735013"/>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44" name="Rectangle 9">
            <a:hlinkClick xmlns:r="http://schemas.openxmlformats.org/officeDocument/2006/relationships" r:id="rId4"/>
            <a:extLst>
              <a:ext uri="{FF2B5EF4-FFF2-40B4-BE49-F238E27FC236}">
                <a16:creationId xmlns:a16="http://schemas.microsoft.com/office/drawing/2014/main" id="{00000000-0008-0000-0100-00002C000000}"/>
              </a:ext>
            </a:extLst>
          </xdr:cNvPr>
          <xdr:cNvSpPr>
            <a:spLocks noChangeArrowheads="1"/>
          </xdr:cNvSpPr>
        </xdr:nvSpPr>
        <xdr:spPr bwMode="auto">
          <a:xfrm>
            <a:off x="82952" y="8664826"/>
            <a:ext cx="3301093" cy="722313"/>
          </a:xfrm>
          <a:prstGeom prst="rect">
            <a:avLst/>
          </a:prstGeom>
          <a:solidFill>
            <a:srgbClr val="FFFF00"/>
          </a:solidFill>
          <a:ln w="28575" cap="rnd">
            <a:noFill/>
            <a:prstDash val="sysDot"/>
            <a:miter lim="800000"/>
            <a:headEnd/>
            <a:tailEn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sp macro="" textlink="">
        <xdr:nvSpPr>
          <xdr:cNvPr id="45" name="CaixaDeTexto 44">
            <a:extLst>
              <a:ext uri="{FF2B5EF4-FFF2-40B4-BE49-F238E27FC236}">
                <a16:creationId xmlns:a16="http://schemas.microsoft.com/office/drawing/2014/main" id="{00000000-0008-0000-0100-00002D000000}"/>
              </a:ext>
            </a:extLst>
          </xdr:cNvPr>
          <xdr:cNvSpPr txBox="1"/>
        </xdr:nvSpPr>
        <xdr:spPr>
          <a:xfrm>
            <a:off x="3413466" y="8813179"/>
            <a:ext cx="1937617" cy="886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r>
              <a:rPr lang="pt-PT" sz="1100" u="none">
                <a:solidFill>
                  <a:srgbClr val="FFFF00"/>
                </a:solidFill>
                <a:effectLst/>
                <a:latin typeface="+mn-lt"/>
                <a:ea typeface="+mn-ea"/>
                <a:cs typeface="+mn-cs"/>
              </a:rPr>
              <a:t>- TCO por escalões de remuneração</a:t>
            </a:r>
          </a:p>
          <a:p>
            <a:pPr lvl="0"/>
            <a:r>
              <a:rPr lang="pt-PT" sz="1100" u="none">
                <a:solidFill>
                  <a:srgbClr val="FFFF00"/>
                </a:solidFill>
                <a:effectLst/>
                <a:latin typeface="+mn-lt"/>
                <a:ea typeface="+mn-ea"/>
                <a:cs typeface="+mn-cs"/>
              </a:rPr>
              <a:t>- </a:t>
            </a:r>
            <a:r>
              <a:rPr lang="pt-PT" sz="1100" u="none" baseline="0">
                <a:solidFill>
                  <a:srgbClr val="FFFF00"/>
                </a:solidFill>
                <a:effectLst/>
                <a:latin typeface="+mn-lt"/>
                <a:ea typeface="+mn-ea"/>
                <a:cs typeface="+mn-cs"/>
              </a:rPr>
              <a:t> Medidas de localização</a:t>
            </a:r>
            <a:endParaRPr lang="pt-PT" sz="1100" u="none">
              <a:solidFill>
                <a:srgbClr val="FFFF00"/>
              </a:solidFill>
              <a:effectLst/>
              <a:latin typeface="+mn-lt"/>
              <a:ea typeface="+mn-ea"/>
              <a:cs typeface="+mn-cs"/>
            </a:endParaRPr>
          </a:p>
          <a:p>
            <a:pPr lvl="0"/>
            <a:r>
              <a:rPr lang="pt-PT" sz="1100" u="none">
                <a:solidFill>
                  <a:srgbClr val="FFFF00"/>
                </a:solidFill>
                <a:effectLst/>
                <a:latin typeface="+mn-lt"/>
                <a:ea typeface="+mn-ea"/>
                <a:cs typeface="+mn-cs"/>
              </a:rPr>
              <a:t>- TCO abrangidos e remunerações médias por tipo de IRCT</a:t>
            </a:r>
          </a:p>
        </xdr:txBody>
      </xdr:sp>
      <xdr:sp macro="" textlink="">
        <xdr:nvSpPr>
          <xdr:cNvPr id="46" name="Text Box 12">
            <a:hlinkClick xmlns:r="http://schemas.openxmlformats.org/officeDocument/2006/relationships" r:id="rId4" tooltip="Desigualdade e Contratação Coletiva"/>
            <a:extLst>
              <a:ext uri="{FF2B5EF4-FFF2-40B4-BE49-F238E27FC236}">
                <a16:creationId xmlns:a16="http://schemas.microsoft.com/office/drawing/2014/main" id="{00000000-0008-0000-0100-00002E000000}"/>
              </a:ext>
            </a:extLst>
          </xdr:cNvPr>
          <xdr:cNvSpPr txBox="1">
            <a:spLocks noChangeArrowheads="1"/>
          </xdr:cNvSpPr>
        </xdr:nvSpPr>
        <xdr:spPr bwMode="auto">
          <a:xfrm>
            <a:off x="388720" y="8825760"/>
            <a:ext cx="2459492" cy="31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500" b="1">
                <a:solidFill>
                  <a:srgbClr val="00467A"/>
                </a:solidFill>
                <a:latin typeface="Arial" charset="0"/>
              </a:rPr>
              <a:t>Desigualdade e Contratação Coletiva</a:t>
            </a:r>
          </a:p>
        </xdr:txBody>
      </xdr:sp>
      <xdr:sp macro="" textlink="">
        <xdr:nvSpPr>
          <xdr:cNvPr id="47" name="WordArt 41">
            <a:extLst>
              <a:ext uri="{FF2B5EF4-FFF2-40B4-BE49-F238E27FC236}">
                <a16:creationId xmlns:a16="http://schemas.microsoft.com/office/drawing/2014/main" id="{00000000-0008-0000-0100-00002F000000}"/>
              </a:ext>
            </a:extLst>
          </xdr:cNvPr>
          <xdr:cNvSpPr>
            <a:spLocks noChangeArrowheads="1" noChangeShapeType="1" noTextEdit="1"/>
          </xdr:cNvSpPr>
        </xdr:nvSpPr>
        <xdr:spPr bwMode="auto">
          <a:xfrm>
            <a:off x="5853295" y="8926286"/>
            <a:ext cx="397139" cy="468313"/>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VI</a:t>
            </a:r>
          </a:p>
        </xdr:txBody>
      </xdr:sp>
    </xdr:grpSp>
    <xdr:clientData/>
  </xdr:twoCellAnchor>
  <xdr:twoCellAnchor>
    <xdr:from>
      <xdr:col>0</xdr:col>
      <xdr:colOff>1814</xdr:colOff>
      <xdr:row>30</xdr:row>
      <xdr:rowOff>73032</xdr:rowOff>
    </xdr:from>
    <xdr:to>
      <xdr:col>10</xdr:col>
      <xdr:colOff>509480</xdr:colOff>
      <xdr:row>34</xdr:row>
      <xdr:rowOff>81647</xdr:rowOff>
    </xdr:to>
    <xdr:grpSp>
      <xdr:nvGrpSpPr>
        <xdr:cNvPr id="48" name="Agrupar 47">
          <a:extLst>
            <a:ext uri="{FF2B5EF4-FFF2-40B4-BE49-F238E27FC236}">
              <a16:creationId xmlns:a16="http://schemas.microsoft.com/office/drawing/2014/main" id="{00000000-0008-0000-0100-000030000000}"/>
            </a:ext>
          </a:extLst>
        </xdr:cNvPr>
        <xdr:cNvGrpSpPr/>
      </xdr:nvGrpSpPr>
      <xdr:grpSpPr>
        <a:xfrm>
          <a:off x="1814" y="5788032"/>
          <a:ext cx="12413916" cy="770615"/>
          <a:chOff x="97064" y="6196240"/>
          <a:chExt cx="6338632" cy="901267"/>
        </a:xfrm>
      </xdr:grpSpPr>
      <xdr:grpSp>
        <xdr:nvGrpSpPr>
          <xdr:cNvPr id="49" name="Agrupar 48">
            <a:extLst>
              <a:ext uri="{FF2B5EF4-FFF2-40B4-BE49-F238E27FC236}">
                <a16:creationId xmlns:a16="http://schemas.microsoft.com/office/drawing/2014/main" id="{00000000-0008-0000-0100-000031000000}"/>
              </a:ext>
            </a:extLst>
          </xdr:cNvPr>
          <xdr:cNvGrpSpPr/>
        </xdr:nvGrpSpPr>
        <xdr:grpSpPr>
          <a:xfrm>
            <a:off x="97064" y="6196240"/>
            <a:ext cx="6338632" cy="901267"/>
            <a:chOff x="97064" y="5488668"/>
            <a:chExt cx="6338632" cy="901267"/>
          </a:xfrm>
        </xdr:grpSpPr>
        <xdr:sp macro="" textlink="">
          <xdr:nvSpPr>
            <xdr:cNvPr id="51" name="Rectangle 5">
              <a:extLst>
                <a:ext uri="{FF2B5EF4-FFF2-40B4-BE49-F238E27FC236}">
                  <a16:creationId xmlns:a16="http://schemas.microsoft.com/office/drawing/2014/main" id="{00000000-0008-0000-0100-000033000000}"/>
                </a:ext>
              </a:extLst>
            </xdr:cNvPr>
            <xdr:cNvSpPr>
              <a:spLocks noChangeArrowheads="1"/>
            </xdr:cNvSpPr>
          </xdr:nvSpPr>
          <xdr:spPr bwMode="auto">
            <a:xfrm>
              <a:off x="97064" y="5635399"/>
              <a:ext cx="6338632" cy="736599"/>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52" name="Rectangle 6">
              <a:hlinkClick xmlns:r="http://schemas.openxmlformats.org/officeDocument/2006/relationships" r:id="rId5"/>
              <a:extLst>
                <a:ext uri="{FF2B5EF4-FFF2-40B4-BE49-F238E27FC236}">
                  <a16:creationId xmlns:a16="http://schemas.microsoft.com/office/drawing/2014/main" id="{00000000-0008-0000-0100-000034000000}"/>
                </a:ext>
              </a:extLst>
            </xdr:cNvPr>
            <xdr:cNvSpPr>
              <a:spLocks noChangeArrowheads="1"/>
            </xdr:cNvSpPr>
          </xdr:nvSpPr>
          <xdr:spPr bwMode="auto">
            <a:xfrm>
              <a:off x="116313" y="5488668"/>
              <a:ext cx="3301093" cy="727075"/>
            </a:xfrm>
            <a:prstGeom prst="rect">
              <a:avLst/>
            </a:prstGeom>
            <a:solidFill>
              <a:srgbClr val="FFFF00"/>
            </a:solidFill>
            <a:ln w="28575" cap="rnd">
              <a:noFill/>
              <a:prstDash val="sysDot"/>
              <a:miter lim="800000"/>
              <a:headEnd/>
              <a:tailEn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sp macro="" textlink="">
          <xdr:nvSpPr>
            <xdr:cNvPr id="53" name="Text Box 11">
              <a:hlinkClick xmlns:r="http://schemas.openxmlformats.org/officeDocument/2006/relationships" r:id="rId5" tooltip="Estrutura Empresarial - Remunerações"/>
              <a:extLst>
                <a:ext uri="{FF2B5EF4-FFF2-40B4-BE49-F238E27FC236}">
                  <a16:creationId xmlns:a16="http://schemas.microsoft.com/office/drawing/2014/main" id="{00000000-0008-0000-0100-000035000000}"/>
                </a:ext>
              </a:extLst>
            </xdr:cNvPr>
            <xdr:cNvSpPr txBox="1">
              <a:spLocks noChangeArrowheads="1"/>
            </xdr:cNvSpPr>
          </xdr:nvSpPr>
          <xdr:spPr bwMode="auto">
            <a:xfrm>
              <a:off x="427240" y="5548873"/>
              <a:ext cx="2459492" cy="538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500" b="1">
                  <a:solidFill>
                    <a:srgbClr val="00467A"/>
                  </a:solidFill>
                  <a:latin typeface="Arial" charset="0"/>
                </a:rPr>
                <a:t>Estrutura Empresarial</a:t>
              </a:r>
              <a:r>
                <a:rPr lang="en-US" altLang="pt-PT" sz="1500" b="1" baseline="0">
                  <a:solidFill>
                    <a:srgbClr val="00467A"/>
                  </a:solidFill>
                  <a:latin typeface="Arial" charset="0"/>
                </a:rPr>
                <a:t> - </a:t>
              </a:r>
              <a:r>
                <a:rPr lang="en-US" altLang="pt-PT" sz="1500" b="1">
                  <a:solidFill>
                    <a:srgbClr val="00467A"/>
                  </a:solidFill>
                  <a:latin typeface="Arial" charset="0"/>
                </a:rPr>
                <a:t>Remunerações</a:t>
              </a:r>
            </a:p>
          </xdr:txBody>
        </xdr:sp>
        <xdr:sp macro="" textlink="">
          <xdr:nvSpPr>
            <xdr:cNvPr id="54" name="WordArt 4">
              <a:extLst>
                <a:ext uri="{FF2B5EF4-FFF2-40B4-BE49-F238E27FC236}">
                  <a16:creationId xmlns:a16="http://schemas.microsoft.com/office/drawing/2014/main" id="{00000000-0008-0000-0100-000036000000}"/>
                </a:ext>
              </a:extLst>
            </xdr:cNvPr>
            <xdr:cNvSpPr>
              <a:spLocks noChangeArrowheads="1" noChangeShapeType="1" noTextEdit="1"/>
            </xdr:cNvSpPr>
          </xdr:nvSpPr>
          <xdr:spPr bwMode="auto">
            <a:xfrm>
              <a:off x="6123214" y="5806168"/>
              <a:ext cx="111125" cy="4699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a:t>
              </a:r>
            </a:p>
          </xdr:txBody>
        </xdr:sp>
        <xdr:sp macro="" textlink="">
          <xdr:nvSpPr>
            <xdr:cNvPr id="55" name="CaixaDeTexto 54">
              <a:extLst>
                <a:ext uri="{FF2B5EF4-FFF2-40B4-BE49-F238E27FC236}">
                  <a16:creationId xmlns:a16="http://schemas.microsoft.com/office/drawing/2014/main" id="{00000000-0008-0000-0100-000037000000}"/>
                </a:ext>
              </a:extLst>
            </xdr:cNvPr>
            <xdr:cNvSpPr txBox="1"/>
          </xdr:nvSpPr>
          <xdr:spPr>
            <a:xfrm>
              <a:off x="3481099" y="5616348"/>
              <a:ext cx="1931439" cy="773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100" b="1" u="sng">
                  <a:solidFill>
                    <a:srgbClr val="FFFF00"/>
                  </a:solidFill>
                </a:rPr>
                <a:t>Remunerações</a:t>
              </a:r>
              <a:r>
                <a:rPr lang="pt-PT" sz="1100" b="1" u="none">
                  <a:solidFill>
                    <a:srgbClr val="FFFF00"/>
                  </a:solidFill>
                </a:rPr>
                <a:t> p</a:t>
              </a:r>
              <a:r>
                <a:rPr lang="pt-PT" sz="1100" b="1">
                  <a:solidFill>
                    <a:srgbClr val="FFFF00"/>
                  </a:solidFill>
                </a:rPr>
                <a:t>or:</a:t>
              </a:r>
            </a:p>
            <a:p>
              <a:r>
                <a:rPr lang="pt-PT" sz="1100">
                  <a:solidFill>
                    <a:srgbClr val="FFFF00"/>
                  </a:solidFill>
                </a:rPr>
                <a:t>- </a:t>
              </a:r>
              <a:r>
                <a:rPr lang="pt-PT" sz="1100">
                  <a:solidFill>
                    <a:srgbClr val="FFFF00"/>
                  </a:solidFill>
                  <a:latin typeface="+mn-lt"/>
                  <a:ea typeface="+mn-ea"/>
                  <a:cs typeface="+mn-cs"/>
                </a:rPr>
                <a:t>Atividade económica do estabelecimento</a:t>
              </a:r>
            </a:p>
            <a:p>
              <a:r>
                <a:rPr lang="pt-PT" sz="1100">
                  <a:solidFill>
                    <a:srgbClr val="FFFF00"/>
                  </a:solidFill>
                  <a:latin typeface="+mn-lt"/>
                  <a:ea typeface="+mn-ea"/>
                  <a:cs typeface="+mn-cs"/>
                </a:rPr>
                <a:t>- Dimensão do estabelecimento</a:t>
              </a:r>
            </a:p>
          </xdr:txBody>
        </xdr:sp>
      </xdr:grpSp>
      <xdr:sp macro="" textlink="">
        <xdr:nvSpPr>
          <xdr:cNvPr id="50" name="WordArt 4">
            <a:extLst>
              <a:ext uri="{FF2B5EF4-FFF2-40B4-BE49-F238E27FC236}">
                <a16:creationId xmlns:a16="http://schemas.microsoft.com/office/drawing/2014/main" id="{00000000-0008-0000-0100-000032000000}"/>
              </a:ext>
            </a:extLst>
          </xdr:cNvPr>
          <xdr:cNvSpPr>
            <a:spLocks noChangeArrowheads="1" noChangeShapeType="1" noTextEdit="1"/>
          </xdr:cNvSpPr>
        </xdr:nvSpPr>
        <xdr:spPr bwMode="auto">
          <a:xfrm>
            <a:off x="5923190" y="6513739"/>
            <a:ext cx="111125" cy="4699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a:t>
            </a:r>
          </a:p>
        </xdr:txBody>
      </xdr:sp>
    </xdr:grpSp>
    <xdr:clientData/>
  </xdr:twoCellAnchor>
  <xdr:twoCellAnchor>
    <xdr:from>
      <xdr:col>0</xdr:col>
      <xdr:colOff>0</xdr:colOff>
      <xdr:row>19</xdr:row>
      <xdr:rowOff>174396</xdr:rowOff>
    </xdr:from>
    <xdr:to>
      <xdr:col>10</xdr:col>
      <xdr:colOff>508000</xdr:colOff>
      <xdr:row>23</xdr:row>
      <xdr:rowOff>168396</xdr:rowOff>
    </xdr:to>
    <xdr:grpSp>
      <xdr:nvGrpSpPr>
        <xdr:cNvPr id="56" name="Agrupar 55">
          <a:extLst>
            <a:ext uri="{FF2B5EF4-FFF2-40B4-BE49-F238E27FC236}">
              <a16:creationId xmlns:a16="http://schemas.microsoft.com/office/drawing/2014/main" id="{00000000-0008-0000-0100-000038000000}"/>
            </a:ext>
          </a:extLst>
        </xdr:cNvPr>
        <xdr:cNvGrpSpPr/>
      </xdr:nvGrpSpPr>
      <xdr:grpSpPr>
        <a:xfrm>
          <a:off x="0" y="3793896"/>
          <a:ext cx="12414250" cy="756000"/>
          <a:chOff x="104886" y="4457925"/>
          <a:chExt cx="6359071" cy="896937"/>
        </a:xfrm>
      </xdr:grpSpPr>
      <xdr:sp macro="" textlink="">
        <xdr:nvSpPr>
          <xdr:cNvPr id="57" name="Rectangle 2">
            <a:extLst>
              <a:ext uri="{FF2B5EF4-FFF2-40B4-BE49-F238E27FC236}">
                <a16:creationId xmlns:a16="http://schemas.microsoft.com/office/drawing/2014/main" id="{00000000-0008-0000-0100-000039000000}"/>
              </a:ext>
            </a:extLst>
          </xdr:cNvPr>
          <xdr:cNvSpPr>
            <a:spLocks noChangeArrowheads="1"/>
          </xdr:cNvSpPr>
        </xdr:nvSpPr>
        <xdr:spPr bwMode="auto">
          <a:xfrm>
            <a:off x="104886" y="4619850"/>
            <a:ext cx="6359071" cy="735012"/>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58" name="Rectangle 3">
            <a:hlinkClick xmlns:r="http://schemas.openxmlformats.org/officeDocument/2006/relationships" r:id="rId6"/>
            <a:extLst>
              <a:ext uri="{FF2B5EF4-FFF2-40B4-BE49-F238E27FC236}">
                <a16:creationId xmlns:a16="http://schemas.microsoft.com/office/drawing/2014/main" id="{00000000-0008-0000-0100-00003A000000}"/>
              </a:ext>
            </a:extLst>
          </xdr:cNvPr>
          <xdr:cNvSpPr>
            <a:spLocks noChangeArrowheads="1"/>
          </xdr:cNvSpPr>
        </xdr:nvSpPr>
        <xdr:spPr bwMode="auto">
          <a:xfrm>
            <a:off x="121143" y="4457925"/>
            <a:ext cx="3301093" cy="728662"/>
          </a:xfrm>
          <a:prstGeom prst="rect">
            <a:avLst/>
          </a:prstGeom>
          <a:solidFill>
            <a:srgbClr val="FFFF00"/>
          </a:solidFill>
          <a:ln w="28575" cap="rnd">
            <a:noFill/>
            <a:prstDash val="sysDot"/>
            <a:miter lim="800000"/>
            <a:headEnd/>
            <a:tailEn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sp macro="" textlink="">
        <xdr:nvSpPr>
          <xdr:cNvPr id="59" name="Text Box 10">
            <a:hlinkClick xmlns:r="http://schemas.openxmlformats.org/officeDocument/2006/relationships" r:id="rId6" tooltip="Introdução e Metainformação"/>
            <a:extLst>
              <a:ext uri="{FF2B5EF4-FFF2-40B4-BE49-F238E27FC236}">
                <a16:creationId xmlns:a16="http://schemas.microsoft.com/office/drawing/2014/main" id="{00000000-0008-0000-0100-00003B000000}"/>
              </a:ext>
            </a:extLst>
          </xdr:cNvPr>
          <xdr:cNvSpPr txBox="1">
            <a:spLocks noChangeArrowheads="1"/>
          </xdr:cNvSpPr>
        </xdr:nvSpPr>
        <xdr:spPr bwMode="auto">
          <a:xfrm>
            <a:off x="477889" y="4581164"/>
            <a:ext cx="2459492" cy="376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500" b="1">
                <a:solidFill>
                  <a:srgbClr val="00467A"/>
                </a:solidFill>
                <a:latin typeface="Arial" charset="0"/>
              </a:rPr>
              <a:t>Introdução e Metainformação</a:t>
            </a:r>
          </a:p>
        </xdr:txBody>
      </xdr:sp>
    </xdr:grpSp>
    <xdr:clientData/>
  </xdr:twoCellAnchor>
  <xdr:twoCellAnchor>
    <xdr:from>
      <xdr:col>0</xdr:col>
      <xdr:colOff>0</xdr:colOff>
      <xdr:row>40</xdr:row>
      <xdr:rowOff>40821</xdr:rowOff>
    </xdr:from>
    <xdr:to>
      <xdr:col>10</xdr:col>
      <xdr:colOff>508000</xdr:colOff>
      <xdr:row>44</xdr:row>
      <xdr:rowOff>34821</xdr:rowOff>
    </xdr:to>
    <xdr:grpSp>
      <xdr:nvGrpSpPr>
        <xdr:cNvPr id="60" name="Agrupar 59">
          <a:extLst>
            <a:ext uri="{FF2B5EF4-FFF2-40B4-BE49-F238E27FC236}">
              <a16:creationId xmlns:a16="http://schemas.microsoft.com/office/drawing/2014/main" id="{00000000-0008-0000-0100-00003C000000}"/>
            </a:ext>
          </a:extLst>
        </xdr:cNvPr>
        <xdr:cNvGrpSpPr/>
      </xdr:nvGrpSpPr>
      <xdr:grpSpPr>
        <a:xfrm>
          <a:off x="0" y="7660821"/>
          <a:ext cx="12414250" cy="756000"/>
          <a:chOff x="81583" y="6572250"/>
          <a:chExt cx="6359071" cy="964945"/>
        </a:xfrm>
      </xdr:grpSpPr>
      <xdr:sp macro="" textlink="">
        <xdr:nvSpPr>
          <xdr:cNvPr id="61" name="Rectangle 8">
            <a:extLst>
              <a:ext uri="{FF2B5EF4-FFF2-40B4-BE49-F238E27FC236}">
                <a16:creationId xmlns:a16="http://schemas.microsoft.com/office/drawing/2014/main" id="{00000000-0008-0000-0100-00003D000000}"/>
              </a:ext>
            </a:extLst>
          </xdr:cNvPr>
          <xdr:cNvSpPr>
            <a:spLocks noChangeArrowheads="1"/>
          </xdr:cNvSpPr>
        </xdr:nvSpPr>
        <xdr:spPr bwMode="auto">
          <a:xfrm>
            <a:off x="81583" y="6727825"/>
            <a:ext cx="6359071" cy="738448"/>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sp macro="" textlink="">
        <xdr:nvSpPr>
          <xdr:cNvPr id="62" name="Rectangle 9">
            <a:hlinkClick xmlns:r="http://schemas.openxmlformats.org/officeDocument/2006/relationships" r:id="rId1"/>
            <a:extLst>
              <a:ext uri="{FF2B5EF4-FFF2-40B4-BE49-F238E27FC236}">
                <a16:creationId xmlns:a16="http://schemas.microsoft.com/office/drawing/2014/main" id="{00000000-0008-0000-0100-00003E000000}"/>
              </a:ext>
            </a:extLst>
          </xdr:cNvPr>
          <xdr:cNvSpPr>
            <a:spLocks noChangeArrowheads="1"/>
          </xdr:cNvSpPr>
        </xdr:nvSpPr>
        <xdr:spPr bwMode="auto">
          <a:xfrm>
            <a:off x="106598" y="6572250"/>
            <a:ext cx="3301093" cy="722313"/>
          </a:xfrm>
          <a:prstGeom prst="rect">
            <a:avLst/>
          </a:prstGeom>
          <a:solidFill>
            <a:srgbClr val="FFFF00"/>
          </a:solidFill>
          <a:ln w="28575" cap="rnd">
            <a:noFill/>
            <a:prstDash val="sysDot"/>
            <a:miter lim="800000"/>
            <a:headEnd/>
            <a:tailEnd/>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sp macro="" textlink="">
        <xdr:nvSpPr>
          <xdr:cNvPr id="63" name="Text Box 12">
            <a:hlinkClick xmlns:r="http://schemas.openxmlformats.org/officeDocument/2006/relationships" r:id="rId7" tooltip="NUTS 2024"/>
            <a:extLst>
              <a:ext uri="{FF2B5EF4-FFF2-40B4-BE49-F238E27FC236}">
                <a16:creationId xmlns:a16="http://schemas.microsoft.com/office/drawing/2014/main" id="{00000000-0008-0000-0100-00003F000000}"/>
              </a:ext>
            </a:extLst>
          </xdr:cNvPr>
          <xdr:cNvSpPr txBox="1">
            <a:spLocks noChangeArrowheads="1"/>
          </xdr:cNvSpPr>
        </xdr:nvSpPr>
        <xdr:spPr bwMode="auto">
          <a:xfrm>
            <a:off x="437842" y="6676458"/>
            <a:ext cx="2459492" cy="450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500" b="1">
                <a:solidFill>
                  <a:srgbClr val="00467A"/>
                </a:solidFill>
                <a:latin typeface="Arial" charset="0"/>
              </a:rPr>
              <a:t>NUTS</a:t>
            </a:r>
            <a:r>
              <a:rPr lang="en-US" altLang="pt-PT" sz="1500" b="1" baseline="0">
                <a:solidFill>
                  <a:srgbClr val="00467A"/>
                </a:solidFill>
                <a:latin typeface="Arial" charset="0"/>
              </a:rPr>
              <a:t> 2024</a:t>
            </a:r>
            <a:endParaRPr lang="en-US" altLang="pt-PT" sz="1500" b="1">
              <a:solidFill>
                <a:srgbClr val="00467A"/>
              </a:solidFill>
              <a:latin typeface="Arial" charset="0"/>
            </a:endParaRPr>
          </a:p>
        </xdr:txBody>
      </xdr:sp>
      <xdr:sp macro="" textlink="">
        <xdr:nvSpPr>
          <xdr:cNvPr id="65" name="CaixaDeTexto 64">
            <a:extLst>
              <a:ext uri="{FF2B5EF4-FFF2-40B4-BE49-F238E27FC236}">
                <a16:creationId xmlns:a16="http://schemas.microsoft.com/office/drawing/2014/main" id="{00000000-0008-0000-0100-000041000000}"/>
              </a:ext>
            </a:extLst>
          </xdr:cNvPr>
          <xdr:cNvSpPr txBox="1"/>
        </xdr:nvSpPr>
        <xdr:spPr>
          <a:xfrm>
            <a:off x="3493865" y="6849600"/>
            <a:ext cx="1937617" cy="6875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100" b="1" u="sng">
                <a:solidFill>
                  <a:srgbClr val="FFFF00"/>
                </a:solidFill>
              </a:rPr>
              <a:t>Variáveis</a:t>
            </a:r>
            <a:r>
              <a:rPr lang="pt-PT" sz="1100" b="1" u="none">
                <a:solidFill>
                  <a:srgbClr val="FFFF00"/>
                </a:solidFill>
              </a:rPr>
              <a:t> p</a:t>
            </a:r>
            <a:r>
              <a:rPr lang="pt-PT" sz="1100" b="1">
                <a:solidFill>
                  <a:srgbClr val="FFFF00"/>
                </a:solidFill>
              </a:rPr>
              <a:t>or:</a:t>
            </a:r>
          </a:p>
          <a:p>
            <a:r>
              <a:rPr lang="pt-PT" sz="1100">
                <a:solidFill>
                  <a:srgbClr val="FFFF00"/>
                </a:solidFill>
              </a:rPr>
              <a:t>- NUTS</a:t>
            </a:r>
            <a:r>
              <a:rPr lang="pt-PT" sz="1100" baseline="0">
                <a:solidFill>
                  <a:srgbClr val="FFFF00"/>
                </a:solidFill>
              </a:rPr>
              <a:t> II e III</a:t>
            </a:r>
            <a:endParaRPr lang="pt-PT" sz="1100">
              <a:solidFill>
                <a:srgbClr val="FFFF00"/>
              </a:solidFill>
            </a:endParaRPr>
          </a:p>
        </xdr:txBody>
      </xdr:sp>
    </xdr:grpSp>
    <xdr:clientData/>
  </xdr:twoCellAnchor>
  <xdr:twoCellAnchor>
    <xdr:from>
      <xdr:col>9</xdr:col>
      <xdr:colOff>476250</xdr:colOff>
      <xdr:row>41</xdr:row>
      <xdr:rowOff>27215</xdr:rowOff>
    </xdr:from>
    <xdr:to>
      <xdr:col>10</xdr:col>
      <xdr:colOff>229811</xdr:colOff>
      <xdr:row>43</xdr:row>
      <xdr:rowOff>111928</xdr:rowOff>
    </xdr:to>
    <xdr:sp macro="" textlink="">
      <xdr:nvSpPr>
        <xdr:cNvPr id="69" name="WordArt 37">
          <a:extLst>
            <a:ext uri="{FF2B5EF4-FFF2-40B4-BE49-F238E27FC236}">
              <a16:creationId xmlns:a16="http://schemas.microsoft.com/office/drawing/2014/main" id="{00000000-0008-0000-0100-000045000000}"/>
            </a:ext>
          </a:extLst>
        </xdr:cNvPr>
        <xdr:cNvSpPr>
          <a:spLocks noChangeArrowheads="1" noChangeShapeType="1" noTextEdit="1"/>
        </xdr:cNvSpPr>
      </xdr:nvSpPr>
      <xdr:spPr bwMode="auto">
        <a:xfrm>
          <a:off x="11253107" y="7837715"/>
          <a:ext cx="950990" cy="465713"/>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IV</a:t>
          </a: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6_q9_q12_q19_q27_Fig!$T$2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F5B681-359A-47D1-926E-EAFEA5AB8103}" type="TxLink">
            <a:rPr lang="en-US" sz="800" b="1" i="0" u="none" strike="noStrike">
              <a:solidFill>
                <a:schemeClr val="bg1"/>
              </a:solidFill>
              <a:latin typeface="Arial"/>
              <a:cs typeface="Arial"/>
            </a:rPr>
            <a:pPr algn="ctr"/>
            <a:t>2012</a:t>
          </a:fld>
          <a:endParaRPr lang="pt-PT" sz="800" b="1">
            <a:solidFill>
              <a:schemeClr val="bg1"/>
            </a:solidFill>
          </a:endParaRPr>
        </a:p>
      </cdr:txBody>
    </cdr:sp>
  </cdr:relSizeAnchor>
  <cdr:relSizeAnchor xmlns:cdr="http://schemas.openxmlformats.org/drawingml/2006/chartDrawing">
    <cdr:from>
      <cdr:x>0.60195</cdr:x>
      <cdr:y>0.01557</cdr:y>
    </cdr:from>
    <cdr:to>
      <cdr:x>0.70652</cdr:x>
      <cdr:y>0.13273</cdr:y>
    </cdr:to>
    <cdr:sp macro="" textlink="q3_q6_q9_q12_q19_q27_Fig!$AD$2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28798" y="4159"/>
          <a:ext cx="347837" cy="431987"/>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D635998-5C6E-4644-A5CE-BD8BE1E45122}" type="TxLink">
            <a:rPr lang="en-US" sz="800" b="1" i="0" u="none" strike="noStrike">
              <a:solidFill>
                <a:schemeClr val="bg1"/>
              </a:solidFill>
              <a:latin typeface="Arial"/>
              <a:cs typeface="Arial"/>
            </a:rPr>
            <a:pPr algn="ctr"/>
            <a:t>2022</a:t>
          </a:fld>
          <a:endParaRPr lang="pt-PT" sz="800" b="1">
            <a:solidFill>
              <a:schemeClr val="bg1"/>
            </a:solidFill>
          </a:endParaRPr>
        </a:p>
      </cdr:txBody>
    </cdr:sp>
  </cdr:relSizeAnchor>
  <cdr:relSizeAnchor xmlns:cdr="http://schemas.openxmlformats.org/drawingml/2006/chartDrawing">
    <cdr:from>
      <cdr:x>0.76561</cdr:x>
      <cdr:y>0.02071</cdr:y>
    </cdr:from>
    <cdr:to>
      <cdr:x>0.917</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294613" y="-78833"/>
          <a:ext cx="343086" cy="623723"/>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21.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6_q9_q12_q19_q27_Fig!$T$6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26F701-3CC2-4BEA-BFA8-70F65FD04085}" type="TxLink">
            <a:rPr lang="en-US" sz="800" b="1" i="0" u="none" strike="noStrike">
              <a:solidFill>
                <a:schemeClr val="bg1"/>
              </a:solidFill>
              <a:latin typeface="Arial"/>
              <a:cs typeface="Arial"/>
            </a:rPr>
            <a:pPr algn="ctr"/>
            <a:t>2012</a:t>
          </a:fld>
          <a:endParaRPr lang="pt-PT" sz="800" b="1">
            <a:solidFill>
              <a:schemeClr val="bg1"/>
            </a:solidFill>
          </a:endParaRPr>
        </a:p>
      </cdr:txBody>
    </cdr:sp>
  </cdr:relSizeAnchor>
  <cdr:relSizeAnchor xmlns:cdr="http://schemas.openxmlformats.org/drawingml/2006/chartDrawing">
    <cdr:from>
      <cdr:x>0.61598</cdr:x>
      <cdr:y>0.02092</cdr:y>
    </cdr:from>
    <cdr:to>
      <cdr:x>0.75312</cdr:x>
      <cdr:y>0.12191</cdr:y>
    </cdr:to>
    <cdr:sp macro="" textlink="q3_q6_q9_q12_q19_q27_Fig!$AD$6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655191" y="-68956"/>
          <a:ext cx="299842" cy="561975"/>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7372960-0221-471D-AC29-08DF5500A456}" type="TxLink">
            <a:rPr lang="en-US" sz="800" b="1" i="0" u="none" strike="noStrike">
              <a:solidFill>
                <a:schemeClr val="bg1"/>
              </a:solidFill>
              <a:latin typeface="Arial"/>
              <a:cs typeface="Arial"/>
            </a:rPr>
            <a:pPr algn="ctr"/>
            <a:t>2022</a:t>
          </a:fld>
          <a:endParaRPr lang="pt-PT" sz="800" b="1">
            <a:solidFill>
              <a:schemeClr val="bg1"/>
            </a:solidFill>
          </a:endParaRPr>
        </a:p>
      </cdr:txBody>
    </cdr:sp>
  </cdr:relSizeAnchor>
  <cdr:relSizeAnchor xmlns:cdr="http://schemas.openxmlformats.org/drawingml/2006/chartDrawing">
    <cdr:from>
      <cdr:x>0.76561</cdr:x>
      <cdr:y>0.02071</cdr:y>
    </cdr:from>
    <cdr:to>
      <cdr:x>0.94372</cdr:x>
      <cdr:y>0.12833</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342455" y="-143691"/>
          <a:ext cx="319517" cy="72987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22.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6_q9_q12_q19_q27_Fig!$T$10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A7BAF77C-8415-4B91-8D55-DD3E81F40666}" type="TxLink">
            <a:rPr lang="en-US" sz="800" b="1" i="0" u="none" strike="noStrike">
              <a:solidFill>
                <a:schemeClr val="bg1"/>
              </a:solidFill>
              <a:latin typeface="Arial"/>
              <a:cs typeface="Arial"/>
            </a:rPr>
            <a:pPr algn="ctr"/>
            <a:t>2012</a:t>
          </a:fld>
          <a:endParaRPr lang="pt-PT" sz="800" b="1">
            <a:solidFill>
              <a:schemeClr val="bg1"/>
            </a:solidFill>
          </a:endParaRPr>
        </a:p>
      </cdr:txBody>
    </cdr:sp>
  </cdr:relSizeAnchor>
  <cdr:relSizeAnchor xmlns:cdr="http://schemas.openxmlformats.org/drawingml/2006/chartDrawing">
    <cdr:from>
      <cdr:x>0.59416</cdr:x>
      <cdr:y>0.02092</cdr:y>
    </cdr:from>
    <cdr:to>
      <cdr:x>0.74212</cdr:x>
      <cdr:y>0.13245</cdr:y>
    </cdr:to>
    <cdr:sp macro="" textlink="q3_q6_q9_q12_q19_q27_Fig!$AD$10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92313" y="-84210"/>
          <a:ext cx="320822" cy="609599"/>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AF22FF0-8723-4CCA-84BD-EF9BD80F8DCB}" type="TxLink">
            <a:rPr lang="en-US" sz="800" b="1" i="0" u="none" strike="noStrike">
              <a:solidFill>
                <a:schemeClr val="bg1"/>
              </a:solidFill>
              <a:latin typeface="Arial"/>
              <a:cs typeface="Arial"/>
            </a:rPr>
            <a:pPr algn="ctr"/>
            <a:t>2022</a:t>
          </a:fld>
          <a:endParaRPr lang="pt-PT" sz="800" b="1">
            <a:solidFill>
              <a:schemeClr val="bg1"/>
            </a:solidFill>
          </a:endParaRPr>
        </a:p>
      </cdr:txBody>
    </cdr:sp>
  </cdr:relSizeAnchor>
  <cdr:relSizeAnchor xmlns:cdr="http://schemas.openxmlformats.org/drawingml/2006/chartDrawing">
    <cdr:from>
      <cdr:x>0.76152</cdr:x>
      <cdr:y>0.02071</cdr:y>
    </cdr:from>
    <cdr:to>
      <cdr:x>0.93439</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317906" y="-129371"/>
          <a:ext cx="332414" cy="71030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23.xml><?xml version="1.0" encoding="utf-8"?>
<xdr:wsDr xmlns:xdr="http://schemas.openxmlformats.org/drawingml/2006/spreadsheetDrawing" xmlns:a="http://schemas.openxmlformats.org/drawingml/2006/main">
  <xdr:twoCellAnchor editAs="oneCell">
    <xdr:from>
      <xdr:col>0</xdr:col>
      <xdr:colOff>66675</xdr:colOff>
      <xdr:row>0</xdr:row>
      <xdr:rowOff>0</xdr:rowOff>
    </xdr:from>
    <xdr:to>
      <xdr:col>1</xdr:col>
      <xdr:colOff>383503</xdr:colOff>
      <xdr:row>2</xdr:row>
      <xdr:rowOff>48986</xdr:rowOff>
    </xdr:to>
    <xdr:pic>
      <xdr:nvPicPr>
        <xdr:cNvPr id="5" name="Imagem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a:stretch>
          <a:fillRect/>
        </a:stretch>
      </xdr:blipFill>
      <xdr:spPr>
        <a:xfrm>
          <a:off x="66675" y="0"/>
          <a:ext cx="878803" cy="429986"/>
        </a:xfrm>
        <a:prstGeom prst="rect">
          <a:avLst/>
        </a:prstGeom>
      </xdr:spPr>
    </xdr:pic>
    <xdr:clientData/>
  </xdr:twoCellAnchor>
  <xdr:twoCellAnchor>
    <xdr:from>
      <xdr:col>1</xdr:col>
      <xdr:colOff>469834</xdr:colOff>
      <xdr:row>0</xdr:row>
      <xdr:rowOff>41276</xdr:rowOff>
    </xdr:from>
    <xdr:to>
      <xdr:col>22</xdr:col>
      <xdr:colOff>577786</xdr:colOff>
      <xdr:row>2</xdr:row>
      <xdr:rowOff>95250</xdr:rowOff>
    </xdr:to>
    <xdr:sp macro="" textlink="">
      <xdr:nvSpPr>
        <xdr:cNvPr id="6" name="Rectangle 17">
          <a:extLst>
            <a:ext uri="{FF2B5EF4-FFF2-40B4-BE49-F238E27FC236}">
              <a16:creationId xmlns:a16="http://schemas.microsoft.com/office/drawing/2014/main" id="{00000000-0008-0000-0B00-000006000000}"/>
            </a:ext>
          </a:extLst>
        </xdr:cNvPr>
        <xdr:cNvSpPr>
          <a:spLocks noChangeArrowheads="1"/>
        </xdr:cNvSpPr>
      </xdr:nvSpPr>
      <xdr:spPr bwMode="auto">
        <a:xfrm>
          <a:off x="1031809" y="41276"/>
          <a:ext cx="12004677" cy="434974"/>
        </a:xfrm>
        <a:prstGeom prst="rect">
          <a:avLst/>
        </a:prstGeom>
        <a:solidFill>
          <a:srgbClr val="00467A"/>
        </a:solidFill>
        <a:ln w="28575" cap="rnd">
          <a:noFill/>
          <a:prstDash val="sysDot"/>
          <a:miter lim="800000"/>
          <a:headEnd/>
          <a:tailEnd/>
        </a:ln>
        <a:effectLst>
          <a:prstShdw prst="shdw18" dist="17961" dir="13500000">
            <a:srgbClr val="556B81">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r>
            <a:rPr lang="pt-PT" sz="1600" b="1" i="1">
              <a:solidFill>
                <a:schemeClr val="bg1"/>
              </a:solidFill>
              <a:effectLst>
                <a:outerShdw blurRad="38100" dist="38100" dir="2700000" algn="tl">
                  <a:srgbClr val="000000"/>
                </a:outerShdw>
              </a:effectLst>
              <a:latin typeface="Arial" charset="0"/>
            </a:rPr>
            <a:t>Séries Cronológicas 2012 - 2022: Quadros de Pessoal</a:t>
          </a:r>
        </a:p>
        <a:p>
          <a:pPr defTabSz="988538">
            <a:defRPr/>
          </a:pPr>
          <a:r>
            <a:rPr lang="pt-PT" sz="1600" b="1" i="1">
              <a:solidFill>
                <a:srgbClr val="FFE600"/>
              </a:solidFill>
              <a:effectLst>
                <a:outerShdw blurRad="38100" dist="38100" dir="2700000" algn="tl">
                  <a:srgbClr val="000000"/>
                </a:outerShdw>
              </a:effectLst>
              <a:latin typeface="Arial" charset="0"/>
            </a:rPr>
            <a:t>Características</a:t>
          </a:r>
          <a:r>
            <a:rPr lang="pt-PT" sz="1600" b="1" i="1" baseline="0">
              <a:solidFill>
                <a:srgbClr val="FFE600"/>
              </a:solidFill>
              <a:effectLst>
                <a:outerShdw blurRad="38100" dist="38100" dir="2700000" algn="tl">
                  <a:srgbClr val="000000"/>
                </a:outerShdw>
              </a:effectLst>
              <a:latin typeface="Arial" charset="0"/>
            </a:rPr>
            <a:t> dos Trabalhadores por Conta de Outrem (TCO)</a:t>
          </a:r>
          <a:endParaRPr lang="pt-PT" sz="1600" b="1" i="1">
            <a:solidFill>
              <a:srgbClr val="FFE600"/>
            </a:solidFill>
            <a:effectLst>
              <a:outerShdw blurRad="38100" dist="38100" dir="2700000" algn="tl">
                <a:srgbClr val="000000"/>
              </a:outerShdw>
            </a:effectLst>
            <a:latin typeface="Arial" charset="0"/>
          </a:endParaRPr>
        </a:p>
      </xdr:txBody>
    </xdr:sp>
    <xdr:clientData/>
  </xdr:twoCellAnchor>
  <xdr:twoCellAnchor>
    <xdr:from>
      <xdr:col>0</xdr:col>
      <xdr:colOff>0</xdr:colOff>
      <xdr:row>5</xdr:row>
      <xdr:rowOff>107951</xdr:rowOff>
    </xdr:from>
    <xdr:to>
      <xdr:col>22</xdr:col>
      <xdr:colOff>590550</xdr:colOff>
      <xdr:row>6</xdr:row>
      <xdr:rowOff>107950</xdr:rowOff>
    </xdr:to>
    <xdr:sp macro="" textlink="">
      <xdr:nvSpPr>
        <xdr:cNvPr id="68" name="Rectangle 3">
          <a:extLst>
            <a:ext uri="{FF2B5EF4-FFF2-40B4-BE49-F238E27FC236}">
              <a16:creationId xmlns:a16="http://schemas.microsoft.com/office/drawing/2014/main" id="{00000000-0008-0000-0B00-000044000000}"/>
            </a:ext>
          </a:extLst>
        </xdr:cNvPr>
        <xdr:cNvSpPr>
          <a:spLocks noChangeArrowheads="1"/>
        </xdr:cNvSpPr>
      </xdr:nvSpPr>
      <xdr:spPr bwMode="auto">
        <a:xfrm>
          <a:off x="0" y="1028701"/>
          <a:ext cx="13671550" cy="184149"/>
        </a:xfrm>
        <a:prstGeom prst="rect">
          <a:avLst/>
        </a:prstGeom>
        <a:solidFill>
          <a:schemeClr val="tx2">
            <a:lumMod val="20000"/>
            <a:lumOff val="80000"/>
          </a:schemeClr>
        </a:solidFill>
        <a:ln w="28575" cap="rnd">
          <a:noFill/>
          <a:prstDash val="sysDot"/>
          <a:miter lim="800000"/>
          <a:headEnd/>
          <a:tailEnd/>
        </a:ln>
        <a:effectLst>
          <a:prstShdw prst="shdw18">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defTabSz="988538">
            <a:defRPr/>
          </a:pPr>
          <a:r>
            <a:rPr lang="en-US" sz="1100" b="1" kern="1200">
              <a:solidFill>
                <a:schemeClr val="tx2">
                  <a:lumMod val="50000"/>
                </a:schemeClr>
              </a:solidFill>
              <a:effectLst/>
              <a:latin typeface="Calibri" panose="020F0502020204030204" pitchFamily="34" charset="0"/>
              <a:ea typeface="+mn-ea"/>
              <a:cs typeface="Calibri" panose="020F0502020204030204" pitchFamily="34" charset="0"/>
            </a:rPr>
            <a:t>Número de Trabalhadores</a:t>
          </a:r>
          <a:r>
            <a:rPr lang="en-US" sz="1100" b="1" kern="1200" baseline="0">
              <a:solidFill>
                <a:schemeClr val="tx2">
                  <a:lumMod val="50000"/>
                </a:schemeClr>
              </a:solidFill>
              <a:effectLst/>
              <a:latin typeface="Calibri" panose="020F0502020204030204" pitchFamily="34" charset="0"/>
              <a:ea typeface="+mn-ea"/>
              <a:cs typeface="Calibri" panose="020F0502020204030204" pitchFamily="34" charset="0"/>
            </a:rPr>
            <a:t> por Conta de Outrem </a:t>
          </a:r>
          <a:endParaRPr lang="pt-PT" sz="1100" b="1" i="1">
            <a:solidFill>
              <a:schemeClr val="tx2">
                <a:lumMod val="50000"/>
              </a:schemeClr>
            </a:solidFill>
            <a:effectLst>
              <a:outerShdw blurRad="38100" dist="38100" dir="2700000" algn="tl">
                <a:srgbClr val="000000"/>
              </a:outerShdw>
            </a:effectLst>
            <a:latin typeface="Calibri" panose="020F0502020204030204" pitchFamily="34" charset="0"/>
            <a:cs typeface="Calibri" panose="020F0502020204030204" pitchFamily="34" charset="0"/>
          </a:endParaRPr>
        </a:p>
      </xdr:txBody>
    </xdr:sp>
    <xdr:clientData/>
  </xdr:twoCellAnchor>
  <xdr:twoCellAnchor>
    <xdr:from>
      <xdr:col>0</xdr:col>
      <xdr:colOff>89807</xdr:colOff>
      <xdr:row>9</xdr:row>
      <xdr:rowOff>57150</xdr:rowOff>
    </xdr:from>
    <xdr:to>
      <xdr:col>7</xdr:col>
      <xdr:colOff>290732</xdr:colOff>
      <xdr:row>25</xdr:row>
      <xdr:rowOff>38100</xdr:rowOff>
    </xdr:to>
    <xdr:grpSp>
      <xdr:nvGrpSpPr>
        <xdr:cNvPr id="2" name="Agrupar 1">
          <a:extLst>
            <a:ext uri="{FF2B5EF4-FFF2-40B4-BE49-F238E27FC236}">
              <a16:creationId xmlns:a16="http://schemas.microsoft.com/office/drawing/2014/main" id="{00000000-0008-0000-0B00-000002000000}"/>
            </a:ext>
          </a:extLst>
        </xdr:cNvPr>
        <xdr:cNvGrpSpPr/>
      </xdr:nvGrpSpPr>
      <xdr:grpSpPr>
        <a:xfrm>
          <a:off x="89807" y="1771650"/>
          <a:ext cx="4134750" cy="3028950"/>
          <a:chOff x="190500" y="1133475"/>
          <a:chExt cx="4134750" cy="1964700"/>
        </a:xfrm>
      </xdr:grpSpPr>
      <xdr:grpSp>
        <xdr:nvGrpSpPr>
          <xdr:cNvPr id="47" name="Agrupar 46">
            <a:extLst>
              <a:ext uri="{FF2B5EF4-FFF2-40B4-BE49-F238E27FC236}">
                <a16:creationId xmlns:a16="http://schemas.microsoft.com/office/drawing/2014/main" id="{00000000-0008-0000-0B00-00002F000000}"/>
              </a:ext>
            </a:extLst>
          </xdr:cNvPr>
          <xdr:cNvGrpSpPr/>
        </xdr:nvGrpSpPr>
        <xdr:grpSpPr>
          <a:xfrm>
            <a:off x="1924050" y="1133475"/>
            <a:ext cx="2401200" cy="1850400"/>
            <a:chOff x="379" y="50819742"/>
            <a:chExt cx="3722129" cy="2517772"/>
          </a:xfrm>
        </xdr:grpSpPr>
        <xdr:graphicFrame macro="">
          <xdr:nvGraphicFramePr>
            <xdr:cNvPr id="48" name="Gráfico 47">
              <a:extLst>
                <a:ext uri="{FF2B5EF4-FFF2-40B4-BE49-F238E27FC236}">
                  <a16:creationId xmlns:a16="http://schemas.microsoft.com/office/drawing/2014/main" id="{00000000-0008-0000-0B00-000030000000}"/>
                </a:ext>
              </a:extLst>
            </xdr:cNvPr>
            <xdr:cNvGraphicFramePr/>
          </xdr:nvGraphicFramePr>
          <xdr:xfrm>
            <a:off x="379" y="50819742"/>
            <a:ext cx="3722129" cy="2517772"/>
          </xdr:xfrm>
          <a:graphic>
            <a:graphicData uri="http://schemas.openxmlformats.org/drawingml/2006/chart">
              <c:chart xmlns:c="http://schemas.openxmlformats.org/drawingml/2006/chart" xmlns:r="http://schemas.openxmlformats.org/officeDocument/2006/relationships" r:id="rId2"/>
            </a:graphicData>
          </a:graphic>
        </xdr:graphicFrame>
        <xdr:sp macro="" textlink="q13_q14_q20_q21_q28_q29_Fig!$S$23">
          <xdr:nvSpPr>
            <xdr:cNvPr id="49" name="CaixaDeTexto 48">
              <a:extLst>
                <a:ext uri="{FF2B5EF4-FFF2-40B4-BE49-F238E27FC236}">
                  <a16:creationId xmlns:a16="http://schemas.microsoft.com/office/drawing/2014/main" id="{00000000-0008-0000-0B00-000031000000}"/>
                </a:ext>
              </a:extLst>
            </xdr:cNvPr>
            <xdr:cNvSpPr txBox="1"/>
          </xdr:nvSpPr>
          <xdr:spPr>
            <a:xfrm>
              <a:off x="2466973" y="51215403"/>
              <a:ext cx="1060276" cy="244918"/>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13C352D-7C4F-4D98-833F-9C18CA6F96EA}" type="TxLink">
                <a:rPr kumimoji="0" lang="en-US" sz="9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1.494.230</a:t>
              </a:fld>
              <a:endParaRPr kumimoji="0" lang="pt-PT" sz="900" b="1" i="0" u="none" strike="noStrike" kern="0" cap="none" spc="0" normalizeH="0" baseline="0" noProof="0">
                <a:ln>
                  <a:noFill/>
                </a:ln>
                <a:solidFill>
                  <a:srgbClr val="000000"/>
                </a:solidFill>
                <a:effectLst/>
                <a:uLnTx/>
                <a:uFillTx/>
                <a:latin typeface="+mn-lt"/>
                <a:ea typeface="+mn-ea"/>
                <a:cs typeface="Arial"/>
              </a:endParaRPr>
            </a:p>
          </xdr:txBody>
        </xdr:sp>
        <xdr:sp macro="" textlink="q13_q14_q20_q21_q28_q29_Fig!$R$23">
          <xdr:nvSpPr>
            <xdr:cNvPr id="50" name="CaixaDeTexto 49">
              <a:extLst>
                <a:ext uri="{FF2B5EF4-FFF2-40B4-BE49-F238E27FC236}">
                  <a16:creationId xmlns:a16="http://schemas.microsoft.com/office/drawing/2014/main" id="{00000000-0008-0000-0B00-000032000000}"/>
                </a:ext>
              </a:extLst>
            </xdr:cNvPr>
            <xdr:cNvSpPr txBox="1"/>
          </xdr:nvSpPr>
          <xdr:spPr>
            <a:xfrm>
              <a:off x="827210" y="51207396"/>
              <a:ext cx="1060276" cy="244918"/>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8C47EF46-8E6E-47B5-B759-236E824EAE36}" type="TxLink">
                <a:rPr kumimoji="0" lang="en-US" sz="9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1.653.917</a:t>
              </a:fld>
              <a:endParaRPr kumimoji="0" lang="pt-PT" sz="9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aphicFrame macro="">
        <xdr:nvGraphicFramePr>
          <xdr:cNvPr id="51" name="Gráfico 50">
            <a:extLst>
              <a:ext uri="{FF2B5EF4-FFF2-40B4-BE49-F238E27FC236}">
                <a16:creationId xmlns:a16="http://schemas.microsoft.com/office/drawing/2014/main" id="{00000000-0008-0000-0B00-000033000000}"/>
              </a:ext>
            </a:extLst>
          </xdr:cNvPr>
          <xdr:cNvGraphicFramePr>
            <a:graphicFrameLocks/>
          </xdr:cNvGraphicFramePr>
        </xdr:nvGraphicFramePr>
        <xdr:xfrm>
          <a:off x="190500" y="1247775"/>
          <a:ext cx="2314575" cy="1850400"/>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7</xdr:col>
      <xdr:colOff>256230</xdr:colOff>
      <xdr:row>9</xdr:row>
      <xdr:rowOff>94034</xdr:rowOff>
    </xdr:from>
    <xdr:to>
      <xdr:col>15</xdr:col>
      <xdr:colOff>341957</xdr:colOff>
      <xdr:row>25</xdr:row>
      <xdr:rowOff>33774</xdr:rowOff>
    </xdr:to>
    <xdr:grpSp>
      <xdr:nvGrpSpPr>
        <xdr:cNvPr id="7" name="Agrupar 6">
          <a:extLst>
            <a:ext uri="{FF2B5EF4-FFF2-40B4-BE49-F238E27FC236}">
              <a16:creationId xmlns:a16="http://schemas.microsoft.com/office/drawing/2014/main" id="{00000000-0008-0000-0B00-000007000000}"/>
            </a:ext>
          </a:extLst>
        </xdr:cNvPr>
        <xdr:cNvGrpSpPr/>
      </xdr:nvGrpSpPr>
      <xdr:grpSpPr>
        <a:xfrm>
          <a:off x="4190055" y="1808534"/>
          <a:ext cx="4543427" cy="2987740"/>
          <a:chOff x="4838698" y="1104900"/>
          <a:chExt cx="4438651" cy="2174250"/>
        </a:xfrm>
      </xdr:grpSpPr>
      <xdr:grpSp>
        <xdr:nvGrpSpPr>
          <xdr:cNvPr id="43" name="Agrupar 42">
            <a:extLst>
              <a:ext uri="{FF2B5EF4-FFF2-40B4-BE49-F238E27FC236}">
                <a16:creationId xmlns:a16="http://schemas.microsoft.com/office/drawing/2014/main" id="{00000000-0008-0000-0B00-00002B000000}"/>
              </a:ext>
            </a:extLst>
          </xdr:cNvPr>
          <xdr:cNvGrpSpPr/>
        </xdr:nvGrpSpPr>
        <xdr:grpSpPr>
          <a:xfrm>
            <a:off x="6905624" y="1104900"/>
            <a:ext cx="2371725" cy="2088525"/>
            <a:chOff x="237729" y="50865118"/>
            <a:chExt cx="3452223" cy="2472395"/>
          </a:xfrm>
        </xdr:grpSpPr>
        <xdr:graphicFrame macro="">
          <xdr:nvGraphicFramePr>
            <xdr:cNvPr id="44" name="Gráfico 43">
              <a:extLst>
                <a:ext uri="{FF2B5EF4-FFF2-40B4-BE49-F238E27FC236}">
                  <a16:creationId xmlns:a16="http://schemas.microsoft.com/office/drawing/2014/main" id="{00000000-0008-0000-0B00-00002C000000}"/>
                </a:ext>
              </a:extLst>
            </xdr:cNvPr>
            <xdr:cNvGraphicFramePr/>
          </xdr:nvGraphicFramePr>
          <xdr:xfrm>
            <a:off x="237729" y="50865118"/>
            <a:ext cx="3452223" cy="2472395"/>
          </xdr:xfrm>
          <a:graphic>
            <a:graphicData uri="http://schemas.openxmlformats.org/drawingml/2006/chart">
              <c:chart xmlns:c="http://schemas.openxmlformats.org/drawingml/2006/chart" xmlns:r="http://schemas.openxmlformats.org/officeDocument/2006/relationships" r:id="rId4"/>
            </a:graphicData>
          </a:graphic>
        </xdr:graphicFrame>
        <xdr:sp macro="" textlink="q13_q14_q20_q21_q28_q29_Fig!$S$53">
          <xdr:nvSpPr>
            <xdr:cNvPr id="45" name="CaixaDeTexto 44">
              <a:extLst>
                <a:ext uri="{FF2B5EF4-FFF2-40B4-BE49-F238E27FC236}">
                  <a16:creationId xmlns:a16="http://schemas.microsoft.com/office/drawing/2014/main" id="{00000000-0008-0000-0B00-00002D000000}"/>
                </a:ext>
              </a:extLst>
            </xdr:cNvPr>
            <xdr:cNvSpPr txBox="1"/>
          </xdr:nvSpPr>
          <xdr:spPr>
            <a:xfrm>
              <a:off x="2462259" y="51257392"/>
              <a:ext cx="972653" cy="212825"/>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33346763-475C-40D3-8C96-022D8ECA6C62}"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1.494.230</a:t>
              </a:fld>
              <a:endParaRPr kumimoji="0" lang="pt-PT" sz="800" b="1" i="0" u="none" strike="noStrike" kern="0" cap="none" spc="0" normalizeH="0" baseline="0" noProof="0">
                <a:ln>
                  <a:noFill/>
                </a:ln>
                <a:solidFill>
                  <a:srgbClr val="000000"/>
                </a:solidFill>
                <a:effectLst/>
                <a:uLnTx/>
                <a:uFillTx/>
                <a:latin typeface="+mn-lt"/>
                <a:ea typeface="+mn-ea"/>
                <a:cs typeface="Arial"/>
              </a:endParaRPr>
            </a:p>
          </xdr:txBody>
        </xdr:sp>
        <xdr:sp macro="" textlink="q13_q14_q20_q21_q28_q29_Fig!$R$53">
          <xdr:nvSpPr>
            <xdr:cNvPr id="46" name="CaixaDeTexto 45">
              <a:extLst>
                <a:ext uri="{FF2B5EF4-FFF2-40B4-BE49-F238E27FC236}">
                  <a16:creationId xmlns:a16="http://schemas.microsoft.com/office/drawing/2014/main" id="{00000000-0008-0000-0B00-00002E000000}"/>
                </a:ext>
              </a:extLst>
            </xdr:cNvPr>
            <xdr:cNvSpPr txBox="1"/>
          </xdr:nvSpPr>
          <xdr:spPr>
            <a:xfrm>
              <a:off x="930254" y="51250755"/>
              <a:ext cx="972653" cy="213084"/>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28F9F58-0452-4DC4-9A48-9DAD84751F7C}"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1.653.917</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aphicFrame macro="">
        <xdr:nvGraphicFramePr>
          <xdr:cNvPr id="52" name="Gráfico 51">
            <a:extLst>
              <a:ext uri="{FF2B5EF4-FFF2-40B4-BE49-F238E27FC236}">
                <a16:creationId xmlns:a16="http://schemas.microsoft.com/office/drawing/2014/main" id="{00000000-0008-0000-0B00-000034000000}"/>
              </a:ext>
            </a:extLst>
          </xdr:cNvPr>
          <xdr:cNvGraphicFramePr>
            <a:graphicFrameLocks/>
          </xdr:cNvGraphicFramePr>
        </xdr:nvGraphicFramePr>
        <xdr:xfrm>
          <a:off x="4838698" y="1428750"/>
          <a:ext cx="2838452" cy="1850400"/>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xdr:from>
      <xdr:col>15</xdr:col>
      <xdr:colOff>449943</xdr:colOff>
      <xdr:row>10</xdr:row>
      <xdr:rowOff>69007</xdr:rowOff>
    </xdr:from>
    <xdr:to>
      <xdr:col>22</xdr:col>
      <xdr:colOff>358768</xdr:colOff>
      <xdr:row>24</xdr:row>
      <xdr:rowOff>175532</xdr:rowOff>
    </xdr:to>
    <xdr:grpSp>
      <xdr:nvGrpSpPr>
        <xdr:cNvPr id="8" name="Agrupar 7">
          <a:extLst>
            <a:ext uri="{FF2B5EF4-FFF2-40B4-BE49-F238E27FC236}">
              <a16:creationId xmlns:a16="http://schemas.microsoft.com/office/drawing/2014/main" id="{00000000-0008-0000-0B00-000008000000}"/>
            </a:ext>
          </a:extLst>
        </xdr:cNvPr>
        <xdr:cNvGrpSpPr/>
      </xdr:nvGrpSpPr>
      <xdr:grpSpPr>
        <a:xfrm>
          <a:off x="8841468" y="1974007"/>
          <a:ext cx="3976000" cy="2773525"/>
          <a:chOff x="8543925" y="1371599"/>
          <a:chExt cx="4049025" cy="2050426"/>
        </a:xfrm>
      </xdr:grpSpPr>
      <xdr:graphicFrame macro="">
        <xdr:nvGraphicFramePr>
          <xdr:cNvPr id="57" name="Gráfico 56">
            <a:extLst>
              <a:ext uri="{FF2B5EF4-FFF2-40B4-BE49-F238E27FC236}">
                <a16:creationId xmlns:a16="http://schemas.microsoft.com/office/drawing/2014/main" id="{00000000-0008-0000-0B00-000039000000}"/>
              </a:ext>
            </a:extLst>
          </xdr:cNvPr>
          <xdr:cNvGraphicFramePr>
            <a:graphicFrameLocks/>
          </xdr:cNvGraphicFramePr>
        </xdr:nvGraphicFramePr>
        <xdr:xfrm>
          <a:off x="8543925" y="1533525"/>
          <a:ext cx="2857500" cy="1888500"/>
        </xdr:xfrm>
        <a:graphic>
          <a:graphicData uri="http://schemas.openxmlformats.org/drawingml/2006/chart">
            <c:chart xmlns:c="http://schemas.openxmlformats.org/drawingml/2006/chart" xmlns:r="http://schemas.openxmlformats.org/officeDocument/2006/relationships" r:id="rId6"/>
          </a:graphicData>
        </a:graphic>
      </xdr:graphicFrame>
      <xdr:grpSp>
        <xdr:nvGrpSpPr>
          <xdr:cNvPr id="58" name="Agrupar 57">
            <a:extLst>
              <a:ext uri="{FF2B5EF4-FFF2-40B4-BE49-F238E27FC236}">
                <a16:creationId xmlns:a16="http://schemas.microsoft.com/office/drawing/2014/main" id="{00000000-0008-0000-0B00-00003A000000}"/>
              </a:ext>
            </a:extLst>
          </xdr:cNvPr>
          <xdr:cNvGrpSpPr/>
        </xdr:nvGrpSpPr>
        <xdr:grpSpPr>
          <a:xfrm>
            <a:off x="10191750" y="1371599"/>
            <a:ext cx="2401200" cy="1821825"/>
            <a:chOff x="15382876" y="10342315"/>
            <a:chExt cx="2836231" cy="2008440"/>
          </a:xfrm>
        </xdr:grpSpPr>
        <xdr:graphicFrame macro="">
          <xdr:nvGraphicFramePr>
            <xdr:cNvPr id="59" name="Gráfico 58">
              <a:extLst>
                <a:ext uri="{FF2B5EF4-FFF2-40B4-BE49-F238E27FC236}">
                  <a16:creationId xmlns:a16="http://schemas.microsoft.com/office/drawing/2014/main" id="{00000000-0008-0000-0B00-00003B000000}"/>
                </a:ext>
              </a:extLst>
            </xdr:cNvPr>
            <xdr:cNvGraphicFramePr>
              <a:graphicFrameLocks/>
            </xdr:cNvGraphicFramePr>
          </xdr:nvGraphicFramePr>
          <xdr:xfrm>
            <a:off x="15382876" y="10414000"/>
            <a:ext cx="2836231" cy="1936755"/>
          </xdr:xfrm>
          <a:graphic>
            <a:graphicData uri="http://schemas.openxmlformats.org/drawingml/2006/chart">
              <c:chart xmlns:c="http://schemas.openxmlformats.org/drawingml/2006/chart" xmlns:r="http://schemas.openxmlformats.org/officeDocument/2006/relationships" r:id="rId7"/>
            </a:graphicData>
          </a:graphic>
        </xdr:graphicFrame>
        <xdr:sp macro="" textlink="q13_q14_q20_q21_q28_q29_Fig!$R$82">
          <xdr:nvSpPr>
            <xdr:cNvPr id="60" name="CaixaDeTexto 59">
              <a:extLst>
                <a:ext uri="{FF2B5EF4-FFF2-40B4-BE49-F238E27FC236}">
                  <a16:creationId xmlns:a16="http://schemas.microsoft.com/office/drawing/2014/main" id="{00000000-0008-0000-0B00-00003C000000}"/>
                </a:ext>
              </a:extLst>
            </xdr:cNvPr>
            <xdr:cNvSpPr txBox="1"/>
          </xdr:nvSpPr>
          <xdr:spPr>
            <a:xfrm>
              <a:off x="17385495" y="10583829"/>
              <a:ext cx="823129" cy="157512"/>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BBF52B7-D790-4BD9-8770-3F0155F9A181}"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2.376.115</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61" name="CaixaDeTexto 60">
              <a:extLst>
                <a:ext uri="{FF2B5EF4-FFF2-40B4-BE49-F238E27FC236}">
                  <a16:creationId xmlns:a16="http://schemas.microsoft.com/office/drawing/2014/main" id="{00000000-0008-0000-0B00-00003D000000}"/>
                </a:ext>
              </a:extLst>
            </xdr:cNvPr>
            <xdr:cNvSpPr txBox="1"/>
          </xdr:nvSpPr>
          <xdr:spPr>
            <a:xfrm>
              <a:off x="17385495" y="10342315"/>
              <a:ext cx="831067" cy="184497"/>
            </a:xfrm>
            <a:prstGeom prst="rect">
              <a:avLst/>
            </a:prstGeom>
            <a:solidFill>
              <a:schemeClr val="tx1">
                <a:lumMod val="65000"/>
                <a:lumOff val="35000"/>
              </a:scheme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bg1"/>
                  </a:solidFill>
                  <a:effectLst/>
                  <a:uLnTx/>
                  <a:uFillTx/>
                  <a:latin typeface="+mn-lt"/>
                  <a:ea typeface="+mn-ea"/>
                  <a:cs typeface="Calibri"/>
                </a:rPr>
                <a:t>Continente</a:t>
              </a:r>
            </a:p>
          </xdr:txBody>
        </xdr:sp>
      </xdr:grpSp>
    </xdr:grpSp>
    <xdr:clientData/>
  </xdr:twoCellAnchor>
  <xdr:twoCellAnchor>
    <xdr:from>
      <xdr:col>15</xdr:col>
      <xdr:colOff>457201</xdr:colOff>
      <xdr:row>22</xdr:row>
      <xdr:rowOff>146709</xdr:rowOff>
    </xdr:from>
    <xdr:to>
      <xdr:col>23</xdr:col>
      <xdr:colOff>26101</xdr:colOff>
      <xdr:row>24</xdr:row>
      <xdr:rowOff>158832</xdr:rowOff>
    </xdr:to>
    <xdr:sp macro="" textlink="">
      <xdr:nvSpPr>
        <xdr:cNvPr id="64" name="CaixaDeTexto 63">
          <a:extLst>
            <a:ext uri="{FF2B5EF4-FFF2-40B4-BE49-F238E27FC236}">
              <a16:creationId xmlns:a16="http://schemas.microsoft.com/office/drawing/2014/main" id="{00000000-0008-0000-0B00-000040000000}"/>
            </a:ext>
          </a:extLst>
        </xdr:cNvPr>
        <xdr:cNvSpPr txBox="1"/>
      </xdr:nvSpPr>
      <xdr:spPr>
        <a:xfrm>
          <a:off x="8848726" y="4337709"/>
          <a:ext cx="4217100" cy="393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PT" sz="600" b="0">
              <a:solidFill>
                <a:schemeClr val="tx1">
                  <a:lumMod val="50000"/>
                  <a:lumOff val="50000"/>
                </a:schemeClr>
              </a:solidFill>
            </a:rPr>
            <a:t>* Dos TCO a tempo completo, que auferiram remuneração completa no período de referência (outubro).</a:t>
          </a:r>
        </a:p>
        <a:p>
          <a:pPr algn="l"/>
          <a:r>
            <a:rPr lang="pt-PT" sz="600" b="0">
              <a:solidFill>
                <a:schemeClr val="tx1">
                  <a:lumMod val="50000"/>
                  <a:lumOff val="50000"/>
                </a:schemeClr>
              </a:solidFill>
            </a:rPr>
            <a:t>**No Ensino superior</a:t>
          </a:r>
          <a:r>
            <a:rPr lang="pt-PT" sz="600" b="0" baseline="0">
              <a:solidFill>
                <a:schemeClr val="tx1">
                  <a:lumMod val="50000"/>
                  <a:lumOff val="50000"/>
                </a:schemeClr>
              </a:solidFill>
            </a:rPr>
            <a:t> consideram-se: Curso técnico superior profissional, Bacharelato, Licenciatura, Mestrado e Doutoramento.</a:t>
          </a:r>
        </a:p>
        <a:p>
          <a:pPr algn="l"/>
          <a:endParaRPr lang="pt-PT" sz="600" b="0"/>
        </a:p>
      </xdr:txBody>
    </xdr:sp>
    <xdr:clientData/>
  </xdr:twoCellAnchor>
  <xdr:twoCellAnchor>
    <xdr:from>
      <xdr:col>0</xdr:col>
      <xdr:colOff>85980</xdr:colOff>
      <xdr:row>31</xdr:row>
      <xdr:rowOff>43067</xdr:rowOff>
    </xdr:from>
    <xdr:to>
      <xdr:col>7</xdr:col>
      <xdr:colOff>272130</xdr:colOff>
      <xdr:row>54</xdr:row>
      <xdr:rowOff>22756</xdr:rowOff>
    </xdr:to>
    <xdr:grpSp>
      <xdr:nvGrpSpPr>
        <xdr:cNvPr id="70" name="Agrupar 69">
          <a:extLst>
            <a:ext uri="{FF2B5EF4-FFF2-40B4-BE49-F238E27FC236}">
              <a16:creationId xmlns:a16="http://schemas.microsoft.com/office/drawing/2014/main" id="{00000000-0008-0000-0B00-000046000000}"/>
            </a:ext>
          </a:extLst>
        </xdr:cNvPr>
        <xdr:cNvGrpSpPr/>
      </xdr:nvGrpSpPr>
      <xdr:grpSpPr>
        <a:xfrm>
          <a:off x="85980" y="5948567"/>
          <a:ext cx="4119975" cy="4361189"/>
          <a:chOff x="17928168" y="13873923"/>
          <a:chExt cx="5162525" cy="3324013"/>
        </a:xfrm>
      </xdr:grpSpPr>
      <xdr:grpSp>
        <xdr:nvGrpSpPr>
          <xdr:cNvPr id="71" name="Agrupar 70">
            <a:extLst>
              <a:ext uri="{FF2B5EF4-FFF2-40B4-BE49-F238E27FC236}">
                <a16:creationId xmlns:a16="http://schemas.microsoft.com/office/drawing/2014/main" id="{00000000-0008-0000-0B00-000047000000}"/>
              </a:ext>
            </a:extLst>
          </xdr:cNvPr>
          <xdr:cNvGrpSpPr/>
        </xdr:nvGrpSpPr>
        <xdr:grpSpPr>
          <a:xfrm>
            <a:off x="17928168" y="13918940"/>
            <a:ext cx="2595140" cy="3278996"/>
            <a:chOff x="16790459" y="14269574"/>
            <a:chExt cx="2595140" cy="2552635"/>
          </a:xfrm>
        </xdr:grpSpPr>
        <xdr:graphicFrame macro="">
          <xdr:nvGraphicFramePr>
            <xdr:cNvPr id="78" name="Gráfico 77">
              <a:extLst>
                <a:ext uri="{FF2B5EF4-FFF2-40B4-BE49-F238E27FC236}">
                  <a16:creationId xmlns:a16="http://schemas.microsoft.com/office/drawing/2014/main" id="{00000000-0008-0000-0B00-00004E000000}"/>
                </a:ext>
              </a:extLst>
            </xdr:cNvPr>
            <xdr:cNvGraphicFramePr>
              <a:graphicFrameLocks/>
            </xdr:cNvGraphicFramePr>
          </xdr:nvGraphicFramePr>
          <xdr:xfrm>
            <a:off x="16790459" y="14440959"/>
            <a:ext cx="2595140" cy="2381250"/>
          </xdr:xfrm>
          <a:graphic>
            <a:graphicData uri="http://schemas.openxmlformats.org/drawingml/2006/chart">
              <c:chart xmlns:c="http://schemas.openxmlformats.org/drawingml/2006/chart" xmlns:r="http://schemas.openxmlformats.org/officeDocument/2006/relationships" r:id="rId8"/>
            </a:graphicData>
          </a:graphic>
        </xdr:graphicFrame>
        <xdr:sp macro="" textlink="q13_q14_q20_q21_q28_q29_Fig!$R$107">
          <xdr:nvSpPr>
            <xdr:cNvPr id="79" name="CaixaDeTexto 78">
              <a:extLst>
                <a:ext uri="{FF2B5EF4-FFF2-40B4-BE49-F238E27FC236}">
                  <a16:creationId xmlns:a16="http://schemas.microsoft.com/office/drawing/2014/main" id="{00000000-0008-0000-0B00-00004F000000}"/>
                </a:ext>
              </a:extLst>
            </xdr:cNvPr>
            <xdr:cNvSpPr txBox="1"/>
          </xdr:nvSpPr>
          <xdr:spPr>
            <a:xfrm>
              <a:off x="17065625" y="14440466"/>
              <a:ext cx="828116" cy="107708"/>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1C5C7F2-35F2-4BD7-AFD6-3A9B2ABBDB23}"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1.143,45 €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80" name="CaixaDeTexto 79">
              <a:extLst>
                <a:ext uri="{FF2B5EF4-FFF2-40B4-BE49-F238E27FC236}">
                  <a16:creationId xmlns:a16="http://schemas.microsoft.com/office/drawing/2014/main" id="{00000000-0008-0000-0B00-000050000000}"/>
                </a:ext>
              </a:extLst>
            </xdr:cNvPr>
            <xdr:cNvSpPr txBox="1"/>
          </xdr:nvSpPr>
          <xdr:spPr>
            <a:xfrm>
              <a:off x="17065623" y="14269574"/>
              <a:ext cx="835055" cy="141666"/>
            </a:xfrm>
            <a:prstGeom prst="rect">
              <a:avLst/>
            </a:prstGeom>
            <a:solidFill>
              <a:schemeClr val="tx1">
                <a:lumMod val="65000"/>
                <a:lumOff val="35000"/>
              </a:scheme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bg1"/>
                  </a:solidFill>
                  <a:effectLst/>
                  <a:uLnTx/>
                  <a:uFillTx/>
                  <a:latin typeface="+mn-lt"/>
                  <a:ea typeface="+mn-ea"/>
                  <a:cs typeface="Calibri"/>
                </a:rPr>
                <a:t>Continente</a:t>
              </a:r>
            </a:p>
          </xdr:txBody>
        </xdr:sp>
        <xdr:sp macro="" textlink="q13_q14_q20_q21_q28_q29_Fig!$R$108">
          <xdr:nvSpPr>
            <xdr:cNvPr id="81" name="CaixaDeTexto 80">
              <a:extLst>
                <a:ext uri="{FF2B5EF4-FFF2-40B4-BE49-F238E27FC236}">
                  <a16:creationId xmlns:a16="http://schemas.microsoft.com/office/drawing/2014/main" id="{00000000-0008-0000-0B00-000051000000}"/>
                </a:ext>
              </a:extLst>
            </xdr:cNvPr>
            <xdr:cNvSpPr txBox="1"/>
          </xdr:nvSpPr>
          <xdr:spPr>
            <a:xfrm>
              <a:off x="17065625" y="14584089"/>
              <a:ext cx="835055" cy="109542"/>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2B156ECC-38C7-4F73-8CAE-70A781794369}"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1.368,00 €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nvGrpSpPr>
          <xdr:cNvPr id="72" name="Agrupar 71">
            <a:extLst>
              <a:ext uri="{FF2B5EF4-FFF2-40B4-BE49-F238E27FC236}">
                <a16:creationId xmlns:a16="http://schemas.microsoft.com/office/drawing/2014/main" id="{00000000-0008-0000-0B00-000048000000}"/>
              </a:ext>
            </a:extLst>
          </xdr:cNvPr>
          <xdr:cNvGrpSpPr/>
        </xdr:nvGrpSpPr>
        <xdr:grpSpPr>
          <a:xfrm>
            <a:off x="20312568" y="13873923"/>
            <a:ext cx="2778125" cy="3100196"/>
            <a:chOff x="20936984" y="14847589"/>
            <a:chExt cx="2778125" cy="3100196"/>
          </a:xfrm>
        </xdr:grpSpPr>
        <xdr:graphicFrame macro="">
          <xdr:nvGraphicFramePr>
            <xdr:cNvPr id="73" name="Gráfico 72">
              <a:extLst>
                <a:ext uri="{FF2B5EF4-FFF2-40B4-BE49-F238E27FC236}">
                  <a16:creationId xmlns:a16="http://schemas.microsoft.com/office/drawing/2014/main" id="{00000000-0008-0000-0B00-000049000000}"/>
                </a:ext>
              </a:extLst>
            </xdr:cNvPr>
            <xdr:cNvGraphicFramePr/>
          </xdr:nvGraphicFramePr>
          <xdr:xfrm>
            <a:off x="20936984" y="14847589"/>
            <a:ext cx="2778125" cy="3100196"/>
          </xdr:xfrm>
          <a:graphic>
            <a:graphicData uri="http://schemas.openxmlformats.org/drawingml/2006/chart">
              <c:chart xmlns:c="http://schemas.openxmlformats.org/drawingml/2006/chart" xmlns:r="http://schemas.openxmlformats.org/officeDocument/2006/relationships" r:id="rId9"/>
            </a:graphicData>
          </a:graphic>
        </xdr:graphicFrame>
        <xdr:sp macro="" textlink="q13_q14_q20_q21_q28_q29_Fig!$R$114">
          <xdr:nvSpPr>
            <xdr:cNvPr id="74" name="CaixaDeTexto 73">
              <a:extLst>
                <a:ext uri="{FF2B5EF4-FFF2-40B4-BE49-F238E27FC236}">
                  <a16:creationId xmlns:a16="http://schemas.microsoft.com/office/drawing/2014/main" id="{00000000-0008-0000-0B00-00004A000000}"/>
                </a:ext>
              </a:extLst>
            </xdr:cNvPr>
            <xdr:cNvSpPr txBox="1"/>
          </xdr:nvSpPr>
          <xdr:spPr>
            <a:xfrm>
              <a:off x="21458349" y="15168110"/>
              <a:ext cx="774379" cy="144000"/>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7707BD8C-99F2-4650-BA3A-00151E8ADD39}"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1.217,33 €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3_q14_q20_q21_q28_q29_Fig!$R$115">
          <xdr:nvSpPr>
            <xdr:cNvPr id="75" name="CaixaDeTexto 74">
              <a:extLst>
                <a:ext uri="{FF2B5EF4-FFF2-40B4-BE49-F238E27FC236}">
                  <a16:creationId xmlns:a16="http://schemas.microsoft.com/office/drawing/2014/main" id="{00000000-0008-0000-0B00-00004B000000}"/>
                </a:ext>
              </a:extLst>
            </xdr:cNvPr>
            <xdr:cNvSpPr txBox="1"/>
          </xdr:nvSpPr>
          <xdr:spPr>
            <a:xfrm>
              <a:off x="21458349" y="15359885"/>
              <a:ext cx="774379" cy="144000"/>
            </a:xfrm>
            <a:prstGeom prst="rect">
              <a:avLst/>
            </a:prstGeom>
            <a:solidFill>
              <a:srgbClr val="FFC000">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9CF34B2E-6095-4C26-83B7-DA38221164E4}"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1.476,20 €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3_q14_q20_q21_q28_q29_Fig!$U$104">
          <xdr:nvSpPr>
            <xdr:cNvPr id="76" name="CaixaDeTexto 75">
              <a:extLst>
                <a:ext uri="{FF2B5EF4-FFF2-40B4-BE49-F238E27FC236}">
                  <a16:creationId xmlns:a16="http://schemas.microsoft.com/office/drawing/2014/main" id="{00000000-0008-0000-0B00-00004C000000}"/>
                </a:ext>
              </a:extLst>
            </xdr:cNvPr>
            <xdr:cNvSpPr txBox="1"/>
          </xdr:nvSpPr>
          <xdr:spPr>
            <a:xfrm>
              <a:off x="22755760" y="15181015"/>
              <a:ext cx="774379" cy="144000"/>
            </a:xfrm>
            <a:prstGeom prst="rect">
              <a:avLst/>
            </a:prstGeom>
            <a:solidFill>
              <a:srgbClr val="95B3D7">
                <a:alpha val="46667"/>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7ED31F1F-4F1E-4B28-80C7-E1D677609C7A}"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1.054,36 €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3_q14_q20_q21_q28_q29_Fig!$V$104">
          <xdr:nvSpPr>
            <xdr:cNvPr id="77" name="CaixaDeTexto 76">
              <a:extLst>
                <a:ext uri="{FF2B5EF4-FFF2-40B4-BE49-F238E27FC236}">
                  <a16:creationId xmlns:a16="http://schemas.microsoft.com/office/drawing/2014/main" id="{00000000-0008-0000-0B00-00004D000000}"/>
                </a:ext>
              </a:extLst>
            </xdr:cNvPr>
            <xdr:cNvSpPr txBox="1"/>
          </xdr:nvSpPr>
          <xdr:spPr>
            <a:xfrm>
              <a:off x="22755760" y="15372791"/>
              <a:ext cx="774379" cy="144000"/>
            </a:xfrm>
            <a:prstGeom prst="rect">
              <a:avLst/>
            </a:prstGeom>
            <a:solidFill>
              <a:srgbClr val="FFEF57">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DA095E1-FC08-48A6-9F65-B082055869C6}"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1.237,52 €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clientData/>
  </xdr:twoCellAnchor>
  <xdr:twoCellAnchor>
    <xdr:from>
      <xdr:col>7</xdr:col>
      <xdr:colOff>522348</xdr:colOff>
      <xdr:row>32</xdr:row>
      <xdr:rowOff>733</xdr:rowOff>
    </xdr:from>
    <xdr:to>
      <xdr:col>15</xdr:col>
      <xdr:colOff>186821</xdr:colOff>
      <xdr:row>54</xdr:row>
      <xdr:rowOff>127733</xdr:rowOff>
    </xdr:to>
    <xdr:grpSp>
      <xdr:nvGrpSpPr>
        <xdr:cNvPr id="82" name="Agrupar 81">
          <a:extLst>
            <a:ext uri="{FF2B5EF4-FFF2-40B4-BE49-F238E27FC236}">
              <a16:creationId xmlns:a16="http://schemas.microsoft.com/office/drawing/2014/main" id="{00000000-0008-0000-0B00-000052000000}"/>
            </a:ext>
          </a:extLst>
        </xdr:cNvPr>
        <xdr:cNvGrpSpPr/>
      </xdr:nvGrpSpPr>
      <xdr:grpSpPr>
        <a:xfrm>
          <a:off x="4456173" y="6096733"/>
          <a:ext cx="4122173" cy="4318000"/>
          <a:chOff x="18293291" y="17907757"/>
          <a:chExt cx="5355382" cy="3534079"/>
        </a:xfrm>
      </xdr:grpSpPr>
      <xdr:grpSp>
        <xdr:nvGrpSpPr>
          <xdr:cNvPr id="83" name="Agrupar 82">
            <a:extLst>
              <a:ext uri="{FF2B5EF4-FFF2-40B4-BE49-F238E27FC236}">
                <a16:creationId xmlns:a16="http://schemas.microsoft.com/office/drawing/2014/main" id="{00000000-0008-0000-0B00-000053000000}"/>
              </a:ext>
            </a:extLst>
          </xdr:cNvPr>
          <xdr:cNvGrpSpPr/>
        </xdr:nvGrpSpPr>
        <xdr:grpSpPr>
          <a:xfrm>
            <a:off x="18293291" y="17938754"/>
            <a:ext cx="2846916" cy="3503082"/>
            <a:chOff x="20214167" y="14049372"/>
            <a:chExt cx="2846916" cy="2603503"/>
          </a:xfrm>
        </xdr:grpSpPr>
        <xdr:graphicFrame macro="">
          <xdr:nvGraphicFramePr>
            <xdr:cNvPr id="90" name="Gráfico 89">
              <a:extLst>
                <a:ext uri="{FF2B5EF4-FFF2-40B4-BE49-F238E27FC236}">
                  <a16:creationId xmlns:a16="http://schemas.microsoft.com/office/drawing/2014/main" id="{00000000-0008-0000-0B00-00005A000000}"/>
                </a:ext>
              </a:extLst>
            </xdr:cNvPr>
            <xdr:cNvGraphicFramePr>
              <a:graphicFrameLocks/>
            </xdr:cNvGraphicFramePr>
          </xdr:nvGraphicFramePr>
          <xdr:xfrm>
            <a:off x="20214167" y="14271625"/>
            <a:ext cx="2846916" cy="2381250"/>
          </xdr:xfrm>
          <a:graphic>
            <a:graphicData uri="http://schemas.openxmlformats.org/drawingml/2006/chart">
              <c:chart xmlns:c="http://schemas.openxmlformats.org/drawingml/2006/chart" xmlns:r="http://schemas.openxmlformats.org/officeDocument/2006/relationships" r:id="rId10"/>
            </a:graphicData>
          </a:graphic>
        </xdr:graphicFrame>
        <xdr:sp macro="" textlink="q13_q14_q20_q21_q28_q29_Fig!$R$132">
          <xdr:nvSpPr>
            <xdr:cNvPr id="95" name="CaixaDeTexto 94">
              <a:extLst>
                <a:ext uri="{FF2B5EF4-FFF2-40B4-BE49-F238E27FC236}">
                  <a16:creationId xmlns:a16="http://schemas.microsoft.com/office/drawing/2014/main" id="{00000000-0008-0000-0B00-00005F000000}"/>
                </a:ext>
              </a:extLst>
            </xdr:cNvPr>
            <xdr:cNvSpPr txBox="1"/>
          </xdr:nvSpPr>
          <xdr:spPr>
            <a:xfrm>
              <a:off x="20489330" y="14220587"/>
              <a:ext cx="966890" cy="103652"/>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C94FF904-7FF2-4811-B6FA-9508B3DAD15C}"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1.143,45 €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100" name="CaixaDeTexto 99">
              <a:extLst>
                <a:ext uri="{FF2B5EF4-FFF2-40B4-BE49-F238E27FC236}">
                  <a16:creationId xmlns:a16="http://schemas.microsoft.com/office/drawing/2014/main" id="{00000000-0008-0000-0B00-000064000000}"/>
                </a:ext>
              </a:extLst>
            </xdr:cNvPr>
            <xdr:cNvSpPr txBox="1"/>
          </xdr:nvSpPr>
          <xdr:spPr>
            <a:xfrm>
              <a:off x="20489333" y="14049372"/>
              <a:ext cx="950758" cy="139765"/>
            </a:xfrm>
            <a:prstGeom prst="rect">
              <a:avLst/>
            </a:prstGeom>
            <a:solidFill>
              <a:schemeClr val="tx1">
                <a:lumMod val="65000"/>
                <a:lumOff val="35000"/>
              </a:scheme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bg1"/>
                  </a:solidFill>
                  <a:effectLst/>
                  <a:uLnTx/>
                  <a:uFillTx/>
                  <a:latin typeface="+mn-lt"/>
                  <a:ea typeface="+mn-ea"/>
                  <a:cs typeface="Calibri"/>
                </a:rPr>
                <a:t>Continente</a:t>
              </a:r>
            </a:p>
          </xdr:txBody>
        </xdr:sp>
        <xdr:sp macro="" textlink="q13_q14_q20_q21_q28_q29_Fig!$R$133">
          <xdr:nvSpPr>
            <xdr:cNvPr id="113" name="CaixaDeTexto 112">
              <a:extLst>
                <a:ext uri="{FF2B5EF4-FFF2-40B4-BE49-F238E27FC236}">
                  <a16:creationId xmlns:a16="http://schemas.microsoft.com/office/drawing/2014/main" id="{00000000-0008-0000-0B00-000071000000}"/>
                </a:ext>
              </a:extLst>
            </xdr:cNvPr>
            <xdr:cNvSpPr txBox="1"/>
          </xdr:nvSpPr>
          <xdr:spPr>
            <a:xfrm>
              <a:off x="20489330" y="14370432"/>
              <a:ext cx="950759" cy="107547"/>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F41B4DC-6B12-4705-972B-8D9EFE182F4F}"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1.368,00 €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nvGrpSpPr>
          <xdr:cNvPr id="84" name="Agrupar 83">
            <a:extLst>
              <a:ext uri="{FF2B5EF4-FFF2-40B4-BE49-F238E27FC236}">
                <a16:creationId xmlns:a16="http://schemas.microsoft.com/office/drawing/2014/main" id="{00000000-0008-0000-0B00-000054000000}"/>
              </a:ext>
            </a:extLst>
          </xdr:cNvPr>
          <xdr:cNvGrpSpPr/>
        </xdr:nvGrpSpPr>
        <xdr:grpSpPr>
          <a:xfrm>
            <a:off x="20418296" y="17907757"/>
            <a:ext cx="3230377" cy="3327698"/>
            <a:chOff x="21145612" y="14869909"/>
            <a:chExt cx="2840782" cy="3090007"/>
          </a:xfrm>
        </xdr:grpSpPr>
        <xdr:graphicFrame macro="">
          <xdr:nvGraphicFramePr>
            <xdr:cNvPr id="85" name="Gráfico 84">
              <a:extLst>
                <a:ext uri="{FF2B5EF4-FFF2-40B4-BE49-F238E27FC236}">
                  <a16:creationId xmlns:a16="http://schemas.microsoft.com/office/drawing/2014/main" id="{00000000-0008-0000-0B00-000055000000}"/>
                </a:ext>
              </a:extLst>
            </xdr:cNvPr>
            <xdr:cNvGraphicFramePr/>
          </xdr:nvGraphicFramePr>
          <xdr:xfrm>
            <a:off x="21145612" y="14869909"/>
            <a:ext cx="2778125" cy="3090007"/>
          </xdr:xfrm>
          <a:graphic>
            <a:graphicData uri="http://schemas.openxmlformats.org/drawingml/2006/chart">
              <c:chart xmlns:c="http://schemas.openxmlformats.org/drawingml/2006/chart" xmlns:r="http://schemas.openxmlformats.org/officeDocument/2006/relationships" r:id="rId11"/>
            </a:graphicData>
          </a:graphic>
        </xdr:graphicFrame>
        <xdr:sp macro="" textlink="q13_q14_q20_q21_q28_q29_Fig!$R$136">
          <xdr:nvSpPr>
            <xdr:cNvPr id="86" name="CaixaDeTexto 85">
              <a:extLst>
                <a:ext uri="{FF2B5EF4-FFF2-40B4-BE49-F238E27FC236}">
                  <a16:creationId xmlns:a16="http://schemas.microsoft.com/office/drawing/2014/main" id="{00000000-0008-0000-0B00-000056000000}"/>
                </a:ext>
              </a:extLst>
            </xdr:cNvPr>
            <xdr:cNvSpPr txBox="1"/>
          </xdr:nvSpPr>
          <xdr:spPr>
            <a:xfrm>
              <a:off x="21936641" y="15221481"/>
              <a:ext cx="782888" cy="119790"/>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E49E796-DCE6-4364-B448-F5CA0509A2D2}"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1.217,33 €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3_q14_q20_q21_q28_q29_Fig!$R$137">
          <xdr:nvSpPr>
            <xdr:cNvPr id="87" name="CaixaDeTexto 86">
              <a:extLst>
                <a:ext uri="{FF2B5EF4-FFF2-40B4-BE49-F238E27FC236}">
                  <a16:creationId xmlns:a16="http://schemas.microsoft.com/office/drawing/2014/main" id="{00000000-0008-0000-0B00-000057000000}"/>
                </a:ext>
              </a:extLst>
            </xdr:cNvPr>
            <xdr:cNvSpPr txBox="1"/>
          </xdr:nvSpPr>
          <xdr:spPr>
            <a:xfrm>
              <a:off x="21943733" y="15413258"/>
              <a:ext cx="782231" cy="119900"/>
            </a:xfrm>
            <a:prstGeom prst="rect">
              <a:avLst/>
            </a:prstGeom>
            <a:solidFill>
              <a:srgbClr val="FFC000">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94AF2D3-E95C-4965-BDF3-A75C1EA1175A}"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1.476,20 €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3_q14_q20_q21_q28_q29_Fig!$T$129">
          <xdr:nvSpPr>
            <xdr:cNvPr id="88" name="CaixaDeTexto 87">
              <a:extLst>
                <a:ext uri="{FF2B5EF4-FFF2-40B4-BE49-F238E27FC236}">
                  <a16:creationId xmlns:a16="http://schemas.microsoft.com/office/drawing/2014/main" id="{00000000-0008-0000-0B00-000058000000}"/>
                </a:ext>
              </a:extLst>
            </xdr:cNvPr>
            <xdr:cNvSpPr txBox="1"/>
          </xdr:nvSpPr>
          <xdr:spPr>
            <a:xfrm>
              <a:off x="23202946" y="15216190"/>
              <a:ext cx="783448" cy="119790"/>
            </a:xfrm>
            <a:prstGeom prst="rect">
              <a:avLst/>
            </a:prstGeom>
            <a:solidFill>
              <a:srgbClr val="95B3D7">
                <a:alpha val="46667"/>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7E772E6-B5EE-4022-A5D7-B926F70E47F9}"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1.054,36 €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3_q14_q20_q21_q28_q29_Fig!$U$129">
          <xdr:nvSpPr>
            <xdr:cNvPr id="89" name="CaixaDeTexto 88">
              <a:extLst>
                <a:ext uri="{FF2B5EF4-FFF2-40B4-BE49-F238E27FC236}">
                  <a16:creationId xmlns:a16="http://schemas.microsoft.com/office/drawing/2014/main" id="{00000000-0008-0000-0B00-000059000000}"/>
                </a:ext>
              </a:extLst>
            </xdr:cNvPr>
            <xdr:cNvSpPr txBox="1"/>
          </xdr:nvSpPr>
          <xdr:spPr>
            <a:xfrm>
              <a:off x="23202947" y="15407964"/>
              <a:ext cx="782888" cy="119790"/>
            </a:xfrm>
            <a:prstGeom prst="rect">
              <a:avLst/>
            </a:prstGeom>
            <a:solidFill>
              <a:srgbClr val="FFEF57">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1402D5C1-CE2B-4A98-9B05-1F7756AEEC85}"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1.237,52 €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clientData/>
  </xdr:twoCellAnchor>
  <xdr:twoCellAnchor>
    <xdr:from>
      <xdr:col>16</xdr:col>
      <xdr:colOff>147756</xdr:colOff>
      <xdr:row>32</xdr:row>
      <xdr:rowOff>188301</xdr:rowOff>
    </xdr:from>
    <xdr:to>
      <xdr:col>22</xdr:col>
      <xdr:colOff>536084</xdr:colOff>
      <xdr:row>53</xdr:row>
      <xdr:rowOff>86701</xdr:rowOff>
    </xdr:to>
    <xdr:grpSp>
      <xdr:nvGrpSpPr>
        <xdr:cNvPr id="13" name="Agrupar 12">
          <a:extLst>
            <a:ext uri="{FF2B5EF4-FFF2-40B4-BE49-F238E27FC236}">
              <a16:creationId xmlns:a16="http://schemas.microsoft.com/office/drawing/2014/main" id="{00000000-0008-0000-0B00-00000D000000}"/>
            </a:ext>
          </a:extLst>
        </xdr:cNvPr>
        <xdr:cNvGrpSpPr/>
      </xdr:nvGrpSpPr>
      <xdr:grpSpPr>
        <a:xfrm>
          <a:off x="9120306" y="6284301"/>
          <a:ext cx="3874478" cy="3898900"/>
          <a:chOff x="9582147" y="4362666"/>
          <a:chExt cx="4057651" cy="2986700"/>
        </a:xfrm>
      </xdr:grpSpPr>
      <xdr:grpSp>
        <xdr:nvGrpSpPr>
          <xdr:cNvPr id="114" name="Agrupar 113">
            <a:extLst>
              <a:ext uri="{FF2B5EF4-FFF2-40B4-BE49-F238E27FC236}">
                <a16:creationId xmlns:a16="http://schemas.microsoft.com/office/drawing/2014/main" id="{00000000-0008-0000-0B00-000072000000}"/>
              </a:ext>
            </a:extLst>
          </xdr:cNvPr>
          <xdr:cNvGrpSpPr/>
        </xdr:nvGrpSpPr>
        <xdr:grpSpPr>
          <a:xfrm>
            <a:off x="9582147" y="4531941"/>
            <a:ext cx="4057651" cy="2817425"/>
            <a:chOff x="15954373" y="22489526"/>
            <a:chExt cx="6017904" cy="2804664"/>
          </a:xfrm>
        </xdr:grpSpPr>
        <xdr:grpSp>
          <xdr:nvGrpSpPr>
            <xdr:cNvPr id="115" name="Agrupar 114">
              <a:extLst>
                <a:ext uri="{FF2B5EF4-FFF2-40B4-BE49-F238E27FC236}">
                  <a16:creationId xmlns:a16="http://schemas.microsoft.com/office/drawing/2014/main" id="{00000000-0008-0000-0B00-000073000000}"/>
                </a:ext>
              </a:extLst>
            </xdr:cNvPr>
            <xdr:cNvGrpSpPr/>
          </xdr:nvGrpSpPr>
          <xdr:grpSpPr>
            <a:xfrm>
              <a:off x="15954373" y="22497228"/>
              <a:ext cx="3084446" cy="2796962"/>
              <a:chOff x="20214165" y="14146309"/>
              <a:chExt cx="3084446" cy="2506567"/>
            </a:xfrm>
          </xdr:grpSpPr>
          <xdr:graphicFrame macro="">
            <xdr:nvGraphicFramePr>
              <xdr:cNvPr id="121" name="Gráfico 120">
                <a:extLst>
                  <a:ext uri="{FF2B5EF4-FFF2-40B4-BE49-F238E27FC236}">
                    <a16:creationId xmlns:a16="http://schemas.microsoft.com/office/drawing/2014/main" id="{00000000-0008-0000-0B00-000079000000}"/>
                  </a:ext>
                </a:extLst>
              </xdr:cNvPr>
              <xdr:cNvGraphicFramePr>
                <a:graphicFrameLocks/>
              </xdr:cNvGraphicFramePr>
            </xdr:nvGraphicFramePr>
            <xdr:xfrm>
              <a:off x="20214165" y="14238964"/>
              <a:ext cx="3084446" cy="2413912"/>
            </xdr:xfrm>
            <a:graphic>
              <a:graphicData uri="http://schemas.openxmlformats.org/drawingml/2006/chart">
                <c:chart xmlns:c="http://schemas.openxmlformats.org/drawingml/2006/chart" xmlns:r="http://schemas.openxmlformats.org/officeDocument/2006/relationships" r:id="rId12"/>
              </a:graphicData>
            </a:graphic>
          </xdr:graphicFrame>
          <xdr:sp macro="" textlink="q13_q14_q20_q21_q28_q29_Fig!$R$156">
            <xdr:nvSpPr>
              <xdr:cNvPr id="122" name="CaixaDeTexto 121">
                <a:extLst>
                  <a:ext uri="{FF2B5EF4-FFF2-40B4-BE49-F238E27FC236}">
                    <a16:creationId xmlns:a16="http://schemas.microsoft.com/office/drawing/2014/main" id="{00000000-0008-0000-0B00-00007A000000}"/>
                  </a:ext>
                </a:extLst>
              </xdr:cNvPr>
              <xdr:cNvSpPr txBox="1"/>
            </xdr:nvSpPr>
            <xdr:spPr>
              <a:xfrm>
                <a:off x="20489332" y="14315305"/>
                <a:ext cx="832831" cy="104984"/>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0F94BA2-6B0E-4433-82C5-B4EFBE3CC760}"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1.143,45 €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123" name="CaixaDeTexto 122">
                <a:extLst>
                  <a:ext uri="{FF2B5EF4-FFF2-40B4-BE49-F238E27FC236}">
                    <a16:creationId xmlns:a16="http://schemas.microsoft.com/office/drawing/2014/main" id="{00000000-0008-0000-0B00-00007B000000}"/>
                  </a:ext>
                </a:extLst>
              </xdr:cNvPr>
              <xdr:cNvSpPr txBox="1"/>
            </xdr:nvSpPr>
            <xdr:spPr>
              <a:xfrm>
                <a:off x="20489331" y="14146309"/>
                <a:ext cx="832831" cy="152704"/>
              </a:xfrm>
              <a:prstGeom prst="rect">
                <a:avLst/>
              </a:prstGeom>
              <a:solidFill>
                <a:sysClr val="windowText" lastClr="000000">
                  <a:lumMod val="65000"/>
                  <a:lumOff val="35000"/>
                </a:sys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Calibri"/>
                    <a:ea typeface="+mn-ea"/>
                    <a:cs typeface="Calibri"/>
                  </a:rPr>
                  <a:t>Continente</a:t>
                </a:r>
              </a:p>
            </xdr:txBody>
          </xdr:sp>
          <xdr:sp macro="" textlink="q13_q14_q20_q21_q28_q29_Fig!$R$157">
            <xdr:nvSpPr>
              <xdr:cNvPr id="124" name="CaixaDeTexto 123">
                <a:extLst>
                  <a:ext uri="{FF2B5EF4-FFF2-40B4-BE49-F238E27FC236}">
                    <a16:creationId xmlns:a16="http://schemas.microsoft.com/office/drawing/2014/main" id="{00000000-0008-0000-0B00-00007C000000}"/>
                  </a:ext>
                </a:extLst>
              </xdr:cNvPr>
              <xdr:cNvSpPr txBox="1"/>
            </xdr:nvSpPr>
            <xdr:spPr>
              <a:xfrm>
                <a:off x="20489332" y="14445865"/>
                <a:ext cx="832831" cy="104984"/>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DA4E0333-78D4-439B-B537-AEE1F2DB13B3}"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1.368,00 €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nvGrpSpPr>
            <xdr:cNvPr id="116" name="Agrupar 115">
              <a:extLst>
                <a:ext uri="{FF2B5EF4-FFF2-40B4-BE49-F238E27FC236}">
                  <a16:creationId xmlns:a16="http://schemas.microsoft.com/office/drawing/2014/main" id="{00000000-0008-0000-0B00-000074000000}"/>
                </a:ext>
              </a:extLst>
            </xdr:cNvPr>
            <xdr:cNvGrpSpPr/>
          </xdr:nvGrpSpPr>
          <xdr:grpSpPr>
            <a:xfrm>
              <a:off x="19018245" y="22489526"/>
              <a:ext cx="2954032" cy="2699106"/>
              <a:chOff x="20489331" y="14115698"/>
              <a:chExt cx="2954032" cy="2418871"/>
            </a:xfrm>
          </xdr:grpSpPr>
          <xdr:graphicFrame macro="">
            <xdr:nvGraphicFramePr>
              <xdr:cNvPr id="117" name="Gráfico 116">
                <a:extLst>
                  <a:ext uri="{FF2B5EF4-FFF2-40B4-BE49-F238E27FC236}">
                    <a16:creationId xmlns:a16="http://schemas.microsoft.com/office/drawing/2014/main" id="{00000000-0008-0000-0B00-000075000000}"/>
                  </a:ext>
                </a:extLst>
              </xdr:cNvPr>
              <xdr:cNvGraphicFramePr>
                <a:graphicFrameLocks/>
              </xdr:cNvGraphicFramePr>
            </xdr:nvGraphicFramePr>
            <xdr:xfrm>
              <a:off x="20815828" y="14262773"/>
              <a:ext cx="2627535" cy="2271796"/>
            </xdr:xfrm>
            <a:graphic>
              <a:graphicData uri="http://schemas.openxmlformats.org/drawingml/2006/chart">
                <c:chart xmlns:c="http://schemas.openxmlformats.org/drawingml/2006/chart" xmlns:r="http://schemas.openxmlformats.org/officeDocument/2006/relationships" r:id="rId13"/>
              </a:graphicData>
            </a:graphic>
          </xdr:graphicFrame>
          <xdr:sp macro="" textlink="q13_q14_q20_q21_q28_q29_Fig!$R$161">
            <xdr:nvSpPr>
              <xdr:cNvPr id="118" name="CaixaDeTexto 117">
                <a:extLst>
                  <a:ext uri="{FF2B5EF4-FFF2-40B4-BE49-F238E27FC236}">
                    <a16:creationId xmlns:a16="http://schemas.microsoft.com/office/drawing/2014/main" id="{00000000-0008-0000-0B00-000076000000}"/>
                  </a:ext>
                </a:extLst>
              </xdr:cNvPr>
              <xdr:cNvSpPr txBox="1"/>
            </xdr:nvSpPr>
            <xdr:spPr>
              <a:xfrm>
                <a:off x="20489332" y="14269390"/>
                <a:ext cx="832831" cy="104984"/>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E587BF85-BB14-4F3A-AD15-798073BC924D}"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816,21 €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119" name="CaixaDeTexto 118">
                <a:extLst>
                  <a:ext uri="{FF2B5EF4-FFF2-40B4-BE49-F238E27FC236}">
                    <a16:creationId xmlns:a16="http://schemas.microsoft.com/office/drawing/2014/main" id="{00000000-0008-0000-0B00-000077000000}"/>
                  </a:ext>
                </a:extLst>
              </xdr:cNvPr>
              <xdr:cNvSpPr txBox="1"/>
            </xdr:nvSpPr>
            <xdr:spPr>
              <a:xfrm>
                <a:off x="20489331" y="14115698"/>
                <a:ext cx="832831" cy="152704"/>
              </a:xfrm>
              <a:prstGeom prst="rect">
                <a:avLst/>
              </a:prstGeom>
              <a:solidFill>
                <a:sysClr val="windowText" lastClr="000000">
                  <a:lumMod val="65000"/>
                  <a:lumOff val="35000"/>
                </a:sys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Calibri"/>
                    <a:ea typeface="+mn-ea"/>
                    <a:cs typeface="Calibri"/>
                  </a:rPr>
                  <a:t>Continente</a:t>
                </a:r>
              </a:p>
            </xdr:txBody>
          </xdr:sp>
          <xdr:sp macro="" textlink="q13_q14_q20_q21_q28_q29_Fig!$R$162">
            <xdr:nvSpPr>
              <xdr:cNvPr id="120" name="CaixaDeTexto 119">
                <a:extLst>
                  <a:ext uri="{FF2B5EF4-FFF2-40B4-BE49-F238E27FC236}">
                    <a16:creationId xmlns:a16="http://schemas.microsoft.com/office/drawing/2014/main" id="{00000000-0008-0000-0B00-000078000000}"/>
                  </a:ext>
                </a:extLst>
              </xdr:cNvPr>
              <xdr:cNvSpPr txBox="1"/>
            </xdr:nvSpPr>
            <xdr:spPr>
              <a:xfrm>
                <a:off x="20489332" y="14399947"/>
                <a:ext cx="832831" cy="104984"/>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D6D98A2-6D76-440E-BC60-B4CCDBEDA45B}"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1.017,50 €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sp macro="" textlink="">
        <xdr:nvSpPr>
          <xdr:cNvPr id="125" name="CaixaDeTexto 124">
            <a:extLst>
              <a:ext uri="{FF2B5EF4-FFF2-40B4-BE49-F238E27FC236}">
                <a16:creationId xmlns:a16="http://schemas.microsoft.com/office/drawing/2014/main" id="{00000000-0008-0000-0B00-00007D000000}"/>
              </a:ext>
            </a:extLst>
          </xdr:cNvPr>
          <xdr:cNvSpPr txBox="1"/>
        </xdr:nvSpPr>
        <xdr:spPr>
          <a:xfrm>
            <a:off x="9632950" y="4363806"/>
            <a:ext cx="1622714" cy="147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Remunerações</a:t>
            </a:r>
            <a:r>
              <a:rPr lang="pt-PT" sz="800" b="1" baseline="0">
                <a:solidFill>
                  <a:schemeClr val="tx2"/>
                </a:solidFill>
              </a:rPr>
              <a:t> médias mensais</a:t>
            </a:r>
            <a:endParaRPr lang="pt-PT" sz="800" b="1">
              <a:solidFill>
                <a:schemeClr val="tx2"/>
              </a:solidFill>
            </a:endParaRPr>
          </a:p>
        </xdr:txBody>
      </xdr:sp>
      <xdr:sp macro="" textlink="">
        <xdr:nvSpPr>
          <xdr:cNvPr id="126" name="CaixaDeTexto 125">
            <a:extLst>
              <a:ext uri="{FF2B5EF4-FFF2-40B4-BE49-F238E27FC236}">
                <a16:creationId xmlns:a16="http://schemas.microsoft.com/office/drawing/2014/main" id="{00000000-0008-0000-0B00-00007E000000}"/>
              </a:ext>
            </a:extLst>
          </xdr:cNvPr>
          <xdr:cNvSpPr txBox="1"/>
        </xdr:nvSpPr>
        <xdr:spPr>
          <a:xfrm>
            <a:off x="11626850" y="4362666"/>
            <a:ext cx="1690234" cy="1620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Remunerações</a:t>
            </a:r>
            <a:r>
              <a:rPr lang="pt-PT" sz="800" b="1" baseline="0">
                <a:solidFill>
                  <a:schemeClr val="tx2"/>
                </a:solidFill>
              </a:rPr>
              <a:t> medianas mensais</a:t>
            </a:r>
            <a:endParaRPr lang="pt-PT" sz="800" b="1">
              <a:solidFill>
                <a:schemeClr val="tx2"/>
              </a:solidFill>
            </a:endParaRPr>
          </a:p>
        </xdr:txBody>
      </xdr:sp>
    </xdr:grpSp>
    <xdr:clientData/>
  </xdr:twoCellAnchor>
  <xdr:twoCellAnchor>
    <xdr:from>
      <xdr:col>0</xdr:col>
      <xdr:colOff>171451</xdr:colOff>
      <xdr:row>6</xdr:row>
      <xdr:rowOff>148213</xdr:rowOff>
    </xdr:from>
    <xdr:to>
      <xdr:col>6</xdr:col>
      <xdr:colOff>542925</xdr:colOff>
      <xdr:row>9</xdr:row>
      <xdr:rowOff>114300</xdr:rowOff>
    </xdr:to>
    <xdr:sp macro="" textlink="q13_q14_q20_q21_q28_q29_Fig!$Z$1">
      <xdr:nvSpPr>
        <xdr:cNvPr id="9" name="CaixaDeTexto 8">
          <a:extLst>
            <a:ext uri="{FF2B5EF4-FFF2-40B4-BE49-F238E27FC236}">
              <a16:creationId xmlns:a16="http://schemas.microsoft.com/office/drawing/2014/main" id="{00000000-0008-0000-0B00-000009000000}"/>
            </a:ext>
          </a:extLst>
        </xdr:cNvPr>
        <xdr:cNvSpPr txBox="1"/>
      </xdr:nvSpPr>
      <xdr:spPr>
        <a:xfrm>
          <a:off x="171451" y="1291213"/>
          <a:ext cx="3743324" cy="537587"/>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1E7581E2-9095-4569-90A1-D838D0031323}" type="TxLink">
            <a:rPr lang="en-US" sz="900" b="0" i="0" u="none" strike="noStrike">
              <a:solidFill>
                <a:sysClr val="windowText" lastClr="000000"/>
              </a:solidFill>
              <a:latin typeface="Calibri"/>
              <a:cs typeface="Calibri"/>
            </a:rPr>
            <a:pPr/>
            <a:t>2022:
Existiam 3.148.147 TCO, dos quais 50,3% tinham entre 25 e 44 anos; 
A taxa de feminização era de 47,5%</a:t>
          </a:fld>
          <a:endParaRPr lang="pt-PT" sz="900" b="0">
            <a:solidFill>
              <a:sysClr val="windowText" lastClr="000000"/>
            </a:solidFill>
          </a:endParaRPr>
        </a:p>
      </xdr:txBody>
    </xdr:sp>
    <xdr:clientData/>
  </xdr:twoCellAnchor>
  <xdr:twoCellAnchor>
    <xdr:from>
      <xdr:col>7</xdr:col>
      <xdr:colOff>552450</xdr:colOff>
      <xdr:row>6</xdr:row>
      <xdr:rowOff>158259</xdr:rowOff>
    </xdr:from>
    <xdr:to>
      <xdr:col>15</xdr:col>
      <xdr:colOff>133350</xdr:colOff>
      <xdr:row>9</xdr:row>
      <xdr:rowOff>171866</xdr:rowOff>
    </xdr:to>
    <xdr:sp macro="" textlink="q13_q14_q20_q21_q28_q29_Fig!$Y$57">
      <xdr:nvSpPr>
        <xdr:cNvPr id="94" name="CaixaDeTexto 93">
          <a:extLst>
            <a:ext uri="{FF2B5EF4-FFF2-40B4-BE49-F238E27FC236}">
              <a16:creationId xmlns:a16="http://schemas.microsoft.com/office/drawing/2014/main" id="{00000000-0008-0000-0B00-00005E000000}"/>
            </a:ext>
          </a:extLst>
        </xdr:cNvPr>
        <xdr:cNvSpPr txBox="1"/>
      </xdr:nvSpPr>
      <xdr:spPr>
        <a:xfrm>
          <a:off x="4486275" y="1301259"/>
          <a:ext cx="4038600" cy="585107"/>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48839FCC-299A-463A-BB08-0CE435B4BBAF}" type="TxLink">
            <a:rPr lang="en-US" sz="900" b="0" i="0" u="none" strike="noStrike">
              <a:solidFill>
                <a:sysClr val="windowText" lastClr="000000"/>
              </a:solidFill>
              <a:latin typeface="Calibri"/>
              <a:cs typeface="Calibri"/>
            </a:rPr>
            <a:pPr/>
            <a:t>2022:
55,4% dos TCO eram profissionais qualificados e semi-qualificados, onde a taxa de feminização era de  42,1% e de 56,7%, respetivamente.</a:t>
          </a:fld>
          <a:endParaRPr lang="pt-PT" sz="900" b="0">
            <a:solidFill>
              <a:sysClr val="windowText" lastClr="000000"/>
            </a:solidFill>
          </a:endParaRPr>
        </a:p>
      </xdr:txBody>
    </xdr:sp>
    <xdr:clientData/>
  </xdr:twoCellAnchor>
  <xdr:twoCellAnchor>
    <xdr:from>
      <xdr:col>15</xdr:col>
      <xdr:colOff>523875</xdr:colOff>
      <xdr:row>6</xdr:row>
      <xdr:rowOff>166948</xdr:rowOff>
    </xdr:from>
    <xdr:to>
      <xdr:col>22</xdr:col>
      <xdr:colOff>266700</xdr:colOff>
      <xdr:row>9</xdr:row>
      <xdr:rowOff>63448</xdr:rowOff>
    </xdr:to>
    <xdr:sp macro="" textlink="q13_q14_q20_q21_q28_q29_Fig!$W$86">
      <xdr:nvSpPr>
        <xdr:cNvPr id="96" name="CaixaDeTexto 95">
          <a:extLst>
            <a:ext uri="{FF2B5EF4-FFF2-40B4-BE49-F238E27FC236}">
              <a16:creationId xmlns:a16="http://schemas.microsoft.com/office/drawing/2014/main" id="{00000000-0008-0000-0B00-000060000000}"/>
            </a:ext>
          </a:extLst>
        </xdr:cNvPr>
        <xdr:cNvSpPr txBox="1"/>
      </xdr:nvSpPr>
      <xdr:spPr>
        <a:xfrm>
          <a:off x="8915400" y="1309948"/>
          <a:ext cx="3810000" cy="4680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E93C6ABD-1843-4229-A504-5C37C5A7ECF0}" type="TxLink">
            <a:rPr lang="en-US" sz="900" b="0" i="0" u="none" strike="noStrike">
              <a:solidFill>
                <a:sysClr val="windowText" lastClr="000000"/>
              </a:solidFill>
              <a:latin typeface="Calibri"/>
              <a:cs typeface="Calibri"/>
            </a:rPr>
            <a:pPr/>
            <a:t>2022:
59,3% dos TCO tinham os Ensinos Secundário e Superior completos.</a:t>
          </a:fld>
          <a:endParaRPr lang="pt-PT" sz="900" b="0">
            <a:solidFill>
              <a:sysClr val="windowText" lastClr="000000"/>
            </a:solidFill>
          </a:endParaRPr>
        </a:p>
      </xdr:txBody>
    </xdr:sp>
    <xdr:clientData/>
  </xdr:twoCellAnchor>
  <xdr:twoCellAnchor>
    <xdr:from>
      <xdr:col>0</xdr:col>
      <xdr:colOff>57150</xdr:colOff>
      <xdr:row>25</xdr:row>
      <xdr:rowOff>147271</xdr:rowOff>
    </xdr:from>
    <xdr:to>
      <xdr:col>3</xdr:col>
      <xdr:colOff>323851</xdr:colOff>
      <xdr:row>31</xdr:row>
      <xdr:rowOff>123825</xdr:rowOff>
    </xdr:to>
    <xdr:sp macro="" textlink="q13_q14_q20_q21_q28_q29_Fig!$AX$86">
      <xdr:nvSpPr>
        <xdr:cNvPr id="97" name="CaixaDeTexto 96">
          <a:extLst>
            <a:ext uri="{FF2B5EF4-FFF2-40B4-BE49-F238E27FC236}">
              <a16:creationId xmlns:a16="http://schemas.microsoft.com/office/drawing/2014/main" id="{00000000-0008-0000-0B00-000061000000}"/>
            </a:ext>
          </a:extLst>
        </xdr:cNvPr>
        <xdr:cNvSpPr txBox="1"/>
      </xdr:nvSpPr>
      <xdr:spPr>
        <a:xfrm>
          <a:off x="57150" y="4909771"/>
          <a:ext cx="1952626" cy="1119554"/>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CDDC6F97-B7BE-48DA-B7B5-CA5C9B648BE6}" type="TxLink">
            <a:rPr kumimoji="0" lang="en-US" sz="900" b="0" i="0" u="none" strike="noStrike" kern="0" cap="none" spc="0" normalizeH="0" baseline="0" noProof="0">
              <a:ln>
                <a:noFill/>
              </a:ln>
              <a:solidFill>
                <a:sysClr val="windowText" lastClr="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2022 - Continente:
Base: 83,6% do Ganho, entre 858 € (18 - 24 anos) e  1.298 €  (65 e + anos).
Ganho: Entre 1.016 €  e 1.489 €, nos mesmos grupos etários, respetivamente.</a:t>
          </a:fld>
          <a:endParaRPr kumimoji="0" lang="pt-PT" sz="10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7</xdr:col>
      <xdr:colOff>533400</xdr:colOff>
      <xdr:row>25</xdr:row>
      <xdr:rowOff>152400</xdr:rowOff>
    </xdr:from>
    <xdr:to>
      <xdr:col>11</xdr:col>
      <xdr:colOff>266700</xdr:colOff>
      <xdr:row>31</xdr:row>
      <xdr:rowOff>171450</xdr:rowOff>
    </xdr:to>
    <xdr:sp macro="" textlink="q13_q14_q20_q21_q28_q29_Fig!AN135">
      <xdr:nvSpPr>
        <xdr:cNvPr id="98" name="CaixaDeTexto 97">
          <a:extLst>
            <a:ext uri="{FF2B5EF4-FFF2-40B4-BE49-F238E27FC236}">
              <a16:creationId xmlns:a16="http://schemas.microsoft.com/office/drawing/2014/main" id="{00000000-0008-0000-0B00-000062000000}"/>
            </a:ext>
          </a:extLst>
        </xdr:cNvPr>
        <xdr:cNvSpPr txBox="1"/>
      </xdr:nvSpPr>
      <xdr:spPr>
        <a:xfrm>
          <a:off x="4667250" y="4781550"/>
          <a:ext cx="2095500" cy="112395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1912416A-AF04-4DEC-A1EB-FA2979111E70}"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2022 - Continente:
Base: 83,6% do Ganho, entre 746 €  (Profissionais não qualificados) e  2.260 €  (Quadros superiores).
Ganho: Entre 881 €  e 2.626 €, nos mesmos níveis de qualificação, respetivamente.</a:t>
          </a:fld>
          <a:endParaRPr kumimoji="0" lang="en-US" b="0" i="0" u="none" strike="noStrike" kern="0" cap="none" spc="0" normalizeH="0" baseline="0" noProof="0">
            <a:ln>
              <a:noFill/>
            </a:ln>
            <a:effectLst/>
            <a:uLnTx/>
            <a:uFillTx/>
            <a:latin typeface="Calibri"/>
            <a:ea typeface="+mn-ea"/>
          </a:endParaRPr>
        </a:p>
      </xdr:txBody>
    </xdr:sp>
    <xdr:clientData/>
  </xdr:twoCellAnchor>
  <xdr:twoCellAnchor>
    <xdr:from>
      <xdr:col>16</xdr:col>
      <xdr:colOff>57148</xdr:colOff>
      <xdr:row>25</xdr:row>
      <xdr:rowOff>152400</xdr:rowOff>
    </xdr:from>
    <xdr:to>
      <xdr:col>19</xdr:col>
      <xdr:colOff>295274</xdr:colOff>
      <xdr:row>32</xdr:row>
      <xdr:rowOff>6350</xdr:rowOff>
    </xdr:to>
    <xdr:sp macro="" textlink="q13_q14_q20_q21_q28_q29_Fig!$AA$177">
      <xdr:nvSpPr>
        <xdr:cNvPr id="99" name="CaixaDeTexto 98">
          <a:extLst>
            <a:ext uri="{FF2B5EF4-FFF2-40B4-BE49-F238E27FC236}">
              <a16:creationId xmlns:a16="http://schemas.microsoft.com/office/drawing/2014/main" id="{00000000-0008-0000-0B00-000063000000}"/>
            </a:ext>
          </a:extLst>
        </xdr:cNvPr>
        <xdr:cNvSpPr txBox="1"/>
      </xdr:nvSpPr>
      <xdr:spPr>
        <a:xfrm>
          <a:off x="9480548" y="4781550"/>
          <a:ext cx="2066926" cy="11430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07780C63-7073-4FE6-9238-51DD5D689977}"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2022 - Continente:
Base média: 83,6% do Ganho, entre 766 € (&lt; 1.º ciclo do ensino básico) e  1.768 € (Ensino superior**).
Ganho médio:Entre 893 € e 2.073 €, nos mesmos níveis de habilitação, respetivamente.</a:t>
          </a:fld>
          <a:endParaRPr kumimoji="0" lang="pt-PT" sz="1000" b="1" i="0" u="none" strike="noStrike" kern="0" cap="none" spc="0" normalizeH="0" baseline="0" noProof="0">
            <a:ln>
              <a:noFill/>
            </a:ln>
            <a:solidFill>
              <a:srgbClr val="17375E"/>
            </a:solidFill>
            <a:effectLst/>
            <a:uLnTx/>
            <a:uFillTx/>
            <a:latin typeface="Calibri"/>
            <a:ea typeface="+mn-ea"/>
            <a:cs typeface="+mn-cs"/>
          </a:endParaRPr>
        </a:p>
      </xdr:txBody>
    </xdr:sp>
    <xdr:clientData/>
  </xdr:twoCellAnchor>
  <xdr:twoCellAnchor>
    <xdr:from>
      <xdr:col>0</xdr:col>
      <xdr:colOff>7937</xdr:colOff>
      <xdr:row>2</xdr:row>
      <xdr:rowOff>123825</xdr:rowOff>
    </xdr:from>
    <xdr:to>
      <xdr:col>23</xdr:col>
      <xdr:colOff>0</xdr:colOff>
      <xdr:row>3</xdr:row>
      <xdr:rowOff>171450</xdr:rowOff>
    </xdr:to>
    <xdr:sp macro="" textlink="">
      <xdr:nvSpPr>
        <xdr:cNvPr id="102" name="Text Box 10">
          <a:extLst>
            <a:ext uri="{FF2B5EF4-FFF2-40B4-BE49-F238E27FC236}">
              <a16:creationId xmlns:a16="http://schemas.microsoft.com/office/drawing/2014/main" id="{00000000-0008-0000-0B00-000066000000}"/>
            </a:ext>
          </a:extLst>
        </xdr:cNvPr>
        <xdr:cNvSpPr txBox="1">
          <a:spLocks noChangeArrowheads="1"/>
        </xdr:cNvSpPr>
      </xdr:nvSpPr>
      <xdr:spPr bwMode="auto">
        <a:xfrm>
          <a:off x="7937" y="504825"/>
          <a:ext cx="13031788" cy="238125"/>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200" b="1">
              <a:solidFill>
                <a:srgbClr val="00467A"/>
              </a:solidFill>
              <a:latin typeface="Arial" charset="0"/>
            </a:rPr>
            <a:t>Trabalhadores por Conta de Outrem e Remunerações médias mensais</a:t>
          </a:r>
        </a:p>
        <a:p>
          <a:pPr algn="l">
            <a:spcBef>
              <a:spcPct val="50000"/>
            </a:spcBef>
          </a:pPr>
          <a:endParaRPr lang="en-US" altLang="pt-PT" sz="1200" b="1">
            <a:solidFill>
              <a:srgbClr val="00467A"/>
            </a:solidFill>
            <a:latin typeface="Arial" charset="0"/>
          </a:endParaRPr>
        </a:p>
      </xdr:txBody>
    </xdr:sp>
    <xdr:clientData/>
  </xdr:twoCellAnchor>
  <xdr:twoCellAnchor>
    <xdr:from>
      <xdr:col>10</xdr:col>
      <xdr:colOff>356428</xdr:colOff>
      <xdr:row>2</xdr:row>
      <xdr:rowOff>114300</xdr:rowOff>
    </xdr:from>
    <xdr:to>
      <xdr:col>14</xdr:col>
      <xdr:colOff>77185</xdr:colOff>
      <xdr:row>3</xdr:row>
      <xdr:rowOff>171825</xdr:rowOff>
    </xdr:to>
    <xdr:grpSp>
      <xdr:nvGrpSpPr>
        <xdr:cNvPr id="10" name="Agrupar 9">
          <a:extLst>
            <a:ext uri="{FF2B5EF4-FFF2-40B4-BE49-F238E27FC236}">
              <a16:creationId xmlns:a16="http://schemas.microsoft.com/office/drawing/2014/main" id="{00000000-0008-0000-0B00-00000A000000}"/>
            </a:ext>
          </a:extLst>
        </xdr:cNvPr>
        <xdr:cNvGrpSpPr/>
      </xdr:nvGrpSpPr>
      <xdr:grpSpPr>
        <a:xfrm>
          <a:off x="5976178" y="495300"/>
          <a:ext cx="1911507" cy="248025"/>
          <a:chOff x="4531552" y="504825"/>
          <a:chExt cx="1916250" cy="248025"/>
        </a:xfrm>
      </xdr:grpSpPr>
      <xdr:sp macro="" textlink="">
        <xdr:nvSpPr>
          <xdr:cNvPr id="103" name="Text Box 10">
            <a:extLst>
              <a:ext uri="{FF2B5EF4-FFF2-40B4-BE49-F238E27FC236}">
                <a16:creationId xmlns:a16="http://schemas.microsoft.com/office/drawing/2014/main" id="{00000000-0008-0000-0B00-000067000000}"/>
              </a:ext>
            </a:extLst>
          </xdr:cNvPr>
          <xdr:cNvSpPr txBox="1">
            <a:spLocks noChangeArrowheads="1"/>
          </xdr:cNvSpPr>
        </xdr:nvSpPr>
        <xdr:spPr bwMode="auto">
          <a:xfrm>
            <a:off x="4531552" y="504825"/>
            <a:ext cx="1170000" cy="248025"/>
          </a:xfrm>
          <a:prstGeom prst="rect">
            <a:avLst/>
          </a:prstGeom>
          <a:solidFill>
            <a:srgbClr val="00467A"/>
          </a:solidFill>
          <a:ln>
            <a:noFill/>
          </a:ln>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mc:AlternateContent xmlns:mc="http://schemas.openxmlformats.org/markup-compatibility/2006">
        <mc:Choice xmlns:a14="http://schemas.microsoft.com/office/drawing/2010/main" Requires="a14">
          <xdr:sp macro="" textlink="">
            <xdr:nvSpPr>
              <xdr:cNvPr id="221187" name="Drop Down 3" hidden="1">
                <a:extLst>
                  <a:ext uri="{63B3BB69-23CF-44E3-9099-C40C66FF867C}">
                    <a14:compatExt spid="_x0000_s221187"/>
                  </a:ext>
                  <a:ext uri="{FF2B5EF4-FFF2-40B4-BE49-F238E27FC236}">
                    <a16:creationId xmlns:a16="http://schemas.microsoft.com/office/drawing/2014/main" id="{00000000-0008-0000-0B00-000003600300}"/>
                  </a:ext>
                </a:extLst>
              </xdr:cNvPr>
              <xdr:cNvSpPr/>
            </xdr:nvSpPr>
            <xdr:spPr bwMode="auto">
              <a:xfrm>
                <a:off x="5727801" y="543516"/>
                <a:ext cx="720001" cy="199434"/>
              </a:xfrm>
              <a:prstGeom prst="rect">
                <a:avLst/>
              </a:prstGeom>
              <a:noFill/>
              <a:ln>
                <a:noFill/>
              </a:ln>
              <a:extLst>
                <a:ext uri="{91240B29-F687-4F45-9708-019B960494DF}">
                  <a14:hiddenLine w="9525">
                    <a:noFill/>
                    <a:miter lim="800000"/>
                    <a:headEnd/>
                    <a:tailEnd/>
                  </a14:hiddenLine>
                </a:ext>
              </a:extLst>
            </xdr:spPr>
          </xdr:sp>
        </mc:Choice>
        <mc:Fallback/>
      </mc:AlternateContent>
    </xdr:grpSp>
    <xdr:clientData/>
  </xdr:twoCellAnchor>
  <xdr:twoCellAnchor>
    <xdr:from>
      <xdr:col>0</xdr:col>
      <xdr:colOff>6350</xdr:colOff>
      <xdr:row>24</xdr:row>
      <xdr:rowOff>104775</xdr:rowOff>
    </xdr:from>
    <xdr:to>
      <xdr:col>22</xdr:col>
      <xdr:colOff>579437</xdr:colOff>
      <xdr:row>25</xdr:row>
      <xdr:rowOff>96836</xdr:rowOff>
    </xdr:to>
    <xdr:sp macro="" textlink="">
      <xdr:nvSpPr>
        <xdr:cNvPr id="104" name="Rectangle 3">
          <a:extLst>
            <a:ext uri="{FF2B5EF4-FFF2-40B4-BE49-F238E27FC236}">
              <a16:creationId xmlns:a16="http://schemas.microsoft.com/office/drawing/2014/main" id="{00000000-0008-0000-0B00-000068000000}"/>
            </a:ext>
          </a:extLst>
        </xdr:cNvPr>
        <xdr:cNvSpPr>
          <a:spLocks noChangeArrowheads="1"/>
        </xdr:cNvSpPr>
      </xdr:nvSpPr>
      <xdr:spPr bwMode="auto">
        <a:xfrm>
          <a:off x="6350" y="4676775"/>
          <a:ext cx="13031787" cy="182561"/>
        </a:xfrm>
        <a:prstGeom prst="rect">
          <a:avLst/>
        </a:prstGeom>
        <a:solidFill>
          <a:schemeClr val="tx2">
            <a:lumMod val="20000"/>
            <a:lumOff val="80000"/>
          </a:schemeClr>
        </a:solidFill>
        <a:ln w="28575" cap="rnd">
          <a:noFill/>
          <a:prstDash val="sysDot"/>
          <a:miter lim="800000"/>
          <a:headEnd/>
          <a:tailEnd/>
        </a:ln>
        <a:effectLst>
          <a:prstShdw prst="shdw18">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defTabSz="988538">
            <a:defRPr/>
          </a:pPr>
          <a:r>
            <a:rPr lang="en-US" sz="1100" b="1" kern="1200">
              <a:solidFill>
                <a:schemeClr val="tx2">
                  <a:lumMod val="50000"/>
                </a:schemeClr>
              </a:solidFill>
              <a:effectLst/>
              <a:latin typeface="Calibri" panose="020F0502020204030204" pitchFamily="34" charset="0"/>
              <a:ea typeface="+mn-ea"/>
              <a:cs typeface="Calibri" panose="020F0502020204030204" pitchFamily="34" charset="0"/>
            </a:rPr>
            <a:t>Remunerações médias mensais</a:t>
          </a:r>
          <a:endParaRPr lang="pt-PT" sz="1100" b="1" i="1">
            <a:solidFill>
              <a:schemeClr val="tx2">
                <a:lumMod val="50000"/>
              </a:schemeClr>
            </a:solidFill>
            <a:effectLst>
              <a:outerShdw blurRad="38100" dist="38100" dir="2700000" algn="tl">
                <a:srgbClr val="000000"/>
              </a:outerShdw>
            </a:effectLst>
            <a:latin typeface="Calibri" panose="020F0502020204030204" pitchFamily="34" charset="0"/>
            <a:cs typeface="Calibri" panose="020F0502020204030204" pitchFamily="34" charset="0"/>
          </a:endParaRPr>
        </a:p>
      </xdr:txBody>
    </xdr:sp>
    <xdr:clientData/>
  </xdr:twoCellAnchor>
  <xdr:twoCellAnchor>
    <xdr:from>
      <xdr:col>0</xdr:col>
      <xdr:colOff>9525</xdr:colOff>
      <xdr:row>4</xdr:row>
      <xdr:rowOff>31751</xdr:rowOff>
    </xdr:from>
    <xdr:to>
      <xdr:col>7</xdr:col>
      <xdr:colOff>364562</xdr:colOff>
      <xdr:row>5</xdr:row>
      <xdr:rowOff>63500</xdr:rowOff>
    </xdr:to>
    <xdr:grpSp>
      <xdr:nvGrpSpPr>
        <xdr:cNvPr id="105" name="Agrupar 104">
          <a:extLst>
            <a:ext uri="{FF2B5EF4-FFF2-40B4-BE49-F238E27FC236}">
              <a16:creationId xmlns:a16="http://schemas.microsoft.com/office/drawing/2014/main" id="{00000000-0008-0000-0B00-000069000000}"/>
            </a:ext>
          </a:extLst>
        </xdr:cNvPr>
        <xdr:cNvGrpSpPr/>
      </xdr:nvGrpSpPr>
      <xdr:grpSpPr>
        <a:xfrm>
          <a:off x="9525" y="793751"/>
          <a:ext cx="4288862" cy="222249"/>
          <a:chOff x="230187" y="661786"/>
          <a:chExt cx="5846763" cy="449464"/>
        </a:xfrm>
      </xdr:grpSpPr>
      <xdr:sp macro="" textlink="">
        <xdr:nvSpPr>
          <xdr:cNvPr id="106" name="Rectangle 3">
            <a:extLst>
              <a:ext uri="{FF2B5EF4-FFF2-40B4-BE49-F238E27FC236}">
                <a16:creationId xmlns:a16="http://schemas.microsoft.com/office/drawing/2014/main" id="{00000000-0008-0000-0B00-00006A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108" name="Text Box 10">
            <a:extLst>
              <a:ext uri="{FF2B5EF4-FFF2-40B4-BE49-F238E27FC236}">
                <a16:creationId xmlns:a16="http://schemas.microsoft.com/office/drawing/2014/main" id="{00000000-0008-0000-0B00-00006C000000}"/>
              </a:ext>
            </a:extLst>
          </xdr:cNvPr>
          <xdr:cNvSpPr txBox="1">
            <a:spLocks noChangeArrowheads="1"/>
          </xdr:cNvSpPr>
        </xdr:nvSpPr>
        <xdr:spPr bwMode="auto">
          <a:xfrm>
            <a:off x="307903" y="661786"/>
            <a:ext cx="2220612" cy="340308"/>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r>
              <a:rPr lang="pt-PT" sz="900" b="1" kern="1200">
                <a:solidFill>
                  <a:srgbClr val="00467A"/>
                </a:solidFill>
                <a:effectLst/>
                <a:latin typeface="Calibri" panose="020F0502020204030204" pitchFamily="34" charset="0"/>
                <a:ea typeface="+mn-ea"/>
                <a:cs typeface="Calibri" panose="020F0502020204030204" pitchFamily="34" charset="0"/>
              </a:rPr>
              <a:t>.....por Grupo Etário e Sexo</a:t>
            </a:r>
            <a:endParaRPr lang="pt-PT" sz="900">
              <a:solidFill>
                <a:srgbClr val="00467A"/>
              </a:solidFill>
              <a:effectLst/>
              <a:latin typeface="Calibri" panose="020F0502020204030204" pitchFamily="34" charset="0"/>
              <a:cs typeface="Calibri" panose="020F0502020204030204" pitchFamily="34" charset="0"/>
            </a:endParaRPr>
          </a:p>
        </xdr:txBody>
      </xdr:sp>
    </xdr:grpSp>
    <xdr:clientData/>
  </xdr:twoCellAnchor>
  <xdr:twoCellAnchor>
    <xdr:from>
      <xdr:col>7</xdr:col>
      <xdr:colOff>447675</xdr:colOff>
      <xdr:row>4</xdr:row>
      <xdr:rowOff>38100</xdr:rowOff>
    </xdr:from>
    <xdr:to>
      <xdr:col>15</xdr:col>
      <xdr:colOff>278837</xdr:colOff>
      <xdr:row>5</xdr:row>
      <xdr:rowOff>69849</xdr:rowOff>
    </xdr:to>
    <xdr:grpSp>
      <xdr:nvGrpSpPr>
        <xdr:cNvPr id="109" name="Agrupar 108">
          <a:extLst>
            <a:ext uri="{FF2B5EF4-FFF2-40B4-BE49-F238E27FC236}">
              <a16:creationId xmlns:a16="http://schemas.microsoft.com/office/drawing/2014/main" id="{00000000-0008-0000-0B00-00006D000000}"/>
            </a:ext>
          </a:extLst>
        </xdr:cNvPr>
        <xdr:cNvGrpSpPr/>
      </xdr:nvGrpSpPr>
      <xdr:grpSpPr>
        <a:xfrm>
          <a:off x="4381500" y="800100"/>
          <a:ext cx="4288862" cy="222249"/>
          <a:chOff x="230187" y="661786"/>
          <a:chExt cx="5846763" cy="449464"/>
        </a:xfrm>
      </xdr:grpSpPr>
      <xdr:sp macro="" textlink="">
        <xdr:nvSpPr>
          <xdr:cNvPr id="110" name="Rectangle 3">
            <a:extLst>
              <a:ext uri="{FF2B5EF4-FFF2-40B4-BE49-F238E27FC236}">
                <a16:creationId xmlns:a16="http://schemas.microsoft.com/office/drawing/2014/main" id="{00000000-0008-0000-0B00-00006E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111" name="Text Box 10">
            <a:extLst>
              <a:ext uri="{FF2B5EF4-FFF2-40B4-BE49-F238E27FC236}">
                <a16:creationId xmlns:a16="http://schemas.microsoft.com/office/drawing/2014/main" id="{00000000-0008-0000-0B00-00006F000000}"/>
              </a:ext>
            </a:extLst>
          </xdr:cNvPr>
          <xdr:cNvSpPr txBox="1">
            <a:spLocks noChangeArrowheads="1"/>
          </xdr:cNvSpPr>
        </xdr:nvSpPr>
        <xdr:spPr bwMode="auto">
          <a:xfrm>
            <a:off x="307901" y="661786"/>
            <a:ext cx="2895825" cy="327468"/>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r>
              <a:rPr lang="pt-PT" sz="1000" b="1" kern="1200">
                <a:solidFill>
                  <a:srgbClr val="00467A"/>
                </a:solidFill>
                <a:effectLst/>
                <a:latin typeface="+mn-lt"/>
                <a:ea typeface="+mn-ea"/>
                <a:cs typeface="+mn-cs"/>
              </a:rPr>
              <a:t>.....por Nível de Qualificação e Sexo</a:t>
            </a:r>
            <a:endParaRPr lang="pt-PT" sz="1000">
              <a:solidFill>
                <a:srgbClr val="00467A"/>
              </a:solidFill>
              <a:effectLst/>
              <a:latin typeface="+mn-lt"/>
            </a:endParaRPr>
          </a:p>
        </xdr:txBody>
      </xdr:sp>
    </xdr:grpSp>
    <xdr:clientData/>
  </xdr:twoCellAnchor>
  <xdr:twoCellAnchor>
    <xdr:from>
      <xdr:col>15</xdr:col>
      <xdr:colOff>361949</xdr:colOff>
      <xdr:row>4</xdr:row>
      <xdr:rowOff>38100</xdr:rowOff>
    </xdr:from>
    <xdr:to>
      <xdr:col>22</xdr:col>
      <xdr:colOff>594749</xdr:colOff>
      <xdr:row>5</xdr:row>
      <xdr:rowOff>69849</xdr:rowOff>
    </xdr:to>
    <xdr:grpSp>
      <xdr:nvGrpSpPr>
        <xdr:cNvPr id="112" name="Agrupar 111">
          <a:extLst>
            <a:ext uri="{FF2B5EF4-FFF2-40B4-BE49-F238E27FC236}">
              <a16:creationId xmlns:a16="http://schemas.microsoft.com/office/drawing/2014/main" id="{00000000-0008-0000-0B00-000070000000}"/>
            </a:ext>
          </a:extLst>
        </xdr:cNvPr>
        <xdr:cNvGrpSpPr/>
      </xdr:nvGrpSpPr>
      <xdr:grpSpPr>
        <a:xfrm>
          <a:off x="8753474" y="800100"/>
          <a:ext cx="4290450" cy="222249"/>
          <a:chOff x="230187" y="661786"/>
          <a:chExt cx="5846763" cy="449464"/>
        </a:xfrm>
      </xdr:grpSpPr>
      <xdr:sp macro="" textlink="">
        <xdr:nvSpPr>
          <xdr:cNvPr id="127" name="Rectangle 3">
            <a:extLst>
              <a:ext uri="{FF2B5EF4-FFF2-40B4-BE49-F238E27FC236}">
                <a16:creationId xmlns:a16="http://schemas.microsoft.com/office/drawing/2014/main" id="{00000000-0008-0000-0B00-00007F000000}"/>
              </a:ext>
            </a:extLst>
          </xdr:cNvPr>
          <xdr:cNvSpPr>
            <a:spLocks noChangeArrowheads="1"/>
          </xdr:cNvSpPr>
        </xdr:nvSpPr>
        <xdr:spPr bwMode="auto">
          <a:xfrm>
            <a:off x="230187" y="673101"/>
            <a:ext cx="5846763" cy="438149"/>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128" name="Text Box 10">
            <a:extLst>
              <a:ext uri="{FF2B5EF4-FFF2-40B4-BE49-F238E27FC236}">
                <a16:creationId xmlns:a16="http://schemas.microsoft.com/office/drawing/2014/main" id="{00000000-0008-0000-0B00-000080000000}"/>
              </a:ext>
            </a:extLst>
          </xdr:cNvPr>
          <xdr:cNvSpPr txBox="1">
            <a:spLocks noChangeArrowheads="1"/>
          </xdr:cNvSpPr>
        </xdr:nvSpPr>
        <xdr:spPr bwMode="auto">
          <a:xfrm>
            <a:off x="307901" y="661786"/>
            <a:ext cx="2895825" cy="327468"/>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r>
              <a:rPr lang="pt-PT" sz="1000" b="1" kern="1200">
                <a:solidFill>
                  <a:srgbClr val="00467A"/>
                </a:solidFill>
                <a:effectLst/>
                <a:latin typeface="+mn-lt"/>
                <a:ea typeface="+mn-ea"/>
                <a:cs typeface="+mn-cs"/>
              </a:rPr>
              <a:t>.....por Nível de Habilitação</a:t>
            </a:r>
            <a:endParaRPr lang="pt-PT" sz="1000">
              <a:solidFill>
                <a:srgbClr val="00467A"/>
              </a:solidFill>
              <a:effectLst/>
              <a:latin typeface="+mn-lt"/>
            </a:endParaRPr>
          </a:p>
        </xdr:txBody>
      </xdr:sp>
    </xdr:grpSp>
    <xdr:clientData/>
  </xdr:twoCellAnchor>
  <xdr:twoCellAnchor>
    <xdr:from>
      <xdr:col>21</xdr:col>
      <xdr:colOff>31684</xdr:colOff>
      <xdr:row>0</xdr:row>
      <xdr:rowOff>127001</xdr:rowOff>
    </xdr:from>
    <xdr:to>
      <xdr:col>22</xdr:col>
      <xdr:colOff>484175</xdr:colOff>
      <xdr:row>1</xdr:row>
      <xdr:rowOff>173928</xdr:rowOff>
    </xdr:to>
    <xdr:sp macro="" textlink="">
      <xdr:nvSpPr>
        <xdr:cNvPr id="91" name="Text Box 10">
          <a:hlinkClick xmlns:r="http://schemas.openxmlformats.org/officeDocument/2006/relationships" r:id="rId14"/>
          <a:extLst>
            <a:ext uri="{FF2B5EF4-FFF2-40B4-BE49-F238E27FC236}">
              <a16:creationId xmlns:a16="http://schemas.microsoft.com/office/drawing/2014/main" id="{00000000-0008-0000-0B00-00005B000000}"/>
            </a:ext>
          </a:extLst>
        </xdr:cNvPr>
        <xdr:cNvSpPr txBox="1">
          <a:spLocks noChangeArrowheads="1"/>
        </xdr:cNvSpPr>
      </xdr:nvSpPr>
      <xdr:spPr bwMode="auto">
        <a:xfrm>
          <a:off x="11909359" y="127001"/>
          <a:ext cx="1033516" cy="237427"/>
        </a:xfrm>
        <a:prstGeom prst="rect">
          <a:avLst/>
        </a:prstGeom>
        <a:solidFill>
          <a:srgbClr val="FFE6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rgbClr val="00467A"/>
              </a:solidFill>
              <a:latin typeface="+mn-lt"/>
            </a:rPr>
            <a:t>Voltar ao</a:t>
          </a:r>
          <a:r>
            <a:rPr lang="en-US" altLang="pt-PT" sz="1000" b="1" baseline="0">
              <a:solidFill>
                <a:srgbClr val="00467A"/>
              </a:solidFill>
              <a:latin typeface="+mn-lt"/>
            </a:rPr>
            <a:t> Índice</a:t>
          </a:r>
          <a:endParaRPr lang="en-US" altLang="pt-PT" sz="1200" b="1">
            <a:solidFill>
              <a:srgbClr val="00467A"/>
            </a:solidFill>
            <a:latin typeface="Arial" charset="0"/>
          </a:endParaRPr>
        </a:p>
      </xdr:txBody>
    </xdr:sp>
    <xdr:clientData/>
  </xdr:twoCellAnchor>
  <xdr:twoCellAnchor>
    <xdr:from>
      <xdr:col>3</xdr:col>
      <xdr:colOff>371477</xdr:colOff>
      <xdr:row>25</xdr:row>
      <xdr:rowOff>130174</xdr:rowOff>
    </xdr:from>
    <xdr:to>
      <xdr:col>7</xdr:col>
      <xdr:colOff>466725</xdr:colOff>
      <xdr:row>31</xdr:row>
      <xdr:rowOff>114300</xdr:rowOff>
    </xdr:to>
    <xdr:sp macro="" textlink="q13_q14_q20_q21_q28_q29_Fig!AX92">
      <xdr:nvSpPr>
        <xdr:cNvPr id="101" name="CaixaDeTexto 100">
          <a:extLst>
            <a:ext uri="{FF2B5EF4-FFF2-40B4-BE49-F238E27FC236}">
              <a16:creationId xmlns:a16="http://schemas.microsoft.com/office/drawing/2014/main" id="{00000000-0008-0000-0B00-000065000000}"/>
            </a:ext>
          </a:extLst>
        </xdr:cNvPr>
        <xdr:cNvSpPr txBox="1"/>
      </xdr:nvSpPr>
      <xdr:spPr>
        <a:xfrm>
          <a:off x="2057402" y="4892674"/>
          <a:ext cx="2343148" cy="1127126"/>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BE1D93B8-A427-4A4B-8792-3BED9284426F}"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2022:
Base Mulheres = 86,6% da dos Homens (H), entre  62,8% da dos H (&lt; 18 anos) e 93,9% (18 - 24 anos).
Ganho Mulheres = 83,8% da dos H, entre  66,4% da dos H (&lt; 18 anos) e 93,% (18 - 24 anos).</a:t>
          </a:fld>
          <a:endParaRPr kumimoji="0" lang="en-US" i="0" u="none" strike="noStrike" kern="0" cap="none" spc="0" normalizeH="0" baseline="0" noProof="0">
            <a:ln>
              <a:noFill/>
            </a:ln>
            <a:solidFill>
              <a:sysClr val="windowText" lastClr="000000"/>
            </a:solidFill>
            <a:effectLst/>
            <a:uLnTx/>
            <a:uFillTx/>
            <a:latin typeface="Calibri"/>
            <a:ea typeface="+mn-ea"/>
          </a:endParaRPr>
        </a:p>
      </xdr:txBody>
    </xdr:sp>
    <xdr:clientData/>
  </xdr:twoCellAnchor>
  <xdr:twoCellAnchor>
    <xdr:from>
      <xdr:col>11</xdr:col>
      <xdr:colOff>371475</xdr:colOff>
      <xdr:row>25</xdr:row>
      <xdr:rowOff>152400</xdr:rowOff>
    </xdr:from>
    <xdr:to>
      <xdr:col>15</xdr:col>
      <xdr:colOff>514351</xdr:colOff>
      <xdr:row>31</xdr:row>
      <xdr:rowOff>114300</xdr:rowOff>
    </xdr:to>
    <xdr:sp macro="" textlink="q13_q14_q20_q21_q28_q29_Fig!AN137">
      <xdr:nvSpPr>
        <xdr:cNvPr id="107" name="CaixaDeTexto 106">
          <a:extLst>
            <a:ext uri="{FF2B5EF4-FFF2-40B4-BE49-F238E27FC236}">
              <a16:creationId xmlns:a16="http://schemas.microsoft.com/office/drawing/2014/main" id="{00000000-0008-0000-0B00-00006B000000}"/>
            </a:ext>
          </a:extLst>
        </xdr:cNvPr>
        <xdr:cNvSpPr txBox="1"/>
      </xdr:nvSpPr>
      <xdr:spPr>
        <a:xfrm>
          <a:off x="6553200" y="4914900"/>
          <a:ext cx="2352676" cy="11049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0D1E7EE5-876E-4ADB-805A-AD48B9195947}"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2022:
Base Mulheres = 86,6%  da dos Homens (H), entre  74,8% da dos H (Quadros superiores ) e 96,6% (Praticantes e aprendizes).
Ganho Mulheres = 83,8% da dos H, entre 74,4% da dos H (Quadros superiores) e 95,1% (Praticantes e aprendizes).</a:t>
          </a:fld>
          <a:endParaRPr kumimoji="0" lang="en-US" sz="900" b="0"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19</xdr:col>
      <xdr:colOff>352426</xdr:colOff>
      <xdr:row>25</xdr:row>
      <xdr:rowOff>152400</xdr:rowOff>
    </xdr:from>
    <xdr:to>
      <xdr:col>22</xdr:col>
      <xdr:colOff>533401</xdr:colOff>
      <xdr:row>32</xdr:row>
      <xdr:rowOff>66675</xdr:rowOff>
    </xdr:to>
    <xdr:sp macro="" textlink="q13_q14_q20_q21_q28_q29_Fig!AG177">
      <xdr:nvSpPr>
        <xdr:cNvPr id="129" name="CaixaDeTexto 128">
          <a:extLst>
            <a:ext uri="{FF2B5EF4-FFF2-40B4-BE49-F238E27FC236}">
              <a16:creationId xmlns:a16="http://schemas.microsoft.com/office/drawing/2014/main" id="{00000000-0008-0000-0B00-000081000000}"/>
            </a:ext>
          </a:extLst>
        </xdr:cNvPr>
        <xdr:cNvSpPr txBox="1"/>
      </xdr:nvSpPr>
      <xdr:spPr>
        <a:xfrm>
          <a:off x="11068051" y="4914900"/>
          <a:ext cx="1924050" cy="1247775"/>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20BB0AFB-71B7-40F7-B536-9863E539EB2E}"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2022 - Continente:
Base mediana: 80,2% do Ganho, entre 705 € (&lt; 1.º ciclo do ensino básico) e  1.376 € (Ensino superior**).
Ganho mediano: Entre 825 € e 1.622 €, nos mesmos níveis de habilitação, respetivamente.</a:t>
          </a:fld>
          <a:endParaRPr kumimoji="0" lang="en-US" sz="900" b="0"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wsDr>
</file>

<file path=xl/drawings/drawing24.xml><?xml version="1.0" encoding="utf-8"?>
<c:userShapes xmlns:c="http://schemas.openxmlformats.org/drawingml/2006/chart">
  <cdr:relSizeAnchor xmlns:cdr="http://schemas.openxmlformats.org/drawingml/2006/chartDrawing">
    <cdr:from>
      <cdr:x>0.51845</cdr:x>
      <cdr:y>0.14688</cdr:y>
    </cdr:from>
    <cdr:to>
      <cdr:x>0.65457</cdr:x>
      <cdr:y>0.26625</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1244902" y="419010"/>
          <a:ext cx="326851" cy="340531"/>
          <a:chOff x="1925896" y="369817"/>
          <a:chExt cx="505685" cy="300548"/>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2"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25896" y="374649"/>
            <a:ext cx="196795" cy="29571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25.xml><?xml version="1.0" encoding="utf-8"?>
<c:userShapes xmlns:c="http://schemas.openxmlformats.org/drawingml/2006/chart">
  <cdr:relSizeAnchor xmlns:cdr="http://schemas.openxmlformats.org/drawingml/2006/chartDrawing">
    <cdr:from>
      <cdr:x>0.50439</cdr:x>
      <cdr:y>0.13317</cdr:y>
    </cdr:from>
    <cdr:to>
      <cdr:x>0.64051</cdr:x>
      <cdr:y>0.25254</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1224513" y="382190"/>
          <a:ext cx="330460" cy="342585"/>
          <a:chOff x="1925896" y="369817"/>
          <a:chExt cx="505685" cy="300548"/>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2"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25896" y="374649"/>
            <a:ext cx="196795" cy="29571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26.xml><?xml version="1.0" encoding="utf-8"?>
<c:userShapes xmlns:c="http://schemas.openxmlformats.org/drawingml/2006/chart">
  <cdr:relSizeAnchor xmlns:cdr="http://schemas.openxmlformats.org/drawingml/2006/chartDrawing">
    <cdr:from>
      <cdr:x>0.49765</cdr:x>
      <cdr:y>0.09441</cdr:y>
    </cdr:from>
    <cdr:to>
      <cdr:x>0.61405</cdr:x>
      <cdr:y>0.18938</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1103337" y="384016"/>
          <a:ext cx="258070" cy="386294"/>
          <a:chOff x="1941922" y="369817"/>
          <a:chExt cx="489659" cy="300548"/>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2"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41922" y="374649"/>
            <a:ext cx="196795" cy="29571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27.xml><?xml version="1.0" encoding="utf-8"?>
<c:userShapes xmlns:c="http://schemas.openxmlformats.org/drawingml/2006/chart">
  <cdr:relSizeAnchor xmlns:cdr="http://schemas.openxmlformats.org/drawingml/2006/chartDrawing">
    <cdr:from>
      <cdr:x>0.60932</cdr:x>
      <cdr:y>0.10672</cdr:y>
    </cdr:from>
    <cdr:to>
      <cdr:x>0.72061</cdr:x>
      <cdr:y>0.1913</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1481659" y="433906"/>
          <a:ext cx="270620" cy="343889"/>
          <a:chOff x="1963402" y="369817"/>
          <a:chExt cx="468179" cy="300548"/>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2"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63402" y="374649"/>
            <a:ext cx="196795" cy="29571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28.xml><?xml version="1.0" encoding="utf-8"?>
<xdr:wsDr xmlns:xdr="http://schemas.openxmlformats.org/drawingml/2006/spreadsheetDrawing" xmlns:a="http://schemas.openxmlformats.org/drawingml/2006/main">
  <xdr:twoCellAnchor>
    <xdr:from>
      <xdr:col>17</xdr:col>
      <xdr:colOff>101600</xdr:colOff>
      <xdr:row>5</xdr:row>
      <xdr:rowOff>139700</xdr:rowOff>
    </xdr:from>
    <xdr:to>
      <xdr:col>21</xdr:col>
      <xdr:colOff>383116</xdr:colOff>
      <xdr:row>9</xdr:row>
      <xdr:rowOff>35983</xdr:rowOff>
    </xdr:to>
    <xdr:sp macro="" textlink="">
      <xdr:nvSpPr>
        <xdr:cNvPr id="70" name="CaixaDeTexto 69">
          <a:extLst>
            <a:ext uri="{FF2B5EF4-FFF2-40B4-BE49-F238E27FC236}">
              <a16:creationId xmlns:a16="http://schemas.microsoft.com/office/drawing/2014/main" id="{00000000-0008-0000-0C00-000046000000}"/>
            </a:ext>
          </a:extLst>
        </xdr:cNvPr>
        <xdr:cNvSpPr txBox="1"/>
      </xdr:nvSpPr>
      <xdr:spPr>
        <a:xfrm>
          <a:off x="10134600" y="1060450"/>
          <a:ext cx="2719916" cy="645583"/>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800" b="1" i="0" u="none" strike="noStrike">
              <a:solidFill>
                <a:sysClr val="windowText" lastClr="000000"/>
              </a:solidFill>
              <a:latin typeface="+mn-lt"/>
              <a:cs typeface="Calibri"/>
            </a:rPr>
            <a:t>2022 - </a:t>
          </a:r>
          <a:r>
            <a:rPr lang="en-US" sz="800" b="0" i="0" u="sng" strike="noStrike">
              <a:solidFill>
                <a:sysClr val="windowText" lastClr="000000"/>
              </a:solidFill>
              <a:latin typeface="+mn-lt"/>
              <a:cs typeface="Calibri"/>
            </a:rPr>
            <a:t>Proporção de TCO com remuneração Ganho</a:t>
          </a:r>
        </a:p>
        <a:p>
          <a:r>
            <a:rPr lang="en-US" sz="800" b="0" i="0" u="none" strike="noStrike">
              <a:solidFill>
                <a:sysClr val="windowText" lastClr="000000"/>
              </a:solidFill>
              <a:latin typeface="+mn-lt"/>
              <a:cs typeface="Calibri"/>
            </a:rPr>
            <a:t>&gt;= RMMG e  &lt; 750 €: 6,6% (-38,7 p.p face a 2012)</a:t>
          </a:r>
        </a:p>
        <a:p>
          <a:r>
            <a:rPr lang="en-US" sz="800" b="0" i="0" u="none" strike="noStrike">
              <a:solidFill>
                <a:sysClr val="windowText" lastClr="000000"/>
              </a:solidFill>
              <a:latin typeface="+mn-lt"/>
              <a:cs typeface="Calibri"/>
            </a:rPr>
            <a:t>= RMMG: 4,5% (+0,4 p.p. face a 2012)                                      </a:t>
          </a:r>
        </a:p>
        <a:p>
          <a:r>
            <a:rPr lang="en-US" sz="800" b="0" i="0" u="none" strike="noStrike">
              <a:solidFill>
                <a:sysClr val="windowText" lastClr="000000"/>
              </a:solidFill>
              <a:latin typeface="+mn-lt"/>
              <a:cs typeface="Calibri"/>
            </a:rPr>
            <a:t>&gt; RMMG e &lt; 750 €: 2,1% (- 39,1 p.p. face a 2012).</a:t>
          </a:r>
        </a:p>
        <a:p>
          <a:endParaRPr lang="en-US" sz="800" b="0" i="0" u="none" strike="noStrike" baseline="0">
            <a:solidFill>
              <a:sysClr val="windowText" lastClr="000000"/>
            </a:solidFill>
            <a:latin typeface="Calibri"/>
            <a:cs typeface="Calibri"/>
          </a:endParaRPr>
        </a:p>
      </xdr:txBody>
    </xdr:sp>
    <xdr:clientData/>
  </xdr:twoCellAnchor>
  <xdr:twoCellAnchor>
    <xdr:from>
      <xdr:col>11</xdr:col>
      <xdr:colOff>76332</xdr:colOff>
      <xdr:row>39</xdr:row>
      <xdr:rowOff>68130</xdr:rowOff>
    </xdr:from>
    <xdr:to>
      <xdr:col>22</xdr:col>
      <xdr:colOff>445428</xdr:colOff>
      <xdr:row>40</xdr:row>
      <xdr:rowOff>29008</xdr:rowOff>
    </xdr:to>
    <xdr:sp macro="" textlink="">
      <xdr:nvSpPr>
        <xdr:cNvPr id="76" name="CaixaDeTexto 75">
          <a:extLst>
            <a:ext uri="{FF2B5EF4-FFF2-40B4-BE49-F238E27FC236}">
              <a16:creationId xmlns:a16="http://schemas.microsoft.com/office/drawing/2014/main" id="{00000000-0008-0000-0C00-00004C000000}"/>
            </a:ext>
          </a:extLst>
        </xdr:cNvPr>
        <xdr:cNvSpPr txBox="1"/>
      </xdr:nvSpPr>
      <xdr:spPr>
        <a:xfrm>
          <a:off x="6595665" y="7312422"/>
          <a:ext cx="6941346" cy="146086"/>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pt-PT" sz="600" b="0" i="0" baseline="0">
              <a:solidFill>
                <a:schemeClr val="tx1">
                  <a:lumMod val="50000"/>
                  <a:lumOff val="50000"/>
                </a:schemeClr>
              </a:solidFill>
              <a:effectLst/>
              <a:latin typeface="+mn-lt"/>
              <a:ea typeface="+mn-ea"/>
              <a:cs typeface="+mn-cs"/>
            </a:rPr>
            <a:t>Nota: D</a:t>
          </a:r>
          <a:r>
            <a:rPr lang="pt-PT" sz="600" b="0" i="0" baseline="-25000">
              <a:solidFill>
                <a:schemeClr val="tx1">
                  <a:lumMod val="50000"/>
                  <a:lumOff val="50000"/>
                </a:schemeClr>
              </a:solidFill>
              <a:effectLst/>
              <a:latin typeface="+mn-lt"/>
              <a:ea typeface="+mn-ea"/>
              <a:cs typeface="+mn-cs"/>
            </a:rPr>
            <a:t>k</a:t>
          </a:r>
          <a:r>
            <a:rPr lang="pt-PT" sz="600" b="0" i="0" baseline="0">
              <a:solidFill>
                <a:schemeClr val="tx1">
                  <a:lumMod val="50000"/>
                  <a:lumOff val="50000"/>
                </a:schemeClr>
              </a:solidFill>
              <a:effectLst/>
              <a:latin typeface="+mn-lt"/>
              <a:ea typeface="+mn-ea"/>
              <a:cs typeface="+mn-cs"/>
            </a:rPr>
            <a:t> representa a média do ganho recebido pelos 10% da população no decil k, por exemplo, D1 representa a média do ganho recebido pelos 10% da população com menor remuneração ganho. </a:t>
          </a:r>
          <a:endParaRPr kumimoji="0" lang="pt-PT" sz="600" b="0" i="0" u="none" strike="noStrike" kern="0" cap="none" spc="0" normalizeH="0" baseline="0" noProof="0">
            <a:ln>
              <a:noFill/>
            </a:ln>
            <a:solidFill>
              <a:schemeClr val="tx1">
                <a:lumMod val="50000"/>
                <a:lumOff val="50000"/>
              </a:schemeClr>
            </a:solidFill>
            <a:effectLst/>
            <a:uLnTx/>
            <a:uFillTx/>
            <a:latin typeface="+mn-lt"/>
            <a:ea typeface="+mn-ea"/>
            <a:cs typeface="+mn-cs"/>
          </a:endParaRPr>
        </a:p>
      </xdr:txBody>
    </xdr:sp>
    <xdr:clientData/>
  </xdr:twoCellAnchor>
  <xdr:twoCellAnchor>
    <xdr:from>
      <xdr:col>0</xdr:col>
      <xdr:colOff>1465</xdr:colOff>
      <xdr:row>3</xdr:row>
      <xdr:rowOff>11930</xdr:rowOff>
    </xdr:from>
    <xdr:to>
      <xdr:col>22</xdr:col>
      <xdr:colOff>600465</xdr:colOff>
      <xdr:row>3</xdr:row>
      <xdr:rowOff>181841</xdr:rowOff>
    </xdr:to>
    <xdr:sp macro="" textlink="">
      <xdr:nvSpPr>
        <xdr:cNvPr id="2" name="Rectangle 3">
          <a:extLst>
            <a:ext uri="{FF2B5EF4-FFF2-40B4-BE49-F238E27FC236}">
              <a16:creationId xmlns:a16="http://schemas.microsoft.com/office/drawing/2014/main" id="{00000000-0008-0000-0C00-000002000000}"/>
            </a:ext>
          </a:extLst>
        </xdr:cNvPr>
        <xdr:cNvSpPr>
          <a:spLocks noChangeArrowheads="1"/>
        </xdr:cNvSpPr>
      </xdr:nvSpPr>
      <xdr:spPr bwMode="auto">
        <a:xfrm>
          <a:off x="1465" y="564380"/>
          <a:ext cx="13680000" cy="169911"/>
        </a:xfrm>
        <a:prstGeom prst="rect">
          <a:avLst/>
        </a:prstGeom>
        <a:solidFill>
          <a:srgbClr val="FFE600"/>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r>
            <a:rPr lang="en-US" sz="1000" b="1" kern="1200">
              <a:solidFill>
                <a:srgbClr val="00467A"/>
              </a:solidFill>
              <a:effectLst/>
              <a:latin typeface="Calibri" panose="020F0502020204030204" pitchFamily="34" charset="0"/>
              <a:ea typeface="+mn-ea"/>
              <a:cs typeface="Calibri" panose="020F0502020204030204" pitchFamily="34" charset="0"/>
            </a:rPr>
            <a:t>Desigualdade Salarial e Contratação Coletiva</a:t>
          </a:r>
          <a:endParaRPr lang="pt-PT" sz="1000">
            <a:solidFill>
              <a:srgbClr val="00467A"/>
            </a:solidFill>
            <a:effectLst/>
            <a:latin typeface="Calibri" panose="020F0502020204030204" pitchFamily="34" charset="0"/>
            <a:cs typeface="Calibri" panose="020F0502020204030204" pitchFamily="34" charset="0"/>
          </a:endParaRPr>
        </a:p>
      </xdr:txBody>
    </xdr:sp>
    <xdr:clientData/>
  </xdr:twoCellAnchor>
  <xdr:twoCellAnchor editAs="oneCell">
    <xdr:from>
      <xdr:col>0</xdr:col>
      <xdr:colOff>66675</xdr:colOff>
      <xdr:row>0</xdr:row>
      <xdr:rowOff>45795</xdr:rowOff>
    </xdr:from>
    <xdr:to>
      <xdr:col>1</xdr:col>
      <xdr:colOff>383503</xdr:colOff>
      <xdr:row>2</xdr:row>
      <xdr:rowOff>94781</xdr:rowOff>
    </xdr:to>
    <xdr:pic>
      <xdr:nvPicPr>
        <xdr:cNvPr id="3" name="Imagem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66675" y="45795"/>
          <a:ext cx="907378" cy="417286"/>
        </a:xfrm>
        <a:prstGeom prst="rect">
          <a:avLst/>
        </a:prstGeom>
      </xdr:spPr>
    </xdr:pic>
    <xdr:clientData/>
  </xdr:twoCellAnchor>
  <xdr:twoCellAnchor>
    <xdr:from>
      <xdr:col>0</xdr:col>
      <xdr:colOff>38627</xdr:colOff>
      <xdr:row>18</xdr:row>
      <xdr:rowOff>149514</xdr:rowOff>
    </xdr:from>
    <xdr:to>
      <xdr:col>23</xdr:col>
      <xdr:colOff>119061</xdr:colOff>
      <xdr:row>20</xdr:row>
      <xdr:rowOff>91306</xdr:rowOff>
    </xdr:to>
    <xdr:sp macro="" textlink="">
      <xdr:nvSpPr>
        <xdr:cNvPr id="4" name="CaixaDeTexto 3">
          <a:extLst>
            <a:ext uri="{FF2B5EF4-FFF2-40B4-BE49-F238E27FC236}">
              <a16:creationId xmlns:a16="http://schemas.microsoft.com/office/drawing/2014/main" id="{00000000-0008-0000-0C00-000004000000}"/>
            </a:ext>
          </a:extLst>
        </xdr:cNvPr>
        <xdr:cNvSpPr txBox="1"/>
      </xdr:nvSpPr>
      <xdr:spPr>
        <a:xfrm>
          <a:off x="38627" y="3578514"/>
          <a:ext cx="13121747" cy="322792"/>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pt-PT" sz="600" b="0" i="0" baseline="0">
              <a:solidFill>
                <a:schemeClr val="tx1">
                  <a:lumMod val="50000"/>
                  <a:lumOff val="50000"/>
                </a:schemeClr>
              </a:solidFill>
              <a:effectLst/>
              <a:latin typeface="+mn-lt"/>
              <a:ea typeface="+mn-ea"/>
              <a:cs typeface="+mn-cs"/>
            </a:rPr>
            <a:t>* Trabalhadores por conta de outrem a tempo completo, que auferiram remuneração completa no período de referência. </a:t>
          </a:r>
          <a:r>
            <a:rPr kumimoji="0" lang="pt-PT" sz="600" b="0" i="0" u="none" strike="noStrike" kern="0" cap="none" spc="0" normalizeH="0" baseline="0" noProof="0">
              <a:ln>
                <a:noFill/>
              </a:ln>
              <a:solidFill>
                <a:schemeClr val="tx1">
                  <a:lumMod val="50000"/>
                  <a:lumOff val="50000"/>
                </a:schemeClr>
              </a:solidFill>
              <a:effectLst/>
              <a:uLnTx/>
              <a:uFillTx/>
              <a:latin typeface="+mn-lt"/>
              <a:ea typeface="+mn-ea"/>
              <a:cs typeface="+mn-cs"/>
            </a:rPr>
            <a:t>** Retribuição Mínima Mensal Garantida (RMMG) - Continente 2012=485,00 euros; 2013=485,00 euros; 2014=505,00 euros; 2015=505,00 euros; 2016=530,00 euros; 2017=557,00 euros; 2018=580,00 euros; 2019=600,00 euros; 2020=635,00 euros; 2021 = 665,00 euros e 2022 = 705,00 euros..</a:t>
          </a:r>
        </a:p>
      </xdr:txBody>
    </xdr:sp>
    <xdr:clientData/>
  </xdr:twoCellAnchor>
  <xdr:twoCellAnchor>
    <xdr:from>
      <xdr:col>0</xdr:col>
      <xdr:colOff>350260</xdr:colOff>
      <xdr:row>7</xdr:row>
      <xdr:rowOff>175780</xdr:rowOff>
    </xdr:from>
    <xdr:to>
      <xdr:col>24</xdr:col>
      <xdr:colOff>40697</xdr:colOff>
      <xdr:row>19</xdr:row>
      <xdr:rowOff>137680</xdr:rowOff>
    </xdr:to>
    <xdr:grpSp>
      <xdr:nvGrpSpPr>
        <xdr:cNvPr id="5" name="Agrupar 4">
          <a:extLst>
            <a:ext uri="{FF2B5EF4-FFF2-40B4-BE49-F238E27FC236}">
              <a16:creationId xmlns:a16="http://schemas.microsoft.com/office/drawing/2014/main" id="{00000000-0008-0000-0C00-000005000000}"/>
            </a:ext>
          </a:extLst>
        </xdr:cNvPr>
        <xdr:cNvGrpSpPr/>
      </xdr:nvGrpSpPr>
      <xdr:grpSpPr>
        <a:xfrm>
          <a:off x="350260" y="1509280"/>
          <a:ext cx="13311187" cy="2247900"/>
          <a:chOff x="8448671" y="712203"/>
          <a:chExt cx="14601170" cy="4374147"/>
        </a:xfrm>
      </xdr:grpSpPr>
      <xdr:graphicFrame macro="">
        <xdr:nvGraphicFramePr>
          <xdr:cNvPr id="6" name="Gráfico 5">
            <a:extLst>
              <a:ext uri="{FF2B5EF4-FFF2-40B4-BE49-F238E27FC236}">
                <a16:creationId xmlns:a16="http://schemas.microsoft.com/office/drawing/2014/main" id="{00000000-0008-0000-0C00-000006000000}"/>
              </a:ext>
            </a:extLst>
          </xdr:cNvPr>
          <xdr:cNvGraphicFramePr/>
        </xdr:nvGraphicFramePr>
        <xdr:xfrm>
          <a:off x="8448671" y="717551"/>
          <a:ext cx="7760518" cy="4368799"/>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7" name="Gráfico 6">
            <a:extLst>
              <a:ext uri="{FF2B5EF4-FFF2-40B4-BE49-F238E27FC236}">
                <a16:creationId xmlns:a16="http://schemas.microsoft.com/office/drawing/2014/main" id="{00000000-0008-0000-0C00-000007000000}"/>
              </a:ext>
            </a:extLst>
          </xdr:cNvPr>
          <xdr:cNvGraphicFramePr>
            <a:graphicFrameLocks/>
          </xdr:cNvGraphicFramePr>
        </xdr:nvGraphicFramePr>
        <xdr:xfrm>
          <a:off x="15989778" y="712203"/>
          <a:ext cx="7060063" cy="4368798"/>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0</xdr:col>
      <xdr:colOff>0</xdr:colOff>
      <xdr:row>4</xdr:row>
      <xdr:rowOff>44055</xdr:rowOff>
    </xdr:from>
    <xdr:to>
      <xdr:col>22</xdr:col>
      <xdr:colOff>599000</xdr:colOff>
      <xdr:row>5</xdr:row>
      <xdr:rowOff>103910</xdr:rowOff>
    </xdr:to>
    <xdr:sp macro="" textlink="">
      <xdr:nvSpPr>
        <xdr:cNvPr id="8" name="Rectangle 3">
          <a:extLst>
            <a:ext uri="{FF2B5EF4-FFF2-40B4-BE49-F238E27FC236}">
              <a16:creationId xmlns:a16="http://schemas.microsoft.com/office/drawing/2014/main" id="{00000000-0008-0000-0C00-000008000000}"/>
            </a:ext>
          </a:extLst>
        </xdr:cNvPr>
        <xdr:cNvSpPr>
          <a:spLocks noChangeArrowheads="1"/>
        </xdr:cNvSpPr>
      </xdr:nvSpPr>
      <xdr:spPr bwMode="auto">
        <a:xfrm>
          <a:off x="0" y="780655"/>
          <a:ext cx="13680000" cy="244005"/>
        </a:xfrm>
        <a:prstGeom prst="rect">
          <a:avLst/>
        </a:prstGeom>
        <a:solidFill>
          <a:schemeClr val="tx2"/>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defTabSz="988538">
            <a:defRPr/>
          </a:pPr>
          <a:r>
            <a:rPr lang="pt-PT" sz="900" b="1" i="1">
              <a:solidFill>
                <a:schemeClr val="bg1"/>
              </a:solidFill>
              <a:effectLst>
                <a:outerShdw blurRad="38100" dist="38100" dir="2700000" algn="tl">
                  <a:srgbClr val="000000"/>
                </a:outerShdw>
              </a:effectLst>
              <a:latin typeface="+mn-lt"/>
            </a:rPr>
            <a:t>...Trabalhadores por conta de outrem* por escalão de remuneração mensal</a:t>
          </a:r>
        </a:p>
      </xdr:txBody>
    </xdr:sp>
    <xdr:clientData/>
  </xdr:twoCellAnchor>
  <xdr:twoCellAnchor>
    <xdr:from>
      <xdr:col>1</xdr:col>
      <xdr:colOff>430456</xdr:colOff>
      <xdr:row>0</xdr:row>
      <xdr:rowOff>45794</xdr:rowOff>
    </xdr:from>
    <xdr:to>
      <xdr:col>23</xdr:col>
      <xdr:colOff>2406</xdr:colOff>
      <xdr:row>2</xdr:row>
      <xdr:rowOff>165955</xdr:rowOff>
    </xdr:to>
    <xdr:sp macro="" textlink="">
      <xdr:nvSpPr>
        <xdr:cNvPr id="9" name="Rectangle 17">
          <a:extLst>
            <a:ext uri="{FF2B5EF4-FFF2-40B4-BE49-F238E27FC236}">
              <a16:creationId xmlns:a16="http://schemas.microsoft.com/office/drawing/2014/main" id="{00000000-0008-0000-0C00-000009000000}"/>
            </a:ext>
          </a:extLst>
        </xdr:cNvPr>
        <xdr:cNvSpPr>
          <a:spLocks noChangeArrowheads="1"/>
        </xdr:cNvSpPr>
      </xdr:nvSpPr>
      <xdr:spPr bwMode="auto">
        <a:xfrm>
          <a:off x="1021006" y="45794"/>
          <a:ext cx="12672000" cy="488461"/>
        </a:xfrm>
        <a:prstGeom prst="rect">
          <a:avLst/>
        </a:prstGeom>
        <a:solidFill>
          <a:srgbClr val="00467A"/>
        </a:solidFill>
        <a:ln w="28575" cap="rnd">
          <a:noFill/>
          <a:prstDash val="sysDot"/>
          <a:miter lim="800000"/>
          <a:headEnd/>
          <a:tailEnd/>
        </a:ln>
        <a:effectLst>
          <a:prstShdw prst="shdw18" dist="17961" dir="13500000">
            <a:srgbClr val="556B81">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marR="0" lvl="0" indent="0" algn="ctr" defTabSz="988538" rtl="0" eaLnBrk="0" fontAlgn="base" latinLnBrk="0" hangingPunct="0">
            <a:lnSpc>
              <a:spcPct val="100000"/>
            </a:lnSpc>
            <a:spcBef>
              <a:spcPct val="0"/>
            </a:spcBef>
            <a:spcAft>
              <a:spcPct val="0"/>
            </a:spcAft>
            <a:buClrTx/>
            <a:buSzTx/>
            <a:buFontTx/>
            <a:buNone/>
            <a:tabLst/>
            <a:defRPr/>
          </a:pPr>
          <a:r>
            <a:rPr kumimoji="0" lang="pt-PT" sz="1600" b="1" i="1" u="none" strike="noStrike" kern="1200" cap="none" spc="0" normalizeH="0" baseline="0" noProof="0">
              <a:ln>
                <a:noFill/>
              </a:ln>
              <a:solidFill>
                <a:sysClr val="window" lastClr="FFFFFF"/>
              </a:solidFill>
              <a:effectLst>
                <a:outerShdw blurRad="38100" dist="38100" dir="2700000" algn="tl">
                  <a:srgbClr val="000000"/>
                </a:outerShdw>
              </a:effectLst>
              <a:uLnTx/>
              <a:uFillTx/>
              <a:latin typeface="Arial" charset="0"/>
              <a:ea typeface="+mn-ea"/>
              <a:cs typeface="+mn-cs"/>
            </a:rPr>
            <a:t>Séries Cronológicas 2012 - 2022: Quadros de Pessoal</a:t>
          </a:r>
        </a:p>
        <a:p>
          <a:pPr marL="0" marR="0" lvl="0" indent="0" algn="ctr" defTabSz="988538" rtl="0" eaLnBrk="0" fontAlgn="base" latinLnBrk="0" hangingPunct="0">
            <a:lnSpc>
              <a:spcPct val="100000"/>
            </a:lnSpc>
            <a:spcBef>
              <a:spcPct val="0"/>
            </a:spcBef>
            <a:spcAft>
              <a:spcPct val="0"/>
            </a:spcAft>
            <a:buClrTx/>
            <a:buSzTx/>
            <a:buFontTx/>
            <a:buNone/>
            <a:tabLst/>
            <a:defRPr/>
          </a:pPr>
          <a:r>
            <a:rPr kumimoji="0" lang="pt-PT" sz="1600" b="1" i="1" u="none" strike="noStrike" kern="1200" cap="none" spc="0" normalizeH="0" baseline="0" noProof="0">
              <a:ln>
                <a:noFill/>
              </a:ln>
              <a:solidFill>
                <a:srgbClr val="FFE600"/>
              </a:solidFill>
              <a:effectLst>
                <a:outerShdw blurRad="38100" dist="38100" dir="2700000" algn="tl">
                  <a:srgbClr val="000000"/>
                </a:outerShdw>
              </a:effectLst>
              <a:uLnTx/>
              <a:uFillTx/>
              <a:latin typeface="Arial" charset="0"/>
              <a:ea typeface="+mn-ea"/>
              <a:cs typeface="+mn-cs"/>
            </a:rPr>
            <a:t>Desigualdade Salarial e Contratação Coletiva</a:t>
          </a:r>
        </a:p>
      </xdr:txBody>
    </xdr:sp>
    <xdr:clientData/>
  </xdr:twoCellAnchor>
  <xdr:twoCellAnchor>
    <xdr:from>
      <xdr:col>0</xdr:col>
      <xdr:colOff>25400</xdr:colOff>
      <xdr:row>20</xdr:row>
      <xdr:rowOff>15491</xdr:rowOff>
    </xdr:from>
    <xdr:to>
      <xdr:col>22</xdr:col>
      <xdr:colOff>588400</xdr:colOff>
      <xdr:row>21</xdr:row>
      <xdr:rowOff>12700</xdr:rowOff>
    </xdr:to>
    <xdr:sp macro="" textlink="">
      <xdr:nvSpPr>
        <xdr:cNvPr id="43" name="Rectangle 3">
          <a:extLst>
            <a:ext uri="{FF2B5EF4-FFF2-40B4-BE49-F238E27FC236}">
              <a16:creationId xmlns:a16="http://schemas.microsoft.com/office/drawing/2014/main" id="{00000000-0008-0000-0C00-00002B000000}"/>
            </a:ext>
          </a:extLst>
        </xdr:cNvPr>
        <xdr:cNvSpPr>
          <a:spLocks noChangeArrowheads="1"/>
        </xdr:cNvSpPr>
      </xdr:nvSpPr>
      <xdr:spPr bwMode="auto">
        <a:xfrm>
          <a:off x="25400" y="3723891"/>
          <a:ext cx="13644000" cy="181359"/>
        </a:xfrm>
        <a:prstGeom prst="rect">
          <a:avLst/>
        </a:prstGeom>
        <a:solidFill>
          <a:srgbClr val="1F497D"/>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marR="0" lvl="0" indent="0" algn="ctr" defTabSz="988538" rtl="0" eaLnBrk="0" fontAlgn="base" latinLnBrk="0" hangingPunct="0">
            <a:lnSpc>
              <a:spcPct val="100000"/>
            </a:lnSpc>
            <a:spcBef>
              <a:spcPct val="0"/>
            </a:spcBef>
            <a:spcAft>
              <a:spcPct val="0"/>
            </a:spcAft>
            <a:buClrTx/>
            <a:buSzTx/>
            <a:buFontTx/>
            <a:buNone/>
            <a:tabLst/>
            <a:defRPr/>
          </a:pPr>
          <a:r>
            <a:rPr kumimoji="0" lang="pt-PT" sz="900" b="1" i="1" u="none" strike="noStrike" kern="1200" cap="none" spc="0" normalizeH="0" baseline="0" noProof="0">
              <a:ln>
                <a:noFill/>
              </a:ln>
              <a:solidFill>
                <a:sysClr val="window" lastClr="FFFFFF"/>
              </a:solidFill>
              <a:effectLst>
                <a:outerShdw blurRad="38100" dist="38100" dir="2700000" algn="tl">
                  <a:srgbClr val="000000"/>
                </a:outerShdw>
              </a:effectLst>
              <a:uLnTx/>
              <a:uFillTx/>
              <a:latin typeface="Calibri"/>
              <a:ea typeface="+mn-ea"/>
              <a:cs typeface="+mn-cs"/>
            </a:rPr>
            <a:t>...Remuneração mensal ganho</a:t>
          </a:r>
        </a:p>
      </xdr:txBody>
    </xdr:sp>
    <xdr:clientData/>
  </xdr:twoCellAnchor>
  <xdr:twoCellAnchor>
    <xdr:from>
      <xdr:col>0</xdr:col>
      <xdr:colOff>0</xdr:colOff>
      <xdr:row>40</xdr:row>
      <xdr:rowOff>25400</xdr:rowOff>
    </xdr:from>
    <xdr:to>
      <xdr:col>22</xdr:col>
      <xdr:colOff>599000</xdr:colOff>
      <xdr:row>41</xdr:row>
      <xdr:rowOff>63500</xdr:rowOff>
    </xdr:to>
    <xdr:sp macro="" textlink="">
      <xdr:nvSpPr>
        <xdr:cNvPr id="45" name="Text Box 10">
          <a:extLst>
            <a:ext uri="{FF2B5EF4-FFF2-40B4-BE49-F238E27FC236}">
              <a16:creationId xmlns:a16="http://schemas.microsoft.com/office/drawing/2014/main" id="{00000000-0008-0000-0C00-00002D000000}"/>
            </a:ext>
          </a:extLst>
        </xdr:cNvPr>
        <xdr:cNvSpPr txBox="1">
          <a:spLocks noChangeArrowheads="1"/>
        </xdr:cNvSpPr>
      </xdr:nvSpPr>
      <xdr:spPr bwMode="auto">
        <a:xfrm>
          <a:off x="0" y="7416800"/>
          <a:ext cx="13680000" cy="222250"/>
        </a:xfrm>
        <a:prstGeom prst="rect">
          <a:avLst/>
        </a:prstGeom>
        <a:solidFill>
          <a:srgbClr val="1F497D"/>
        </a:solidFill>
        <a:ln>
          <a:noFill/>
        </a:ln>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marR="0" lvl="0" indent="0" algn="l" defTabSz="914400" rtl="0" eaLnBrk="0" fontAlgn="base" latinLnBrk="0" hangingPunct="0">
            <a:lnSpc>
              <a:spcPct val="100000"/>
            </a:lnSpc>
            <a:spcBef>
              <a:spcPct val="50000"/>
            </a:spcBef>
            <a:spcAft>
              <a:spcPct val="0"/>
            </a:spcAft>
            <a:buClrTx/>
            <a:buSzTx/>
            <a:buFontTx/>
            <a:buNone/>
            <a:tabLst/>
            <a:defRPr/>
          </a:pPr>
          <a:r>
            <a:rPr kumimoji="0" lang="en-US" altLang="pt-PT" sz="1000" b="1" i="0" u="none" strike="noStrike" kern="1200" cap="none" spc="0" normalizeH="0" baseline="0" noProof="0">
              <a:ln>
                <a:noFill/>
              </a:ln>
              <a:solidFill>
                <a:sysClr val="window" lastClr="FFFFFF"/>
              </a:solidFill>
              <a:effectLst/>
              <a:uLnTx/>
              <a:uFillTx/>
              <a:latin typeface="Calibri"/>
              <a:ea typeface="+mn-ea"/>
              <a:cs typeface="+mn-cs"/>
            </a:rPr>
            <a:t>Instrumentos de Regulamentação Coletiva de Trabalho (IRCT)</a:t>
          </a:r>
        </a:p>
      </xdr:txBody>
    </xdr:sp>
    <xdr:clientData/>
  </xdr:twoCellAnchor>
  <xdr:twoCellAnchor>
    <xdr:from>
      <xdr:col>12</xdr:col>
      <xdr:colOff>13041</xdr:colOff>
      <xdr:row>40</xdr:row>
      <xdr:rowOff>10765</xdr:rowOff>
    </xdr:from>
    <xdr:to>
      <xdr:col>15</xdr:col>
      <xdr:colOff>102779</xdr:colOff>
      <xdr:row>41</xdr:row>
      <xdr:rowOff>45613</xdr:rowOff>
    </xdr:to>
    <xdr:sp macro="" textlink="">
      <xdr:nvSpPr>
        <xdr:cNvPr id="46" name="Text Box 10">
          <a:extLst>
            <a:ext uri="{FF2B5EF4-FFF2-40B4-BE49-F238E27FC236}">
              <a16:creationId xmlns:a16="http://schemas.microsoft.com/office/drawing/2014/main" id="{00000000-0008-0000-0C00-00002E000000}"/>
            </a:ext>
          </a:extLst>
        </xdr:cNvPr>
        <xdr:cNvSpPr txBox="1">
          <a:spLocks noChangeArrowheads="1"/>
        </xdr:cNvSpPr>
      </xdr:nvSpPr>
      <xdr:spPr bwMode="auto">
        <a:xfrm>
          <a:off x="6661491" y="7630765"/>
          <a:ext cx="1832813" cy="225348"/>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marR="0" lvl="0" indent="0" algn="ctr" defTabSz="914400" rtl="0" eaLnBrk="0" fontAlgn="base" latinLnBrk="0" hangingPunct="0">
            <a:lnSpc>
              <a:spcPct val="100000"/>
            </a:lnSpc>
            <a:spcBef>
              <a:spcPct val="50000"/>
            </a:spcBef>
            <a:spcAft>
              <a:spcPct val="0"/>
            </a:spcAft>
            <a:buClrTx/>
            <a:buSzTx/>
            <a:buFontTx/>
            <a:buNone/>
            <a:tabLst/>
            <a:defRPr/>
          </a:pPr>
          <a:r>
            <a:rPr kumimoji="0" lang="en-US" altLang="pt-PT" sz="900" b="1" i="0" u="none" strike="noStrike" kern="1200" cap="none" spc="0" normalizeH="0" baseline="0" noProof="0">
              <a:ln>
                <a:noFill/>
              </a:ln>
              <a:solidFill>
                <a:srgbClr val="1F497D"/>
              </a:solidFill>
              <a:effectLst/>
              <a:uLnTx/>
              <a:uFillTx/>
              <a:latin typeface="Calibri"/>
              <a:ea typeface="+mn-ea"/>
              <a:cs typeface="+mn-cs"/>
            </a:rPr>
            <a:t>Remuneração média mensal Base</a:t>
          </a:r>
          <a:endParaRPr kumimoji="0" lang="en-US" altLang="pt-PT" sz="900" b="1" i="0" u="none" strike="noStrike" kern="1200" cap="none" spc="0" normalizeH="0" baseline="0" noProof="0">
            <a:ln>
              <a:noFill/>
            </a:ln>
            <a:solidFill>
              <a:srgbClr val="1F497D"/>
            </a:solidFill>
            <a:effectLst/>
            <a:uLnTx/>
            <a:uFillTx/>
            <a:latin typeface="Arial" charset="0"/>
            <a:ea typeface="+mn-ea"/>
            <a:cs typeface="+mn-cs"/>
          </a:endParaRPr>
        </a:p>
      </xdr:txBody>
    </xdr:sp>
    <xdr:clientData/>
  </xdr:twoCellAnchor>
  <xdr:twoCellAnchor>
    <xdr:from>
      <xdr:col>10</xdr:col>
      <xdr:colOff>227403</xdr:colOff>
      <xdr:row>22</xdr:row>
      <xdr:rowOff>0</xdr:rowOff>
    </xdr:from>
    <xdr:to>
      <xdr:col>22</xdr:col>
      <xdr:colOff>427872</xdr:colOff>
      <xdr:row>37</xdr:row>
      <xdr:rowOff>31750</xdr:rowOff>
    </xdr:to>
    <xdr:grpSp>
      <xdr:nvGrpSpPr>
        <xdr:cNvPr id="11" name="Agrupar 10">
          <a:extLst>
            <a:ext uri="{FF2B5EF4-FFF2-40B4-BE49-F238E27FC236}">
              <a16:creationId xmlns:a16="http://schemas.microsoft.com/office/drawing/2014/main" id="{00000000-0008-0000-0C00-00000B000000}"/>
            </a:ext>
          </a:extLst>
        </xdr:cNvPr>
        <xdr:cNvGrpSpPr/>
      </xdr:nvGrpSpPr>
      <xdr:grpSpPr>
        <a:xfrm>
          <a:off x="5847153" y="4191000"/>
          <a:ext cx="7039419" cy="2889250"/>
          <a:chOff x="6351983" y="4463519"/>
          <a:chExt cx="7375969" cy="2732222"/>
        </a:xfrm>
      </xdr:grpSpPr>
      <xdr:sp macro="" textlink="">
        <xdr:nvSpPr>
          <xdr:cNvPr id="55" name="CaixaDeTexto 1">
            <a:extLst>
              <a:ext uri="{FF2B5EF4-FFF2-40B4-BE49-F238E27FC236}">
                <a16:creationId xmlns:a16="http://schemas.microsoft.com/office/drawing/2014/main" id="{00000000-0008-0000-0C00-000037000000}"/>
              </a:ext>
            </a:extLst>
          </xdr:cNvPr>
          <xdr:cNvSpPr txBox="1"/>
        </xdr:nvSpPr>
        <xdr:spPr>
          <a:xfrm>
            <a:off x="8632656" y="4932701"/>
            <a:ext cx="1812589" cy="159508"/>
          </a:xfrm>
          <a:prstGeom prst="rect">
            <a:avLst/>
          </a:prstGeom>
        </xdr:spPr>
        <xdr:txBody>
          <a:bodyPr wrap="square" rtlCol="0"/>
          <a:lstStyle>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700" b="1" i="0" u="none" strike="noStrike" kern="0" cap="none" spc="0" normalizeH="0" baseline="0" noProof="0">
                <a:ln>
                  <a:noFill/>
                </a:ln>
                <a:solidFill>
                  <a:srgbClr val="1F497D"/>
                </a:solidFill>
                <a:effectLst/>
                <a:uLnTx/>
                <a:uFillTx/>
                <a:latin typeface="+mn-lt"/>
              </a:rPr>
              <a:t>Ganho mensal - média por decil (share)</a:t>
            </a:r>
          </a:p>
        </xdr:txBody>
      </xdr:sp>
      <xdr:grpSp>
        <xdr:nvGrpSpPr>
          <xdr:cNvPr id="56" name="Agrupar 55">
            <a:extLst>
              <a:ext uri="{FF2B5EF4-FFF2-40B4-BE49-F238E27FC236}">
                <a16:creationId xmlns:a16="http://schemas.microsoft.com/office/drawing/2014/main" id="{00000000-0008-0000-0C00-000038000000}"/>
              </a:ext>
            </a:extLst>
          </xdr:cNvPr>
          <xdr:cNvGrpSpPr/>
        </xdr:nvGrpSpPr>
        <xdr:grpSpPr>
          <a:xfrm>
            <a:off x="6377378" y="4800600"/>
            <a:ext cx="7375969" cy="2794000"/>
            <a:chOff x="41362296" y="637364"/>
            <a:chExt cx="7061793" cy="3580379"/>
          </a:xfrm>
        </xdr:grpSpPr>
        <xdr:graphicFrame macro="">
          <xdr:nvGraphicFramePr>
            <xdr:cNvPr id="57" name="Gráfico 56">
              <a:extLst>
                <a:ext uri="{FF2B5EF4-FFF2-40B4-BE49-F238E27FC236}">
                  <a16:creationId xmlns:a16="http://schemas.microsoft.com/office/drawing/2014/main" id="{00000000-0008-0000-0C00-000039000000}"/>
                </a:ext>
              </a:extLst>
            </xdr:cNvPr>
            <xdr:cNvGraphicFramePr>
              <a:graphicFrameLocks/>
            </xdr:cNvGraphicFramePr>
          </xdr:nvGraphicFramePr>
          <xdr:xfrm>
            <a:off x="41362296" y="637364"/>
            <a:ext cx="7061793" cy="3580379"/>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58" name="Agrupar 57">
              <a:extLst>
                <a:ext uri="{FF2B5EF4-FFF2-40B4-BE49-F238E27FC236}">
                  <a16:creationId xmlns:a16="http://schemas.microsoft.com/office/drawing/2014/main" id="{00000000-0008-0000-0C00-00003A000000}"/>
                </a:ext>
              </a:extLst>
            </xdr:cNvPr>
            <xdr:cNvGrpSpPr/>
          </xdr:nvGrpSpPr>
          <xdr:grpSpPr>
            <a:xfrm>
              <a:off x="47296302" y="899333"/>
              <a:ext cx="821810" cy="2738165"/>
              <a:chOff x="47296302" y="899333"/>
              <a:chExt cx="821810" cy="2738164"/>
            </a:xfrm>
          </xdr:grpSpPr>
          <xdr:grpSp>
            <xdr:nvGrpSpPr>
              <xdr:cNvPr id="59" name="Agrupar 58">
                <a:extLst>
                  <a:ext uri="{FF2B5EF4-FFF2-40B4-BE49-F238E27FC236}">
                    <a16:creationId xmlns:a16="http://schemas.microsoft.com/office/drawing/2014/main" id="{00000000-0008-0000-0C00-00003B000000}"/>
                  </a:ext>
                </a:extLst>
              </xdr:cNvPr>
              <xdr:cNvGrpSpPr/>
            </xdr:nvGrpSpPr>
            <xdr:grpSpPr>
              <a:xfrm>
                <a:off x="47634585" y="899333"/>
                <a:ext cx="483527" cy="2738164"/>
                <a:chOff x="48745835" y="524683"/>
                <a:chExt cx="483527" cy="2738164"/>
              </a:xfrm>
            </xdr:grpSpPr>
            <xdr:sp macro="" textlink="">
              <xdr:nvSpPr>
                <xdr:cNvPr id="65" name="Retângulo: Cantos Diagonais Arredondados 64">
                  <a:extLst>
                    <a:ext uri="{FF2B5EF4-FFF2-40B4-BE49-F238E27FC236}">
                      <a16:creationId xmlns:a16="http://schemas.microsoft.com/office/drawing/2014/main" id="{00000000-0008-0000-0C00-000041000000}"/>
                    </a:ext>
                  </a:extLst>
                </xdr:cNvPr>
                <xdr:cNvSpPr/>
              </xdr:nvSpPr>
              <xdr:spPr>
                <a:xfrm>
                  <a:off x="48745835" y="524683"/>
                  <a:ext cx="470265" cy="152447"/>
                </a:xfrm>
                <a:prstGeom prst="round2DiagRect">
                  <a:avLst/>
                </a:prstGeom>
                <a:solidFill>
                  <a:sysClr val="window" lastClr="FFFFFF">
                    <a:lumMod val="65000"/>
                  </a:sysClr>
                </a:solidFill>
                <a:ln w="25400" cap="flat" cmpd="sng" algn="ctr">
                  <a:solidFill>
                    <a:sysClr val="windowText" lastClr="000000">
                      <a:lumMod val="50000"/>
                      <a:lumOff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700" b="1" i="0" u="none" strike="noStrike" kern="0" cap="none" spc="0" normalizeH="0" baseline="0" noProof="0">
                      <a:ln>
                        <a:noFill/>
                      </a:ln>
                      <a:solidFill>
                        <a:sysClr val="windowText" lastClr="000000"/>
                      </a:solidFill>
                      <a:effectLst/>
                      <a:uLnTx/>
                      <a:uFillTx/>
                      <a:latin typeface="+mn-lt"/>
                      <a:ea typeface="+mn-ea"/>
                      <a:cs typeface="+mn-cs"/>
                    </a:rPr>
                    <a:t>D10</a:t>
                  </a:r>
                </a:p>
              </xdr:txBody>
            </xdr:sp>
            <xdr:sp macro="" textlink="">
              <xdr:nvSpPr>
                <xdr:cNvPr id="66" name="Retângulo: Cantos Diagonais Arredondados 65">
                  <a:extLst>
                    <a:ext uri="{FF2B5EF4-FFF2-40B4-BE49-F238E27FC236}">
                      <a16:creationId xmlns:a16="http://schemas.microsoft.com/office/drawing/2014/main" id="{00000000-0008-0000-0C00-000042000000}"/>
                    </a:ext>
                  </a:extLst>
                </xdr:cNvPr>
                <xdr:cNvSpPr/>
              </xdr:nvSpPr>
              <xdr:spPr>
                <a:xfrm>
                  <a:off x="48803962" y="1905304"/>
                  <a:ext cx="407014" cy="155461"/>
                </a:xfrm>
                <a:prstGeom prst="round2DiagRect">
                  <a:avLst/>
                </a:prstGeom>
                <a:solidFill>
                  <a:sysClr val="window" lastClr="FFFFFF">
                    <a:lumMod val="65000"/>
                  </a:sysClr>
                </a:solidFill>
                <a:ln w="25400" cap="flat" cmpd="sng" algn="ctr">
                  <a:solidFill>
                    <a:sysClr val="windowText" lastClr="000000">
                      <a:lumMod val="50000"/>
                      <a:lumOff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700" b="1" i="0" u="none" strike="noStrike" kern="0" cap="none" spc="0" normalizeH="0" baseline="0" noProof="0">
                      <a:ln>
                        <a:noFill/>
                      </a:ln>
                      <a:solidFill>
                        <a:sysClr val="windowText" lastClr="000000"/>
                      </a:solidFill>
                      <a:effectLst/>
                      <a:uLnTx/>
                      <a:uFillTx/>
                      <a:latin typeface="+mn-lt"/>
                      <a:ea typeface="+mn-ea"/>
                      <a:cs typeface="+mn-cs"/>
                    </a:rPr>
                    <a:t>D9</a:t>
                  </a:r>
                </a:p>
              </xdr:txBody>
            </xdr:sp>
            <xdr:sp macro="" textlink="">
              <xdr:nvSpPr>
                <xdr:cNvPr id="67" name="Retângulo: Cantos Diagonais Arredondados 66">
                  <a:extLst>
                    <a:ext uri="{FF2B5EF4-FFF2-40B4-BE49-F238E27FC236}">
                      <a16:creationId xmlns:a16="http://schemas.microsoft.com/office/drawing/2014/main" id="{00000000-0008-0000-0C00-000043000000}"/>
                    </a:ext>
                  </a:extLst>
                </xdr:cNvPr>
                <xdr:cNvSpPr/>
              </xdr:nvSpPr>
              <xdr:spPr>
                <a:xfrm>
                  <a:off x="48803016" y="2439473"/>
                  <a:ext cx="407014" cy="155461"/>
                </a:xfrm>
                <a:prstGeom prst="round2DiagRect">
                  <a:avLst/>
                </a:prstGeom>
                <a:solidFill>
                  <a:sysClr val="window" lastClr="FFFFFF">
                    <a:lumMod val="65000"/>
                  </a:sysClr>
                </a:solidFill>
                <a:ln w="25400" cap="flat" cmpd="sng" algn="ctr">
                  <a:solidFill>
                    <a:sysClr val="windowText" lastClr="000000">
                      <a:lumMod val="50000"/>
                      <a:lumOff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700" b="1" i="0" u="none" strike="noStrike" kern="0" cap="none" spc="0" normalizeH="0" baseline="0" noProof="0">
                      <a:ln>
                        <a:noFill/>
                      </a:ln>
                      <a:solidFill>
                        <a:sysClr val="windowText" lastClr="000000"/>
                      </a:solidFill>
                      <a:effectLst/>
                      <a:uLnTx/>
                      <a:uFillTx/>
                      <a:latin typeface="+mn-lt"/>
                      <a:ea typeface="+mn-ea"/>
                      <a:cs typeface="+mn-cs"/>
                    </a:rPr>
                    <a:t>D5</a:t>
                  </a:r>
                </a:p>
              </xdr:txBody>
            </xdr:sp>
            <xdr:sp macro="" textlink="">
              <xdr:nvSpPr>
                <xdr:cNvPr id="68" name="Retângulo: Cantos Diagonais Arredondados 67">
                  <a:extLst>
                    <a:ext uri="{FF2B5EF4-FFF2-40B4-BE49-F238E27FC236}">
                      <a16:creationId xmlns:a16="http://schemas.microsoft.com/office/drawing/2014/main" id="{00000000-0008-0000-0C00-000044000000}"/>
                    </a:ext>
                  </a:extLst>
                </xdr:cNvPr>
                <xdr:cNvSpPr/>
              </xdr:nvSpPr>
              <xdr:spPr>
                <a:xfrm>
                  <a:off x="48814755" y="2856165"/>
                  <a:ext cx="407014" cy="155461"/>
                </a:xfrm>
                <a:prstGeom prst="round2DiagRect">
                  <a:avLst/>
                </a:prstGeom>
                <a:solidFill>
                  <a:sysClr val="window" lastClr="FFFFFF">
                    <a:lumMod val="65000"/>
                  </a:sysClr>
                </a:solidFill>
                <a:ln w="25400" cap="flat" cmpd="sng" algn="ctr">
                  <a:solidFill>
                    <a:sysClr val="windowText" lastClr="000000">
                      <a:lumMod val="50000"/>
                      <a:lumOff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700" b="1" i="0" u="none" strike="noStrike" kern="0" cap="none" spc="0" normalizeH="0" baseline="0" noProof="0">
                      <a:ln>
                        <a:noFill/>
                      </a:ln>
                      <a:solidFill>
                        <a:sysClr val="windowText" lastClr="000000"/>
                      </a:solidFill>
                      <a:effectLst/>
                      <a:uLnTx/>
                      <a:uFillTx/>
                      <a:latin typeface="+mn-lt"/>
                      <a:ea typeface="+mn-ea"/>
                      <a:cs typeface="+mn-cs"/>
                    </a:rPr>
                    <a:t>D2</a:t>
                  </a:r>
                </a:p>
              </xdr:txBody>
            </xdr:sp>
            <xdr:sp macro="" textlink="">
              <xdr:nvSpPr>
                <xdr:cNvPr id="69" name="Retângulo: Cantos Diagonais Arredondados 68">
                  <a:extLst>
                    <a:ext uri="{FF2B5EF4-FFF2-40B4-BE49-F238E27FC236}">
                      <a16:creationId xmlns:a16="http://schemas.microsoft.com/office/drawing/2014/main" id="{00000000-0008-0000-0C00-000045000000}"/>
                    </a:ext>
                  </a:extLst>
                </xdr:cNvPr>
                <xdr:cNvSpPr/>
              </xdr:nvSpPr>
              <xdr:spPr>
                <a:xfrm>
                  <a:off x="48822348" y="3107386"/>
                  <a:ext cx="407014" cy="155461"/>
                </a:xfrm>
                <a:prstGeom prst="round2DiagRect">
                  <a:avLst/>
                </a:prstGeom>
                <a:solidFill>
                  <a:sysClr val="window" lastClr="FFFFFF">
                    <a:lumMod val="65000"/>
                  </a:sysClr>
                </a:solidFill>
                <a:ln w="25400" cap="flat" cmpd="sng" algn="ctr">
                  <a:solidFill>
                    <a:sysClr val="windowText" lastClr="000000">
                      <a:lumMod val="50000"/>
                      <a:lumOff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700" b="1" i="0" u="none" strike="noStrike" kern="0" cap="none" spc="0" normalizeH="0" baseline="0" noProof="0">
                      <a:ln>
                        <a:noFill/>
                      </a:ln>
                      <a:solidFill>
                        <a:sysClr val="windowText" lastClr="000000"/>
                      </a:solidFill>
                      <a:effectLst/>
                      <a:uLnTx/>
                      <a:uFillTx/>
                      <a:latin typeface="+mn-lt"/>
                      <a:ea typeface="+mn-ea"/>
                      <a:cs typeface="+mn-cs"/>
                    </a:rPr>
                    <a:t>D1</a:t>
                  </a:r>
                </a:p>
              </xdr:txBody>
            </xdr:sp>
          </xdr:grpSp>
          <xdr:cxnSp macro="">
            <xdr:nvCxnSpPr>
              <xdr:cNvPr id="60" name="Conexão reta 59">
                <a:extLst>
                  <a:ext uri="{FF2B5EF4-FFF2-40B4-BE49-F238E27FC236}">
                    <a16:creationId xmlns:a16="http://schemas.microsoft.com/office/drawing/2014/main" id="{00000000-0008-0000-0C00-00003C000000}"/>
                  </a:ext>
                </a:extLst>
              </xdr:cNvPr>
              <xdr:cNvCxnSpPr>
                <a:endCxn id="65" idx="2"/>
              </xdr:cNvCxnSpPr>
            </xdr:nvCxnSpPr>
            <xdr:spPr>
              <a:xfrm flipV="1">
                <a:off x="47379461" y="975557"/>
                <a:ext cx="255124" cy="191726"/>
              </a:xfrm>
              <a:prstGeom prst="line">
                <a:avLst/>
              </a:prstGeom>
              <a:noFill/>
              <a:ln w="9525" cap="flat" cmpd="sng" algn="ctr">
                <a:solidFill>
                  <a:sysClr val="windowText" lastClr="000000">
                    <a:lumMod val="50000"/>
                    <a:lumOff val="50000"/>
                    <a:alpha val="50000"/>
                  </a:sysClr>
                </a:solidFill>
                <a:prstDash val="dash"/>
                <a:round/>
                <a:headEnd type="none" w="med" len="med"/>
                <a:tailEnd type="none" w="med" len="med"/>
              </a:ln>
              <a:effectLst/>
            </xdr:spPr>
          </xdr:cxnSp>
          <xdr:cxnSp macro="">
            <xdr:nvCxnSpPr>
              <xdr:cNvPr id="61" name="Conexão reta 60">
                <a:extLst>
                  <a:ext uri="{FF2B5EF4-FFF2-40B4-BE49-F238E27FC236}">
                    <a16:creationId xmlns:a16="http://schemas.microsoft.com/office/drawing/2014/main" id="{00000000-0008-0000-0C00-00003D000000}"/>
                  </a:ext>
                </a:extLst>
              </xdr:cNvPr>
              <xdr:cNvCxnSpPr>
                <a:endCxn id="66" idx="2"/>
              </xdr:cNvCxnSpPr>
            </xdr:nvCxnSpPr>
            <xdr:spPr>
              <a:xfrm flipV="1">
                <a:off x="47325115" y="2357684"/>
                <a:ext cx="367597" cy="121510"/>
              </a:xfrm>
              <a:prstGeom prst="line">
                <a:avLst/>
              </a:prstGeom>
              <a:noFill/>
              <a:ln w="9525" cap="flat" cmpd="sng" algn="ctr">
                <a:solidFill>
                  <a:sysClr val="windowText" lastClr="000000">
                    <a:lumMod val="50000"/>
                    <a:lumOff val="50000"/>
                    <a:alpha val="50000"/>
                  </a:sysClr>
                </a:solidFill>
                <a:prstDash val="dash"/>
                <a:round/>
                <a:headEnd type="none" w="med" len="med"/>
                <a:tailEnd type="none" w="med" len="med"/>
              </a:ln>
              <a:effectLst/>
            </xdr:spPr>
          </xdr:cxnSp>
          <xdr:cxnSp macro="">
            <xdr:nvCxnSpPr>
              <xdr:cNvPr id="62" name="Conexão reta 61">
                <a:extLst>
                  <a:ext uri="{FF2B5EF4-FFF2-40B4-BE49-F238E27FC236}">
                    <a16:creationId xmlns:a16="http://schemas.microsoft.com/office/drawing/2014/main" id="{00000000-0008-0000-0C00-00003E000000}"/>
                  </a:ext>
                </a:extLst>
              </xdr:cNvPr>
              <xdr:cNvCxnSpPr/>
            </xdr:nvCxnSpPr>
            <xdr:spPr>
              <a:xfrm flipV="1">
                <a:off x="47337107" y="2945846"/>
                <a:ext cx="400029" cy="293606"/>
              </a:xfrm>
              <a:prstGeom prst="line">
                <a:avLst/>
              </a:prstGeom>
              <a:noFill/>
              <a:ln w="9525" cap="flat" cmpd="sng" algn="ctr">
                <a:solidFill>
                  <a:sysClr val="windowText" lastClr="000000">
                    <a:lumMod val="50000"/>
                    <a:lumOff val="50000"/>
                    <a:alpha val="50000"/>
                  </a:sysClr>
                </a:solidFill>
                <a:prstDash val="dash"/>
                <a:round/>
                <a:headEnd type="none" w="med" len="med"/>
                <a:tailEnd type="none" w="med" len="med"/>
              </a:ln>
              <a:effectLst/>
            </xdr:spPr>
          </xdr:cxnSp>
          <xdr:cxnSp macro="">
            <xdr:nvCxnSpPr>
              <xdr:cNvPr id="63" name="Conexão reta 62">
                <a:extLst>
                  <a:ext uri="{FF2B5EF4-FFF2-40B4-BE49-F238E27FC236}">
                    <a16:creationId xmlns:a16="http://schemas.microsoft.com/office/drawing/2014/main" id="{00000000-0008-0000-0C00-00003F000000}"/>
                  </a:ext>
                </a:extLst>
              </xdr:cNvPr>
              <xdr:cNvCxnSpPr/>
            </xdr:nvCxnSpPr>
            <xdr:spPr>
              <a:xfrm flipV="1">
                <a:off x="47296302" y="3354207"/>
                <a:ext cx="484538" cy="48665"/>
              </a:xfrm>
              <a:prstGeom prst="line">
                <a:avLst/>
              </a:prstGeom>
              <a:noFill/>
              <a:ln w="9525" cap="flat" cmpd="sng" algn="ctr">
                <a:solidFill>
                  <a:sysClr val="windowText" lastClr="000000">
                    <a:lumMod val="50000"/>
                    <a:lumOff val="50000"/>
                    <a:alpha val="50000"/>
                  </a:sysClr>
                </a:solidFill>
                <a:prstDash val="dash"/>
                <a:round/>
                <a:headEnd type="none" w="med" len="med"/>
                <a:tailEnd type="none" w="med" len="med"/>
              </a:ln>
              <a:effectLst/>
            </xdr:spPr>
          </xdr:cxnSp>
          <xdr:cxnSp macro="">
            <xdr:nvCxnSpPr>
              <xdr:cNvPr id="64" name="Conexão reta 63">
                <a:extLst>
                  <a:ext uri="{FF2B5EF4-FFF2-40B4-BE49-F238E27FC236}">
                    <a16:creationId xmlns:a16="http://schemas.microsoft.com/office/drawing/2014/main" id="{00000000-0008-0000-0C00-000040000000}"/>
                  </a:ext>
                </a:extLst>
              </xdr:cNvPr>
              <xdr:cNvCxnSpPr/>
            </xdr:nvCxnSpPr>
            <xdr:spPr>
              <a:xfrm>
                <a:off x="47307995" y="3459527"/>
                <a:ext cx="443236" cy="76546"/>
              </a:xfrm>
              <a:prstGeom prst="line">
                <a:avLst/>
              </a:prstGeom>
              <a:noFill/>
              <a:ln w="9525" cap="flat" cmpd="sng" algn="ctr">
                <a:solidFill>
                  <a:sysClr val="windowText" lastClr="000000">
                    <a:lumMod val="50000"/>
                    <a:lumOff val="50000"/>
                    <a:alpha val="50000"/>
                  </a:sysClr>
                </a:solidFill>
                <a:prstDash val="dash"/>
                <a:round/>
                <a:headEnd type="none" w="med" len="med"/>
                <a:tailEnd type="none" w="med" len="med"/>
              </a:ln>
              <a:effectLst/>
            </xdr:spPr>
          </xdr:cxnSp>
        </xdr:grpSp>
      </xdr:grpSp>
    </xdr:grpSp>
    <xdr:clientData/>
  </xdr:twoCellAnchor>
  <xdr:twoCellAnchor>
    <xdr:from>
      <xdr:col>0</xdr:col>
      <xdr:colOff>81695</xdr:colOff>
      <xdr:row>21</xdr:row>
      <xdr:rowOff>150810</xdr:rowOff>
    </xdr:from>
    <xdr:to>
      <xdr:col>9</xdr:col>
      <xdr:colOff>498231</xdr:colOff>
      <xdr:row>26</xdr:row>
      <xdr:rowOff>164523</xdr:rowOff>
    </xdr:to>
    <xdr:sp macro="" textlink="">
      <xdr:nvSpPr>
        <xdr:cNvPr id="54" name="CaixaDeTexto 53">
          <a:extLst>
            <a:ext uri="{FF2B5EF4-FFF2-40B4-BE49-F238E27FC236}">
              <a16:creationId xmlns:a16="http://schemas.microsoft.com/office/drawing/2014/main" id="{00000000-0008-0000-0C00-000036000000}"/>
            </a:ext>
          </a:extLst>
        </xdr:cNvPr>
        <xdr:cNvSpPr txBox="1"/>
      </xdr:nvSpPr>
      <xdr:spPr>
        <a:xfrm>
          <a:off x="81695" y="4151310"/>
          <a:ext cx="5482104" cy="966213"/>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800" b="1" i="0" u="none" strike="noStrike">
              <a:solidFill>
                <a:sysClr val="windowText" lastClr="000000"/>
              </a:solidFill>
              <a:latin typeface="+mn-lt"/>
              <a:ea typeface="+mn-ea"/>
              <a:cs typeface="Calibri"/>
            </a:rPr>
            <a:t>Ganho mediano:     </a:t>
          </a:r>
          <a:r>
            <a:rPr lang="en-US" sz="800" b="1" i="0" u="none" strike="noStrike" baseline="0">
              <a:solidFill>
                <a:sysClr val="windowText" lastClr="000000"/>
              </a:solidFill>
              <a:latin typeface="+mn-lt"/>
              <a:ea typeface="+mn-ea"/>
              <a:cs typeface="Calibri"/>
            </a:rPr>
            <a:t>                                                                                                         Incidência de baixos salários:</a:t>
          </a:r>
          <a:endParaRPr lang="en-US" sz="800" b="1" i="0" u="none" strike="noStrike">
            <a:solidFill>
              <a:sysClr val="windowText" lastClr="000000"/>
            </a:solidFill>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u="sng" strike="noStrike">
              <a:solidFill>
                <a:sysClr val="windowText" lastClr="000000"/>
              </a:solidFill>
              <a:latin typeface="+mn-lt"/>
              <a:ea typeface="+mn-ea"/>
              <a:cs typeface="Calibri"/>
            </a:rPr>
            <a:t>2022:</a:t>
          </a:r>
          <a:r>
            <a:rPr lang="en-US" sz="800" b="0" i="0" u="none" strike="noStrike">
              <a:solidFill>
                <a:sysClr val="windowText" lastClr="000000"/>
              </a:solidFill>
              <a:latin typeface="+mn-lt"/>
              <a:ea typeface="+mn-ea"/>
              <a:cs typeface="Calibri"/>
            </a:rPr>
            <a:t> Metade dos TCO ganhava até 1.018 euros (+30% face a 2011).                  </a:t>
          </a:r>
          <a:r>
            <a:rPr lang="en-US" sz="800" b="0" i="0" u="sng" strike="noStrike">
              <a:solidFill>
                <a:sysClr val="windowText" lastClr="000000"/>
              </a:solidFill>
              <a:latin typeface="+mn-lt"/>
              <a:ea typeface="+mn-ea"/>
              <a:cs typeface="Calibri"/>
            </a:rPr>
            <a:t>2012 - 2016</a:t>
          </a:r>
          <a:r>
            <a:rPr lang="en-US" sz="800" b="0" i="0" u="none" strike="noStrike">
              <a:solidFill>
                <a:sysClr val="windowText" lastClr="000000"/>
              </a:solidFill>
              <a:latin typeface="+mn-lt"/>
              <a:ea typeface="+mn-ea"/>
              <a:cs typeface="Calibri"/>
            </a:rPr>
            <a:t>: Total</a:t>
          </a:r>
          <a:r>
            <a:rPr lang="en-US" sz="800" b="0" i="0" u="none" strike="noStrike" baseline="0">
              <a:solidFill>
                <a:sysClr val="windowText" lastClr="000000"/>
              </a:solidFill>
              <a:latin typeface="+mn-lt"/>
              <a:ea typeface="+mn-ea"/>
              <a:cs typeface="Calibri"/>
            </a:rPr>
            <a:t> entre 7,59% e 5,86%;</a:t>
          </a:r>
          <a:r>
            <a:rPr lang="en-US" sz="800" b="0" i="0" u="none" strike="noStrike">
              <a:solidFill>
                <a:sysClr val="windowText" lastClr="000000"/>
              </a:solidFill>
              <a:latin typeface="+mn-lt"/>
              <a:ea typeface="+mn-ea"/>
              <a:cs typeface="Calibri"/>
            </a:rPr>
            <a:t> </a:t>
          </a:r>
        </a:p>
        <a:p>
          <a:r>
            <a:rPr lang="en-US" sz="800" b="1" i="0" u="none" strike="noStrike">
              <a:solidFill>
                <a:sysClr val="windowText" lastClr="000000"/>
              </a:solidFill>
              <a:latin typeface="+mn-lt"/>
              <a:ea typeface="+mn-ea"/>
              <a:cs typeface="Calibri"/>
            </a:rPr>
            <a:t>RMMG:			</a:t>
          </a:r>
          <a:r>
            <a:rPr lang="en-US" sz="800" b="1" i="0" u="none" strike="noStrike" baseline="0">
              <a:solidFill>
                <a:sysClr val="windowText" lastClr="000000"/>
              </a:solidFill>
              <a:latin typeface="+mn-lt"/>
              <a:ea typeface="+mn-ea"/>
              <a:cs typeface="Calibri"/>
            </a:rPr>
            <a:t>                                             </a:t>
          </a:r>
          <a:r>
            <a:rPr lang="en-US" sz="800" b="0" i="0" u="none" strike="noStrike" baseline="0">
              <a:solidFill>
                <a:sysClr val="windowText" lastClr="000000"/>
              </a:solidFill>
              <a:latin typeface="+mn-lt"/>
              <a:ea typeface="+mn-ea"/>
              <a:cs typeface="Calibri"/>
            </a:rPr>
            <a:t>Homens: entre 5,46% e 4,38%;</a:t>
          </a:r>
          <a:endParaRPr lang="en-US" sz="800" b="0" i="0" u="none" strike="noStrike">
            <a:solidFill>
              <a:sysClr val="windowText" lastClr="000000"/>
            </a:solidFill>
            <a:latin typeface="+mn-lt"/>
            <a:ea typeface="+mn-ea"/>
            <a:cs typeface="Calibri"/>
          </a:endParaRPr>
        </a:p>
        <a:p>
          <a:r>
            <a:rPr lang="en-US" sz="800" b="0" i="0" u="sng" strike="noStrike">
              <a:solidFill>
                <a:sysClr val="windowText" lastClr="000000"/>
              </a:solidFill>
              <a:latin typeface="+mn-lt"/>
              <a:cs typeface="Calibri"/>
            </a:rPr>
            <a:t>2012 -</a:t>
          </a:r>
          <a:r>
            <a:rPr lang="en-US" sz="800" b="0" i="0" u="sng" strike="noStrike" baseline="0">
              <a:solidFill>
                <a:sysClr val="windowText" lastClr="000000"/>
              </a:solidFill>
              <a:latin typeface="+mn-lt"/>
              <a:cs typeface="Calibri"/>
            </a:rPr>
            <a:t> </a:t>
          </a:r>
          <a:r>
            <a:rPr lang="en-US" sz="800" b="0" i="0" u="sng" strike="noStrike">
              <a:solidFill>
                <a:sysClr val="windowText" lastClr="000000"/>
              </a:solidFill>
              <a:latin typeface="+mn-lt"/>
              <a:cs typeface="Calibri"/>
            </a:rPr>
            <a:t>2015</a:t>
          </a:r>
          <a:r>
            <a:rPr lang="en-US" sz="800" b="0" i="0" u="none" strike="noStrike">
              <a:solidFill>
                <a:sysClr val="windowText" lastClr="000000"/>
              </a:solidFill>
              <a:latin typeface="+mn-lt"/>
              <a:cs typeface="Calibri"/>
            </a:rPr>
            <a:t>:</a:t>
          </a:r>
          <a:r>
            <a:rPr lang="en-US" sz="800" b="0" i="0" u="none" strike="noStrike" baseline="0">
              <a:solidFill>
                <a:sysClr val="windowText" lastClr="000000"/>
              </a:solidFill>
              <a:latin typeface="+mn-lt"/>
              <a:cs typeface="Calibri"/>
            </a:rPr>
            <a:t> aumento de 4,1%;			     Mulheres: entre 10,13% e 7,59%</a:t>
          </a:r>
        </a:p>
        <a:p>
          <a:r>
            <a:rPr lang="en-US" sz="800" b="0" i="0" u="sng" strike="noStrike">
              <a:solidFill>
                <a:sysClr val="windowText" lastClr="000000"/>
              </a:solidFill>
              <a:latin typeface="+mn-lt"/>
              <a:cs typeface="Calibri"/>
            </a:rPr>
            <a:t>2015 - 2022</a:t>
          </a:r>
          <a:r>
            <a:rPr lang="en-US" sz="800" b="0" i="0" u="none" strike="noStrike">
              <a:solidFill>
                <a:sysClr val="windowText" lastClr="000000"/>
              </a:solidFill>
              <a:latin typeface="+mn-lt"/>
              <a:cs typeface="Calibri"/>
            </a:rPr>
            <a:t>: aumento de 39,6%;		</a:t>
          </a:r>
          <a:r>
            <a:rPr lang="en-US" sz="800" b="0" i="0" u="none" strike="noStrike" baseline="0">
              <a:solidFill>
                <a:sysClr val="windowText" lastClr="000000"/>
              </a:solidFill>
              <a:latin typeface="+mn-lt"/>
              <a:cs typeface="Calibri"/>
            </a:rPr>
            <a:t>                     </a:t>
          </a:r>
          <a:r>
            <a:rPr lang="en-US" sz="800" b="0" i="0" u="sng" strike="noStrike" baseline="0">
              <a:solidFill>
                <a:sysClr val="windowText" lastClr="000000"/>
              </a:solidFill>
              <a:latin typeface="+mn-lt"/>
              <a:cs typeface="Calibri"/>
            </a:rPr>
            <a:t>2017 - 2022</a:t>
          </a:r>
          <a:r>
            <a:rPr lang="en-US" sz="800" b="0" i="0" u="none" strike="noStrike" baseline="0">
              <a:solidFill>
                <a:sysClr val="windowText" lastClr="000000"/>
              </a:solidFill>
              <a:latin typeface="+mn-lt"/>
              <a:cs typeface="Calibri"/>
            </a:rPr>
            <a:t>: Total entre 0,19% e 0,11%;</a:t>
          </a:r>
          <a:endParaRPr lang="en-US" sz="800" b="0" i="0" u="none" strike="noStrike">
            <a:solidFill>
              <a:sysClr val="windowText" lastClr="000000"/>
            </a:solidFill>
            <a:latin typeface="+mn-lt"/>
            <a:cs typeface="Calibri"/>
          </a:endParaRPr>
        </a:p>
        <a:p>
          <a:r>
            <a:rPr lang="en-US" sz="800" b="0" i="0" u="sng" strike="noStrike">
              <a:solidFill>
                <a:sysClr val="windowText" lastClr="000000"/>
              </a:solidFill>
              <a:latin typeface="+mn-lt"/>
              <a:cs typeface="Calibri"/>
            </a:rPr>
            <a:t>2017:</a:t>
          </a:r>
          <a:r>
            <a:rPr lang="en-US" sz="800" b="0" i="0" u="sng" strike="noStrike" baseline="0">
              <a:solidFill>
                <a:sysClr val="windowText" lastClr="000000"/>
              </a:solidFill>
              <a:latin typeface="+mn-lt"/>
              <a:cs typeface="Calibri"/>
            </a:rPr>
            <a:t> </a:t>
          </a:r>
          <a:r>
            <a:rPr lang="en-US" sz="800" b="0" i="0" u="none" strike="noStrike" baseline="0">
              <a:solidFill>
                <a:sysClr val="windowText" lastClr="000000"/>
              </a:solidFill>
              <a:latin typeface="+mn-lt"/>
              <a:cs typeface="Calibri"/>
            </a:rPr>
            <a:t>RMMG &gt; limiar de baixos salários, </a:t>
          </a:r>
          <a:r>
            <a:rPr lang="en-US" sz="800" b="0" i="0" u="none" strike="noStrike">
              <a:solidFill>
                <a:sysClr val="windowText" lastClr="000000"/>
              </a:solidFill>
              <a:latin typeface="+mn-lt"/>
              <a:cs typeface="Calibri"/>
            </a:rPr>
            <a:t>pela primeira vez.                                                           Homens entre 0,10% e 0,07%;</a:t>
          </a:r>
        </a:p>
        <a:p>
          <a:r>
            <a:rPr lang="en-US" sz="800" b="0" i="0" u="none" strike="noStrike">
              <a:solidFill>
                <a:sysClr val="windowText" lastClr="000000"/>
              </a:solidFill>
              <a:latin typeface="+mn-lt"/>
              <a:cs typeface="Calibri"/>
            </a:rPr>
            <a:t>				     Mulheres entre 0,10% e 0,15%    </a:t>
          </a:r>
        </a:p>
        <a:p>
          <a:endParaRPr lang="en-US" sz="800" b="0" i="0" u="none" strike="noStrike">
            <a:solidFill>
              <a:sysClr val="windowText" lastClr="000000"/>
            </a:solidFill>
            <a:latin typeface="+mn-lt"/>
            <a:cs typeface="Calibri"/>
          </a:endParaRPr>
        </a:p>
      </xdr:txBody>
    </xdr:sp>
    <xdr:clientData/>
  </xdr:twoCellAnchor>
  <xdr:twoCellAnchor>
    <xdr:from>
      <xdr:col>1</xdr:col>
      <xdr:colOff>381933</xdr:colOff>
      <xdr:row>42</xdr:row>
      <xdr:rowOff>33193</xdr:rowOff>
    </xdr:from>
    <xdr:to>
      <xdr:col>9</xdr:col>
      <xdr:colOff>155862</xdr:colOff>
      <xdr:row>44</xdr:row>
      <xdr:rowOff>161925</xdr:rowOff>
    </xdr:to>
    <xdr:sp macro="" textlink="">
      <xdr:nvSpPr>
        <xdr:cNvPr id="77" name="CaixaDeTexto 76">
          <a:extLst>
            <a:ext uri="{FF2B5EF4-FFF2-40B4-BE49-F238E27FC236}">
              <a16:creationId xmlns:a16="http://schemas.microsoft.com/office/drawing/2014/main" id="{00000000-0008-0000-0C00-00004D000000}"/>
            </a:ext>
          </a:extLst>
        </xdr:cNvPr>
        <xdr:cNvSpPr txBox="1"/>
      </xdr:nvSpPr>
      <xdr:spPr>
        <a:xfrm>
          <a:off x="943908" y="8034193"/>
          <a:ext cx="4269729" cy="509732"/>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sysClr val="windowText" lastClr="000000"/>
              </a:solidFill>
              <a:effectLst/>
              <a:uLnTx/>
              <a:uFillTx/>
              <a:latin typeface="Calibri"/>
              <a:ea typeface="+mn-ea"/>
              <a:cs typeface="Calibri"/>
            </a:rPr>
            <a:t>2022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TCO abrangidos por </a:t>
          </a:r>
          <a:r>
            <a:rPr lang="en-US" sz="800" b="0" i="0" baseline="0">
              <a:effectLst/>
              <a:latin typeface="+mn-lt"/>
              <a:ea typeface="+mn-ea"/>
              <a:cs typeface="+mn-cs"/>
            </a:rPr>
            <a:t>Contratos Coletivos de Trabalho</a:t>
          </a: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 69,1% (-5,3 p.p. face a 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TCO não abrangidos por IRCT: 16,7% (+6,4 p.p. face a 2012). </a:t>
          </a:r>
        </a:p>
      </xdr:txBody>
    </xdr:sp>
    <xdr:clientData/>
  </xdr:twoCellAnchor>
  <xdr:twoCellAnchor>
    <xdr:from>
      <xdr:col>10</xdr:col>
      <xdr:colOff>201758</xdr:colOff>
      <xdr:row>41</xdr:row>
      <xdr:rowOff>174048</xdr:rowOff>
    </xdr:from>
    <xdr:to>
      <xdr:col>16</xdr:col>
      <xdr:colOff>175781</xdr:colOff>
      <xdr:row>44</xdr:row>
      <xdr:rowOff>116032</xdr:rowOff>
    </xdr:to>
    <xdr:sp macro="" textlink="">
      <xdr:nvSpPr>
        <xdr:cNvPr id="78" name="CaixaDeTexto 77">
          <a:extLst>
            <a:ext uri="{FF2B5EF4-FFF2-40B4-BE49-F238E27FC236}">
              <a16:creationId xmlns:a16="http://schemas.microsoft.com/office/drawing/2014/main" id="{00000000-0008-0000-0C00-00004E000000}"/>
            </a:ext>
          </a:extLst>
        </xdr:cNvPr>
        <xdr:cNvSpPr txBox="1"/>
      </xdr:nvSpPr>
      <xdr:spPr>
        <a:xfrm>
          <a:off x="5821508" y="7984548"/>
          <a:ext cx="3326823" cy="513484"/>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sysClr val="windowText" lastClr="000000"/>
              </a:solidFill>
              <a:effectLst/>
              <a:uLnTx/>
              <a:uFillTx/>
              <a:latin typeface="+mn-lt"/>
              <a:ea typeface="+mn-ea"/>
              <a:cs typeface="Calibri"/>
            </a:rPr>
            <a:t>2022 - Remuneração média mensal Base</a:t>
          </a: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TCO abrangidos por CCT: 90,5% da remuneração média total;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TCO não abrangidos por IRCT: 18,6% superior à remuneração média total.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 </a:t>
          </a:r>
        </a:p>
      </xdr:txBody>
    </xdr:sp>
    <xdr:clientData/>
  </xdr:twoCellAnchor>
  <xdr:twoCellAnchor>
    <xdr:from>
      <xdr:col>21</xdr:col>
      <xdr:colOff>30407</xdr:colOff>
      <xdr:row>0</xdr:row>
      <xdr:rowOff>150569</xdr:rowOff>
    </xdr:from>
    <xdr:to>
      <xdr:col>22</xdr:col>
      <xdr:colOff>482898</xdr:colOff>
      <xdr:row>2</xdr:row>
      <xdr:rowOff>6996</xdr:rowOff>
    </xdr:to>
    <xdr:sp macro="" textlink="">
      <xdr:nvSpPr>
        <xdr:cNvPr id="79" name="Text Box 10">
          <a:hlinkClick xmlns:r="http://schemas.openxmlformats.org/officeDocument/2006/relationships" r:id="rId5"/>
          <a:extLst>
            <a:ext uri="{FF2B5EF4-FFF2-40B4-BE49-F238E27FC236}">
              <a16:creationId xmlns:a16="http://schemas.microsoft.com/office/drawing/2014/main" id="{00000000-0008-0000-0C00-00004F000000}"/>
            </a:ext>
          </a:extLst>
        </xdr:cNvPr>
        <xdr:cNvSpPr txBox="1">
          <a:spLocks noChangeArrowheads="1"/>
        </xdr:cNvSpPr>
      </xdr:nvSpPr>
      <xdr:spPr bwMode="auto">
        <a:xfrm>
          <a:off x="11908082" y="150569"/>
          <a:ext cx="1033516" cy="237427"/>
        </a:xfrm>
        <a:prstGeom prst="rect">
          <a:avLst/>
        </a:prstGeom>
        <a:solidFill>
          <a:srgbClr val="FFE6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rgbClr val="00467A"/>
              </a:solidFill>
              <a:latin typeface="+mn-lt"/>
            </a:rPr>
            <a:t>Voltar ao</a:t>
          </a:r>
          <a:r>
            <a:rPr lang="en-US" altLang="pt-PT" sz="1000" b="1" baseline="0">
              <a:solidFill>
                <a:srgbClr val="00467A"/>
              </a:solidFill>
              <a:latin typeface="+mn-lt"/>
            </a:rPr>
            <a:t> Índice</a:t>
          </a:r>
          <a:endParaRPr lang="en-US" altLang="pt-PT" sz="1200" b="1">
            <a:solidFill>
              <a:srgbClr val="00467A"/>
            </a:solidFill>
            <a:latin typeface="Arial" charset="0"/>
          </a:endParaRPr>
        </a:p>
      </xdr:txBody>
    </xdr:sp>
    <xdr:clientData/>
  </xdr:twoCellAnchor>
  <xdr:twoCellAnchor editAs="oneCell">
    <xdr:from>
      <xdr:col>0</xdr:col>
      <xdr:colOff>190500</xdr:colOff>
      <xdr:row>52</xdr:row>
      <xdr:rowOff>77354</xdr:rowOff>
    </xdr:from>
    <xdr:to>
      <xdr:col>22</xdr:col>
      <xdr:colOff>36562</xdr:colOff>
      <xdr:row>53</xdr:row>
      <xdr:rowOff>66675</xdr:rowOff>
    </xdr:to>
    <xdr:pic>
      <xdr:nvPicPr>
        <xdr:cNvPr id="10" name="Imagem 9">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6"/>
        <a:stretch>
          <a:fillRect/>
        </a:stretch>
      </xdr:blipFill>
      <xdr:spPr>
        <a:xfrm>
          <a:off x="190500" y="9983354"/>
          <a:ext cx="12304762" cy="179821"/>
        </a:xfrm>
        <a:prstGeom prst="rect">
          <a:avLst/>
        </a:prstGeom>
      </xdr:spPr>
    </xdr:pic>
    <xdr:clientData/>
  </xdr:twoCellAnchor>
  <xdr:twoCellAnchor>
    <xdr:from>
      <xdr:col>10</xdr:col>
      <xdr:colOff>515217</xdr:colOff>
      <xdr:row>44</xdr:row>
      <xdr:rowOff>70138</xdr:rowOff>
    </xdr:from>
    <xdr:to>
      <xdr:col>21</xdr:col>
      <xdr:colOff>551580</xdr:colOff>
      <xdr:row>52</xdr:row>
      <xdr:rowOff>136813</xdr:rowOff>
    </xdr:to>
    <xdr:grpSp>
      <xdr:nvGrpSpPr>
        <xdr:cNvPr id="80" name="Agrupar 79">
          <a:extLst>
            <a:ext uri="{FF2B5EF4-FFF2-40B4-BE49-F238E27FC236}">
              <a16:creationId xmlns:a16="http://schemas.microsoft.com/office/drawing/2014/main" id="{00000000-0008-0000-0C00-000050000000}"/>
            </a:ext>
          </a:extLst>
        </xdr:cNvPr>
        <xdr:cNvGrpSpPr/>
      </xdr:nvGrpSpPr>
      <xdr:grpSpPr>
        <a:xfrm>
          <a:off x="6134967" y="8452138"/>
          <a:ext cx="6294288" cy="1590675"/>
          <a:chOff x="9525000" y="4636111"/>
          <a:chExt cx="8715370" cy="3506179"/>
        </a:xfrm>
      </xdr:grpSpPr>
      <xdr:graphicFrame macro="">
        <xdr:nvGraphicFramePr>
          <xdr:cNvPr id="81" name="Gráfico 80">
            <a:extLst>
              <a:ext uri="{FF2B5EF4-FFF2-40B4-BE49-F238E27FC236}">
                <a16:creationId xmlns:a16="http://schemas.microsoft.com/office/drawing/2014/main" id="{00000000-0008-0000-0C00-000051000000}"/>
              </a:ext>
            </a:extLst>
          </xdr:cNvPr>
          <xdr:cNvGraphicFramePr>
            <a:graphicFrameLocks/>
          </xdr:cNvGraphicFramePr>
        </xdr:nvGraphicFramePr>
        <xdr:xfrm>
          <a:off x="9525000" y="4754563"/>
          <a:ext cx="4746624" cy="3371851"/>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82" name="Gráfico 81">
            <a:extLst>
              <a:ext uri="{FF2B5EF4-FFF2-40B4-BE49-F238E27FC236}">
                <a16:creationId xmlns:a16="http://schemas.microsoft.com/office/drawing/2014/main" id="{00000000-0008-0000-0C00-000052000000}"/>
              </a:ext>
            </a:extLst>
          </xdr:cNvPr>
          <xdr:cNvGraphicFramePr>
            <a:graphicFrameLocks/>
          </xdr:cNvGraphicFramePr>
        </xdr:nvGraphicFramePr>
        <xdr:xfrm>
          <a:off x="13493746" y="4636111"/>
          <a:ext cx="4746624" cy="3506179"/>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twoCellAnchor>
    <xdr:from>
      <xdr:col>18</xdr:col>
      <xdr:colOff>28575</xdr:colOff>
      <xdr:row>40</xdr:row>
      <xdr:rowOff>23284</xdr:rowOff>
    </xdr:from>
    <xdr:to>
      <xdr:col>21</xdr:col>
      <xdr:colOff>381000</xdr:colOff>
      <xdr:row>41</xdr:row>
      <xdr:rowOff>58132</xdr:rowOff>
    </xdr:to>
    <xdr:sp macro="" textlink="">
      <xdr:nvSpPr>
        <xdr:cNvPr id="83" name="Text Box 10">
          <a:extLst>
            <a:ext uri="{FF2B5EF4-FFF2-40B4-BE49-F238E27FC236}">
              <a16:creationId xmlns:a16="http://schemas.microsoft.com/office/drawing/2014/main" id="{00000000-0008-0000-0C00-000053000000}"/>
            </a:ext>
          </a:extLst>
        </xdr:cNvPr>
        <xdr:cNvSpPr txBox="1">
          <a:spLocks noChangeArrowheads="1"/>
        </xdr:cNvSpPr>
      </xdr:nvSpPr>
      <xdr:spPr bwMode="auto">
        <a:xfrm>
          <a:off x="10163175" y="7643284"/>
          <a:ext cx="2095500" cy="225348"/>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marR="0" lvl="0" indent="0" algn="ctr" defTabSz="914400" rtl="0" eaLnBrk="0" fontAlgn="base" latinLnBrk="0" hangingPunct="0">
            <a:lnSpc>
              <a:spcPct val="100000"/>
            </a:lnSpc>
            <a:spcBef>
              <a:spcPct val="50000"/>
            </a:spcBef>
            <a:spcAft>
              <a:spcPct val="0"/>
            </a:spcAft>
            <a:buClrTx/>
            <a:buSzTx/>
            <a:buFontTx/>
            <a:buNone/>
            <a:tabLst/>
            <a:defRPr/>
          </a:pPr>
          <a:r>
            <a:rPr kumimoji="0" lang="en-US" altLang="pt-PT" sz="900" b="1" i="0" u="none" strike="noStrike" kern="1200" cap="none" spc="0" normalizeH="0" baseline="0" noProof="0">
              <a:ln>
                <a:noFill/>
              </a:ln>
              <a:solidFill>
                <a:srgbClr val="1F497D"/>
              </a:solidFill>
              <a:effectLst/>
              <a:uLnTx/>
              <a:uFillTx/>
              <a:latin typeface="Calibri"/>
              <a:ea typeface="+mn-ea"/>
              <a:cs typeface="+mn-cs"/>
            </a:rPr>
            <a:t>Remuneração média mensal Ganho</a:t>
          </a:r>
          <a:endParaRPr kumimoji="0" lang="en-US" altLang="pt-PT" sz="900" b="1" i="0" u="none" strike="noStrike" kern="1200" cap="none" spc="0" normalizeH="0" baseline="0" noProof="0">
            <a:ln>
              <a:noFill/>
            </a:ln>
            <a:solidFill>
              <a:srgbClr val="1F497D"/>
            </a:solidFill>
            <a:effectLst/>
            <a:uLnTx/>
            <a:uFillTx/>
            <a:latin typeface="Arial" charset="0"/>
            <a:ea typeface="+mn-ea"/>
            <a:cs typeface="+mn-cs"/>
          </a:endParaRPr>
        </a:p>
      </xdr:txBody>
    </xdr:sp>
    <xdr:clientData/>
  </xdr:twoCellAnchor>
  <xdr:twoCellAnchor>
    <xdr:from>
      <xdr:col>0</xdr:col>
      <xdr:colOff>476250</xdr:colOff>
      <xdr:row>44</xdr:row>
      <xdr:rowOff>95250</xdr:rowOff>
    </xdr:from>
    <xdr:to>
      <xdr:col>10</xdr:col>
      <xdr:colOff>304799</xdr:colOff>
      <xdr:row>52</xdr:row>
      <xdr:rowOff>38100</xdr:rowOff>
    </xdr:to>
    <xdr:graphicFrame macro="">
      <xdr:nvGraphicFramePr>
        <xdr:cNvPr id="84" name="Gráfico 83">
          <a:extLst>
            <a:ext uri="{FF2B5EF4-FFF2-40B4-BE49-F238E27FC236}">
              <a16:creationId xmlns:a16="http://schemas.microsoft.com/office/drawing/2014/main" id="{00000000-0008-0000-0C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247650</xdr:colOff>
      <xdr:row>41</xdr:row>
      <xdr:rowOff>17223</xdr:rowOff>
    </xdr:from>
    <xdr:to>
      <xdr:col>7</xdr:col>
      <xdr:colOff>371475</xdr:colOff>
      <xdr:row>42</xdr:row>
      <xdr:rowOff>58421</xdr:rowOff>
    </xdr:to>
    <xdr:sp macro="" textlink="">
      <xdr:nvSpPr>
        <xdr:cNvPr id="85" name="Text Box 10">
          <a:extLst>
            <a:ext uri="{FF2B5EF4-FFF2-40B4-BE49-F238E27FC236}">
              <a16:creationId xmlns:a16="http://schemas.microsoft.com/office/drawing/2014/main" id="{00000000-0008-0000-0C00-000055000000}"/>
            </a:ext>
          </a:extLst>
        </xdr:cNvPr>
        <xdr:cNvSpPr txBox="1">
          <a:spLocks noChangeArrowheads="1"/>
        </xdr:cNvSpPr>
      </xdr:nvSpPr>
      <xdr:spPr bwMode="auto">
        <a:xfrm>
          <a:off x="1933575" y="7827723"/>
          <a:ext cx="2371725" cy="231698"/>
        </a:xfrm>
        <a:prstGeom prst="rect">
          <a:avLst/>
        </a:prstGeom>
        <a:noFill/>
        <a:ln>
          <a:noFill/>
        </a:ln>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marL="0" marR="0" lvl="0" indent="0" algn="ctr" defTabSz="914400" rtl="0" eaLnBrk="0" fontAlgn="base" latinLnBrk="0" hangingPunct="0">
            <a:lnSpc>
              <a:spcPct val="100000"/>
            </a:lnSpc>
            <a:spcBef>
              <a:spcPct val="50000"/>
            </a:spcBef>
            <a:spcAft>
              <a:spcPct val="0"/>
            </a:spcAft>
            <a:buClrTx/>
            <a:buSzTx/>
            <a:buFontTx/>
            <a:buNone/>
            <a:tabLst/>
            <a:defRPr/>
          </a:pPr>
          <a:r>
            <a:rPr kumimoji="0" lang="en-US" altLang="pt-PT" sz="900" b="1" i="0" u="none" strike="noStrike" kern="1200" cap="none" spc="0" normalizeH="0" baseline="0" noProof="0">
              <a:ln>
                <a:noFill/>
              </a:ln>
              <a:solidFill>
                <a:srgbClr val="1F497D"/>
              </a:solidFill>
              <a:effectLst/>
              <a:uLnTx/>
              <a:uFillTx/>
              <a:latin typeface="Calibri"/>
              <a:ea typeface="+mn-ea"/>
              <a:cs typeface="+mn-cs"/>
            </a:rPr>
            <a:t>TCO abrangidos e não abrangidos por IRCT</a:t>
          </a:r>
          <a:endParaRPr kumimoji="0" lang="en-US" altLang="pt-PT" sz="900" b="1" i="0" u="none" strike="noStrike" kern="1200" cap="none" spc="0" normalizeH="0" baseline="0" noProof="0">
            <a:ln>
              <a:noFill/>
            </a:ln>
            <a:solidFill>
              <a:srgbClr val="1F497D"/>
            </a:solidFill>
            <a:effectLst/>
            <a:uLnTx/>
            <a:uFillTx/>
            <a:latin typeface="Arial" charset="0"/>
            <a:ea typeface="+mn-ea"/>
            <a:cs typeface="+mn-cs"/>
          </a:endParaRPr>
        </a:p>
      </xdr:txBody>
    </xdr:sp>
    <xdr:clientData/>
  </xdr:twoCellAnchor>
  <xdr:twoCellAnchor>
    <xdr:from>
      <xdr:col>16</xdr:col>
      <xdr:colOff>562841</xdr:colOff>
      <xdr:row>41</xdr:row>
      <xdr:rowOff>178376</xdr:rowOff>
    </xdr:from>
    <xdr:to>
      <xdr:col>22</xdr:col>
      <xdr:colOff>406977</xdr:colOff>
      <xdr:row>44</xdr:row>
      <xdr:rowOff>120360</xdr:rowOff>
    </xdr:to>
    <xdr:sp macro="" textlink="">
      <xdr:nvSpPr>
        <xdr:cNvPr id="50" name="CaixaDeTexto 49">
          <a:extLst>
            <a:ext uri="{FF2B5EF4-FFF2-40B4-BE49-F238E27FC236}">
              <a16:creationId xmlns:a16="http://schemas.microsoft.com/office/drawing/2014/main" id="{00000000-0008-0000-0C00-000032000000}"/>
            </a:ext>
          </a:extLst>
        </xdr:cNvPr>
        <xdr:cNvSpPr txBox="1"/>
      </xdr:nvSpPr>
      <xdr:spPr>
        <a:xfrm>
          <a:off x="9535391" y="7988876"/>
          <a:ext cx="3330286" cy="513484"/>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sysClr val="windowText" lastClr="000000"/>
              </a:solidFill>
              <a:effectLst/>
              <a:uLnTx/>
              <a:uFillTx/>
              <a:latin typeface="+mn-lt"/>
              <a:ea typeface="+mn-ea"/>
              <a:cs typeface="Calibri"/>
            </a:rPr>
            <a:t>2022 - Remuneração média mensal Ganho</a:t>
          </a: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TCO abrangidos por CCT: 89,3% da remuneração média total;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TCO não abrangidos por IRCT: 15,8% superior à remuneração média total.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 </a:t>
          </a:r>
        </a:p>
      </xdr:txBody>
    </xdr:sp>
    <xdr:clientData/>
  </xdr:twoCellAnchor>
  <xdr:twoCellAnchor>
    <xdr:from>
      <xdr:col>0</xdr:col>
      <xdr:colOff>381000</xdr:colOff>
      <xdr:row>5</xdr:row>
      <xdr:rowOff>165100</xdr:rowOff>
    </xdr:from>
    <xdr:to>
      <xdr:col>4</xdr:col>
      <xdr:colOff>336550</xdr:colOff>
      <xdr:row>7</xdr:row>
      <xdr:rowOff>69423</xdr:rowOff>
    </xdr:to>
    <xdr:sp macro="" textlink="">
      <xdr:nvSpPr>
        <xdr:cNvPr id="51" name="CaixaDeTexto 50">
          <a:extLst>
            <a:ext uri="{FF2B5EF4-FFF2-40B4-BE49-F238E27FC236}">
              <a16:creationId xmlns:a16="http://schemas.microsoft.com/office/drawing/2014/main" id="{00000000-0008-0000-0C00-000033000000}"/>
            </a:ext>
          </a:extLst>
        </xdr:cNvPr>
        <xdr:cNvSpPr txBox="1"/>
      </xdr:nvSpPr>
      <xdr:spPr>
        <a:xfrm>
          <a:off x="381000" y="1085850"/>
          <a:ext cx="2317750" cy="2726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...po escalão de remuneração mensal Base (%)</a:t>
          </a:r>
        </a:p>
      </xdr:txBody>
    </xdr:sp>
    <xdr:clientData/>
  </xdr:twoCellAnchor>
  <xdr:twoCellAnchor>
    <xdr:from>
      <xdr:col>13</xdr:col>
      <xdr:colOff>25400</xdr:colOff>
      <xdr:row>6</xdr:row>
      <xdr:rowOff>25400</xdr:rowOff>
    </xdr:from>
    <xdr:to>
      <xdr:col>16</xdr:col>
      <xdr:colOff>514350</xdr:colOff>
      <xdr:row>7</xdr:row>
      <xdr:rowOff>113873</xdr:rowOff>
    </xdr:to>
    <xdr:sp macro="" textlink="">
      <xdr:nvSpPr>
        <xdr:cNvPr id="52" name="CaixaDeTexto 51">
          <a:extLst>
            <a:ext uri="{FF2B5EF4-FFF2-40B4-BE49-F238E27FC236}">
              <a16:creationId xmlns:a16="http://schemas.microsoft.com/office/drawing/2014/main" id="{00000000-0008-0000-0C00-000034000000}"/>
            </a:ext>
          </a:extLst>
        </xdr:cNvPr>
        <xdr:cNvSpPr txBox="1"/>
      </xdr:nvSpPr>
      <xdr:spPr>
        <a:xfrm>
          <a:off x="7620000" y="1130300"/>
          <a:ext cx="2317750" cy="2726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...po escalão de remuneração mensal Ganho (%)</a:t>
          </a:r>
        </a:p>
      </xdr:txBody>
    </xdr:sp>
    <xdr:clientData/>
  </xdr:twoCellAnchor>
  <xdr:twoCellAnchor>
    <xdr:from>
      <xdr:col>5</xdr:col>
      <xdr:colOff>311150</xdr:colOff>
      <xdr:row>5</xdr:row>
      <xdr:rowOff>152400</xdr:rowOff>
    </xdr:from>
    <xdr:to>
      <xdr:col>10</xdr:col>
      <xdr:colOff>123296</xdr:colOff>
      <xdr:row>9</xdr:row>
      <xdr:rowOff>32808</xdr:rowOff>
    </xdr:to>
    <xdr:sp macro="" textlink="">
      <xdr:nvSpPr>
        <xdr:cNvPr id="53" name="CaixaDeTexto 52">
          <a:extLst>
            <a:ext uri="{FF2B5EF4-FFF2-40B4-BE49-F238E27FC236}">
              <a16:creationId xmlns:a16="http://schemas.microsoft.com/office/drawing/2014/main" id="{00000000-0008-0000-0C00-000035000000}"/>
            </a:ext>
          </a:extLst>
        </xdr:cNvPr>
        <xdr:cNvSpPr txBox="1"/>
      </xdr:nvSpPr>
      <xdr:spPr>
        <a:xfrm>
          <a:off x="3263900" y="1073150"/>
          <a:ext cx="2764896" cy="629708"/>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800" b="1" i="0" u="none" strike="noStrike">
              <a:solidFill>
                <a:sysClr val="windowText" lastClr="000000"/>
              </a:solidFill>
              <a:latin typeface="+mn-lt"/>
              <a:cs typeface="Calibri"/>
            </a:rPr>
            <a:t>2022 - </a:t>
          </a:r>
          <a:r>
            <a:rPr lang="en-US" sz="800" b="0" i="0" u="sng" strike="noStrike">
              <a:solidFill>
                <a:sysClr val="windowText" lastClr="000000"/>
              </a:solidFill>
              <a:latin typeface="+mn-lt"/>
              <a:cs typeface="Calibri"/>
            </a:rPr>
            <a:t>Proporção de TCO com remuneração Base</a:t>
          </a:r>
        </a:p>
        <a:p>
          <a:r>
            <a:rPr lang="en-US" sz="800" b="0" i="0" u="none" strike="noStrike">
              <a:solidFill>
                <a:sysClr val="windowText" lastClr="000000"/>
              </a:solidFill>
              <a:latin typeface="+mn-lt"/>
              <a:cs typeface="Calibri"/>
            </a:rPr>
            <a:t>&gt;= RMMG e  &lt; 750 €: 34,9% (-25,3 p.p face a 2012)</a:t>
          </a:r>
        </a:p>
        <a:p>
          <a:r>
            <a:rPr lang="en-US" sz="800" b="0" i="0" u="none" strike="noStrike">
              <a:solidFill>
                <a:sysClr val="windowText" lastClr="000000"/>
              </a:solidFill>
              <a:latin typeface="+mn-lt"/>
              <a:cs typeface="Calibri"/>
            </a:rPr>
            <a:t>= RMMG: 23,3% (+8,9 p.p. face a 2012)                                      </a:t>
          </a:r>
        </a:p>
        <a:p>
          <a:r>
            <a:rPr lang="en-US" sz="800" b="0" i="0" u="none" strike="noStrike">
              <a:solidFill>
                <a:sysClr val="windowText" lastClr="000000"/>
              </a:solidFill>
              <a:latin typeface="+mn-lt"/>
              <a:cs typeface="Calibri"/>
            </a:rPr>
            <a:t>&gt; RMMG e &lt; 750 €: 11,5% (- 34,2 p.p. face a 2012).</a:t>
          </a:r>
        </a:p>
        <a:p>
          <a:endParaRPr lang="en-US" sz="800" b="0" i="0" u="none" strike="noStrike" baseline="0">
            <a:solidFill>
              <a:sysClr val="windowText" lastClr="000000"/>
            </a:solidFill>
            <a:latin typeface="Calibri"/>
            <a:cs typeface="Calibri"/>
          </a:endParaRPr>
        </a:p>
      </xdr:txBody>
    </xdr:sp>
    <xdr:clientData/>
  </xdr:twoCellAnchor>
  <xdr:twoCellAnchor>
    <xdr:from>
      <xdr:col>10</xdr:col>
      <xdr:colOff>438150</xdr:colOff>
      <xdr:row>21</xdr:row>
      <xdr:rowOff>44450</xdr:rowOff>
    </xdr:from>
    <xdr:to>
      <xdr:col>22</xdr:col>
      <xdr:colOff>241300</xdr:colOff>
      <xdr:row>24</xdr:row>
      <xdr:rowOff>98137</xdr:rowOff>
    </xdr:to>
    <xdr:sp macro="" textlink="">
      <xdr:nvSpPr>
        <xdr:cNvPr id="72" name="CaixaDeTexto 71">
          <a:extLst>
            <a:ext uri="{FF2B5EF4-FFF2-40B4-BE49-F238E27FC236}">
              <a16:creationId xmlns:a16="http://schemas.microsoft.com/office/drawing/2014/main" id="{00000000-0008-0000-0C00-000048000000}"/>
            </a:ext>
          </a:extLst>
        </xdr:cNvPr>
        <xdr:cNvSpPr txBox="1"/>
      </xdr:nvSpPr>
      <xdr:spPr>
        <a:xfrm>
          <a:off x="6343650" y="3937000"/>
          <a:ext cx="6978650" cy="606137"/>
        </a:xfrm>
        <a:prstGeom prst="rect">
          <a:avLst/>
        </a:prstGeom>
        <a:solidFill>
          <a:sysClr val="window" lastClr="FFFFFF"/>
        </a:solidFill>
        <a:ln w="25400" cap="flat" cmpd="sng" algn="ctr">
          <a:solidFill>
            <a:srgbClr val="4F81BD"/>
          </a:solidFill>
          <a:prstDash val="solid"/>
        </a:ln>
        <a:effectLst/>
      </xdr:spPr>
      <xdr:txBody>
        <a:bodyPr vertOverflow="clip" horzOverflow="clip" wrap="square" numCol="2"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sysClr val="windowText" lastClr="000000"/>
              </a:solidFill>
              <a:effectLst/>
              <a:uLnTx/>
              <a:uFillTx/>
              <a:latin typeface="+mn-lt"/>
              <a:ea typeface="+mn-ea"/>
              <a:cs typeface="Calibri"/>
            </a:rPr>
            <a:t>2012 - 2022</a:t>
          </a:r>
          <a:r>
            <a:rPr kumimoji="0" lang="en-US" sz="800" b="0" i="0" u="none" strike="noStrike" kern="0" cap="none" spc="0" normalizeH="0" baseline="0" noProof="0">
              <a:ln>
                <a:noFill/>
              </a:ln>
              <a:solidFill>
                <a:sysClr val="windowText" lastClr="000000"/>
              </a:solidFill>
              <a:effectLst/>
              <a:uLnTx/>
              <a:uFillTx/>
              <a:latin typeface="+mn-lt"/>
              <a:ea typeface="+mn-ea"/>
              <a:cs typeface="Calibri"/>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Text" lastClr="000000"/>
              </a:solidFill>
              <a:effectLst/>
              <a:uLnTx/>
              <a:uFillTx/>
              <a:latin typeface="+mn-lt"/>
              <a:ea typeface="+mn-ea"/>
              <a:cs typeface="Calibri"/>
            </a:rPr>
            <a:t>S80/S20</a:t>
          </a:r>
          <a:r>
            <a:rPr kumimoji="0" lang="en-US" sz="800" b="0" i="0" u="none" strike="noStrike" kern="0" cap="none" spc="0" normalizeH="0" baseline="0" noProof="0">
              <a:ln>
                <a:noFill/>
              </a:ln>
              <a:solidFill>
                <a:sysClr val="windowText" lastClr="000000"/>
              </a:solidFill>
              <a:effectLst/>
              <a:uLnTx/>
              <a:uFillTx/>
              <a:latin typeface="+mn-lt"/>
              <a:ea typeface="+mn-ea"/>
              <a:cs typeface="Calibri"/>
            </a:rPr>
            <a:t>: Entre 2012 e 2013, as remunerações dos 20% de TCO que mais ganhavam, era 4,5 vezes mais o valor das remunerações dos 20% que menos auferiam. A desigualdade diminuiu, sendo o mesmo rácio 3,7 em 2022.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Text" lastClr="000000"/>
              </a:solidFill>
              <a:effectLst/>
              <a:uLnTx/>
              <a:uFillTx/>
              <a:latin typeface="+mn-lt"/>
              <a:ea typeface="+mn-ea"/>
              <a:cs typeface="Calibri"/>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Text" lastClr="000000"/>
              </a:solidFill>
              <a:effectLst/>
              <a:uLnTx/>
              <a:uFillTx/>
              <a:latin typeface="+mn-lt"/>
              <a:ea typeface="+mn-ea"/>
              <a:cs typeface="Calibri"/>
            </a:rPr>
            <a:t>S90/S10</a:t>
          </a:r>
          <a:r>
            <a:rPr kumimoji="0" lang="en-US" sz="800" b="0" i="0" u="none" strike="noStrike" kern="0" cap="none" spc="0" normalizeH="0" baseline="0" noProof="0">
              <a:ln>
                <a:noFill/>
              </a:ln>
              <a:solidFill>
                <a:sysClr val="windowText" lastClr="000000"/>
              </a:solidFill>
              <a:effectLst/>
              <a:uLnTx/>
              <a:uFillTx/>
              <a:latin typeface="+mn-lt"/>
              <a:ea typeface="+mn-ea"/>
              <a:cs typeface="Calibri"/>
            </a:rPr>
            <a:t>: Entre 2012 e 2013, as remunerações dos 10% de TCO que mais ganhavam, era 6,4 vezes mais o valor das remunerações dos 10% que menos auferiam. A desigualdade diminuiu, sendo o mesmo rácio 5,1 em 2022.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xdr:txBody>
    </xdr:sp>
    <xdr:clientData/>
  </xdr:twoCellAnchor>
  <xdr:twoCellAnchor>
    <xdr:from>
      <xdr:col>0</xdr:col>
      <xdr:colOff>0</xdr:colOff>
      <xdr:row>26</xdr:row>
      <xdr:rowOff>134133</xdr:rowOff>
    </xdr:from>
    <xdr:to>
      <xdr:col>10</xdr:col>
      <xdr:colOff>245238</xdr:colOff>
      <xdr:row>40</xdr:row>
      <xdr:rowOff>2983</xdr:rowOff>
    </xdr:to>
    <xdr:grpSp>
      <xdr:nvGrpSpPr>
        <xdr:cNvPr id="12" name="Agrupar 11">
          <a:extLst>
            <a:ext uri="{FF2B5EF4-FFF2-40B4-BE49-F238E27FC236}">
              <a16:creationId xmlns:a16="http://schemas.microsoft.com/office/drawing/2014/main" id="{00000000-0008-0000-0C00-00000C000000}"/>
            </a:ext>
          </a:extLst>
        </xdr:cNvPr>
        <xdr:cNvGrpSpPr/>
      </xdr:nvGrpSpPr>
      <xdr:grpSpPr>
        <a:xfrm>
          <a:off x="0" y="5087133"/>
          <a:ext cx="5864988" cy="2535850"/>
          <a:chOff x="0" y="4970716"/>
          <a:chExt cx="6171905" cy="2461767"/>
        </a:xfrm>
      </xdr:grpSpPr>
      <xdr:grpSp>
        <xdr:nvGrpSpPr>
          <xdr:cNvPr id="37" name="Agrupar 36">
            <a:extLst>
              <a:ext uri="{FF2B5EF4-FFF2-40B4-BE49-F238E27FC236}">
                <a16:creationId xmlns:a16="http://schemas.microsoft.com/office/drawing/2014/main" id="{00000000-0008-0000-0C00-000025000000}"/>
              </a:ext>
            </a:extLst>
          </xdr:cNvPr>
          <xdr:cNvGrpSpPr/>
        </xdr:nvGrpSpPr>
        <xdr:grpSpPr>
          <a:xfrm>
            <a:off x="0" y="4970716"/>
            <a:ext cx="6171905" cy="2461767"/>
            <a:chOff x="82547" y="5042476"/>
            <a:chExt cx="4535398" cy="2473663"/>
          </a:xfrm>
        </xdr:grpSpPr>
        <xdr:sp macro="" textlink="">
          <xdr:nvSpPr>
            <xdr:cNvPr id="38" name="CaixaDeTexto 1">
              <a:extLst>
                <a:ext uri="{FF2B5EF4-FFF2-40B4-BE49-F238E27FC236}">
                  <a16:creationId xmlns:a16="http://schemas.microsoft.com/office/drawing/2014/main" id="{00000000-0008-0000-0C00-000026000000}"/>
                </a:ext>
              </a:extLst>
            </xdr:cNvPr>
            <xdr:cNvSpPr txBox="1"/>
          </xdr:nvSpPr>
          <xdr:spPr>
            <a:xfrm>
              <a:off x="445001" y="5071651"/>
              <a:ext cx="3752999" cy="200278"/>
            </a:xfrm>
            <a:prstGeom prst="rect">
              <a:avLst/>
            </a:prstGeom>
          </xdr:spPr>
          <xdr:txBody>
            <a:bodyPr wrap="square" rtlCol="0"/>
            <a:lstStyle>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700" b="1" i="0" u="none" strike="noStrike" kern="0" cap="none" spc="0" normalizeH="0" baseline="0" noProof="0">
                  <a:ln>
                    <a:noFill/>
                  </a:ln>
                  <a:solidFill>
                    <a:srgbClr val="1F497D"/>
                  </a:solidFill>
                  <a:effectLst/>
                  <a:uLnTx/>
                  <a:uFillTx/>
                  <a:latin typeface="Calibri"/>
                </a:rPr>
                <a:t>Ganho mensal mediano, limiar de baixos salários*, retribuição mínima mensal garantida e Incidência de baixos salários</a:t>
              </a:r>
            </a:p>
          </xdr:txBody>
        </xdr:sp>
        <xdr:grpSp>
          <xdr:nvGrpSpPr>
            <xdr:cNvPr id="39" name="Agrupar 38">
              <a:extLst>
                <a:ext uri="{FF2B5EF4-FFF2-40B4-BE49-F238E27FC236}">
                  <a16:creationId xmlns:a16="http://schemas.microsoft.com/office/drawing/2014/main" id="{00000000-0008-0000-0C00-000027000000}"/>
                </a:ext>
              </a:extLst>
            </xdr:cNvPr>
            <xdr:cNvGrpSpPr/>
          </xdr:nvGrpSpPr>
          <xdr:grpSpPr>
            <a:xfrm>
              <a:off x="82547" y="5042476"/>
              <a:ext cx="4535398" cy="2473663"/>
              <a:chOff x="15468383" y="13077031"/>
              <a:chExt cx="4547872" cy="2466158"/>
            </a:xfrm>
          </xdr:grpSpPr>
          <xdr:graphicFrame macro="">
            <xdr:nvGraphicFramePr>
              <xdr:cNvPr id="40" name="Gráfico 39">
                <a:extLst>
                  <a:ext uri="{FF2B5EF4-FFF2-40B4-BE49-F238E27FC236}">
                    <a16:creationId xmlns:a16="http://schemas.microsoft.com/office/drawing/2014/main" id="{00000000-0008-0000-0C00-000028000000}"/>
                  </a:ext>
                </a:extLst>
              </xdr:cNvPr>
              <xdr:cNvGraphicFramePr>
                <a:graphicFrameLocks/>
              </xdr:cNvGraphicFramePr>
            </xdr:nvGraphicFramePr>
            <xdr:xfrm>
              <a:off x="15468383" y="13077031"/>
              <a:ext cx="4420041" cy="2466158"/>
            </xdr:xfrm>
            <a:graphic>
              <a:graphicData uri="http://schemas.openxmlformats.org/drawingml/2006/chart">
                <c:chart xmlns:c="http://schemas.openxmlformats.org/drawingml/2006/chart" xmlns:r="http://schemas.openxmlformats.org/officeDocument/2006/relationships" r:id="rId10"/>
              </a:graphicData>
            </a:graphic>
          </xdr:graphicFrame>
          <xdr:pic>
            <xdr:nvPicPr>
              <xdr:cNvPr id="41" name="Imagem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1"/>
              <a:stretch>
                <a:fillRect/>
              </a:stretch>
            </xdr:blipFill>
            <xdr:spPr>
              <a:xfrm>
                <a:off x="15471858" y="15069524"/>
                <a:ext cx="2333729" cy="337980"/>
              </a:xfrm>
              <a:prstGeom prst="rect">
                <a:avLst/>
              </a:prstGeom>
            </xdr:spPr>
          </xdr:pic>
          <xdr:pic>
            <xdr:nvPicPr>
              <xdr:cNvPr id="42" name="Imagem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12"/>
              <a:stretch>
                <a:fillRect/>
              </a:stretch>
            </xdr:blipFill>
            <xdr:spPr>
              <a:xfrm>
                <a:off x="18381691" y="15081276"/>
                <a:ext cx="1634564" cy="317182"/>
              </a:xfrm>
              <a:prstGeom prst="rect">
                <a:avLst/>
              </a:prstGeom>
            </xdr:spPr>
          </xdr:pic>
        </xdr:grpSp>
      </xdr:grpSp>
      <xdr:sp macro="" textlink="">
        <xdr:nvSpPr>
          <xdr:cNvPr id="71" name="CaixaDeTexto 70">
            <a:extLst>
              <a:ext uri="{FF2B5EF4-FFF2-40B4-BE49-F238E27FC236}">
                <a16:creationId xmlns:a16="http://schemas.microsoft.com/office/drawing/2014/main" id="{00000000-0008-0000-0C00-000047000000}"/>
              </a:ext>
            </a:extLst>
          </xdr:cNvPr>
          <xdr:cNvSpPr txBox="1"/>
        </xdr:nvSpPr>
        <xdr:spPr>
          <a:xfrm>
            <a:off x="74083" y="7244292"/>
            <a:ext cx="3799417" cy="174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PT" sz="600"/>
              <a:t>*Limiar</a:t>
            </a:r>
            <a:r>
              <a:rPr lang="pt-PT" sz="600" baseline="0"/>
              <a:t> de baixos salários - </a:t>
            </a:r>
            <a:r>
              <a:rPr lang="pt-PT" sz="600"/>
              <a:t>considerado como sendo 2/3 da mediana do ganho mensal do Continente.</a:t>
            </a:r>
          </a:p>
        </xdr:txBody>
      </xdr:sp>
    </xdr:grp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304800</xdr:colOff>
          <xdr:row>1</xdr:row>
          <xdr:rowOff>152400</xdr:rowOff>
        </xdr:from>
        <xdr:to>
          <xdr:col>17</xdr:col>
          <xdr:colOff>1552575</xdr:colOff>
          <xdr:row>3</xdr:row>
          <xdr:rowOff>19050</xdr:rowOff>
        </xdr:to>
        <xdr:sp macro="" textlink="">
          <xdr:nvSpPr>
            <xdr:cNvPr id="50178" name="Drop Down 2" hidden="1">
              <a:extLst>
                <a:ext uri="{63B3BB69-23CF-44E3-9099-C40C66FF867C}">
                  <a14:compatExt spid="_x0000_s50178"/>
                </a:ext>
                <a:ext uri="{FF2B5EF4-FFF2-40B4-BE49-F238E27FC236}">
                  <a16:creationId xmlns:a16="http://schemas.microsoft.com/office/drawing/2014/main" id="{00000000-0008-0000-0D00-000002C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29</xdr:col>
      <xdr:colOff>447675</xdr:colOff>
      <xdr:row>5</xdr:row>
      <xdr:rowOff>66675</xdr:rowOff>
    </xdr:from>
    <xdr:to>
      <xdr:col>35</xdr:col>
      <xdr:colOff>428625</xdr:colOff>
      <xdr:row>22</xdr:row>
      <xdr:rowOff>49950</xdr:rowOff>
    </xdr:to>
    <xdr:graphicFrame macro="">
      <xdr:nvGraphicFramePr>
        <xdr:cNvPr id="4" name="Gráfico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600075</xdr:colOff>
      <xdr:row>25</xdr:row>
      <xdr:rowOff>47626</xdr:rowOff>
    </xdr:from>
    <xdr:to>
      <xdr:col>34</xdr:col>
      <xdr:colOff>561975</xdr:colOff>
      <xdr:row>40</xdr:row>
      <xdr:rowOff>57151</xdr:rowOff>
    </xdr:to>
    <xdr:graphicFrame macro="">
      <xdr:nvGraphicFramePr>
        <xdr:cNvPr id="12" name="Gráfico 11">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171450</xdr:colOff>
      <xdr:row>55</xdr:row>
      <xdr:rowOff>47626</xdr:rowOff>
    </xdr:from>
    <xdr:to>
      <xdr:col>16</xdr:col>
      <xdr:colOff>650876</xdr:colOff>
      <xdr:row>61</xdr:row>
      <xdr:rowOff>152400</xdr:rowOff>
    </xdr:to>
    <xdr:sp macro="" textlink="$R$62">
      <xdr:nvSpPr>
        <xdr:cNvPr id="7" name="CaixaDeTexto 6">
          <a:extLst>
            <a:ext uri="{FF2B5EF4-FFF2-40B4-BE49-F238E27FC236}">
              <a16:creationId xmlns:a16="http://schemas.microsoft.com/office/drawing/2014/main" id="{00000000-0008-0000-0D00-000007000000}"/>
            </a:ext>
          </a:extLst>
        </xdr:cNvPr>
        <xdr:cNvSpPr txBox="1"/>
      </xdr:nvSpPr>
      <xdr:spPr>
        <a:xfrm>
          <a:off x="6562725" y="8972551"/>
          <a:ext cx="5356226" cy="1076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DB323B0-1B39-49DC-90EE-0A64740C439A}" type="TxLink">
            <a:rPr lang="en-US" sz="1000" b="0" i="0" u="none" strike="noStrike">
              <a:solidFill>
                <a:srgbClr val="000000"/>
              </a:solidFill>
              <a:latin typeface="Arial"/>
              <a:cs typeface="Arial"/>
            </a:rPr>
            <a:pPr/>
            <a:t>3 CAE com mais Empresas em 2022 vs 2012: 
G - Com. por grosso e a ret.; rep. de veíc. autom. e mot. (24,4% vs 27,9%);
I - Alojamento, rest. e sim. (12,1% vs 11,3%) - em 2012: C - Ind. transformadoras (11,1% vs 12,2%);
F - Construção (11,8% vs 11,2%).</a:t>
          </a:fld>
          <a:endParaRPr lang="pt-PT" sz="1100"/>
        </a:p>
      </xdr:txBody>
    </xdr:sp>
    <xdr:clientData/>
  </xdr:twoCellAnchor>
  <xdr:twoCellAnchor>
    <xdr:from>
      <xdr:col>17</xdr:col>
      <xdr:colOff>377825</xdr:colOff>
      <xdr:row>111</xdr:row>
      <xdr:rowOff>104774</xdr:rowOff>
    </xdr:from>
    <xdr:to>
      <xdr:col>21</xdr:col>
      <xdr:colOff>377825</xdr:colOff>
      <xdr:row>119</xdr:row>
      <xdr:rowOff>38099</xdr:rowOff>
    </xdr:to>
    <xdr:sp macro="" textlink="$R$110">
      <xdr:nvSpPr>
        <xdr:cNvPr id="42" name="CaixaDeTexto 41">
          <a:extLst>
            <a:ext uri="{FF2B5EF4-FFF2-40B4-BE49-F238E27FC236}">
              <a16:creationId xmlns:a16="http://schemas.microsoft.com/office/drawing/2014/main" id="{00000000-0008-0000-0D00-00002A000000}"/>
            </a:ext>
          </a:extLst>
        </xdr:cNvPr>
        <xdr:cNvSpPr txBox="1"/>
      </xdr:nvSpPr>
      <xdr:spPr>
        <a:xfrm>
          <a:off x="12436475" y="18135599"/>
          <a:ext cx="3800475"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AA16B81-83A1-4D69-8BE8-8702F2EDF9AF}" type="TxLink">
            <a:rPr lang="en-US" sz="1000" b="0" i="0" u="none" strike="noStrike">
              <a:solidFill>
                <a:srgbClr val="000000"/>
              </a:solidFill>
              <a:latin typeface="Arial"/>
              <a:cs typeface="Arial"/>
            </a:rPr>
            <a:pPr/>
            <a:t>2012 - 2022:
Micro e Pequenas empresas representam cerca de 97% das estruturas;
Micro empresas (1-9 pessoas): entre 82,1% e 85,1%;
Pequenas empresas (10 - 49 pessoas): entre 12,0% e 14,4%.</a:t>
          </a:fld>
          <a:endParaRPr lang="pt-PT" sz="1100"/>
        </a:p>
      </xdr:txBody>
    </xdr:sp>
    <xdr:clientData/>
  </xdr:twoCellAnchor>
  <xdr:twoCellAnchor>
    <xdr:from>
      <xdr:col>46</xdr:col>
      <xdr:colOff>527050</xdr:colOff>
      <xdr:row>8</xdr:row>
      <xdr:rowOff>69850</xdr:rowOff>
    </xdr:from>
    <xdr:to>
      <xdr:col>54</xdr:col>
      <xdr:colOff>160482</xdr:colOff>
      <xdr:row>28</xdr:row>
      <xdr:rowOff>49068</xdr:rowOff>
    </xdr:to>
    <xdr:grpSp>
      <xdr:nvGrpSpPr>
        <xdr:cNvPr id="43" name="Agrupar 42">
          <a:extLst>
            <a:ext uri="{FF2B5EF4-FFF2-40B4-BE49-F238E27FC236}">
              <a16:creationId xmlns:a16="http://schemas.microsoft.com/office/drawing/2014/main" id="{00000000-0008-0000-0D00-00002B000000}"/>
            </a:ext>
          </a:extLst>
        </xdr:cNvPr>
        <xdr:cNvGrpSpPr/>
      </xdr:nvGrpSpPr>
      <xdr:grpSpPr>
        <a:xfrm>
          <a:off x="31626175" y="1384300"/>
          <a:ext cx="4824557" cy="3217718"/>
          <a:chOff x="36040924" y="8426450"/>
          <a:chExt cx="4819650" cy="2597244"/>
        </a:xfrm>
      </xdr:grpSpPr>
      <xdr:graphicFrame macro="">
        <xdr:nvGraphicFramePr>
          <xdr:cNvPr id="44" name="Gráfico 43">
            <a:extLst>
              <a:ext uri="{FF2B5EF4-FFF2-40B4-BE49-F238E27FC236}">
                <a16:creationId xmlns:a16="http://schemas.microsoft.com/office/drawing/2014/main" id="{00000000-0008-0000-0D00-00002C000000}"/>
              </a:ext>
            </a:extLst>
          </xdr:cNvPr>
          <xdr:cNvGraphicFramePr>
            <a:graphicFrameLocks/>
          </xdr:cNvGraphicFramePr>
        </xdr:nvGraphicFramePr>
        <xdr:xfrm>
          <a:off x="36040924" y="8426450"/>
          <a:ext cx="4819650" cy="259724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5" name="CaixaDeTexto 44">
            <a:extLst>
              <a:ext uri="{FF2B5EF4-FFF2-40B4-BE49-F238E27FC236}">
                <a16:creationId xmlns:a16="http://schemas.microsoft.com/office/drawing/2014/main" id="{00000000-0008-0000-0D00-00002D000000}"/>
              </a:ext>
            </a:extLst>
          </xdr:cNvPr>
          <xdr:cNvSpPr txBox="1"/>
        </xdr:nvSpPr>
        <xdr:spPr>
          <a:xfrm>
            <a:off x="39425587" y="9090837"/>
            <a:ext cx="976378"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Empresas</a:t>
            </a:r>
          </a:p>
        </xdr:txBody>
      </xdr:sp>
      <xdr:sp macro="" textlink="">
        <xdr:nvSpPr>
          <xdr:cNvPr id="46" name="CaixaDeTexto 45">
            <a:extLst>
              <a:ext uri="{FF2B5EF4-FFF2-40B4-BE49-F238E27FC236}">
                <a16:creationId xmlns:a16="http://schemas.microsoft.com/office/drawing/2014/main" id="{00000000-0008-0000-0D00-00002E000000}"/>
              </a:ext>
            </a:extLst>
          </xdr:cNvPr>
          <xdr:cNvSpPr txBox="1"/>
        </xdr:nvSpPr>
        <xdr:spPr>
          <a:xfrm>
            <a:off x="39437830" y="9814607"/>
            <a:ext cx="974547"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Estabelecimentos</a:t>
            </a:r>
          </a:p>
        </xdr:txBody>
      </xdr:sp>
      <xdr:sp macro="" textlink="q1_q2_q4_q5_Fig!$BH$5">
        <xdr:nvSpPr>
          <xdr:cNvPr id="47" name="CaixaDeTexto 46">
            <a:extLst>
              <a:ext uri="{FF2B5EF4-FFF2-40B4-BE49-F238E27FC236}">
                <a16:creationId xmlns:a16="http://schemas.microsoft.com/office/drawing/2014/main" id="{00000000-0008-0000-0D00-00002F000000}"/>
              </a:ext>
            </a:extLst>
          </xdr:cNvPr>
          <xdr:cNvSpPr txBox="1"/>
        </xdr:nvSpPr>
        <xdr:spPr>
          <a:xfrm>
            <a:off x="39438920" y="10117573"/>
            <a:ext cx="976378" cy="2592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4B3BF183-0A7B-4E9A-9519-4413FAA583EA}" type="TxLink">
              <a:rPr lang="en-US" sz="1000" b="1" i="0" u="none" strike="noStrike">
                <a:solidFill>
                  <a:schemeClr val="bg1"/>
                </a:solidFill>
                <a:latin typeface="Arial"/>
                <a:ea typeface="+mn-ea"/>
                <a:cs typeface="Arial"/>
              </a:rPr>
              <a:pPr marL="0" indent="0" algn="ctr"/>
              <a:t>4,2%</a:t>
            </a:fld>
            <a:endParaRPr lang="pt-PT" sz="1000" b="1" i="0" u="none" strike="noStrike">
              <a:solidFill>
                <a:schemeClr val="bg1"/>
              </a:solidFill>
              <a:latin typeface="+mn-lt"/>
              <a:ea typeface="+mn-ea"/>
              <a:cs typeface="Arial"/>
            </a:endParaRPr>
          </a:p>
        </xdr:txBody>
      </xdr:sp>
      <xdr:sp macro="" textlink="q1_q2_q4_q5_Fig!$BH$4">
        <xdr:nvSpPr>
          <xdr:cNvPr id="48" name="CaixaDeTexto 47">
            <a:extLst>
              <a:ext uri="{FF2B5EF4-FFF2-40B4-BE49-F238E27FC236}">
                <a16:creationId xmlns:a16="http://schemas.microsoft.com/office/drawing/2014/main" id="{00000000-0008-0000-0D00-000030000000}"/>
              </a:ext>
            </a:extLst>
          </xdr:cNvPr>
          <xdr:cNvSpPr txBox="1"/>
        </xdr:nvSpPr>
        <xdr:spPr>
          <a:xfrm>
            <a:off x="39428763" y="9383789"/>
            <a:ext cx="976378" cy="259200"/>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9C7EAD2-6A40-48E9-B770-012A6C6E2AEE}" type="TxLink">
              <a:rPr lang="en-US" sz="1000" b="1" i="0" u="none" strike="noStrike">
                <a:solidFill>
                  <a:schemeClr val="bg1"/>
                </a:solidFill>
                <a:latin typeface="Arial"/>
                <a:cs typeface="Arial"/>
              </a:rPr>
              <a:pPr algn="ctr"/>
              <a:t>6,3%</a:t>
            </a:fld>
            <a:endParaRPr lang="pt-PT" sz="1000" b="1">
              <a:solidFill>
                <a:schemeClr val="bg1"/>
              </a:solidFill>
              <a:latin typeface="+mn-lt"/>
            </a:endParaRPr>
          </a:p>
        </xdr:txBody>
      </xdr:sp>
    </xdr:grpSp>
    <xdr:clientData/>
  </xdr:twoCellAnchor>
  <xdr:twoCellAnchor>
    <xdr:from>
      <xdr:col>55</xdr:col>
      <xdr:colOff>123825</xdr:colOff>
      <xdr:row>8</xdr:row>
      <xdr:rowOff>123825</xdr:rowOff>
    </xdr:from>
    <xdr:to>
      <xdr:col>59</xdr:col>
      <xdr:colOff>1071825</xdr:colOff>
      <xdr:row>13</xdr:row>
      <xdr:rowOff>70200</xdr:rowOff>
    </xdr:to>
    <xdr:sp macro="" textlink="">
      <xdr:nvSpPr>
        <xdr:cNvPr id="13" name="CaixaDeTexto 12">
          <a:extLst>
            <a:ext uri="{FF2B5EF4-FFF2-40B4-BE49-F238E27FC236}">
              <a16:creationId xmlns:a16="http://schemas.microsoft.com/office/drawing/2014/main" id="{00000000-0008-0000-0D00-00000D000000}"/>
            </a:ext>
          </a:extLst>
        </xdr:cNvPr>
        <xdr:cNvSpPr txBox="1"/>
      </xdr:nvSpPr>
      <xdr:spPr>
        <a:xfrm>
          <a:off x="37023675" y="1438275"/>
          <a:ext cx="3996000" cy="7560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900" b="1" u="sng" baseline="0">
              <a:solidFill>
                <a:schemeClr val="dk1"/>
              </a:solidFill>
              <a:effectLst/>
              <a:latin typeface="+mn-lt"/>
              <a:ea typeface="+mn-ea"/>
              <a:cs typeface="+mn-cs"/>
            </a:rPr>
            <a:t>2022:</a:t>
          </a:r>
          <a:r>
            <a:rPr lang="en-US" sz="900" b="1" baseline="0">
              <a:solidFill>
                <a:schemeClr val="dk1"/>
              </a:solidFill>
              <a:effectLst/>
              <a:latin typeface="+mn-lt"/>
              <a:ea typeface="+mn-ea"/>
              <a:cs typeface="+mn-cs"/>
            </a:rPr>
            <a:t>                                                                </a:t>
          </a:r>
          <a:r>
            <a:rPr lang="en-US" sz="900" b="1" u="sng" baseline="0">
              <a:solidFill>
                <a:schemeClr val="dk1"/>
              </a:solidFill>
              <a:effectLst/>
              <a:latin typeface="+mn-lt"/>
              <a:ea typeface="+mn-ea"/>
              <a:cs typeface="+mn-cs"/>
            </a:rPr>
            <a:t>2022 vs. 2021</a:t>
          </a:r>
          <a:r>
            <a:rPr lang="en-US" sz="900" b="1" baseline="0">
              <a:solidFill>
                <a:schemeClr val="dk1"/>
              </a:solidFill>
              <a:effectLst/>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lang="en-US" sz="900" b="0" baseline="0">
              <a:solidFill>
                <a:schemeClr val="dk1"/>
              </a:solidFill>
              <a:effectLst/>
              <a:latin typeface="+mn-lt"/>
              <a:ea typeface="+mn-ea"/>
              <a:cs typeface="+mn-cs"/>
            </a:rPr>
            <a:t>284.860 empresas                                         + 13.054 empresas (+4,8%)</a:t>
          </a:r>
        </a:p>
        <a:p>
          <a:pPr marL="0" marR="0" lvl="0" indent="0" algn="l" defTabSz="914400" eaLnBrk="1" fontAlgn="auto" latinLnBrk="0" hangingPunct="1">
            <a:lnSpc>
              <a:spcPct val="100000"/>
            </a:lnSpc>
            <a:spcBef>
              <a:spcPts val="0"/>
            </a:spcBef>
            <a:spcAft>
              <a:spcPts val="0"/>
            </a:spcAft>
            <a:buClrTx/>
            <a:buSzTx/>
            <a:buFontTx/>
            <a:buNone/>
            <a:tabLst/>
            <a:defRPr/>
          </a:pPr>
          <a:r>
            <a:rPr lang="en-US" sz="900" b="0" baseline="0">
              <a:solidFill>
                <a:schemeClr val="dk1"/>
              </a:solidFill>
              <a:effectLst/>
              <a:latin typeface="+mn-lt"/>
              <a:ea typeface="+mn-ea"/>
              <a:cs typeface="+mn-cs"/>
            </a:rPr>
            <a:t>332.683 estabelecimentos                           + 14.429 stabelecimentos (+4,5%)</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269203</xdr:colOff>
      <xdr:row>2</xdr:row>
      <xdr:rowOff>106136</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878803" cy="429986"/>
        </a:xfrm>
        <a:prstGeom prst="rect">
          <a:avLst/>
        </a:prstGeom>
      </xdr:spPr>
    </xdr:pic>
    <xdr:clientData/>
  </xdr:twoCellAnchor>
  <xdr:twoCellAnchor>
    <xdr:from>
      <xdr:col>1</xdr:col>
      <xdr:colOff>355535</xdr:colOff>
      <xdr:row>0</xdr:row>
      <xdr:rowOff>41276</xdr:rowOff>
    </xdr:from>
    <xdr:to>
      <xdr:col>21</xdr:col>
      <xdr:colOff>1</xdr:colOff>
      <xdr:row>3</xdr:row>
      <xdr:rowOff>28575</xdr:rowOff>
    </xdr:to>
    <xdr:sp macro="" textlink="">
      <xdr:nvSpPr>
        <xdr:cNvPr id="3" name="Rectangle 17">
          <a:extLst>
            <a:ext uri="{FF2B5EF4-FFF2-40B4-BE49-F238E27FC236}">
              <a16:creationId xmlns:a16="http://schemas.microsoft.com/office/drawing/2014/main" id="{00000000-0008-0000-0200-000003000000}"/>
            </a:ext>
          </a:extLst>
        </xdr:cNvPr>
        <xdr:cNvSpPr>
          <a:spLocks noChangeArrowheads="1"/>
        </xdr:cNvSpPr>
      </xdr:nvSpPr>
      <xdr:spPr bwMode="auto">
        <a:xfrm>
          <a:off x="965135" y="41276"/>
          <a:ext cx="11836466" cy="473074"/>
        </a:xfrm>
        <a:prstGeom prst="rect">
          <a:avLst/>
        </a:prstGeom>
        <a:solidFill>
          <a:srgbClr val="00467A"/>
        </a:solidFill>
        <a:ln w="28575" cap="rnd">
          <a:noFill/>
          <a:prstDash val="sysDot"/>
          <a:miter lim="800000"/>
          <a:headEnd/>
          <a:tailEnd/>
        </a:ln>
        <a:effectLst>
          <a:prstShdw prst="shdw18" dist="17961" dir="13500000">
            <a:srgbClr val="556B81">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r>
            <a:rPr lang="pt-PT" sz="1600" b="1" i="1" baseline="0">
              <a:solidFill>
                <a:schemeClr val="bg1"/>
              </a:solidFill>
              <a:effectLst>
                <a:outerShdw blurRad="38100" dist="38100" dir="2700000" algn="tl">
                  <a:srgbClr val="000000"/>
                </a:outerShdw>
              </a:effectLst>
              <a:latin typeface="Arial" charset="0"/>
            </a:rPr>
            <a:t>Dashboard / </a:t>
          </a:r>
          <a:r>
            <a:rPr lang="pt-PT" sz="1600" b="1" i="0" baseline="0">
              <a:solidFill>
                <a:schemeClr val="bg1"/>
              </a:solidFill>
              <a:effectLst>
                <a:outerShdw blurRad="38100" dist="38100" dir="2700000" algn="tl">
                  <a:srgbClr val="000000"/>
                </a:outerShdw>
              </a:effectLst>
              <a:latin typeface="Arial" charset="0"/>
            </a:rPr>
            <a:t>Excel Interativo</a:t>
          </a:r>
          <a:endParaRPr lang="pt-PT" sz="1600" b="1" i="0">
            <a:solidFill>
              <a:schemeClr val="bg1"/>
            </a:solidFill>
            <a:effectLst>
              <a:outerShdw blurRad="38100" dist="38100" dir="2700000" algn="tl">
                <a:srgbClr val="000000"/>
              </a:outerShdw>
            </a:effectLst>
            <a:latin typeface="Arial" charset="0"/>
          </a:endParaRPr>
        </a:p>
        <a:p>
          <a:pPr defTabSz="988538">
            <a:defRPr/>
          </a:pPr>
          <a:r>
            <a:rPr lang="pt-PT" sz="1600" b="1" i="1">
              <a:solidFill>
                <a:srgbClr val="FFE600"/>
              </a:solidFill>
              <a:effectLst>
                <a:outerShdw blurRad="38100" dist="38100" dir="2700000" algn="tl">
                  <a:srgbClr val="000000"/>
                </a:outerShdw>
              </a:effectLst>
              <a:latin typeface="Arial" charset="0"/>
            </a:rPr>
            <a:t>Séries</a:t>
          </a:r>
          <a:r>
            <a:rPr lang="pt-PT" sz="1600" b="1" i="1" baseline="0">
              <a:solidFill>
                <a:srgbClr val="FFE600"/>
              </a:solidFill>
              <a:effectLst>
                <a:outerShdw blurRad="38100" dist="38100" dir="2700000" algn="tl">
                  <a:srgbClr val="000000"/>
                </a:outerShdw>
              </a:effectLst>
              <a:latin typeface="Arial" charset="0"/>
            </a:rPr>
            <a:t> Cronológicas: Quadros de Pessoal 2012-2022</a:t>
          </a:r>
          <a:endParaRPr lang="pt-PT" sz="1600" b="1" i="1">
            <a:solidFill>
              <a:srgbClr val="FFE600"/>
            </a:solidFill>
            <a:effectLst>
              <a:outerShdw blurRad="38100" dist="38100" dir="2700000" algn="tl">
                <a:srgbClr val="000000"/>
              </a:outerShdw>
            </a:effectLst>
            <a:latin typeface="Arial" charset="0"/>
          </a:endParaRPr>
        </a:p>
      </xdr:txBody>
    </xdr:sp>
    <xdr:clientData/>
  </xdr:twoCellAnchor>
  <xdr:twoCellAnchor>
    <xdr:from>
      <xdr:col>19</xdr:col>
      <xdr:colOff>50735</xdr:colOff>
      <xdr:row>0</xdr:row>
      <xdr:rowOff>146051</xdr:rowOff>
    </xdr:from>
    <xdr:to>
      <xdr:col>20</xdr:col>
      <xdr:colOff>474651</xdr:colOff>
      <xdr:row>2</xdr:row>
      <xdr:rowOff>59628</xdr:rowOff>
    </xdr:to>
    <xdr:sp macro="" textlink="">
      <xdr:nvSpPr>
        <xdr:cNvPr id="6" name="Text Box 10">
          <a:hlinkClick xmlns:r="http://schemas.openxmlformats.org/officeDocument/2006/relationships" r:id="rId2"/>
          <a:extLst>
            <a:ext uri="{FF2B5EF4-FFF2-40B4-BE49-F238E27FC236}">
              <a16:creationId xmlns:a16="http://schemas.microsoft.com/office/drawing/2014/main" id="{00000000-0008-0000-0200-000006000000}"/>
            </a:ext>
          </a:extLst>
        </xdr:cNvPr>
        <xdr:cNvSpPr txBox="1">
          <a:spLocks noChangeArrowheads="1"/>
        </xdr:cNvSpPr>
      </xdr:nvSpPr>
      <xdr:spPr bwMode="auto">
        <a:xfrm>
          <a:off x="11633135" y="146051"/>
          <a:ext cx="1033516" cy="237427"/>
        </a:xfrm>
        <a:prstGeom prst="rect">
          <a:avLst/>
        </a:prstGeom>
        <a:solidFill>
          <a:srgbClr val="FFE6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rgbClr val="00467A"/>
              </a:solidFill>
              <a:latin typeface="+mn-lt"/>
            </a:rPr>
            <a:t>Voltar ao</a:t>
          </a:r>
          <a:r>
            <a:rPr lang="en-US" altLang="pt-PT" sz="1000" b="1" baseline="0">
              <a:solidFill>
                <a:srgbClr val="00467A"/>
              </a:solidFill>
              <a:latin typeface="+mn-lt"/>
            </a:rPr>
            <a:t> Índice</a:t>
          </a:r>
          <a:endParaRPr lang="en-US" altLang="pt-PT" sz="1200" b="1">
            <a:solidFill>
              <a:srgbClr val="00467A"/>
            </a:solidFill>
            <a:latin typeface="Arial" charset="0"/>
          </a:endParaRP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0.7644</cdr:x>
      <cdr:y>0.01741</cdr:y>
    </cdr:from>
    <cdr:to>
      <cdr:x>0.98168</cdr:x>
      <cdr:y>0.10792</cdr:y>
    </cdr:to>
    <cdr:sp macro="" textlink="">
      <cdr:nvSpPr>
        <cdr:cNvPr id="2" name="CaixaDeTexto 1">
          <a:extLst xmlns:a="http://schemas.openxmlformats.org/drawingml/2006/main">
            <a:ext uri="{FF2B5EF4-FFF2-40B4-BE49-F238E27FC236}">
              <a16:creationId xmlns:a16="http://schemas.microsoft.com/office/drawing/2014/main" id="{C1039EE9-AEA0-40B8-AE5B-C8B5A095227E}"/>
            </a:ext>
          </a:extLst>
        </cdr:cNvPr>
        <cdr:cNvSpPr txBox="1"/>
      </cdr:nvSpPr>
      <cdr:spPr>
        <a:xfrm xmlns:a="http://schemas.openxmlformats.org/drawingml/2006/main">
          <a:off x="2781300" y="47625"/>
          <a:ext cx="7905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pt-PT" sz="1100"/>
        </a:p>
        <a:p xmlns:a="http://schemas.openxmlformats.org/drawingml/2006/main">
          <a:endParaRPr lang="pt-PT" sz="1100"/>
        </a:p>
      </cdr:txBody>
    </cdr:sp>
  </cdr:relSizeAnchor>
</c:userShapes>
</file>

<file path=xl/drawings/drawing31.xml><?xml version="1.0" encoding="utf-8"?>
<c:userShapes xmlns:c="http://schemas.openxmlformats.org/drawingml/2006/chart">
  <cdr:relSizeAnchor xmlns:cdr="http://schemas.openxmlformats.org/drawingml/2006/chartDrawing">
    <cdr:from>
      <cdr:x>0.08648</cdr:x>
      <cdr:y>0.01534</cdr:y>
    </cdr:from>
    <cdr:to>
      <cdr:x>0.19105</cdr:x>
      <cdr:y>0.1325</cdr:y>
    </cdr:to>
    <cdr:sp macro="" textlink="q1_q2_q4_q5_Fig!$AT$3">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508722" y="-57031"/>
          <a:ext cx="304293" cy="498015"/>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DEA8732-2F74-4FCD-AD99-D92AD00210C4}" type="TxLink">
            <a:rPr lang="en-US" sz="800" b="1" i="0" u="none" strike="noStrike">
              <a:solidFill>
                <a:schemeClr val="bg1"/>
              </a:solidFill>
              <a:latin typeface="Arial"/>
              <a:cs typeface="Arial"/>
            </a:rPr>
            <a:pPr algn="ctr"/>
            <a:t>2012</a:t>
          </a:fld>
          <a:endParaRPr lang="pt-PT" sz="800" b="1">
            <a:solidFill>
              <a:schemeClr val="bg1"/>
            </a:solidFill>
          </a:endParaRPr>
        </a:p>
      </cdr:txBody>
    </cdr:sp>
  </cdr:relSizeAnchor>
  <cdr:relSizeAnchor xmlns:cdr="http://schemas.openxmlformats.org/drawingml/2006/chartDrawing">
    <cdr:from>
      <cdr:x>0.52082</cdr:x>
      <cdr:y>0.0087</cdr:y>
    </cdr:from>
    <cdr:to>
      <cdr:x>0.62539</cdr:x>
      <cdr:y>0.12586</cdr:y>
    </cdr:to>
    <cdr:sp macro="" textlink="q1_q2_q4_q5_Fig!$BD$3">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77282" y="-74277"/>
          <a:ext cx="304293" cy="498015"/>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AA1C4EE-35A4-4000-BF47-321A1083B619}" type="TxLink">
            <a:rPr lang="en-US" sz="800" b="1" i="0" u="none" strike="noStrike">
              <a:solidFill>
                <a:schemeClr val="bg1"/>
              </a:solidFill>
              <a:latin typeface="Arial"/>
              <a:cs typeface="Arial"/>
            </a:rPr>
            <a:pPr algn="ctr"/>
            <a:t>2022</a:t>
          </a:fld>
          <a:endParaRPr lang="pt-PT" sz="800" b="1">
            <a:solidFill>
              <a:schemeClr val="bg1"/>
            </a:solidFill>
          </a:endParaRPr>
        </a:p>
      </cdr:txBody>
    </cdr:sp>
  </cdr:relSizeAnchor>
  <cdr:relSizeAnchor xmlns:cdr="http://schemas.openxmlformats.org/drawingml/2006/chartDrawing">
    <cdr:from>
      <cdr:x>0.70592</cdr:x>
      <cdr:y>0.02061</cdr:y>
    </cdr:from>
    <cdr:to>
      <cdr:x>0.89226</cdr:x>
      <cdr:y>0.13617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829867" y="-208723"/>
          <a:ext cx="383567" cy="937812"/>
        </a:xfrm>
        <a:prstGeom xmlns:a="http://schemas.openxmlformats.org/drawingml/2006/main" prst="homePlate">
          <a:avLst>
            <a:gd name="adj" fmla="val 50000"/>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1000" b="1">
              <a:solidFill>
                <a:schemeClr val="bg1"/>
              </a:solidFill>
            </a:rPr>
            <a:t>VARIAÇÃO</a:t>
          </a:r>
        </a:p>
      </cdr:txBody>
    </cdr:sp>
  </cdr:relSizeAnchor>
</c:userShapes>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219075</xdr:colOff>
          <xdr:row>2</xdr:row>
          <xdr:rowOff>0</xdr:rowOff>
        </xdr:from>
        <xdr:to>
          <xdr:col>17</xdr:col>
          <xdr:colOff>1466850</xdr:colOff>
          <xdr:row>3</xdr:row>
          <xdr:rowOff>28575</xdr:rowOff>
        </xdr:to>
        <xdr:sp macro="" textlink="">
          <xdr:nvSpPr>
            <xdr:cNvPr id="94209" name="Drop Down 1" hidden="1">
              <a:extLst>
                <a:ext uri="{63B3BB69-23CF-44E3-9099-C40C66FF867C}">
                  <a14:compatExt spid="_x0000_s94209"/>
                </a:ext>
                <a:ext uri="{FF2B5EF4-FFF2-40B4-BE49-F238E27FC236}">
                  <a16:creationId xmlns:a16="http://schemas.microsoft.com/office/drawing/2014/main" id="{00000000-0008-0000-0E00-000001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30</xdr:col>
      <xdr:colOff>215900</xdr:colOff>
      <xdr:row>3</xdr:row>
      <xdr:rowOff>120650</xdr:rowOff>
    </xdr:from>
    <xdr:to>
      <xdr:col>37</xdr:col>
      <xdr:colOff>191152</xdr:colOff>
      <xdr:row>24</xdr:row>
      <xdr:rowOff>28159</xdr:rowOff>
    </xdr:to>
    <xdr:graphicFrame macro="">
      <xdr:nvGraphicFramePr>
        <xdr:cNvPr id="42" name="Gráfico 41">
          <a:extLst>
            <a:ext uri="{FF2B5EF4-FFF2-40B4-BE49-F238E27FC236}">
              <a16:creationId xmlns:a16="http://schemas.microsoft.com/office/drawing/2014/main" id="{00000000-0008-0000-0E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228600</xdr:colOff>
      <xdr:row>26</xdr:row>
      <xdr:rowOff>127000</xdr:rowOff>
    </xdr:from>
    <xdr:to>
      <xdr:col>37</xdr:col>
      <xdr:colOff>74436</xdr:colOff>
      <xdr:row>46</xdr:row>
      <xdr:rowOff>12136</xdr:rowOff>
    </xdr:to>
    <xdr:graphicFrame macro="">
      <xdr:nvGraphicFramePr>
        <xdr:cNvPr id="43" name="Gráfico 42">
          <a:extLst>
            <a:ext uri="{FF2B5EF4-FFF2-40B4-BE49-F238E27FC236}">
              <a16:creationId xmlns:a16="http://schemas.microsoft.com/office/drawing/2014/main" id="{00000000-0008-0000-0E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0</xdr:colOff>
      <xdr:row>7</xdr:row>
      <xdr:rowOff>0</xdr:rowOff>
    </xdr:from>
    <xdr:to>
      <xdr:col>53</xdr:col>
      <xdr:colOff>669955</xdr:colOff>
      <xdr:row>26</xdr:row>
      <xdr:rowOff>141936</xdr:rowOff>
    </xdr:to>
    <xdr:grpSp>
      <xdr:nvGrpSpPr>
        <xdr:cNvPr id="44" name="Agrupar 43">
          <a:extLst>
            <a:ext uri="{FF2B5EF4-FFF2-40B4-BE49-F238E27FC236}">
              <a16:creationId xmlns:a16="http://schemas.microsoft.com/office/drawing/2014/main" id="{00000000-0008-0000-0E00-00002C000000}"/>
            </a:ext>
          </a:extLst>
        </xdr:cNvPr>
        <xdr:cNvGrpSpPr/>
      </xdr:nvGrpSpPr>
      <xdr:grpSpPr>
        <a:xfrm>
          <a:off x="30613350" y="1152525"/>
          <a:ext cx="4870480" cy="3218511"/>
          <a:chOff x="36182300" y="8426450"/>
          <a:chExt cx="4819650" cy="2597244"/>
        </a:xfrm>
      </xdr:grpSpPr>
      <xdr:graphicFrame macro="">
        <xdr:nvGraphicFramePr>
          <xdr:cNvPr id="45" name="Gráfico 44">
            <a:extLst>
              <a:ext uri="{FF2B5EF4-FFF2-40B4-BE49-F238E27FC236}">
                <a16:creationId xmlns:a16="http://schemas.microsoft.com/office/drawing/2014/main" id="{00000000-0008-0000-0E00-00002D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6" name="CaixaDeTexto 45">
            <a:extLst>
              <a:ext uri="{FF2B5EF4-FFF2-40B4-BE49-F238E27FC236}">
                <a16:creationId xmlns:a16="http://schemas.microsoft.com/office/drawing/2014/main" id="{00000000-0008-0000-0E00-00002E000000}"/>
              </a:ext>
            </a:extLst>
          </xdr:cNvPr>
          <xdr:cNvSpPr txBox="1"/>
        </xdr:nvSpPr>
        <xdr:spPr>
          <a:xfrm>
            <a:off x="39514016" y="9085960"/>
            <a:ext cx="977045" cy="257646"/>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Pessoas ao serviço</a:t>
            </a:r>
          </a:p>
        </xdr:txBody>
      </xdr:sp>
      <xdr:sp macro="" textlink="">
        <xdr:nvSpPr>
          <xdr:cNvPr id="47" name="CaixaDeTexto 46">
            <a:extLst>
              <a:ext uri="{FF2B5EF4-FFF2-40B4-BE49-F238E27FC236}">
                <a16:creationId xmlns:a16="http://schemas.microsoft.com/office/drawing/2014/main" id="{00000000-0008-0000-0E00-00002F000000}"/>
              </a:ext>
            </a:extLst>
          </xdr:cNvPr>
          <xdr:cNvSpPr txBox="1"/>
        </xdr:nvSpPr>
        <xdr:spPr>
          <a:xfrm>
            <a:off x="39530506" y="9886770"/>
            <a:ext cx="977045" cy="257646"/>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TCO</a:t>
            </a:r>
          </a:p>
        </xdr:txBody>
      </xdr:sp>
      <xdr:sp macro="" textlink="q7_q8_q10_q11_Fig!$BH$5">
        <xdr:nvSpPr>
          <xdr:cNvPr id="48" name="CaixaDeTexto 47">
            <a:extLst>
              <a:ext uri="{FF2B5EF4-FFF2-40B4-BE49-F238E27FC236}">
                <a16:creationId xmlns:a16="http://schemas.microsoft.com/office/drawing/2014/main" id="{00000000-0008-0000-0E00-000030000000}"/>
              </a:ext>
            </a:extLst>
          </xdr:cNvPr>
          <xdr:cNvSpPr txBox="1"/>
        </xdr:nvSpPr>
        <xdr:spPr>
          <a:xfrm>
            <a:off x="39525173" y="10159489"/>
            <a:ext cx="977045" cy="257646"/>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CB4B404-2108-4C4D-A04B-A6D5F7F0544E}" type="TxLink">
              <a:rPr lang="en-US" sz="1000" b="1" i="0" u="none" strike="noStrike">
                <a:solidFill>
                  <a:schemeClr val="bg1"/>
                </a:solidFill>
                <a:latin typeface="Arial"/>
                <a:ea typeface="+mn-ea"/>
                <a:cs typeface="Arial"/>
              </a:rPr>
              <a:pPr marL="0" indent="0" algn="ctr"/>
              <a:t>31,9%</a:t>
            </a:fld>
            <a:endParaRPr lang="pt-PT" sz="1000" b="1" i="0" u="none" strike="noStrike">
              <a:solidFill>
                <a:schemeClr val="bg1"/>
              </a:solidFill>
              <a:latin typeface="+mn-lt"/>
              <a:ea typeface="+mn-ea"/>
              <a:cs typeface="Arial"/>
            </a:endParaRPr>
          </a:p>
        </xdr:txBody>
      </xdr:sp>
      <xdr:sp macro="" textlink="q7_q8_q10_q11_Fig!$BH$4">
        <xdr:nvSpPr>
          <xdr:cNvPr id="49" name="CaixaDeTexto 48">
            <a:extLst>
              <a:ext uri="{FF2B5EF4-FFF2-40B4-BE49-F238E27FC236}">
                <a16:creationId xmlns:a16="http://schemas.microsoft.com/office/drawing/2014/main" id="{00000000-0008-0000-0E00-000031000000}"/>
              </a:ext>
            </a:extLst>
          </xdr:cNvPr>
          <xdr:cNvSpPr txBox="1"/>
        </xdr:nvSpPr>
        <xdr:spPr>
          <a:xfrm>
            <a:off x="39527026" y="9368566"/>
            <a:ext cx="977045" cy="25764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14234B1-07DF-4947-B48B-976B47D35BDC}" type="TxLink">
              <a:rPr lang="en-US" sz="1000" b="1" i="0" u="none" strike="noStrike">
                <a:solidFill>
                  <a:schemeClr val="bg1"/>
                </a:solidFill>
                <a:latin typeface="Arial"/>
                <a:cs typeface="Arial"/>
              </a:rPr>
              <a:pPr algn="ctr"/>
              <a:t>30,4%</a:t>
            </a:fld>
            <a:endParaRPr lang="pt-PT" sz="1000" b="1">
              <a:solidFill>
                <a:schemeClr val="bg1"/>
              </a:solidFill>
              <a:latin typeface="+mn-lt"/>
            </a:endParaRPr>
          </a:p>
        </xdr:txBody>
      </xdr:sp>
    </xdr:grpSp>
    <xdr:clientData/>
  </xdr:twoCellAnchor>
  <xdr:twoCellAnchor>
    <xdr:from>
      <xdr:col>7</xdr:col>
      <xdr:colOff>381000</xdr:colOff>
      <xdr:row>56</xdr:row>
      <xdr:rowOff>9525</xdr:rowOff>
    </xdr:from>
    <xdr:to>
      <xdr:col>16</xdr:col>
      <xdr:colOff>250826</xdr:colOff>
      <xdr:row>61</xdr:row>
      <xdr:rowOff>104775</xdr:rowOff>
    </xdr:to>
    <xdr:sp macro="" textlink="$R$62">
      <xdr:nvSpPr>
        <xdr:cNvPr id="11" name="CaixaDeTexto 10">
          <a:extLst>
            <a:ext uri="{FF2B5EF4-FFF2-40B4-BE49-F238E27FC236}">
              <a16:creationId xmlns:a16="http://schemas.microsoft.com/office/drawing/2014/main" id="{00000000-0008-0000-0E00-00000B000000}"/>
            </a:ext>
          </a:extLst>
        </xdr:cNvPr>
        <xdr:cNvSpPr txBox="1"/>
      </xdr:nvSpPr>
      <xdr:spPr>
        <a:xfrm>
          <a:off x="6162675" y="9096375"/>
          <a:ext cx="5356226" cy="904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DB323B0-1B39-49DC-90EE-0A64740C439A}" type="TxLink">
            <a:rPr lang="en-US" sz="1000" b="0" i="0" u="none" strike="noStrike">
              <a:solidFill>
                <a:srgbClr val="000000"/>
              </a:solidFill>
              <a:latin typeface="Arial"/>
              <a:cs typeface="Arial"/>
            </a:rPr>
            <a:pPr/>
            <a:t>3 CAE com mais TCO em 2022 vs 2012: 
C - Ind. transformadoras (20,4% vs 22,6%);
G - Com. por grosso e a ret.; rep. de veíc. autom. e mot. (17,8% vs 19,3%);
N - Atividades administrativas e dos serviços de apoio (9,8% vs 9,0%).</a:t>
          </a:fld>
          <a:endParaRPr lang="pt-PT" sz="1100"/>
        </a:p>
      </xdr:txBody>
    </xdr:sp>
    <xdr:clientData/>
  </xdr:twoCellAnchor>
  <xdr:twoCellAnchor>
    <xdr:from>
      <xdr:col>17</xdr:col>
      <xdr:colOff>76200</xdr:colOff>
      <xdr:row>112</xdr:row>
      <xdr:rowOff>38100</xdr:rowOff>
    </xdr:from>
    <xdr:to>
      <xdr:col>21</xdr:col>
      <xdr:colOff>381000</xdr:colOff>
      <xdr:row>119</xdr:row>
      <xdr:rowOff>133350</xdr:rowOff>
    </xdr:to>
    <xdr:sp macro="" textlink="$R$110">
      <xdr:nvSpPr>
        <xdr:cNvPr id="13" name="CaixaDeTexto 12">
          <a:extLst>
            <a:ext uri="{FF2B5EF4-FFF2-40B4-BE49-F238E27FC236}">
              <a16:creationId xmlns:a16="http://schemas.microsoft.com/office/drawing/2014/main" id="{00000000-0008-0000-0E00-00000D000000}"/>
            </a:ext>
          </a:extLst>
        </xdr:cNvPr>
        <xdr:cNvSpPr txBox="1"/>
      </xdr:nvSpPr>
      <xdr:spPr>
        <a:xfrm>
          <a:off x="11953875" y="18230850"/>
          <a:ext cx="3800475"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AA16B81-83A1-4D69-8BE8-8702F2EDF9AF}" type="TxLink">
            <a:rPr lang="en-US" sz="1000" b="0" i="0" u="none" strike="noStrike">
              <a:solidFill>
                <a:srgbClr val="000000"/>
              </a:solidFill>
              <a:latin typeface="Arial"/>
              <a:cs typeface="Arial"/>
            </a:rPr>
            <a:pPr/>
            <a:t>2012 - 2022:
Micro e Pequenos estabelecimentos têm ao serviço mais de 54% dos TCO (entre 53,9% e 59,3%);
Micro estabelecimentos: entre 23,1% e 28,5%;
Pequenos estabelecimentos: entre 30,5% e 30,8%.</a:t>
          </a:fld>
          <a:endParaRPr lang="pt-PT" sz="1100"/>
        </a:p>
      </xdr:txBody>
    </xdr:sp>
    <xdr:clientData/>
  </xdr:twoCellAnchor>
  <xdr:twoCellAnchor>
    <xdr:from>
      <xdr:col>55</xdr:col>
      <xdr:colOff>171450</xdr:colOff>
      <xdr:row>8</xdr:row>
      <xdr:rowOff>114300</xdr:rowOff>
    </xdr:from>
    <xdr:to>
      <xdr:col>59</xdr:col>
      <xdr:colOff>1119450</xdr:colOff>
      <xdr:row>13</xdr:row>
      <xdr:rowOff>60675</xdr:rowOff>
    </xdr:to>
    <xdr:sp macro="" textlink="">
      <xdr:nvSpPr>
        <xdr:cNvPr id="14" name="CaixaDeTexto 13">
          <a:extLst>
            <a:ext uri="{FF2B5EF4-FFF2-40B4-BE49-F238E27FC236}">
              <a16:creationId xmlns:a16="http://schemas.microsoft.com/office/drawing/2014/main" id="{00000000-0008-0000-0E00-00000E000000}"/>
            </a:ext>
          </a:extLst>
        </xdr:cNvPr>
        <xdr:cNvSpPr txBox="1"/>
      </xdr:nvSpPr>
      <xdr:spPr>
        <a:xfrm>
          <a:off x="36661725" y="1428750"/>
          <a:ext cx="3996000" cy="756000"/>
        </a:xfrm>
        <a:prstGeom prst="rect">
          <a:avLst/>
        </a:prstGeom>
        <a:noFill/>
        <a:ln w="28575" cmpd="sng">
          <a:solidFill>
            <a:srgbClr val="4F81BD"/>
          </a:solidFill>
        </a:ln>
        <a:effectLst/>
      </xdr:spPr>
      <xdr:txBody>
        <a:bodyPr vertOverflow="clip" horzOverflow="clip" wrap="square" rtlCol="0" anchor="ctr"/>
        <a:lstStyle/>
        <a:p>
          <a:pPr eaLnBrk="1" fontAlgn="auto" latinLnBrk="0" hangingPunct="1"/>
          <a:r>
            <a:rPr lang="en-US" sz="900" b="1" u="sng" baseline="0">
              <a:effectLst/>
              <a:latin typeface="+mn-lt"/>
              <a:ea typeface="+mn-ea"/>
              <a:cs typeface="+mn-cs"/>
            </a:rPr>
            <a:t>2022:</a:t>
          </a:r>
          <a:r>
            <a:rPr lang="en-US" sz="900" b="1" baseline="0">
              <a:effectLst/>
              <a:latin typeface="+mn-lt"/>
              <a:ea typeface="+mn-ea"/>
              <a:cs typeface="+mn-cs"/>
            </a:rPr>
            <a:t>                                                           </a:t>
          </a:r>
          <a:r>
            <a:rPr lang="en-US" sz="900" b="1" u="sng" baseline="0">
              <a:effectLst/>
              <a:latin typeface="+mn-lt"/>
              <a:ea typeface="+mn-ea"/>
              <a:cs typeface="+mn-cs"/>
            </a:rPr>
            <a:t>2022 vs. 2021</a:t>
          </a:r>
          <a:r>
            <a:rPr lang="en-US" sz="900" b="1" baseline="0">
              <a:effectLst/>
              <a:latin typeface="+mn-lt"/>
              <a:ea typeface="+mn-ea"/>
              <a:cs typeface="+mn-cs"/>
            </a:rPr>
            <a:t>: </a:t>
          </a:r>
        </a:p>
        <a:p>
          <a:pPr eaLnBrk="1" fontAlgn="auto" latinLnBrk="0" hangingPunct="1"/>
          <a:r>
            <a:rPr lang="en-US" sz="900" b="0" baseline="0">
              <a:effectLst/>
              <a:latin typeface="+mn-lt"/>
              <a:ea typeface="+mn-ea"/>
              <a:cs typeface="+mn-cs"/>
            </a:rPr>
            <a:t>3.337.082 pessoas ao serviço               + 234.737 pessoas ao serviço (+ 7,6%)</a:t>
          </a:r>
        </a:p>
        <a:p>
          <a:pPr eaLnBrk="1" fontAlgn="auto" latinLnBrk="0" hangingPunct="1"/>
          <a:r>
            <a:rPr lang="en-US" sz="900" b="0" baseline="0">
              <a:effectLst/>
              <a:latin typeface="+mn-lt"/>
              <a:ea typeface="+mn-ea"/>
              <a:cs typeface="+mn-cs"/>
            </a:rPr>
            <a:t>3.148.147 TCO                                         + 225.804 TCO (+ 7,7%)</a:t>
          </a:r>
        </a:p>
      </xdr:txBody>
    </xdr:sp>
    <xdr:clientData/>
  </xdr:twoCellAnchor>
</xdr:wsDr>
</file>

<file path=xl/drawings/drawing33.xml><?xml version="1.0" encoding="utf-8"?>
<c:userShapes xmlns:c="http://schemas.openxmlformats.org/drawingml/2006/chart">
  <cdr:relSizeAnchor xmlns:cdr="http://schemas.openxmlformats.org/drawingml/2006/chartDrawing">
    <cdr:from>
      <cdr:x>0.7644</cdr:x>
      <cdr:y>0.01741</cdr:y>
    </cdr:from>
    <cdr:to>
      <cdr:x>0.98168</cdr:x>
      <cdr:y>0.10792</cdr:y>
    </cdr:to>
    <cdr:sp macro="" textlink="">
      <cdr:nvSpPr>
        <cdr:cNvPr id="2" name="CaixaDeTexto 1">
          <a:extLst xmlns:a="http://schemas.openxmlformats.org/drawingml/2006/main">
            <a:ext uri="{FF2B5EF4-FFF2-40B4-BE49-F238E27FC236}">
              <a16:creationId xmlns:a16="http://schemas.microsoft.com/office/drawing/2014/main" id="{C1039EE9-AEA0-40B8-AE5B-C8B5A095227E}"/>
            </a:ext>
          </a:extLst>
        </cdr:cNvPr>
        <cdr:cNvSpPr txBox="1"/>
      </cdr:nvSpPr>
      <cdr:spPr>
        <a:xfrm xmlns:a="http://schemas.openxmlformats.org/drawingml/2006/main">
          <a:off x="2781300" y="47625"/>
          <a:ext cx="7905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pt-PT" sz="1100"/>
        </a:p>
        <a:p xmlns:a="http://schemas.openxmlformats.org/drawingml/2006/main">
          <a:endParaRPr lang="pt-PT" sz="1100"/>
        </a:p>
      </cdr:txBody>
    </cdr:sp>
  </cdr:relSizeAnchor>
</c:userShapes>
</file>

<file path=xl/drawings/drawing34.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7_q8_q10_q11_Fig!$AT$3">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487530D-C469-42D2-99C8-D867D33B0AA9}" type="TxLink">
            <a:rPr lang="en-US" sz="800" b="1" i="0" u="none" strike="noStrike">
              <a:solidFill>
                <a:schemeClr val="bg1"/>
              </a:solidFill>
              <a:latin typeface="Arial"/>
              <a:cs typeface="Arial"/>
            </a:rPr>
            <a:pPr algn="ctr"/>
            <a:t>2012</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7_q8_q10_q11_Fig!$BD$3">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6A548F-78B3-4D72-ADF3-CECE132ACC1D}" type="TxLink">
            <a:rPr lang="en-US" sz="800" b="1" i="0" u="none" strike="noStrike">
              <a:solidFill>
                <a:schemeClr val="bg1"/>
              </a:solidFill>
              <a:latin typeface="Arial"/>
              <a:cs typeface="Arial"/>
            </a:rPr>
            <a:pPr algn="ctr"/>
            <a:t>2022</a:t>
          </a:fld>
          <a:endParaRPr lang="pt-PT" sz="800" b="1">
            <a:solidFill>
              <a:schemeClr val="bg1"/>
            </a:solidFill>
          </a:endParaRPr>
        </a:p>
      </cdr:txBody>
    </cdr:sp>
  </cdr:relSizeAnchor>
  <cdr:relSizeAnchor xmlns:cdr="http://schemas.openxmlformats.org/drawingml/2006/chartDrawing">
    <cdr:from>
      <cdr:x>0.69647</cdr:x>
      <cdr:y>0.01779</cdr:y>
    </cdr:from>
    <cdr:to>
      <cdr:x>0.89688</cdr:x>
      <cdr:y>0.1661</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478637" y="-167683"/>
          <a:ext cx="484400" cy="936000"/>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1000" b="1">
              <a:solidFill>
                <a:schemeClr val="bg1"/>
              </a:solidFill>
            </a:rPr>
            <a:t>VARIAÇÃO</a:t>
          </a:r>
        </a:p>
      </cdr:txBody>
    </cdr:sp>
  </cdr:relSizeAnchor>
</c:userShapes>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64</xdr:col>
          <xdr:colOff>47625</xdr:colOff>
          <xdr:row>14</xdr:row>
          <xdr:rowOff>133350</xdr:rowOff>
        </xdr:from>
        <xdr:to>
          <xdr:col>65</xdr:col>
          <xdr:colOff>85725</xdr:colOff>
          <xdr:row>16</xdr:row>
          <xdr:rowOff>9525</xdr:rowOff>
        </xdr:to>
        <xdr:sp macro="" textlink="">
          <xdr:nvSpPr>
            <xdr:cNvPr id="95234" name="Drop Down 2" hidden="1">
              <a:extLst>
                <a:ext uri="{63B3BB69-23CF-44E3-9099-C40C66FF867C}">
                  <a14:compatExt spid="_x0000_s95234"/>
                </a:ext>
                <a:ext uri="{FF2B5EF4-FFF2-40B4-BE49-F238E27FC236}">
                  <a16:creationId xmlns:a16="http://schemas.microsoft.com/office/drawing/2014/main" id="{00000000-0008-0000-0F00-000002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63</xdr:col>
      <xdr:colOff>438149</xdr:colOff>
      <xdr:row>31</xdr:row>
      <xdr:rowOff>38100</xdr:rowOff>
    </xdr:from>
    <xdr:to>
      <xdr:col>68</xdr:col>
      <xdr:colOff>570555</xdr:colOff>
      <xdr:row>55</xdr:row>
      <xdr:rowOff>57150</xdr:rowOff>
    </xdr:to>
    <xdr:grpSp>
      <xdr:nvGrpSpPr>
        <xdr:cNvPr id="23" name="Agrupar 22">
          <a:extLst>
            <a:ext uri="{FF2B5EF4-FFF2-40B4-BE49-F238E27FC236}">
              <a16:creationId xmlns:a16="http://schemas.microsoft.com/office/drawing/2014/main" id="{00000000-0008-0000-0F00-000017000000}"/>
            </a:ext>
          </a:extLst>
        </xdr:cNvPr>
        <xdr:cNvGrpSpPr/>
      </xdr:nvGrpSpPr>
      <xdr:grpSpPr>
        <a:xfrm>
          <a:off x="45324712" y="5185263"/>
          <a:ext cx="3200555" cy="3975589"/>
          <a:chOff x="45205649" y="5095875"/>
          <a:chExt cx="3180406" cy="3905250"/>
        </a:xfrm>
      </xdr:grpSpPr>
      <xdr:graphicFrame macro="">
        <xdr:nvGraphicFramePr>
          <xdr:cNvPr id="52" name="Gráfico 51">
            <a:extLst>
              <a:ext uri="{FF2B5EF4-FFF2-40B4-BE49-F238E27FC236}">
                <a16:creationId xmlns:a16="http://schemas.microsoft.com/office/drawing/2014/main" id="{00000000-0008-0000-0F00-000034000000}"/>
              </a:ext>
            </a:extLst>
          </xdr:cNvPr>
          <xdr:cNvGraphicFramePr>
            <a:graphicFrameLocks/>
          </xdr:cNvGraphicFramePr>
        </xdr:nvGraphicFramePr>
        <xdr:xfrm>
          <a:off x="45205649" y="5095875"/>
          <a:ext cx="3000375" cy="3905250"/>
        </xdr:xfrm>
        <a:graphic>
          <a:graphicData uri="http://schemas.openxmlformats.org/drawingml/2006/chart">
            <c:chart xmlns:c="http://schemas.openxmlformats.org/drawingml/2006/chart" xmlns:r="http://schemas.openxmlformats.org/officeDocument/2006/relationships" r:id="rId1"/>
          </a:graphicData>
        </a:graphic>
      </xdr:graphicFrame>
      <xdr:sp macro="" textlink="q17_q18_q25_q26_Fig!$BM$26">
        <xdr:nvSpPr>
          <xdr:cNvPr id="44" name="CaixaDeTexto 43">
            <a:extLst>
              <a:ext uri="{FF2B5EF4-FFF2-40B4-BE49-F238E27FC236}">
                <a16:creationId xmlns:a16="http://schemas.microsoft.com/office/drawing/2014/main" id="{00000000-0008-0000-0F00-00002C000000}"/>
              </a:ext>
            </a:extLst>
          </xdr:cNvPr>
          <xdr:cNvSpPr txBox="1"/>
        </xdr:nvSpPr>
        <xdr:spPr>
          <a:xfrm>
            <a:off x="46221036" y="5549537"/>
            <a:ext cx="739364" cy="152383"/>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D3A07DF7-A319-4AD1-8FA7-89FB3A2E76CA}"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1.217,33 €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q18_q25_q26_Fig!$BN$26">
        <xdr:nvSpPr>
          <xdr:cNvPr id="45" name="CaixaDeTexto 44">
            <a:extLst>
              <a:ext uri="{FF2B5EF4-FFF2-40B4-BE49-F238E27FC236}">
                <a16:creationId xmlns:a16="http://schemas.microsoft.com/office/drawing/2014/main" id="{00000000-0008-0000-0F00-00002D000000}"/>
              </a:ext>
            </a:extLst>
          </xdr:cNvPr>
          <xdr:cNvSpPr txBox="1"/>
        </xdr:nvSpPr>
        <xdr:spPr>
          <a:xfrm>
            <a:off x="46221036" y="5742952"/>
            <a:ext cx="739364" cy="152383"/>
          </a:xfrm>
          <a:prstGeom prst="rect">
            <a:avLst/>
          </a:prstGeom>
          <a:solidFill>
            <a:srgbClr val="FFC000">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34CFA93-6BFE-4609-8D66-884C4CF6927C}"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1.476,20 €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q18_q25_q26_Fig!$BO$25">
        <xdr:nvSpPr>
          <xdr:cNvPr id="46" name="CaixaDeTexto 45">
            <a:extLst>
              <a:ext uri="{FF2B5EF4-FFF2-40B4-BE49-F238E27FC236}">
                <a16:creationId xmlns:a16="http://schemas.microsoft.com/office/drawing/2014/main" id="{00000000-0008-0000-0F00-00002E000000}"/>
              </a:ext>
            </a:extLst>
          </xdr:cNvPr>
          <xdr:cNvSpPr txBox="1"/>
        </xdr:nvSpPr>
        <xdr:spPr>
          <a:xfrm>
            <a:off x="47646691" y="5534412"/>
            <a:ext cx="739364" cy="152383"/>
          </a:xfrm>
          <a:prstGeom prst="rect">
            <a:avLst/>
          </a:prstGeom>
          <a:solidFill>
            <a:srgbClr val="95B3D7">
              <a:alpha val="46667"/>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876025AA-CC5A-4A5C-B7FE-866B0947C87D}"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1.054,36 €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7_q18_q25_q26_Fig!$BP$25">
        <xdr:nvSpPr>
          <xdr:cNvPr id="47" name="CaixaDeTexto 46">
            <a:extLst>
              <a:ext uri="{FF2B5EF4-FFF2-40B4-BE49-F238E27FC236}">
                <a16:creationId xmlns:a16="http://schemas.microsoft.com/office/drawing/2014/main" id="{00000000-0008-0000-0F00-00002F000000}"/>
              </a:ext>
            </a:extLst>
          </xdr:cNvPr>
          <xdr:cNvSpPr txBox="1"/>
        </xdr:nvSpPr>
        <xdr:spPr>
          <a:xfrm>
            <a:off x="47646691" y="5727827"/>
            <a:ext cx="739364" cy="152383"/>
          </a:xfrm>
          <a:prstGeom prst="rect">
            <a:avLst/>
          </a:prstGeom>
          <a:solidFill>
            <a:srgbClr val="FFEF57">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D5C8ABA-A640-4197-8539-34E9824DD12E}"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1.237,52 €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clientData/>
  </xdr:twoCellAnchor>
  <xdr:twoCellAnchor>
    <xdr:from>
      <xdr:col>46</xdr:col>
      <xdr:colOff>450850</xdr:colOff>
      <xdr:row>8</xdr:row>
      <xdr:rowOff>25400</xdr:rowOff>
    </xdr:from>
    <xdr:to>
      <xdr:col>52</xdr:col>
      <xdr:colOff>300567</xdr:colOff>
      <xdr:row>22</xdr:row>
      <xdr:rowOff>2211</xdr:rowOff>
    </xdr:to>
    <xdr:grpSp>
      <xdr:nvGrpSpPr>
        <xdr:cNvPr id="43" name="Agrupar 42">
          <a:extLst>
            <a:ext uri="{FF2B5EF4-FFF2-40B4-BE49-F238E27FC236}">
              <a16:creationId xmlns:a16="http://schemas.microsoft.com/office/drawing/2014/main" id="{00000000-0008-0000-0F00-00002B000000}"/>
            </a:ext>
          </a:extLst>
        </xdr:cNvPr>
        <xdr:cNvGrpSpPr/>
      </xdr:nvGrpSpPr>
      <xdr:grpSpPr>
        <a:xfrm>
          <a:off x="32405393" y="1371722"/>
          <a:ext cx="4190919" cy="2293951"/>
          <a:chOff x="36182300" y="8426450"/>
          <a:chExt cx="4819650" cy="2597244"/>
        </a:xfrm>
      </xdr:grpSpPr>
      <xdr:graphicFrame macro="">
        <xdr:nvGraphicFramePr>
          <xdr:cNvPr id="48" name="Gráfico 47">
            <a:extLst>
              <a:ext uri="{FF2B5EF4-FFF2-40B4-BE49-F238E27FC236}">
                <a16:creationId xmlns:a16="http://schemas.microsoft.com/office/drawing/2014/main" id="{00000000-0008-0000-0F00-000030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49" name="CaixaDeTexto 48">
            <a:extLst>
              <a:ext uri="{FF2B5EF4-FFF2-40B4-BE49-F238E27FC236}">
                <a16:creationId xmlns:a16="http://schemas.microsoft.com/office/drawing/2014/main" id="{00000000-0008-0000-0F00-000031000000}"/>
              </a:ext>
            </a:extLst>
          </xdr:cNvPr>
          <xdr:cNvSpPr txBox="1"/>
        </xdr:nvSpPr>
        <xdr:spPr>
          <a:xfrm>
            <a:off x="39577074" y="9112250"/>
            <a:ext cx="1013632" cy="3168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Remuneração Base</a:t>
            </a:r>
          </a:p>
        </xdr:txBody>
      </xdr:sp>
      <xdr:sp macro="" textlink="">
        <xdr:nvSpPr>
          <xdr:cNvPr id="50" name="CaixaDeTexto 49">
            <a:extLst>
              <a:ext uri="{FF2B5EF4-FFF2-40B4-BE49-F238E27FC236}">
                <a16:creationId xmlns:a16="http://schemas.microsoft.com/office/drawing/2014/main" id="{00000000-0008-0000-0F00-000032000000}"/>
              </a:ext>
            </a:extLst>
          </xdr:cNvPr>
          <xdr:cNvSpPr txBox="1"/>
        </xdr:nvSpPr>
        <xdr:spPr>
          <a:xfrm>
            <a:off x="39567950" y="9956800"/>
            <a:ext cx="1013632" cy="3168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Remuneração Ganho</a:t>
            </a:r>
          </a:p>
        </xdr:txBody>
      </xdr:sp>
      <xdr:sp macro="" textlink="q17_q18_q25_q26_Fig!$BH$5">
        <xdr:nvSpPr>
          <xdr:cNvPr id="51" name="CaixaDeTexto 50">
            <a:extLst>
              <a:ext uri="{FF2B5EF4-FFF2-40B4-BE49-F238E27FC236}">
                <a16:creationId xmlns:a16="http://schemas.microsoft.com/office/drawing/2014/main" id="{00000000-0008-0000-0F00-000033000000}"/>
              </a:ext>
            </a:extLst>
          </xdr:cNvPr>
          <xdr:cNvSpPr txBox="1"/>
        </xdr:nvSpPr>
        <xdr:spPr>
          <a:xfrm>
            <a:off x="39561342" y="10299700"/>
            <a:ext cx="1013632" cy="3168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CB6E12D4-8965-44E4-A4D0-F1B6393578C1}" type="TxLink">
              <a:rPr lang="en-US" sz="1000" b="1" i="0" u="none" strike="noStrike">
                <a:solidFill>
                  <a:schemeClr val="bg1"/>
                </a:solidFill>
                <a:latin typeface="Arial"/>
                <a:ea typeface="+mn-ea"/>
                <a:cs typeface="Arial"/>
              </a:rPr>
              <a:pPr marL="0" indent="0" algn="ctr"/>
              <a:t>24,9%</a:t>
            </a:fld>
            <a:endParaRPr lang="pt-PT" sz="1000" b="1" i="0" u="none" strike="noStrike">
              <a:solidFill>
                <a:schemeClr val="bg1"/>
              </a:solidFill>
              <a:latin typeface="+mn-lt"/>
              <a:ea typeface="+mn-ea"/>
              <a:cs typeface="Arial"/>
            </a:endParaRPr>
          </a:p>
        </xdr:txBody>
      </xdr:sp>
      <xdr:sp macro="" textlink="q17_q18_q25_q26_Fig!$BH$4">
        <xdr:nvSpPr>
          <xdr:cNvPr id="53" name="CaixaDeTexto 52">
            <a:extLst>
              <a:ext uri="{FF2B5EF4-FFF2-40B4-BE49-F238E27FC236}">
                <a16:creationId xmlns:a16="http://schemas.microsoft.com/office/drawing/2014/main" id="{00000000-0008-0000-0F00-000035000000}"/>
              </a:ext>
            </a:extLst>
          </xdr:cNvPr>
          <xdr:cNvSpPr txBox="1"/>
        </xdr:nvSpPr>
        <xdr:spPr>
          <a:xfrm>
            <a:off x="39574300" y="9455149"/>
            <a:ext cx="1013632" cy="316800"/>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C5434AC-5A8C-43C8-A5D7-B506D11131D2}" type="TxLink">
              <a:rPr lang="en-US" sz="1000" b="1" i="0" u="none" strike="noStrike">
                <a:solidFill>
                  <a:schemeClr val="bg1"/>
                </a:solidFill>
                <a:latin typeface="Arial"/>
                <a:cs typeface="Arial"/>
              </a:rPr>
              <a:pPr algn="ctr"/>
              <a:t>25,0%</a:t>
            </a:fld>
            <a:endParaRPr lang="pt-PT" sz="1000" b="1">
              <a:solidFill>
                <a:schemeClr val="bg1"/>
              </a:solidFill>
              <a:latin typeface="+mn-lt"/>
            </a:endParaRPr>
          </a:p>
        </xdr:txBody>
      </xdr:sp>
    </xdr:grpSp>
    <xdr:clientData/>
  </xdr:twoCellAnchor>
  <xdr:twoCellAnchor>
    <xdr:from>
      <xdr:col>53</xdr:col>
      <xdr:colOff>942975</xdr:colOff>
      <xdr:row>9</xdr:row>
      <xdr:rowOff>142875</xdr:rowOff>
    </xdr:from>
    <xdr:to>
      <xdr:col>58</xdr:col>
      <xdr:colOff>1123461</xdr:colOff>
      <xdr:row>13</xdr:row>
      <xdr:rowOff>104774</xdr:rowOff>
    </xdr:to>
    <xdr:sp macro="" textlink="">
      <xdr:nvSpPr>
        <xdr:cNvPr id="19" name="CaixaDeTexto 18">
          <a:extLst>
            <a:ext uri="{FF2B5EF4-FFF2-40B4-BE49-F238E27FC236}">
              <a16:creationId xmlns:a16="http://schemas.microsoft.com/office/drawing/2014/main" id="{00000000-0008-0000-0F00-000013000000}"/>
            </a:ext>
          </a:extLst>
        </xdr:cNvPr>
        <xdr:cNvSpPr txBox="1"/>
      </xdr:nvSpPr>
      <xdr:spPr>
        <a:xfrm>
          <a:off x="37680900" y="1638300"/>
          <a:ext cx="3942861" cy="609599"/>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en-US" sz="900" b="1" u="sng" baseline="0">
              <a:solidFill>
                <a:schemeClr val="dk1"/>
              </a:solidFill>
              <a:effectLst/>
              <a:latin typeface="+mn-lt"/>
              <a:ea typeface="+mn-ea"/>
              <a:cs typeface="+mn-cs"/>
            </a:rPr>
            <a:t>2022:</a:t>
          </a:r>
          <a:r>
            <a:rPr lang="en-US" sz="900" b="1" baseline="0">
              <a:solidFill>
                <a:schemeClr val="dk1"/>
              </a:solidFill>
              <a:effectLst/>
              <a:latin typeface="+mn-lt"/>
              <a:ea typeface="+mn-ea"/>
              <a:cs typeface="+mn-cs"/>
            </a:rPr>
            <a:t>                                                               </a:t>
          </a:r>
          <a:r>
            <a:rPr lang="en-US" sz="900" b="1" u="sng" baseline="0">
              <a:solidFill>
                <a:schemeClr val="dk1"/>
              </a:solidFill>
              <a:effectLst/>
              <a:latin typeface="+mn-lt"/>
              <a:ea typeface="+mn-ea"/>
              <a:cs typeface="+mn-cs"/>
            </a:rPr>
            <a:t>2022 vs. 2021: </a:t>
          </a:r>
          <a:endParaRPr lang="pt-PT" sz="900">
            <a:effectLst/>
          </a:endParaRPr>
        </a:p>
        <a:p>
          <a:pPr eaLnBrk="1" fontAlgn="auto" latinLnBrk="0" hangingPunct="1"/>
          <a:r>
            <a:rPr lang="en-US" sz="900" b="0" baseline="0">
              <a:solidFill>
                <a:schemeClr val="dk1"/>
              </a:solidFill>
              <a:effectLst/>
              <a:latin typeface="+mn-lt"/>
              <a:ea typeface="+mn-ea"/>
              <a:cs typeface="+mn-cs"/>
            </a:rPr>
            <a:t>1.143 € de remuneração base                    + 61 € de remuneração base  (+5,6%)</a:t>
          </a:r>
          <a:endParaRPr lang="pt-PT" sz="900">
            <a:effectLst/>
          </a:endParaRPr>
        </a:p>
        <a:p>
          <a:pPr eaLnBrk="1" fontAlgn="auto" latinLnBrk="0" hangingPunct="1"/>
          <a:r>
            <a:rPr lang="en-US" sz="900" b="0" baseline="0">
              <a:solidFill>
                <a:schemeClr val="dk1"/>
              </a:solidFill>
              <a:effectLst/>
              <a:latin typeface="+mn-lt"/>
              <a:ea typeface="+mn-ea"/>
              <a:cs typeface="+mn-cs"/>
            </a:rPr>
            <a:t>1.368 € de remuneração ganho                 + 74 € de remuneração ganho (+5,7%)</a:t>
          </a:r>
          <a:endParaRPr lang="en-US" sz="900" b="1" baseline="0">
            <a:solidFill>
              <a:schemeClr val="dk1"/>
            </a:solidFill>
            <a:effectLst/>
            <a:latin typeface="+mn-lt"/>
            <a:ea typeface="+mn-ea"/>
            <a:cs typeface="+mn-cs"/>
          </a:endParaRPr>
        </a:p>
      </xdr:txBody>
    </xdr:sp>
    <xdr:clientData/>
  </xdr:twoCellAnchor>
  <xdr:twoCellAnchor>
    <xdr:from>
      <xdr:col>2</xdr:col>
      <xdr:colOff>47625</xdr:colOff>
      <xdr:row>63</xdr:row>
      <xdr:rowOff>66675</xdr:rowOff>
    </xdr:from>
    <xdr:to>
      <xdr:col>6</xdr:col>
      <xdr:colOff>451338</xdr:colOff>
      <xdr:row>67</xdr:row>
      <xdr:rowOff>57150</xdr:rowOff>
    </xdr:to>
    <xdr:sp macro="" textlink="">
      <xdr:nvSpPr>
        <xdr:cNvPr id="20" name="CaixaDeTexto 19">
          <a:extLst>
            <a:ext uri="{FF2B5EF4-FFF2-40B4-BE49-F238E27FC236}">
              <a16:creationId xmlns:a16="http://schemas.microsoft.com/office/drawing/2014/main" id="{00000000-0008-0000-0F00-000014000000}"/>
            </a:ext>
          </a:extLst>
        </xdr:cNvPr>
        <xdr:cNvSpPr txBox="1"/>
      </xdr:nvSpPr>
      <xdr:spPr>
        <a:xfrm>
          <a:off x="2295525" y="10306050"/>
          <a:ext cx="3489813" cy="638175"/>
        </a:xfrm>
        <a:prstGeom prst="rect">
          <a:avLst/>
        </a:prstGeom>
        <a:noFill/>
        <a:ln w="28575" cmpd="sng">
          <a:solidFill>
            <a:srgbClr val="4F81BD"/>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prstClr val="black"/>
              </a:solidFill>
              <a:effectLst/>
              <a:uLnTx/>
              <a:uFillTx/>
              <a:latin typeface="+mn-lt"/>
              <a:ea typeface="+mn-ea"/>
              <a:cs typeface="+mn-cs"/>
            </a:rPr>
            <a:t>2022</a:t>
          </a:r>
          <a:r>
            <a:rPr kumimoji="0" lang="en-US" sz="800" b="1" i="0" u="none" strike="noStrike" kern="0" cap="none" spc="0" normalizeH="0" baseline="0" noProof="0">
              <a:ln>
                <a:noFill/>
              </a:ln>
              <a:solidFill>
                <a:prstClr val="black"/>
              </a:solidFill>
              <a:effectLst/>
              <a:uLnTx/>
              <a:uFillTx/>
              <a:latin typeface="+mn-lt"/>
              <a:ea typeface="+mn-ea"/>
              <a:cs typeface="+mn-cs"/>
            </a:rPr>
            <a:t>:</a:t>
          </a: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0" i="0" u="none" strike="noStrike" kern="0" cap="none" spc="0" normalizeH="0" baseline="0" noProof="0">
              <a:ln>
                <a:noFill/>
              </a:ln>
              <a:solidFill>
                <a:sysClr val="windowText" lastClr="000000"/>
              </a:solidFill>
              <a:effectLst/>
              <a:uLnTx/>
              <a:uFillTx/>
              <a:latin typeface="+mn-lt"/>
              <a:ea typeface="+mn-ea"/>
              <a:cs typeface="+mn-cs"/>
            </a:rPr>
            <a:t>Entre 944€ (Micro - 1 a 9 pessoas) e 1.366 € (Grandes - 250 e + pessoas)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1" i="0" u="sng" strike="noStrike" kern="0" cap="none" spc="0" normalizeH="0" baseline="0" noProof="0">
              <a:ln>
                <a:noFill/>
              </a:ln>
              <a:solidFill>
                <a:sysClr val="windowText" lastClr="000000"/>
              </a:solidFill>
              <a:effectLst/>
              <a:uLnTx/>
              <a:uFillTx/>
              <a:latin typeface="+mn-lt"/>
              <a:ea typeface="+mn-ea"/>
              <a:cs typeface="+mn-cs"/>
            </a:rPr>
            <a:t>2022 vs 2012</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0" i="0" u="none" strike="noStrike" kern="0" cap="none" spc="0" normalizeH="0" baseline="0" noProof="0">
              <a:ln>
                <a:noFill/>
              </a:ln>
              <a:solidFill>
                <a:prstClr val="black"/>
              </a:solidFill>
              <a:effectLst/>
              <a:uLnTx/>
              <a:uFillTx/>
              <a:latin typeface="+mn-lt"/>
              <a:ea typeface="+mn-ea"/>
              <a:cs typeface="+mn-cs"/>
            </a:rPr>
            <a:t>Variações entre 19% (Médios - 50 a 249 pessoas) e 27% (Micro - 1 a 9 pessoas)</a:t>
          </a:r>
        </a:p>
      </xdr:txBody>
    </xdr:sp>
    <xdr:clientData/>
  </xdr:twoCellAnchor>
  <xdr:twoCellAnchor>
    <xdr:from>
      <xdr:col>7</xdr:col>
      <xdr:colOff>571500</xdr:colOff>
      <xdr:row>63</xdr:row>
      <xdr:rowOff>114300</xdr:rowOff>
    </xdr:from>
    <xdr:to>
      <xdr:col>12</xdr:col>
      <xdr:colOff>398094</xdr:colOff>
      <xdr:row>67</xdr:row>
      <xdr:rowOff>104775</xdr:rowOff>
    </xdr:to>
    <xdr:sp macro="" textlink="">
      <xdr:nvSpPr>
        <xdr:cNvPr id="21" name="CaixaDeTexto 20">
          <a:extLst>
            <a:ext uri="{FF2B5EF4-FFF2-40B4-BE49-F238E27FC236}">
              <a16:creationId xmlns:a16="http://schemas.microsoft.com/office/drawing/2014/main" id="{00000000-0008-0000-0F00-000015000000}"/>
            </a:ext>
          </a:extLst>
        </xdr:cNvPr>
        <xdr:cNvSpPr txBox="1"/>
      </xdr:nvSpPr>
      <xdr:spPr>
        <a:xfrm>
          <a:off x="6677025" y="10353675"/>
          <a:ext cx="3484194" cy="638175"/>
        </a:xfrm>
        <a:prstGeom prst="rect">
          <a:avLst/>
        </a:prstGeom>
        <a:noFill/>
        <a:ln w="28575" cmpd="sng">
          <a:solidFill>
            <a:srgbClr val="4F81BD"/>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prstClr val="black"/>
              </a:solidFill>
              <a:effectLst/>
              <a:uLnTx/>
              <a:uFillTx/>
              <a:latin typeface="+mn-lt"/>
              <a:ea typeface="+mn-ea"/>
              <a:cs typeface="+mn-cs"/>
            </a:rPr>
            <a:t>2022</a:t>
          </a:r>
          <a:r>
            <a:rPr kumimoji="0" lang="en-US" sz="800" b="1" i="0" u="none" strike="noStrike" kern="0" cap="none" spc="0" normalizeH="0" baseline="0" noProof="0">
              <a:ln>
                <a:noFill/>
              </a:ln>
              <a:solidFill>
                <a:prstClr val="black"/>
              </a:solidFill>
              <a:effectLst/>
              <a:uLnTx/>
              <a:uFillTx/>
              <a:latin typeface="+mn-lt"/>
              <a:ea typeface="+mn-ea"/>
              <a:cs typeface="+mn-cs"/>
            </a:rPr>
            <a:t>:</a:t>
          </a: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0" i="0" u="none" strike="noStrike" kern="0" cap="none" spc="0" normalizeH="0" baseline="0" noProof="0">
              <a:ln>
                <a:noFill/>
              </a:ln>
              <a:solidFill>
                <a:sysClr val="windowText" lastClr="000000"/>
              </a:solidFill>
              <a:effectLst/>
              <a:uLnTx/>
              <a:uFillTx/>
              <a:latin typeface="+mn-lt"/>
              <a:ea typeface="+mn-ea"/>
              <a:cs typeface="+mn-cs"/>
            </a:rPr>
            <a:t>Entre 1.089 € (Micro - 1 a 9 pessoas) e 1.693 € (Grandes - 250 e + pessoas)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1" i="0" u="sng" strike="noStrike" kern="0" cap="none" spc="0" normalizeH="0" baseline="0" noProof="0">
              <a:ln>
                <a:noFill/>
              </a:ln>
              <a:solidFill>
                <a:sysClr val="windowText" lastClr="000000"/>
              </a:solidFill>
              <a:effectLst/>
              <a:uLnTx/>
              <a:uFillTx/>
              <a:latin typeface="+mn-lt"/>
              <a:ea typeface="+mn-ea"/>
              <a:cs typeface="+mn-cs"/>
            </a:rPr>
            <a:t>2022 vs 2012</a:t>
          </a: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800" b="0" i="0" u="none" strike="noStrike" kern="0" cap="none" spc="0" normalizeH="0" baseline="0" noProof="0">
              <a:ln>
                <a:noFill/>
              </a:ln>
              <a:solidFill>
                <a:prstClr val="black"/>
              </a:solidFill>
              <a:effectLst/>
              <a:uLnTx/>
              <a:uFillTx/>
              <a:latin typeface="+mn-lt"/>
              <a:ea typeface="+mn-ea"/>
              <a:cs typeface="+mn-cs"/>
            </a:rPr>
            <a:t>Variações entre 20% (Médios - 50 a 249 pessoas) e 25% (Micro - 1 a 9 pessoas)</a:t>
          </a:r>
        </a:p>
      </xdr:txBody>
    </xdr:sp>
    <xdr:clientData/>
  </xdr:twoCellAnchor>
  <xdr:twoCellAnchor>
    <xdr:from>
      <xdr:col>2</xdr:col>
      <xdr:colOff>28576</xdr:colOff>
      <xdr:row>85</xdr:row>
      <xdr:rowOff>47625</xdr:rowOff>
    </xdr:from>
    <xdr:to>
      <xdr:col>6</xdr:col>
      <xdr:colOff>409575</xdr:colOff>
      <xdr:row>90</xdr:row>
      <xdr:rowOff>76200</xdr:rowOff>
    </xdr:to>
    <xdr:sp macro="" textlink="$D$84">
      <xdr:nvSpPr>
        <xdr:cNvPr id="24" name="CaixaDeTexto 23">
          <a:extLst>
            <a:ext uri="{FF2B5EF4-FFF2-40B4-BE49-F238E27FC236}">
              <a16:creationId xmlns:a16="http://schemas.microsoft.com/office/drawing/2014/main" id="{00000000-0008-0000-0F00-000018000000}"/>
            </a:ext>
          </a:extLst>
        </xdr:cNvPr>
        <xdr:cNvSpPr txBox="1"/>
      </xdr:nvSpPr>
      <xdr:spPr>
        <a:xfrm>
          <a:off x="2276476" y="13849350"/>
          <a:ext cx="3467099" cy="838200"/>
        </a:xfrm>
        <a:prstGeom prst="rect">
          <a:avLst/>
        </a:prstGeom>
        <a:noFill/>
        <a:ln w="28575" cmpd="sng">
          <a:solidFill>
            <a:srgbClr val="4F81BD"/>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760BEDE4-34B2-45D7-B4CD-2FBD9778F919}" type="TxLink">
            <a:rPr kumimoji="0" lang="en-US" sz="800" b="0" i="0" u="none" strike="noStrike" kern="0" cap="none" spc="0" normalizeH="0" baseline="0" noProof="0">
              <a:ln>
                <a:noFill/>
              </a:ln>
              <a:solidFill>
                <a:srgbClr val="000000"/>
              </a:solidFill>
              <a:effectLst/>
              <a:uLnTx/>
              <a:uFillTx/>
              <a:latin typeface="+mn-lt"/>
              <a:ea typeface="+mn-ea"/>
              <a:cs typeface="Arial"/>
            </a:rPr>
            <a:pPr marL="0" marR="0" lvl="0" indent="0" algn="l" defTabSz="914400" eaLnBrk="1" fontAlgn="auto" latinLnBrk="0" hangingPunct="1">
              <a:lnSpc>
                <a:spcPct val="100000"/>
              </a:lnSpc>
              <a:spcBef>
                <a:spcPts val="0"/>
              </a:spcBef>
              <a:spcAft>
                <a:spcPts val="0"/>
              </a:spcAft>
              <a:buClrTx/>
              <a:buSzTx/>
              <a:buFontTx/>
              <a:buNone/>
              <a:tabLst/>
              <a:defRPr/>
            </a:pPr>
            <a:t>2022:
Entre 944 € Micro (1-9 pessoas) e 1.366 € Grandes (250 ou + pessoas)
2022 vs 2012:
Variações entre 19% Médios (50 - 249 pessoas) e 27% Micro (1-9 pessoas).</a:t>
          </a:fld>
          <a:endParaRPr kumimoji="0" lang="pt-PT" sz="8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2</xdr:col>
      <xdr:colOff>0</xdr:colOff>
      <xdr:row>95</xdr:row>
      <xdr:rowOff>57150</xdr:rowOff>
    </xdr:from>
    <xdr:to>
      <xdr:col>7</xdr:col>
      <xdr:colOff>152400</xdr:colOff>
      <xdr:row>100</xdr:row>
      <xdr:rowOff>57150</xdr:rowOff>
    </xdr:to>
    <xdr:sp macro="" textlink="$D$94">
      <xdr:nvSpPr>
        <xdr:cNvPr id="25" name="CaixaDeTexto 24">
          <a:extLst>
            <a:ext uri="{FF2B5EF4-FFF2-40B4-BE49-F238E27FC236}">
              <a16:creationId xmlns:a16="http://schemas.microsoft.com/office/drawing/2014/main" id="{00000000-0008-0000-0F00-000019000000}"/>
            </a:ext>
          </a:extLst>
        </xdr:cNvPr>
        <xdr:cNvSpPr txBox="1"/>
      </xdr:nvSpPr>
      <xdr:spPr>
        <a:xfrm>
          <a:off x="2247900" y="15478125"/>
          <a:ext cx="4010025" cy="809625"/>
        </a:xfrm>
        <a:prstGeom prst="rect">
          <a:avLst/>
        </a:prstGeom>
        <a:noFill/>
        <a:ln w="28575" cmpd="sng">
          <a:solidFill>
            <a:srgbClr val="4F81BD"/>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4320C582-956B-40CF-BCA5-2C5CADD67E2C}" type="TxLink">
            <a:rPr kumimoji="0" lang="en-US" sz="800" b="0" i="0" u="none" strike="noStrike" kern="0" cap="none" spc="0" normalizeH="0" baseline="0" noProof="0">
              <a:ln>
                <a:noFill/>
              </a:ln>
              <a:solidFill>
                <a:srgbClr val="000000"/>
              </a:solidFill>
              <a:effectLst/>
              <a:uLnTx/>
              <a:uFillTx/>
              <a:latin typeface="+mn-lt"/>
              <a:ea typeface="+mn-ea"/>
              <a:cs typeface="Arial"/>
            </a:rPr>
            <a:pPr marL="0" marR="0" lvl="0" indent="0" algn="l" defTabSz="914400" eaLnBrk="1" fontAlgn="auto" latinLnBrk="0" hangingPunct="1">
              <a:lnSpc>
                <a:spcPct val="100000"/>
              </a:lnSpc>
              <a:spcBef>
                <a:spcPts val="0"/>
              </a:spcBef>
              <a:spcAft>
                <a:spcPts val="0"/>
              </a:spcAft>
              <a:buClrTx/>
              <a:buSzTx/>
              <a:buFontTx/>
              <a:buNone/>
              <a:tabLst/>
              <a:defRPr/>
            </a:pPr>
            <a:t>2022:
Entre 1.089 € Micro (1-9 pessoas) e 1.693 € Grandes (250 ou + pessoas)
2022 vs 2012:
Variações entre 20% Médios (50 - 249 pessoas) e 25% Micro (1-9 pessoas).</a:t>
          </a:fld>
          <a:endParaRPr kumimoji="0" lang="pt-PT" sz="8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76</xdr:col>
      <xdr:colOff>533400</xdr:colOff>
      <xdr:row>38</xdr:row>
      <xdr:rowOff>114300</xdr:rowOff>
    </xdr:from>
    <xdr:to>
      <xdr:col>84</xdr:col>
      <xdr:colOff>175113</xdr:colOff>
      <xdr:row>42</xdr:row>
      <xdr:rowOff>103800</xdr:rowOff>
    </xdr:to>
    <xdr:sp macro="" textlink="q17_q18_q25_q26_Fig!$BZ$37">
      <xdr:nvSpPr>
        <xdr:cNvPr id="26" name="CaixaDeTexto 25">
          <a:extLst>
            <a:ext uri="{FF2B5EF4-FFF2-40B4-BE49-F238E27FC236}">
              <a16:creationId xmlns:a16="http://schemas.microsoft.com/office/drawing/2014/main" id="{00000000-0008-0000-0F00-00001A000000}"/>
            </a:ext>
          </a:extLst>
        </xdr:cNvPr>
        <xdr:cNvSpPr txBox="1"/>
      </xdr:nvSpPr>
      <xdr:spPr>
        <a:xfrm>
          <a:off x="55092600" y="6305550"/>
          <a:ext cx="4518513" cy="637200"/>
        </a:xfrm>
        <a:prstGeom prst="rect">
          <a:avLst/>
        </a:prstGeom>
        <a:noFill/>
        <a:ln w="28575" cmpd="sng">
          <a:solidFill>
            <a:srgbClr val="4F81BD"/>
          </a:solid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5AA5EC0D-310F-45B7-8569-D357C6298D02}" type="TxLink">
            <a:rPr kumimoji="0" lang="en-US" sz="800" b="0" i="0" u="none" strike="noStrike" kern="0" cap="none" spc="0" normalizeH="0" baseline="0" noProof="0">
              <a:ln>
                <a:noFill/>
              </a:ln>
              <a:solidFill>
                <a:srgbClr val="000000"/>
              </a:solidFill>
              <a:effectLst/>
              <a:uLnTx/>
              <a:uFillTx/>
              <a:latin typeface="+mn-lt"/>
              <a:ea typeface="+mn-ea"/>
              <a:cs typeface="Arial"/>
            </a:rPr>
            <a:pPr marL="0" marR="0" lvl="0" indent="0" algn="l" defTabSz="914400" eaLnBrk="1" fontAlgn="auto" latinLnBrk="0" hangingPunct="1">
              <a:lnSpc>
                <a:spcPct val="100000"/>
              </a:lnSpc>
              <a:spcBef>
                <a:spcPts val="0"/>
              </a:spcBef>
              <a:spcAft>
                <a:spcPts val="0"/>
              </a:spcAft>
              <a:buClrTx/>
              <a:buSzTx/>
              <a:buFontTx/>
              <a:buNone/>
              <a:tabLst/>
              <a:defRPr/>
            </a:pPr>
            <a:t>Remunerações - 2022:
Base Mulheres = 86,6% da dos Homens (H), entre 84,5% da dos H (Médios) e 91,7% da dos H (Micro).
Ganho Mulheres = 83,8% da dos H, entre 80,9% da dos H (Médios) e 91,0% da dos H (Micro).</a:t>
          </a:fld>
          <a:endParaRPr kumimoji="0" lang="pt-PT" sz="8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17</xdr:col>
      <xdr:colOff>0</xdr:colOff>
      <xdr:row>66</xdr:row>
      <xdr:rowOff>121226</xdr:rowOff>
    </xdr:from>
    <xdr:to>
      <xdr:col>27</xdr:col>
      <xdr:colOff>334619</xdr:colOff>
      <xdr:row>78</xdr:row>
      <xdr:rowOff>135968</xdr:rowOff>
    </xdr:to>
    <xdr:grpSp>
      <xdr:nvGrpSpPr>
        <xdr:cNvPr id="27" name="Agrupar 26">
          <a:extLst>
            <a:ext uri="{FF2B5EF4-FFF2-40B4-BE49-F238E27FC236}">
              <a16:creationId xmlns:a16="http://schemas.microsoft.com/office/drawing/2014/main" id="{00000000-0008-0000-0F00-00001B000000}"/>
            </a:ext>
          </a:extLst>
        </xdr:cNvPr>
        <xdr:cNvGrpSpPr/>
      </xdr:nvGrpSpPr>
      <xdr:grpSpPr>
        <a:xfrm>
          <a:off x="12996130" y="11038341"/>
          <a:ext cx="7524162" cy="1993012"/>
          <a:chOff x="20056474" y="10299703"/>
          <a:chExt cx="8510403" cy="2749548"/>
        </a:xfrm>
      </xdr:grpSpPr>
      <xdr:graphicFrame macro="">
        <xdr:nvGraphicFramePr>
          <xdr:cNvPr id="28" name="Gráfico 27">
            <a:extLst>
              <a:ext uri="{FF2B5EF4-FFF2-40B4-BE49-F238E27FC236}">
                <a16:creationId xmlns:a16="http://schemas.microsoft.com/office/drawing/2014/main" id="{00000000-0008-0000-0F00-00001C000000}"/>
              </a:ext>
            </a:extLst>
          </xdr:cNvPr>
          <xdr:cNvGraphicFramePr/>
        </xdr:nvGraphicFramePr>
        <xdr:xfrm>
          <a:off x="20056474" y="10299703"/>
          <a:ext cx="4571998" cy="27432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29" name="Gráfico 28">
            <a:extLst>
              <a:ext uri="{FF2B5EF4-FFF2-40B4-BE49-F238E27FC236}">
                <a16:creationId xmlns:a16="http://schemas.microsoft.com/office/drawing/2014/main" id="{00000000-0008-0000-0F00-00001D000000}"/>
              </a:ext>
            </a:extLst>
          </xdr:cNvPr>
          <xdr:cNvGraphicFramePr>
            <a:graphicFrameLocks/>
          </xdr:cNvGraphicFramePr>
        </xdr:nvGraphicFramePr>
        <xdr:xfrm>
          <a:off x="24428449" y="10306051"/>
          <a:ext cx="4138428" cy="274320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36.xml><?xml version="1.0" encoding="utf-8"?>
<c:userShapes xmlns:c="http://schemas.openxmlformats.org/drawingml/2006/chart">
  <cdr:relSizeAnchor xmlns:cdr="http://schemas.openxmlformats.org/drawingml/2006/chartDrawing">
    <cdr:from>
      <cdr:x>0.65479</cdr:x>
      <cdr:y>0.10298</cdr:y>
    </cdr:from>
    <cdr:to>
      <cdr:x>0.76733</cdr:x>
      <cdr:y>0.19501</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1967633" y="394944"/>
          <a:ext cx="338181" cy="352950"/>
          <a:chOff x="1958149" y="369817"/>
          <a:chExt cx="473434" cy="291245"/>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4"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58149" y="374649"/>
            <a:ext cx="180567" cy="271329"/>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37.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17_q18_q25_q26_Fig!$AT$3">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F7CCA3A-425A-4F86-9688-6ECD51BCD00F}" type="TxLink">
            <a:rPr lang="en-US" sz="800" b="1" i="0" u="none" strike="noStrike">
              <a:solidFill>
                <a:schemeClr val="bg1"/>
              </a:solidFill>
              <a:latin typeface="Arial"/>
              <a:cs typeface="Arial"/>
            </a:rPr>
            <a:pPr algn="ctr"/>
            <a:t>2012</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17_q18_q25_q26_Fig!$BD$3">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5DD7DBC-48E3-40B1-8F9D-AE2F27FD0074}" type="TxLink">
            <a:rPr lang="en-US" sz="800" b="1" i="0" u="none" strike="noStrike">
              <a:solidFill>
                <a:schemeClr val="bg1"/>
              </a:solidFill>
              <a:latin typeface="Arial"/>
              <a:cs typeface="Arial"/>
            </a:rPr>
            <a:pPr algn="ctr"/>
            <a:t>2022</a:t>
          </a:fld>
          <a:endParaRPr lang="pt-PT" sz="800" b="1">
            <a:solidFill>
              <a:schemeClr val="bg1"/>
            </a:solidFill>
          </a:endParaRPr>
        </a:p>
      </cdr:txBody>
    </cdr:sp>
  </cdr:relSizeAnchor>
  <cdr:relSizeAnchor xmlns:cdr="http://schemas.openxmlformats.org/drawingml/2006/chartDrawing">
    <cdr:from>
      <cdr:x>0.71539</cdr:x>
      <cdr:y>0.03293</cdr:y>
    </cdr:from>
    <cdr:to>
      <cdr:x>0.90894</cdr:x>
      <cdr:y>0.17431</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653375" y="-188062"/>
          <a:ext cx="367200" cy="914400"/>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1000" b="1">
              <a:solidFill>
                <a:schemeClr val="bg1"/>
              </a:solidFill>
            </a:rPr>
            <a:t>VARIAÇÃO</a:t>
          </a: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349251</xdr:colOff>
      <xdr:row>100</xdr:row>
      <xdr:rowOff>95251</xdr:rowOff>
    </xdr:from>
    <xdr:to>
      <xdr:col>7</xdr:col>
      <xdr:colOff>309563</xdr:colOff>
      <xdr:row>119</xdr:row>
      <xdr:rowOff>95251</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114300</xdr:colOff>
      <xdr:row>96</xdr:row>
      <xdr:rowOff>85726</xdr:rowOff>
    </xdr:from>
    <xdr:to>
      <xdr:col>9</xdr:col>
      <xdr:colOff>206375</xdr:colOff>
      <xdr:row>101</xdr:row>
      <xdr:rowOff>130175</xdr:rowOff>
    </xdr:to>
    <mc:AlternateContent xmlns:mc="http://schemas.openxmlformats.org/markup-compatibility/2006" xmlns:a14="http://schemas.microsoft.com/office/drawing/2010/main">
      <mc:Choice Requires="a14">
        <xdr:graphicFrame macro="">
          <xdr:nvGraphicFramePr>
            <xdr:cNvPr id="3" name="Tipo de remuneração">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microsoft.com/office/drawing/2010/slicer">
              <sle:slicer xmlns:sle="http://schemas.microsoft.com/office/drawing/2010/slicer" name="Tipo de remuneração"/>
            </a:graphicData>
          </a:graphic>
        </xdr:graphicFrame>
      </mc:Choice>
      <mc:Fallback xmlns="">
        <xdr:sp macro="" textlink="">
          <xdr:nvSpPr>
            <xdr:cNvPr id="0" name=""/>
            <xdr:cNvSpPr>
              <a:spLocks noTextEdit="1"/>
            </xdr:cNvSpPr>
          </xdr:nvSpPr>
          <xdr:spPr>
            <a:xfrm>
              <a:off x="8420100" y="12068176"/>
              <a:ext cx="1800225" cy="847724"/>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segmentações de dados são suportadas no Excel 2010 ou posterior.
Se a forma tiver sido modificada numa versão anterior do Excel, ou se o livro tiver sido guardado no Excel 2003 ou anterior, a segmentação de dados não poderá ser utilizada.</a:t>
              </a:r>
            </a:p>
          </xdr:txBody>
        </xdr:sp>
      </mc:Fallback>
    </mc:AlternateContent>
    <xdr:clientData/>
  </xdr:twoCellAnchor>
  <xdr:twoCellAnchor editAs="oneCell">
    <xdr:from>
      <xdr:col>8</xdr:col>
      <xdr:colOff>104775</xdr:colOff>
      <xdr:row>101</xdr:row>
      <xdr:rowOff>123825</xdr:rowOff>
    </xdr:from>
    <xdr:to>
      <xdr:col>9</xdr:col>
      <xdr:colOff>225425</xdr:colOff>
      <xdr:row>108</xdr:row>
      <xdr:rowOff>130176</xdr:rowOff>
    </xdr:to>
    <mc:AlternateContent xmlns:mc="http://schemas.openxmlformats.org/markup-compatibility/2006" xmlns:a14="http://schemas.microsoft.com/office/drawing/2010/main">
      <mc:Choice Requires="a14">
        <xdr:graphicFrame macro="">
          <xdr:nvGraphicFramePr>
            <xdr:cNvPr id="5" name="Sexo">
              <a:extLst>
                <a:ext uri="{FF2B5EF4-FFF2-40B4-BE49-F238E27FC236}">
                  <a16:creationId xmlns:a16="http://schemas.microsoft.com/office/drawing/2014/main" id="{00000000-0008-0000-1000-000005000000}"/>
                </a:ext>
              </a:extLst>
            </xdr:cNvPr>
            <xdr:cNvGraphicFramePr/>
          </xdr:nvGraphicFramePr>
          <xdr:xfrm>
            <a:off x="0" y="0"/>
            <a:ext cx="0" cy="0"/>
          </xdr:xfrm>
          <a:graphic>
            <a:graphicData uri="http://schemas.microsoft.com/office/drawing/2010/slicer">
              <sle:slicer xmlns:sle="http://schemas.microsoft.com/office/drawing/2010/slicer" name="Sexo"/>
            </a:graphicData>
          </a:graphic>
        </xdr:graphicFrame>
      </mc:Choice>
      <mc:Fallback xmlns="">
        <xdr:sp macro="" textlink="">
          <xdr:nvSpPr>
            <xdr:cNvPr id="0" name=""/>
            <xdr:cNvSpPr>
              <a:spLocks noTextEdit="1"/>
            </xdr:cNvSpPr>
          </xdr:nvSpPr>
          <xdr:spPr>
            <a:xfrm>
              <a:off x="7467600" y="16478250"/>
              <a:ext cx="1828800" cy="1133476"/>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segmentações de dados são suportadas no Excel 2010 ou posterior.
Se a forma tiver sido modificada numa versão anterior do Excel, ou se o livro tiver sido guardado no Excel 2003 ou anterior, a segmentação de dados não poderá ser utilizada.</a:t>
              </a:r>
            </a:p>
          </xdr:txBody>
        </xdr:sp>
      </mc:Fallback>
    </mc:AlternateContent>
    <xdr:clientData/>
  </xdr:twoCellAnchor>
</xdr:wsDr>
</file>

<file path=xl/drawings/drawing39.xml><?xml version="1.0" encoding="utf-8"?>
<xdr:wsDr xmlns:xdr="http://schemas.openxmlformats.org/drawingml/2006/spreadsheetDrawing" xmlns:a="http://schemas.openxmlformats.org/drawingml/2006/main">
  <xdr:twoCellAnchor>
    <xdr:from>
      <xdr:col>7</xdr:col>
      <xdr:colOff>371475</xdr:colOff>
      <xdr:row>55</xdr:row>
      <xdr:rowOff>66675</xdr:rowOff>
    </xdr:from>
    <xdr:to>
      <xdr:col>9</xdr:col>
      <xdr:colOff>82550</xdr:colOff>
      <xdr:row>60</xdr:row>
      <xdr:rowOff>85725</xdr:rowOff>
    </xdr:to>
    <mc:AlternateContent xmlns:mc="http://schemas.openxmlformats.org/markup-compatibility/2006" xmlns:a14="http://schemas.microsoft.com/office/drawing/2010/main">
      <mc:Choice Requires="a14">
        <xdr:graphicFrame macro="">
          <xdr:nvGraphicFramePr>
            <xdr:cNvPr id="2" name="Tipo Remuneração">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microsoft.com/office/drawing/2010/slicer">
              <sle:slicer xmlns:sle="http://schemas.microsoft.com/office/drawing/2010/slicer" name="Tipo Remuneração"/>
            </a:graphicData>
          </a:graphic>
        </xdr:graphicFrame>
      </mc:Choice>
      <mc:Fallback xmlns="">
        <xdr:sp macro="" textlink="">
          <xdr:nvSpPr>
            <xdr:cNvPr id="0" name=""/>
            <xdr:cNvSpPr>
              <a:spLocks noTextEdit="1"/>
            </xdr:cNvSpPr>
          </xdr:nvSpPr>
          <xdr:spPr>
            <a:xfrm>
              <a:off x="4933950" y="8972550"/>
              <a:ext cx="1568450" cy="828675"/>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segmentações de dados são suportadas no Excel 2010 ou posterior.
Se a forma tiver sido modificada numa versão anterior do Excel, ou se o livro tiver sido guardado no Excel 2003 ou anterior, a segmentação de dados não poderá ser utilizada.</a:t>
              </a:r>
            </a:p>
          </xdr:txBody>
        </xdr:sp>
      </mc:Fallback>
    </mc:AlternateContent>
    <xdr:clientData/>
  </xdr:twoCellAnchor>
  <xdr:twoCellAnchor>
    <xdr:from>
      <xdr:col>9</xdr:col>
      <xdr:colOff>104775</xdr:colOff>
      <xdr:row>56</xdr:row>
      <xdr:rowOff>9525</xdr:rowOff>
    </xdr:from>
    <xdr:to>
      <xdr:col>11</xdr:col>
      <xdr:colOff>122765</xdr:colOff>
      <xdr:row>67</xdr:row>
      <xdr:rowOff>76199</xdr:rowOff>
    </xdr:to>
    <mc:AlternateContent xmlns:mc="http://schemas.openxmlformats.org/markup-compatibility/2006" xmlns:a14="http://schemas.microsoft.com/office/drawing/2010/main">
      <mc:Choice Requires="a14">
        <xdr:graphicFrame macro="">
          <xdr:nvGraphicFramePr>
            <xdr:cNvPr id="3" name="Selecionar CAE">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microsoft.com/office/drawing/2010/slicer">
              <sle:slicer xmlns:sle="http://schemas.microsoft.com/office/drawing/2010/slicer" name="Selecionar CAE"/>
            </a:graphicData>
          </a:graphic>
        </xdr:graphicFrame>
      </mc:Choice>
      <mc:Fallback xmlns="">
        <xdr:sp macro="" textlink="">
          <xdr:nvSpPr>
            <xdr:cNvPr id="0" name=""/>
            <xdr:cNvSpPr>
              <a:spLocks noTextEdit="1"/>
            </xdr:cNvSpPr>
          </xdr:nvSpPr>
          <xdr:spPr>
            <a:xfrm>
              <a:off x="6457950" y="9077325"/>
              <a:ext cx="3837515" cy="1847849"/>
            </a:xfrm>
            <a:prstGeom prst="rect">
              <a:avLst/>
            </a:prstGeom>
            <a:solidFill>
              <a:prstClr val="white"/>
            </a:solidFill>
            <a:ln w="1">
              <a:solidFill>
                <a:prstClr val="green"/>
              </a:solidFill>
            </a:ln>
          </xdr:spPr>
          <xdr:txBody>
            <a:bodyPr vertOverflow="clip" horzOverflow="clip"/>
            <a:lstStyle/>
            <a:p>
              <a:r>
                <a:rPr lang="pt-PT" sz="1100"/>
                <a:t>Esta forma representa uma segmentação de dados. As segmentações de dados são suportadas no Excel 2010 ou posterior.
Se a forma tiver sido modificada numa versão anterior do Excel, ou se o livro tiver sido guardado no Excel 2003 ou anterior, a segmentação de dados não poderá ser utilizada.</a:t>
              </a:r>
            </a:p>
          </xdr:txBody>
        </xdr:sp>
      </mc:Fallback>
    </mc:AlternateContent>
    <xdr:clientData/>
  </xdr:twoCellAnchor>
  <xdr:twoCellAnchor>
    <xdr:from>
      <xdr:col>11</xdr:col>
      <xdr:colOff>647700</xdr:colOff>
      <xdr:row>54</xdr:row>
      <xdr:rowOff>149226</xdr:rowOff>
    </xdr:from>
    <xdr:to>
      <xdr:col>22</xdr:col>
      <xdr:colOff>54265</xdr:colOff>
      <xdr:row>75</xdr:row>
      <xdr:rowOff>9525</xdr:rowOff>
    </xdr:to>
    <xdr:graphicFrame macro="">
      <xdr:nvGraphicFramePr>
        <xdr:cNvPr id="9" name="Gráfico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33</xdr:row>
      <xdr:rowOff>104775</xdr:rowOff>
    </xdr:from>
    <xdr:to>
      <xdr:col>8</xdr:col>
      <xdr:colOff>600075</xdr:colOff>
      <xdr:row>55</xdr:row>
      <xdr:rowOff>28575</xdr:rowOff>
    </xdr:to>
    <xdr:sp macro="" textlink="">
      <xdr:nvSpPr>
        <xdr:cNvPr id="2" name="Rectangle 80">
          <a:extLst>
            <a:ext uri="{FF2B5EF4-FFF2-40B4-BE49-F238E27FC236}">
              <a16:creationId xmlns:a16="http://schemas.microsoft.com/office/drawing/2014/main" id="{00000000-0008-0000-0300-000002000000}"/>
            </a:ext>
          </a:extLst>
        </xdr:cNvPr>
        <xdr:cNvSpPr>
          <a:spLocks noChangeArrowheads="1"/>
        </xdr:cNvSpPr>
      </xdr:nvSpPr>
      <xdr:spPr bwMode="auto">
        <a:xfrm>
          <a:off x="0" y="5448300"/>
          <a:ext cx="5476875" cy="3486150"/>
        </a:xfrm>
        <a:prstGeom prst="rect">
          <a:avLst/>
        </a:prstGeom>
        <a:solidFill>
          <a:srgbClr val="E1EAE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234000" rIns="234000"/>
        <a:lstStyle>
          <a:defPPr>
            <a:defRPr lang="en-US"/>
          </a:defPPr>
          <a:lvl1pPr algn="l" rtl="0" eaLnBrk="0" fontAlgn="base" hangingPunct="0">
            <a:spcBef>
              <a:spcPct val="0"/>
            </a:spcBef>
            <a:spcAft>
              <a:spcPct val="0"/>
            </a:spcAft>
            <a:defRPr sz="900" kern="1200">
              <a:solidFill>
                <a:schemeClr val="tx1"/>
              </a:solidFill>
              <a:latin typeface="Times New Roman" panose="02020603050405020304" pitchFamily="18" charset="0"/>
              <a:ea typeface="+mn-ea"/>
              <a:cs typeface="+mn-cs"/>
            </a:defRPr>
          </a:lvl1pPr>
          <a:lvl2pPr marL="496888" indent="-39688" algn="l" rtl="0" eaLnBrk="0" fontAlgn="base" hangingPunct="0">
            <a:spcBef>
              <a:spcPct val="0"/>
            </a:spcBef>
            <a:spcAft>
              <a:spcPct val="0"/>
            </a:spcAft>
            <a:defRPr sz="900" kern="1200">
              <a:solidFill>
                <a:schemeClr val="tx1"/>
              </a:solidFill>
              <a:latin typeface="Times New Roman" panose="02020603050405020304" pitchFamily="18" charset="0"/>
              <a:ea typeface="+mn-ea"/>
              <a:cs typeface="+mn-cs"/>
            </a:defRPr>
          </a:lvl2pPr>
          <a:lvl3pPr marL="995363" indent="-80963" algn="l" rtl="0" eaLnBrk="0" fontAlgn="base" hangingPunct="0">
            <a:spcBef>
              <a:spcPct val="0"/>
            </a:spcBef>
            <a:spcAft>
              <a:spcPct val="0"/>
            </a:spcAft>
            <a:defRPr sz="900" kern="1200">
              <a:solidFill>
                <a:schemeClr val="tx1"/>
              </a:solidFill>
              <a:latin typeface="Times New Roman" panose="02020603050405020304" pitchFamily="18" charset="0"/>
              <a:ea typeface="+mn-ea"/>
              <a:cs typeface="+mn-cs"/>
            </a:defRPr>
          </a:lvl3pPr>
          <a:lvl4pPr marL="1492250" indent="-120650" algn="l" rtl="0" eaLnBrk="0" fontAlgn="base" hangingPunct="0">
            <a:spcBef>
              <a:spcPct val="0"/>
            </a:spcBef>
            <a:spcAft>
              <a:spcPct val="0"/>
            </a:spcAft>
            <a:defRPr sz="900" kern="1200">
              <a:solidFill>
                <a:schemeClr val="tx1"/>
              </a:solidFill>
              <a:latin typeface="Times New Roman" panose="02020603050405020304" pitchFamily="18" charset="0"/>
              <a:ea typeface="+mn-ea"/>
              <a:cs typeface="+mn-cs"/>
            </a:defRPr>
          </a:lvl4pPr>
          <a:lvl5pPr marL="1990725" indent="-161925" algn="l" rtl="0" eaLnBrk="0" fontAlgn="base" hangingPunct="0">
            <a:spcBef>
              <a:spcPct val="0"/>
            </a:spcBef>
            <a:spcAft>
              <a:spcPct val="0"/>
            </a:spcAft>
            <a:defRPr sz="900" kern="1200">
              <a:solidFill>
                <a:schemeClr val="tx1"/>
              </a:solidFill>
              <a:latin typeface="Times New Roman" panose="02020603050405020304" pitchFamily="18" charset="0"/>
              <a:ea typeface="+mn-ea"/>
              <a:cs typeface="+mn-cs"/>
            </a:defRPr>
          </a:lvl5pPr>
          <a:lvl6pPr marL="2286000" algn="l" defTabSz="914400" rtl="0" eaLnBrk="1" latinLnBrk="0" hangingPunct="1">
            <a:defRPr sz="900" kern="1200">
              <a:solidFill>
                <a:schemeClr val="tx1"/>
              </a:solidFill>
              <a:latin typeface="Times New Roman" panose="02020603050405020304" pitchFamily="18" charset="0"/>
              <a:ea typeface="+mn-ea"/>
              <a:cs typeface="+mn-cs"/>
            </a:defRPr>
          </a:lvl6pPr>
          <a:lvl7pPr marL="2743200" algn="l" defTabSz="914400" rtl="0" eaLnBrk="1" latinLnBrk="0" hangingPunct="1">
            <a:defRPr sz="900" kern="1200">
              <a:solidFill>
                <a:schemeClr val="tx1"/>
              </a:solidFill>
              <a:latin typeface="Times New Roman" panose="02020603050405020304" pitchFamily="18" charset="0"/>
              <a:ea typeface="+mn-ea"/>
              <a:cs typeface="+mn-cs"/>
            </a:defRPr>
          </a:lvl7pPr>
          <a:lvl8pPr marL="3200400" algn="l" defTabSz="914400" rtl="0" eaLnBrk="1" latinLnBrk="0" hangingPunct="1">
            <a:defRPr sz="900" kern="1200">
              <a:solidFill>
                <a:schemeClr val="tx1"/>
              </a:solidFill>
              <a:latin typeface="Times New Roman" panose="02020603050405020304" pitchFamily="18" charset="0"/>
              <a:ea typeface="+mn-ea"/>
              <a:cs typeface="+mn-cs"/>
            </a:defRPr>
          </a:lvl8pPr>
          <a:lvl9pPr marL="3657600" algn="l" defTabSz="914400" rtl="0" eaLnBrk="1" latinLnBrk="0" hangingPunct="1">
            <a:defRPr sz="900" kern="1200">
              <a:solidFill>
                <a:schemeClr val="tx1"/>
              </a:solidFill>
              <a:latin typeface="Times New Roman" panose="02020603050405020304" pitchFamily="18" charset="0"/>
              <a:ea typeface="+mn-ea"/>
              <a:cs typeface="+mn-cs"/>
            </a:defRPr>
          </a:lvl9pPr>
        </a:lstStyle>
        <a:p>
          <a:pPr algn="just">
            <a:lnSpc>
              <a:spcPct val="130000"/>
            </a:lnSpc>
            <a:spcAft>
              <a:spcPts val="1000"/>
            </a:spcAft>
          </a:pPr>
          <a:r>
            <a:rPr lang="pt-PT" altLang="pt-PT" b="1">
              <a:solidFill>
                <a:srgbClr val="415263"/>
              </a:solidFill>
              <a:latin typeface="Arial" panose="020B0604020202020204" pitchFamily="34" charset="0"/>
            </a:rPr>
            <a:t>MINISTÉRIO DO TRABALHO, SOLIDARIEDADE E SEGURANÇA SOCIAL</a:t>
          </a:r>
        </a:p>
        <a:p>
          <a:pPr algn="just">
            <a:lnSpc>
              <a:spcPct val="130000"/>
            </a:lnSpc>
            <a:spcAft>
              <a:spcPts val="1000"/>
            </a:spcAft>
          </a:pPr>
          <a:r>
            <a:rPr lang="pt-PT" altLang="pt-PT" b="1">
              <a:solidFill>
                <a:srgbClr val="415263"/>
              </a:solidFill>
              <a:latin typeface="Arial" panose="020B0604020202020204" pitchFamily="34" charset="0"/>
            </a:rPr>
            <a:t>Título:</a:t>
          </a:r>
          <a:r>
            <a:rPr lang="pt-PT" altLang="pt-PT">
              <a:solidFill>
                <a:srgbClr val="415263"/>
              </a:solidFill>
              <a:latin typeface="Arial" panose="020B0604020202020204" pitchFamily="34" charset="0"/>
            </a:rPr>
            <a:t> Séries Cronológicas QUADROS DE PESSOAL 2012 - 2022</a:t>
          </a:r>
        </a:p>
        <a:p>
          <a:pPr algn="just">
            <a:lnSpc>
              <a:spcPct val="130000"/>
            </a:lnSpc>
            <a:spcAft>
              <a:spcPct val="20000"/>
            </a:spcAft>
          </a:pPr>
          <a:r>
            <a:rPr lang="pt-PT" altLang="pt-PT" b="1">
              <a:solidFill>
                <a:srgbClr val="415263"/>
              </a:solidFill>
              <a:latin typeface="Arial" panose="020B0604020202020204" pitchFamily="34" charset="0"/>
            </a:rPr>
            <a:t>Autor:</a:t>
          </a:r>
          <a:r>
            <a:rPr lang="pt-PT" altLang="pt-PT">
              <a:solidFill>
                <a:srgbClr val="415263"/>
              </a:solidFill>
              <a:latin typeface="Arial" panose="020B0604020202020204" pitchFamily="34" charset="0"/>
            </a:rPr>
            <a:t> Gabinete de Estratégia e Planeamento (GEP)</a:t>
          </a:r>
        </a:p>
        <a:p>
          <a:pPr algn="ctr"/>
          <a:r>
            <a:rPr lang="pt-PT" altLang="pt-PT"/>
            <a:t> </a:t>
          </a:r>
        </a:p>
        <a:p>
          <a:pPr algn="just">
            <a:spcAft>
              <a:spcPct val="40000"/>
            </a:spcAft>
          </a:pPr>
          <a:r>
            <a:rPr lang="pt-PT" altLang="pt-PT">
              <a:solidFill>
                <a:srgbClr val="415263"/>
              </a:solidFill>
              <a:latin typeface="Arial" panose="020B0604020202020204" pitchFamily="34" charset="0"/>
            </a:rPr>
            <a:t>Praça de Londres n.º 2 - 5.º andar</a:t>
          </a:r>
        </a:p>
        <a:p>
          <a:r>
            <a:rPr lang="pt-PT" altLang="pt-PT">
              <a:solidFill>
                <a:srgbClr val="415263"/>
              </a:solidFill>
              <a:latin typeface="Arial" panose="020B0604020202020204" pitchFamily="34" charset="0"/>
            </a:rPr>
            <a:t>1049-056 LISBOA </a:t>
          </a:r>
        </a:p>
        <a:p>
          <a:r>
            <a:rPr lang="pt-PT" altLang="pt-PT">
              <a:solidFill>
                <a:srgbClr val="415263"/>
              </a:solidFill>
              <a:latin typeface="Arial" panose="020B0604020202020204" pitchFamily="34" charset="0"/>
              <a:sym typeface="Wingdings" panose="05000000000000000000" pitchFamily="2" charset="2"/>
            </a:rPr>
            <a:t></a:t>
          </a:r>
          <a:r>
            <a:rPr lang="pt-PT" altLang="pt-PT">
              <a:solidFill>
                <a:srgbClr val="415263"/>
              </a:solidFill>
              <a:latin typeface="Arial" panose="020B0604020202020204" pitchFamily="34" charset="0"/>
            </a:rPr>
            <a:t> 21 595 33 98</a:t>
          </a:r>
        </a:p>
        <a:p>
          <a:pPr algn="just">
            <a:lnSpc>
              <a:spcPct val="130000"/>
            </a:lnSpc>
            <a:spcBef>
              <a:spcPts val="600"/>
            </a:spcBef>
            <a:spcAft>
              <a:spcPts val="1000"/>
            </a:spcAft>
          </a:pPr>
          <a:r>
            <a:rPr lang="pt-PT" altLang="pt-PT" i="1">
              <a:solidFill>
                <a:srgbClr val="415263"/>
              </a:solidFill>
              <a:latin typeface="Arial" panose="020B0604020202020204" pitchFamily="34" charset="0"/>
            </a:rPr>
            <a:t>e-mail</a:t>
          </a:r>
          <a:r>
            <a:rPr lang="pt-PT" altLang="pt-PT" b="1" i="1">
              <a:solidFill>
                <a:srgbClr val="415263"/>
              </a:solidFill>
              <a:latin typeface="Arial" panose="020B0604020202020204" pitchFamily="34" charset="0"/>
            </a:rPr>
            <a:t>:</a:t>
          </a:r>
          <a:r>
            <a:rPr lang="pt-PT" altLang="pt-PT">
              <a:solidFill>
                <a:srgbClr val="415263"/>
              </a:solidFill>
              <a:latin typeface="Arial" panose="020B0604020202020204" pitchFamily="34" charset="0"/>
            </a:rPr>
            <a:t> gep.</a:t>
          </a:r>
          <a:r>
            <a:rPr lang="pt-PT" altLang="pt-PT" i="1">
              <a:solidFill>
                <a:srgbClr val="415263"/>
              </a:solidFill>
              <a:latin typeface="Arial" panose="020B0604020202020204" pitchFamily="34" charset="0"/>
            </a:rPr>
            <a:t>dados@gep.mtsss.pt </a:t>
          </a:r>
        </a:p>
        <a:p>
          <a:pPr algn="just">
            <a:lnSpc>
              <a:spcPct val="130000"/>
            </a:lnSpc>
            <a:spcAft>
              <a:spcPts val="1000"/>
            </a:spcAft>
          </a:pPr>
          <a:r>
            <a:rPr lang="pt-PT" altLang="pt-PT" i="1">
              <a:solidFill>
                <a:srgbClr val="415263"/>
              </a:solidFill>
              <a:latin typeface="Arial" panose="020B0604020202020204" pitchFamily="34" charset="0"/>
            </a:rPr>
            <a:t>Internet</a:t>
          </a:r>
          <a:r>
            <a:rPr lang="pt-PT" altLang="pt-PT" b="1" i="1">
              <a:solidFill>
                <a:srgbClr val="415263"/>
              </a:solidFill>
              <a:latin typeface="Arial" panose="020B0604020202020204" pitchFamily="34" charset="0"/>
            </a:rPr>
            <a:t>:</a:t>
          </a:r>
          <a:r>
            <a:rPr lang="pt-PT" altLang="pt-PT">
              <a:solidFill>
                <a:srgbClr val="415263"/>
              </a:solidFill>
              <a:latin typeface="Arial" panose="020B0604020202020204" pitchFamily="34" charset="0"/>
            </a:rPr>
            <a:t> </a:t>
          </a:r>
          <a:r>
            <a:rPr lang="pt-PT" altLang="pt-PT" i="1">
              <a:solidFill>
                <a:srgbClr val="415263"/>
              </a:solidFill>
              <a:latin typeface="Arial" panose="020B0604020202020204" pitchFamily="34" charset="0"/>
            </a:rPr>
            <a:t>http://www.gep.mtsss.gov.pt</a:t>
          </a:r>
        </a:p>
        <a:p>
          <a:pPr algn="just">
            <a:lnSpc>
              <a:spcPct val="130000"/>
            </a:lnSpc>
            <a:spcAft>
              <a:spcPts val="1000"/>
            </a:spcAft>
          </a:pPr>
          <a:r>
            <a:rPr lang="pt-PT" altLang="pt-PT" b="1">
              <a:solidFill>
                <a:srgbClr val="415263"/>
              </a:solidFill>
              <a:latin typeface="Arial" panose="020B0604020202020204" pitchFamily="34" charset="0"/>
            </a:rPr>
            <a:t>Formato:</a:t>
          </a:r>
          <a:r>
            <a:rPr lang="pt-PT" altLang="pt-PT">
              <a:solidFill>
                <a:srgbClr val="415263"/>
              </a:solidFill>
              <a:latin typeface="Arial" panose="020B0604020202020204" pitchFamily="34" charset="0"/>
            </a:rPr>
            <a:t> publicação em formato eletrónico, preparada para impressão frente e verso.</a:t>
          </a:r>
        </a:p>
        <a:p>
          <a:pPr algn="just">
            <a:lnSpc>
              <a:spcPct val="130000"/>
            </a:lnSpc>
            <a:spcAft>
              <a:spcPts val="1000"/>
            </a:spcAft>
          </a:pPr>
          <a:r>
            <a:rPr lang="pt-PT" altLang="pt-PT" b="1">
              <a:solidFill>
                <a:srgbClr val="415263"/>
              </a:solidFill>
              <a:latin typeface="Arial" panose="020B0604020202020204" pitchFamily="34" charset="0"/>
            </a:rPr>
            <a:t>Periodicidade:</a:t>
          </a:r>
          <a:r>
            <a:rPr lang="pt-PT" altLang="pt-PT">
              <a:solidFill>
                <a:srgbClr val="415263"/>
              </a:solidFill>
              <a:latin typeface="Arial" panose="020B0604020202020204" pitchFamily="34" charset="0"/>
            </a:rPr>
            <a:t> Pontual</a:t>
          </a:r>
        </a:p>
        <a:p>
          <a:pPr algn="just">
            <a:lnSpc>
              <a:spcPct val="130000"/>
            </a:lnSpc>
            <a:spcAft>
              <a:spcPts val="1000"/>
            </a:spcAft>
          </a:pPr>
          <a:r>
            <a:rPr lang="pt-PT" altLang="pt-PT" b="1">
              <a:solidFill>
                <a:srgbClr val="415263"/>
              </a:solidFill>
              <a:latin typeface="Arial" panose="020B0604020202020204" pitchFamily="34" charset="0"/>
            </a:rPr>
            <a:t>Data de disponibilização: </a:t>
          </a:r>
          <a:r>
            <a:rPr lang="pt-PT" altLang="pt-PT" b="0">
              <a:solidFill>
                <a:srgbClr val="415263"/>
              </a:solidFill>
              <a:latin typeface="Arial" panose="020B0604020202020204" pitchFamily="34" charset="0"/>
            </a:rPr>
            <a:t>17</a:t>
          </a:r>
          <a:r>
            <a:rPr lang="pt-PT" altLang="pt-PT">
              <a:solidFill>
                <a:srgbClr val="415263"/>
              </a:solidFill>
              <a:latin typeface="Arial" panose="020B0604020202020204" pitchFamily="34" charset="0"/>
            </a:rPr>
            <a:t> de maio de 2024</a:t>
          </a:r>
        </a:p>
      </xdr:txBody>
    </xdr:sp>
    <xdr:clientData/>
  </xdr:twoCellAnchor>
  <xdr:twoCellAnchor>
    <xdr:from>
      <xdr:col>0</xdr:col>
      <xdr:colOff>0</xdr:colOff>
      <xdr:row>31</xdr:row>
      <xdr:rowOff>0</xdr:rowOff>
    </xdr:from>
    <xdr:to>
      <xdr:col>6</xdr:col>
      <xdr:colOff>566738</xdr:colOff>
      <xdr:row>32</xdr:row>
      <xdr:rowOff>150812</xdr:rowOff>
    </xdr:to>
    <xdr:sp macro="" textlink="">
      <xdr:nvSpPr>
        <xdr:cNvPr id="3" name="Rectangle 2">
          <a:extLst>
            <a:ext uri="{FF2B5EF4-FFF2-40B4-BE49-F238E27FC236}">
              <a16:creationId xmlns:a16="http://schemas.microsoft.com/office/drawing/2014/main" id="{00000000-0008-0000-0300-000003000000}"/>
            </a:ext>
          </a:extLst>
        </xdr:cNvPr>
        <xdr:cNvSpPr>
          <a:spLocks noChangeArrowheads="1"/>
        </xdr:cNvSpPr>
      </xdr:nvSpPr>
      <xdr:spPr bwMode="auto">
        <a:xfrm>
          <a:off x="0" y="5019675"/>
          <a:ext cx="4224338" cy="312737"/>
        </a:xfrm>
        <a:prstGeom prst="rect">
          <a:avLst/>
        </a:prstGeom>
        <a:solidFill>
          <a:srgbClr val="00467A"/>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lstStyle>
          <a:defPPr>
            <a:defRPr lang="en-US"/>
          </a:defPPr>
          <a:lvl1pPr algn="l" rtl="0" eaLnBrk="0" fontAlgn="base" hangingPunct="0">
            <a:spcBef>
              <a:spcPct val="0"/>
            </a:spcBef>
            <a:spcAft>
              <a:spcPct val="0"/>
            </a:spcAft>
            <a:defRPr sz="900" kern="1200">
              <a:solidFill>
                <a:schemeClr val="tx1"/>
              </a:solidFill>
              <a:latin typeface="Times New Roman" panose="02020603050405020304" pitchFamily="18" charset="0"/>
              <a:ea typeface="+mn-ea"/>
              <a:cs typeface="+mn-cs"/>
            </a:defRPr>
          </a:lvl1pPr>
          <a:lvl2pPr marL="496888" indent="-39688" algn="l" rtl="0" eaLnBrk="0" fontAlgn="base" hangingPunct="0">
            <a:spcBef>
              <a:spcPct val="0"/>
            </a:spcBef>
            <a:spcAft>
              <a:spcPct val="0"/>
            </a:spcAft>
            <a:defRPr sz="900" kern="1200">
              <a:solidFill>
                <a:schemeClr val="tx1"/>
              </a:solidFill>
              <a:latin typeface="Times New Roman" panose="02020603050405020304" pitchFamily="18" charset="0"/>
              <a:ea typeface="+mn-ea"/>
              <a:cs typeface="+mn-cs"/>
            </a:defRPr>
          </a:lvl2pPr>
          <a:lvl3pPr marL="995363" indent="-80963" algn="l" rtl="0" eaLnBrk="0" fontAlgn="base" hangingPunct="0">
            <a:spcBef>
              <a:spcPct val="0"/>
            </a:spcBef>
            <a:spcAft>
              <a:spcPct val="0"/>
            </a:spcAft>
            <a:defRPr sz="900" kern="1200">
              <a:solidFill>
                <a:schemeClr val="tx1"/>
              </a:solidFill>
              <a:latin typeface="Times New Roman" panose="02020603050405020304" pitchFamily="18" charset="0"/>
              <a:ea typeface="+mn-ea"/>
              <a:cs typeface="+mn-cs"/>
            </a:defRPr>
          </a:lvl3pPr>
          <a:lvl4pPr marL="1492250" indent="-120650" algn="l" rtl="0" eaLnBrk="0" fontAlgn="base" hangingPunct="0">
            <a:spcBef>
              <a:spcPct val="0"/>
            </a:spcBef>
            <a:spcAft>
              <a:spcPct val="0"/>
            </a:spcAft>
            <a:defRPr sz="900" kern="1200">
              <a:solidFill>
                <a:schemeClr val="tx1"/>
              </a:solidFill>
              <a:latin typeface="Times New Roman" panose="02020603050405020304" pitchFamily="18" charset="0"/>
              <a:ea typeface="+mn-ea"/>
              <a:cs typeface="+mn-cs"/>
            </a:defRPr>
          </a:lvl4pPr>
          <a:lvl5pPr marL="1990725" indent="-161925" algn="l" rtl="0" eaLnBrk="0" fontAlgn="base" hangingPunct="0">
            <a:spcBef>
              <a:spcPct val="0"/>
            </a:spcBef>
            <a:spcAft>
              <a:spcPct val="0"/>
            </a:spcAft>
            <a:defRPr sz="900" kern="1200">
              <a:solidFill>
                <a:schemeClr val="tx1"/>
              </a:solidFill>
              <a:latin typeface="Times New Roman" panose="02020603050405020304" pitchFamily="18" charset="0"/>
              <a:ea typeface="+mn-ea"/>
              <a:cs typeface="+mn-cs"/>
            </a:defRPr>
          </a:lvl5pPr>
          <a:lvl6pPr marL="2286000" algn="l" defTabSz="914400" rtl="0" eaLnBrk="1" latinLnBrk="0" hangingPunct="1">
            <a:defRPr sz="900" kern="1200">
              <a:solidFill>
                <a:schemeClr val="tx1"/>
              </a:solidFill>
              <a:latin typeface="Times New Roman" panose="02020603050405020304" pitchFamily="18" charset="0"/>
              <a:ea typeface="+mn-ea"/>
              <a:cs typeface="+mn-cs"/>
            </a:defRPr>
          </a:lvl6pPr>
          <a:lvl7pPr marL="2743200" algn="l" defTabSz="914400" rtl="0" eaLnBrk="1" latinLnBrk="0" hangingPunct="1">
            <a:defRPr sz="900" kern="1200">
              <a:solidFill>
                <a:schemeClr val="tx1"/>
              </a:solidFill>
              <a:latin typeface="Times New Roman" panose="02020603050405020304" pitchFamily="18" charset="0"/>
              <a:ea typeface="+mn-ea"/>
              <a:cs typeface="+mn-cs"/>
            </a:defRPr>
          </a:lvl7pPr>
          <a:lvl8pPr marL="3200400" algn="l" defTabSz="914400" rtl="0" eaLnBrk="1" latinLnBrk="0" hangingPunct="1">
            <a:defRPr sz="900" kern="1200">
              <a:solidFill>
                <a:schemeClr val="tx1"/>
              </a:solidFill>
              <a:latin typeface="Times New Roman" panose="02020603050405020304" pitchFamily="18" charset="0"/>
              <a:ea typeface="+mn-ea"/>
              <a:cs typeface="+mn-cs"/>
            </a:defRPr>
          </a:lvl8pPr>
          <a:lvl9pPr marL="3657600" algn="l" defTabSz="914400" rtl="0" eaLnBrk="1" latinLnBrk="0" hangingPunct="1">
            <a:defRPr sz="900" kern="1200">
              <a:solidFill>
                <a:schemeClr val="tx1"/>
              </a:solidFill>
              <a:latin typeface="Times New Roman" panose="02020603050405020304" pitchFamily="18" charset="0"/>
              <a:ea typeface="+mn-ea"/>
              <a:cs typeface="+mn-cs"/>
            </a:defRPr>
          </a:lvl9pPr>
        </a:lstStyle>
        <a:p>
          <a:r>
            <a:rPr lang="pt-PT" altLang="pt-PT" b="1">
              <a:solidFill>
                <a:schemeClr val="bg1"/>
              </a:solidFill>
              <a:latin typeface="Arial" panose="020B0604020202020204" pitchFamily="34" charset="0"/>
            </a:rPr>
            <a:t>Ficha Técnica</a:t>
          </a:r>
        </a:p>
      </xdr:txBody>
    </xdr:sp>
    <xdr:clientData/>
  </xdr:twoCellAnchor>
</xdr:wsDr>
</file>

<file path=xl/drawings/drawing40.xml><?xml version="1.0" encoding="utf-8"?>
<xdr:wsDr xmlns:xdr="http://schemas.openxmlformats.org/drawingml/2006/spreadsheetDrawing" xmlns:a="http://schemas.openxmlformats.org/drawingml/2006/main">
  <xdr:twoCellAnchor editAs="absolute">
    <xdr:from>
      <xdr:col>11</xdr:col>
      <xdr:colOff>171450</xdr:colOff>
      <xdr:row>0</xdr:row>
      <xdr:rowOff>276225</xdr:rowOff>
    </xdr:from>
    <xdr:to>
      <xdr:col>12</xdr:col>
      <xdr:colOff>466725</xdr:colOff>
      <xdr:row>0</xdr:row>
      <xdr:rowOff>590550</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115050" y="276225"/>
          <a:ext cx="822325" cy="314325"/>
        </a:xfrm>
        <a:prstGeom prst="rect">
          <a:avLst/>
        </a:prstGeom>
        <a:noFill/>
        <a:ln w="1">
          <a:noFill/>
          <a:miter lim="800000"/>
          <a:headEnd/>
          <a:tailEnd type="none" w="med" len="med"/>
        </a:ln>
        <a:effectLst/>
      </xdr:spPr>
    </xdr:pic>
    <xdr:clientData fPrintsWithSheet="0"/>
  </xdr:twoCellAnchor>
</xdr:wsDr>
</file>

<file path=xl/drawings/drawing41.xml><?xml version="1.0" encoding="utf-8"?>
<xdr:wsDr xmlns:xdr="http://schemas.openxmlformats.org/drawingml/2006/spreadsheetDrawing" xmlns:a="http://schemas.openxmlformats.org/drawingml/2006/main">
  <xdr:twoCellAnchor editAs="absolute">
    <xdr:from>
      <xdr:col>11</xdr:col>
      <xdr:colOff>19050</xdr:colOff>
      <xdr:row>0</xdr:row>
      <xdr:rowOff>238125</xdr:rowOff>
    </xdr:from>
    <xdr:to>
      <xdr:col>12</xdr:col>
      <xdr:colOff>371377</xdr:colOff>
      <xdr:row>1</xdr:row>
      <xdr:rowOff>180937</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019675" y="238125"/>
          <a:ext cx="780952" cy="304762"/>
        </a:xfrm>
        <a:prstGeom prst="rect">
          <a:avLst/>
        </a:prstGeom>
        <a:noFill/>
        <a:ln w="1">
          <a:noFill/>
          <a:miter lim="800000"/>
          <a:headEnd/>
          <a:tailEnd type="none" w="med" len="med"/>
        </a:ln>
        <a:effectLst/>
      </xdr:spPr>
    </xdr:pic>
    <xdr:clientData fPrintsWithSheet="0"/>
  </xdr:twoCellAnchor>
</xdr:wsDr>
</file>

<file path=xl/drawings/drawing42.xml><?xml version="1.0" encoding="utf-8"?>
<xdr:wsDr xmlns:xdr="http://schemas.openxmlformats.org/drawingml/2006/spreadsheetDrawing" xmlns:a="http://schemas.openxmlformats.org/drawingml/2006/main">
  <xdr:twoCellAnchor editAs="absolute">
    <xdr:from>
      <xdr:col>10</xdr:col>
      <xdr:colOff>419100</xdr:colOff>
      <xdr:row>0</xdr:row>
      <xdr:rowOff>228599</xdr:rowOff>
    </xdr:from>
    <xdr:to>
      <xdr:col>12</xdr:col>
      <xdr:colOff>380898</xdr:colOff>
      <xdr:row>1</xdr:row>
      <xdr:rowOff>171411</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4991100" y="228599"/>
          <a:ext cx="819048" cy="304762"/>
        </a:xfrm>
        <a:prstGeom prst="rect">
          <a:avLst/>
        </a:prstGeom>
        <a:noFill/>
        <a:ln w="1">
          <a:noFill/>
          <a:miter lim="800000"/>
          <a:headEnd/>
          <a:tailEnd type="none" w="med" len="med"/>
        </a:ln>
        <a:effectLst/>
      </xdr:spPr>
    </xdr:pic>
    <xdr:clientData fPrintsWithSheet="0"/>
  </xdr:twoCellAnchor>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9525</xdr:colOff>
          <xdr:row>0</xdr:row>
          <xdr:rowOff>152400</xdr:rowOff>
        </xdr:from>
        <xdr:to>
          <xdr:col>19</xdr:col>
          <xdr:colOff>495300</xdr:colOff>
          <xdr:row>2</xdr:row>
          <xdr:rowOff>19050</xdr:rowOff>
        </xdr:to>
        <xdr:sp macro="" textlink="">
          <xdr:nvSpPr>
            <xdr:cNvPr id="133121" name="Drop Down 1" hidden="1">
              <a:extLst>
                <a:ext uri="{63B3BB69-23CF-44E3-9099-C40C66FF867C}">
                  <a14:compatExt spid="_x0000_s133121"/>
                </a:ext>
                <a:ext uri="{FF2B5EF4-FFF2-40B4-BE49-F238E27FC236}">
                  <a16:creationId xmlns:a16="http://schemas.microsoft.com/office/drawing/2014/main" id="{00000000-0008-0000-1500-0000010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19</xdr:col>
      <xdr:colOff>0</xdr:colOff>
      <xdr:row>28</xdr:row>
      <xdr:rowOff>0</xdr:rowOff>
    </xdr:from>
    <xdr:to>
      <xdr:col>25</xdr:col>
      <xdr:colOff>361950</xdr:colOff>
      <xdr:row>44</xdr:row>
      <xdr:rowOff>47719</xdr:rowOff>
    </xdr:to>
    <xdr:grpSp>
      <xdr:nvGrpSpPr>
        <xdr:cNvPr id="3" name="Agrupar 2">
          <a:extLst>
            <a:ext uri="{FF2B5EF4-FFF2-40B4-BE49-F238E27FC236}">
              <a16:creationId xmlns:a16="http://schemas.microsoft.com/office/drawing/2014/main" id="{00000000-0008-0000-1500-000003000000}"/>
            </a:ext>
          </a:extLst>
        </xdr:cNvPr>
        <xdr:cNvGrpSpPr/>
      </xdr:nvGrpSpPr>
      <xdr:grpSpPr>
        <a:xfrm>
          <a:off x="12152313" y="4746625"/>
          <a:ext cx="4695825" cy="2587719"/>
          <a:chOff x="36182300" y="8426450"/>
          <a:chExt cx="4819650" cy="2597244"/>
        </a:xfrm>
      </xdr:grpSpPr>
      <xdr:graphicFrame macro="">
        <xdr:nvGraphicFramePr>
          <xdr:cNvPr id="4" name="Gráfico 3">
            <a:extLst>
              <a:ext uri="{FF2B5EF4-FFF2-40B4-BE49-F238E27FC236}">
                <a16:creationId xmlns:a16="http://schemas.microsoft.com/office/drawing/2014/main" id="{00000000-0008-0000-1500-000004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CaixaDeTexto 4">
            <a:extLst>
              <a:ext uri="{FF2B5EF4-FFF2-40B4-BE49-F238E27FC236}">
                <a16:creationId xmlns:a16="http://schemas.microsoft.com/office/drawing/2014/main" id="{00000000-0008-0000-1500-000005000000}"/>
              </a:ext>
            </a:extLst>
          </xdr:cNvPr>
          <xdr:cNvSpPr txBox="1"/>
        </xdr:nvSpPr>
        <xdr:spPr>
          <a:xfrm>
            <a:off x="39836724" y="8902700"/>
            <a:ext cx="820800"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Empresas</a:t>
            </a:r>
          </a:p>
        </xdr:txBody>
      </xdr:sp>
      <xdr:sp macro="" textlink="">
        <xdr:nvSpPr>
          <xdr:cNvPr id="6" name="CaixaDeTexto 5">
            <a:extLst>
              <a:ext uri="{FF2B5EF4-FFF2-40B4-BE49-F238E27FC236}">
                <a16:creationId xmlns:a16="http://schemas.microsoft.com/office/drawing/2014/main" id="{00000000-0008-0000-1500-000006000000}"/>
              </a:ext>
            </a:extLst>
          </xdr:cNvPr>
          <xdr:cNvSpPr txBox="1"/>
        </xdr:nvSpPr>
        <xdr:spPr>
          <a:xfrm>
            <a:off x="39833550" y="9721850"/>
            <a:ext cx="819150"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Estabelecimentos</a:t>
            </a:r>
          </a:p>
        </xdr:txBody>
      </xdr:sp>
      <xdr:sp macro="" textlink="q3_q6_q9_q12_q19_q27_Fig!$AG$23">
        <xdr:nvSpPr>
          <xdr:cNvPr id="7" name="CaixaDeTexto 6">
            <a:extLst>
              <a:ext uri="{FF2B5EF4-FFF2-40B4-BE49-F238E27FC236}">
                <a16:creationId xmlns:a16="http://schemas.microsoft.com/office/drawing/2014/main" id="{00000000-0008-0000-1500-000007000000}"/>
              </a:ext>
            </a:extLst>
          </xdr:cNvPr>
          <xdr:cNvSpPr txBox="1"/>
        </xdr:nvSpPr>
        <xdr:spPr>
          <a:xfrm>
            <a:off x="39839899" y="9994900"/>
            <a:ext cx="820800" cy="2753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032E978C-36E4-4EF9-9691-B755701A40E7}" type="TxLink">
              <a:rPr lang="en-US" sz="1000" b="1" i="0" u="none" strike="noStrike">
                <a:solidFill>
                  <a:schemeClr val="bg1"/>
                </a:solidFill>
                <a:latin typeface="Arial"/>
                <a:ea typeface="+mn-ea"/>
                <a:cs typeface="Arial"/>
              </a:rPr>
              <a:pPr marL="0" indent="0" algn="ctr"/>
              <a:t>4,3%</a:t>
            </a:fld>
            <a:endParaRPr lang="pt-PT" sz="1000" b="1" i="0" u="none" strike="noStrike">
              <a:solidFill>
                <a:schemeClr val="bg1"/>
              </a:solidFill>
              <a:latin typeface="+mn-lt"/>
              <a:ea typeface="+mn-ea"/>
              <a:cs typeface="Arial"/>
            </a:endParaRPr>
          </a:p>
        </xdr:txBody>
      </xdr:sp>
      <xdr:sp macro="" textlink="q3_q6_q9_q12_q19_q27_Fig!$AG$22">
        <xdr:nvSpPr>
          <xdr:cNvPr id="8" name="CaixaDeTexto 7">
            <a:extLst>
              <a:ext uri="{FF2B5EF4-FFF2-40B4-BE49-F238E27FC236}">
                <a16:creationId xmlns:a16="http://schemas.microsoft.com/office/drawing/2014/main" id="{00000000-0008-0000-1500-000008000000}"/>
              </a:ext>
            </a:extLst>
          </xdr:cNvPr>
          <xdr:cNvSpPr txBox="1"/>
        </xdr:nvSpPr>
        <xdr:spPr>
          <a:xfrm>
            <a:off x="39839900" y="9201150"/>
            <a:ext cx="820800" cy="281127"/>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7446CB2-B6D2-404F-B931-3C95308C5530}" type="TxLink">
              <a:rPr lang="en-US" sz="1000" b="1" i="0" u="none" strike="noStrike">
                <a:solidFill>
                  <a:schemeClr val="bg1"/>
                </a:solidFill>
                <a:latin typeface="Arial"/>
                <a:cs typeface="Arial"/>
              </a:rPr>
              <a:pPr algn="ctr"/>
              <a:t>6,7%</a:t>
            </a:fld>
            <a:endParaRPr lang="pt-PT" sz="1000" b="1">
              <a:solidFill>
                <a:schemeClr val="bg1"/>
              </a:solidFill>
              <a:latin typeface="+mn-lt"/>
            </a:endParaRPr>
          </a:p>
        </xdr:txBody>
      </xdr:sp>
    </xdr:grpSp>
    <xdr:clientData/>
  </xdr:twoCellAnchor>
  <xdr:twoCellAnchor>
    <xdr:from>
      <xdr:col>19</xdr:col>
      <xdr:colOff>0</xdr:colOff>
      <xdr:row>67</xdr:row>
      <xdr:rowOff>0</xdr:rowOff>
    </xdr:from>
    <xdr:to>
      <xdr:col>25</xdr:col>
      <xdr:colOff>361950</xdr:colOff>
      <xdr:row>83</xdr:row>
      <xdr:rowOff>47719</xdr:rowOff>
    </xdr:to>
    <xdr:grpSp>
      <xdr:nvGrpSpPr>
        <xdr:cNvPr id="9" name="Agrupar 8">
          <a:extLst>
            <a:ext uri="{FF2B5EF4-FFF2-40B4-BE49-F238E27FC236}">
              <a16:creationId xmlns:a16="http://schemas.microsoft.com/office/drawing/2014/main" id="{00000000-0008-0000-1500-000009000000}"/>
            </a:ext>
          </a:extLst>
        </xdr:cNvPr>
        <xdr:cNvGrpSpPr/>
      </xdr:nvGrpSpPr>
      <xdr:grpSpPr>
        <a:xfrm>
          <a:off x="12152313" y="10969625"/>
          <a:ext cx="4695825" cy="2587719"/>
          <a:chOff x="36182300" y="8426450"/>
          <a:chExt cx="4819650" cy="2597244"/>
        </a:xfrm>
      </xdr:grpSpPr>
      <xdr:graphicFrame macro="">
        <xdr:nvGraphicFramePr>
          <xdr:cNvPr id="10" name="Gráfico 9">
            <a:extLst>
              <a:ext uri="{FF2B5EF4-FFF2-40B4-BE49-F238E27FC236}">
                <a16:creationId xmlns:a16="http://schemas.microsoft.com/office/drawing/2014/main" id="{00000000-0008-0000-1500-00000A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1" name="CaixaDeTexto 10">
            <a:extLst>
              <a:ext uri="{FF2B5EF4-FFF2-40B4-BE49-F238E27FC236}">
                <a16:creationId xmlns:a16="http://schemas.microsoft.com/office/drawing/2014/main" id="{00000000-0008-0000-1500-00000B000000}"/>
              </a:ext>
            </a:extLst>
          </xdr:cNvPr>
          <xdr:cNvSpPr txBox="1"/>
        </xdr:nvSpPr>
        <xdr:spPr>
          <a:xfrm>
            <a:off x="39836724" y="8902700"/>
            <a:ext cx="820800"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Pessoas ao serviço</a:t>
            </a:r>
          </a:p>
        </xdr:txBody>
      </xdr:sp>
      <xdr:sp macro="" textlink="">
        <xdr:nvSpPr>
          <xdr:cNvPr id="12" name="CaixaDeTexto 11">
            <a:extLst>
              <a:ext uri="{FF2B5EF4-FFF2-40B4-BE49-F238E27FC236}">
                <a16:creationId xmlns:a16="http://schemas.microsoft.com/office/drawing/2014/main" id="{00000000-0008-0000-1500-00000C000000}"/>
              </a:ext>
            </a:extLst>
          </xdr:cNvPr>
          <xdr:cNvSpPr txBox="1"/>
        </xdr:nvSpPr>
        <xdr:spPr>
          <a:xfrm>
            <a:off x="39833550" y="9721850"/>
            <a:ext cx="819150"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TCO</a:t>
            </a:r>
          </a:p>
        </xdr:txBody>
      </xdr:sp>
      <xdr:sp macro="" textlink="q3_q6_q9_q12_q19_q27_Fig!$AG$63">
        <xdr:nvSpPr>
          <xdr:cNvPr id="13" name="CaixaDeTexto 12">
            <a:extLst>
              <a:ext uri="{FF2B5EF4-FFF2-40B4-BE49-F238E27FC236}">
                <a16:creationId xmlns:a16="http://schemas.microsoft.com/office/drawing/2014/main" id="{00000000-0008-0000-1500-00000D000000}"/>
              </a:ext>
            </a:extLst>
          </xdr:cNvPr>
          <xdr:cNvSpPr txBox="1"/>
        </xdr:nvSpPr>
        <xdr:spPr>
          <a:xfrm>
            <a:off x="39839899" y="9994900"/>
            <a:ext cx="820800" cy="2753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02D5924-8C9A-41C8-91E0-F846F9A251E2}" type="TxLink">
              <a:rPr lang="en-US" sz="1000" b="1" i="0" u="none" strike="noStrike">
                <a:solidFill>
                  <a:schemeClr val="bg1"/>
                </a:solidFill>
                <a:latin typeface="Arial"/>
                <a:ea typeface="+mn-ea"/>
                <a:cs typeface="Arial"/>
              </a:rPr>
              <a:pPr marL="0" indent="0" algn="ctr"/>
              <a:t>34,5%</a:t>
            </a:fld>
            <a:endParaRPr lang="pt-PT" sz="1000" b="1" i="0" u="none" strike="noStrike">
              <a:solidFill>
                <a:schemeClr val="bg1"/>
              </a:solidFill>
              <a:latin typeface="+mn-lt"/>
              <a:ea typeface="+mn-ea"/>
              <a:cs typeface="Arial"/>
            </a:endParaRPr>
          </a:p>
        </xdr:txBody>
      </xdr:sp>
      <xdr:sp macro="" textlink="q3_q6_q9_q12_q19_q27_Fig!$AG$62">
        <xdr:nvSpPr>
          <xdr:cNvPr id="14" name="CaixaDeTexto 13">
            <a:extLst>
              <a:ext uri="{FF2B5EF4-FFF2-40B4-BE49-F238E27FC236}">
                <a16:creationId xmlns:a16="http://schemas.microsoft.com/office/drawing/2014/main" id="{00000000-0008-0000-1500-00000E000000}"/>
              </a:ext>
            </a:extLst>
          </xdr:cNvPr>
          <xdr:cNvSpPr txBox="1"/>
        </xdr:nvSpPr>
        <xdr:spPr>
          <a:xfrm>
            <a:off x="39839900" y="9201150"/>
            <a:ext cx="820800" cy="281127"/>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6DB01A9-3583-4425-97F6-0D959BD0A5C1}" type="TxLink">
              <a:rPr lang="en-US" sz="1000" b="1" i="0" u="none" strike="noStrike">
                <a:solidFill>
                  <a:schemeClr val="bg1"/>
                </a:solidFill>
                <a:latin typeface="Arial"/>
                <a:cs typeface="Arial"/>
              </a:rPr>
              <a:pPr algn="ctr"/>
              <a:t>33,1%</a:t>
            </a:fld>
            <a:endParaRPr lang="pt-PT" sz="1000" b="1">
              <a:solidFill>
                <a:schemeClr val="bg1"/>
              </a:solidFill>
              <a:latin typeface="+mn-lt"/>
            </a:endParaRPr>
          </a:p>
        </xdr:txBody>
      </xdr:sp>
    </xdr:grpSp>
    <xdr:clientData/>
  </xdr:twoCellAnchor>
  <xdr:twoCellAnchor>
    <xdr:from>
      <xdr:col>19</xdr:col>
      <xdr:colOff>0</xdr:colOff>
      <xdr:row>107</xdr:row>
      <xdr:rowOff>0</xdr:rowOff>
    </xdr:from>
    <xdr:to>
      <xdr:col>25</xdr:col>
      <xdr:colOff>361950</xdr:colOff>
      <xdr:row>123</xdr:row>
      <xdr:rowOff>47719</xdr:rowOff>
    </xdr:to>
    <xdr:grpSp>
      <xdr:nvGrpSpPr>
        <xdr:cNvPr id="15" name="Agrupar 14">
          <a:extLst>
            <a:ext uri="{FF2B5EF4-FFF2-40B4-BE49-F238E27FC236}">
              <a16:creationId xmlns:a16="http://schemas.microsoft.com/office/drawing/2014/main" id="{00000000-0008-0000-1500-00000F000000}"/>
            </a:ext>
          </a:extLst>
        </xdr:cNvPr>
        <xdr:cNvGrpSpPr/>
      </xdr:nvGrpSpPr>
      <xdr:grpSpPr>
        <a:xfrm>
          <a:off x="12152313" y="17351375"/>
          <a:ext cx="4695825" cy="2587719"/>
          <a:chOff x="36182300" y="8426450"/>
          <a:chExt cx="4819650" cy="2597244"/>
        </a:xfrm>
      </xdr:grpSpPr>
      <xdr:graphicFrame macro="">
        <xdr:nvGraphicFramePr>
          <xdr:cNvPr id="16" name="Gráfico 15">
            <a:extLst>
              <a:ext uri="{FF2B5EF4-FFF2-40B4-BE49-F238E27FC236}">
                <a16:creationId xmlns:a16="http://schemas.microsoft.com/office/drawing/2014/main" id="{00000000-0008-0000-1500-000010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7" name="CaixaDeTexto 16">
            <a:extLst>
              <a:ext uri="{FF2B5EF4-FFF2-40B4-BE49-F238E27FC236}">
                <a16:creationId xmlns:a16="http://schemas.microsoft.com/office/drawing/2014/main" id="{00000000-0008-0000-1500-000011000000}"/>
              </a:ext>
            </a:extLst>
          </xdr:cNvPr>
          <xdr:cNvSpPr txBox="1"/>
        </xdr:nvSpPr>
        <xdr:spPr>
          <a:xfrm>
            <a:off x="39836724" y="8902700"/>
            <a:ext cx="796408"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a:t>
            </a:r>
            <a:r>
              <a:rPr lang="pt-PT" sz="800" b="1" baseline="0">
                <a:solidFill>
                  <a:schemeClr val="bg1"/>
                </a:solidFill>
                <a:latin typeface="+mn-lt"/>
                <a:ea typeface="+mn-ea"/>
                <a:cs typeface="+mn-cs"/>
              </a:rPr>
              <a:t> Base</a:t>
            </a:r>
          </a:p>
        </xdr:txBody>
      </xdr:sp>
      <xdr:sp macro="" textlink="">
        <xdr:nvSpPr>
          <xdr:cNvPr id="18" name="CaixaDeTexto 17">
            <a:extLst>
              <a:ext uri="{FF2B5EF4-FFF2-40B4-BE49-F238E27FC236}">
                <a16:creationId xmlns:a16="http://schemas.microsoft.com/office/drawing/2014/main" id="{00000000-0008-0000-1500-000012000000}"/>
              </a:ext>
            </a:extLst>
          </xdr:cNvPr>
          <xdr:cNvSpPr txBox="1"/>
        </xdr:nvSpPr>
        <xdr:spPr>
          <a:xfrm>
            <a:off x="39833550" y="9721850"/>
            <a:ext cx="819150"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 Ganho</a:t>
            </a:r>
          </a:p>
        </xdr:txBody>
      </xdr:sp>
      <xdr:sp macro="" textlink="q3_q6_q9_q12_q19_q27_Fig!$AG$103">
        <xdr:nvSpPr>
          <xdr:cNvPr id="19" name="CaixaDeTexto 18">
            <a:extLst>
              <a:ext uri="{FF2B5EF4-FFF2-40B4-BE49-F238E27FC236}">
                <a16:creationId xmlns:a16="http://schemas.microsoft.com/office/drawing/2014/main" id="{00000000-0008-0000-1500-000013000000}"/>
              </a:ext>
            </a:extLst>
          </xdr:cNvPr>
          <xdr:cNvSpPr txBox="1"/>
        </xdr:nvSpPr>
        <xdr:spPr>
          <a:xfrm>
            <a:off x="39839899" y="9994900"/>
            <a:ext cx="820800" cy="2753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ABEB6391-2DA1-4399-8E59-5272F0F21967}" type="TxLink">
              <a:rPr lang="en-US" sz="1000" b="1" i="0" u="none" strike="noStrike">
                <a:solidFill>
                  <a:schemeClr val="bg1"/>
                </a:solidFill>
                <a:latin typeface="Arial"/>
                <a:ea typeface="+mn-ea"/>
                <a:cs typeface="Arial"/>
              </a:rPr>
              <a:pPr marL="0" indent="0" algn="ctr"/>
              <a:t>18,7%</a:t>
            </a:fld>
            <a:endParaRPr lang="pt-PT" sz="1000" b="1" i="0" u="none" strike="noStrike">
              <a:solidFill>
                <a:schemeClr val="bg1"/>
              </a:solidFill>
              <a:latin typeface="+mn-lt"/>
              <a:ea typeface="+mn-ea"/>
              <a:cs typeface="Arial"/>
            </a:endParaRPr>
          </a:p>
        </xdr:txBody>
      </xdr:sp>
      <xdr:sp macro="" textlink="q3_q6_q9_q12_q19_q27_Fig!$AG$102">
        <xdr:nvSpPr>
          <xdr:cNvPr id="20" name="CaixaDeTexto 19">
            <a:extLst>
              <a:ext uri="{FF2B5EF4-FFF2-40B4-BE49-F238E27FC236}">
                <a16:creationId xmlns:a16="http://schemas.microsoft.com/office/drawing/2014/main" id="{00000000-0008-0000-1500-000014000000}"/>
              </a:ext>
            </a:extLst>
          </xdr:cNvPr>
          <xdr:cNvSpPr txBox="1"/>
        </xdr:nvSpPr>
        <xdr:spPr>
          <a:xfrm>
            <a:off x="39839901" y="9201150"/>
            <a:ext cx="797393" cy="26075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28287C6-FD56-4FDB-A45D-6AFD0E0E070A}" type="TxLink">
              <a:rPr lang="en-US" sz="1000" b="1" i="0" u="none" strike="noStrike">
                <a:solidFill>
                  <a:schemeClr val="bg1"/>
                </a:solidFill>
                <a:latin typeface="Arial"/>
                <a:cs typeface="Arial"/>
              </a:rPr>
              <a:pPr algn="ctr"/>
              <a:t>18,9%</a:t>
            </a:fld>
            <a:endParaRPr lang="pt-PT" sz="1000" b="1">
              <a:solidFill>
                <a:schemeClr val="bg1"/>
              </a:solidFill>
              <a:latin typeface="+mn-lt"/>
            </a:endParaRPr>
          </a:p>
        </xdr:txBody>
      </xdr:sp>
    </xdr:grpSp>
    <xdr:clientData/>
  </xdr:twoCellAnchor>
  <mc:AlternateContent xmlns:mc="http://schemas.openxmlformats.org/markup-compatibility/2006">
    <mc:Choice xmlns:a14="http://schemas.microsoft.com/office/drawing/2010/main" Requires="a14">
      <xdr:twoCellAnchor editAs="oneCell">
        <xdr:from>
          <xdr:col>38</xdr:col>
          <xdr:colOff>9525</xdr:colOff>
          <xdr:row>15</xdr:row>
          <xdr:rowOff>0</xdr:rowOff>
        </xdr:from>
        <xdr:to>
          <xdr:col>39</xdr:col>
          <xdr:colOff>38100</xdr:colOff>
          <xdr:row>16</xdr:row>
          <xdr:rowOff>0</xdr:rowOff>
        </xdr:to>
        <xdr:sp macro="" textlink="">
          <xdr:nvSpPr>
            <xdr:cNvPr id="133122" name="Drop Down 2" hidden="1">
              <a:extLst>
                <a:ext uri="{63B3BB69-23CF-44E3-9099-C40C66FF867C}">
                  <a14:compatExt spid="_x0000_s133122"/>
                </a:ext>
                <a:ext uri="{FF2B5EF4-FFF2-40B4-BE49-F238E27FC236}">
                  <a16:creationId xmlns:a16="http://schemas.microsoft.com/office/drawing/2014/main" id="{00000000-0008-0000-1500-0000020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xdr:colOff>
          <xdr:row>15</xdr:row>
          <xdr:rowOff>0</xdr:rowOff>
        </xdr:from>
        <xdr:to>
          <xdr:col>46</xdr:col>
          <xdr:colOff>38100</xdr:colOff>
          <xdr:row>16</xdr:row>
          <xdr:rowOff>0</xdr:rowOff>
        </xdr:to>
        <xdr:sp macro="" textlink="">
          <xdr:nvSpPr>
            <xdr:cNvPr id="133123" name="Drop Down 3" hidden="1">
              <a:extLst>
                <a:ext uri="{63B3BB69-23CF-44E3-9099-C40C66FF867C}">
                  <a14:compatExt spid="_x0000_s133123"/>
                </a:ext>
                <a:ext uri="{FF2B5EF4-FFF2-40B4-BE49-F238E27FC236}">
                  <a16:creationId xmlns:a16="http://schemas.microsoft.com/office/drawing/2014/main" id="{00000000-0008-0000-1500-0000030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9525</xdr:colOff>
          <xdr:row>15</xdr:row>
          <xdr:rowOff>0</xdr:rowOff>
        </xdr:from>
        <xdr:to>
          <xdr:col>53</xdr:col>
          <xdr:colOff>19050</xdr:colOff>
          <xdr:row>16</xdr:row>
          <xdr:rowOff>0</xdr:rowOff>
        </xdr:to>
        <xdr:sp macro="" textlink="">
          <xdr:nvSpPr>
            <xdr:cNvPr id="133124" name="Drop Down 4" hidden="1">
              <a:extLst>
                <a:ext uri="{63B3BB69-23CF-44E3-9099-C40C66FF867C}">
                  <a14:compatExt spid="_x0000_s133124"/>
                </a:ext>
                <a:ext uri="{FF2B5EF4-FFF2-40B4-BE49-F238E27FC236}">
                  <a16:creationId xmlns:a16="http://schemas.microsoft.com/office/drawing/2014/main" id="{00000000-0008-0000-1500-0000040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37</xdr:col>
      <xdr:colOff>60614</xdr:colOff>
      <xdr:row>43</xdr:row>
      <xdr:rowOff>37523</xdr:rowOff>
    </xdr:from>
    <xdr:to>
      <xdr:col>43</xdr:col>
      <xdr:colOff>224108</xdr:colOff>
      <xdr:row>67</xdr:row>
      <xdr:rowOff>131932</xdr:rowOff>
    </xdr:to>
    <xdr:grpSp>
      <xdr:nvGrpSpPr>
        <xdr:cNvPr id="2" name="Agrupar 1">
          <a:extLst>
            <a:ext uri="{FF2B5EF4-FFF2-40B4-BE49-F238E27FC236}">
              <a16:creationId xmlns:a16="http://schemas.microsoft.com/office/drawing/2014/main" id="{00000000-0008-0000-1500-000002000000}"/>
            </a:ext>
          </a:extLst>
        </xdr:cNvPr>
        <xdr:cNvGrpSpPr/>
      </xdr:nvGrpSpPr>
      <xdr:grpSpPr>
        <a:xfrm>
          <a:off x="25968614" y="7165398"/>
          <a:ext cx="3830619" cy="3936159"/>
          <a:chOff x="27198205" y="7478568"/>
          <a:chExt cx="4008130" cy="4123773"/>
        </a:xfrm>
      </xdr:grpSpPr>
      <xdr:graphicFrame macro="">
        <xdr:nvGraphicFramePr>
          <xdr:cNvPr id="45" name="Gráfico 44">
            <a:extLst>
              <a:ext uri="{FF2B5EF4-FFF2-40B4-BE49-F238E27FC236}">
                <a16:creationId xmlns:a16="http://schemas.microsoft.com/office/drawing/2014/main" id="{00000000-0008-0000-1500-00002D000000}"/>
              </a:ext>
            </a:extLst>
          </xdr:cNvPr>
          <xdr:cNvGraphicFramePr/>
        </xdr:nvGraphicFramePr>
        <xdr:xfrm>
          <a:off x="27198205" y="7478568"/>
          <a:ext cx="2710018" cy="4123773"/>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48" name="Agrupar 47">
            <a:extLst>
              <a:ext uri="{FF2B5EF4-FFF2-40B4-BE49-F238E27FC236}">
                <a16:creationId xmlns:a16="http://schemas.microsoft.com/office/drawing/2014/main" id="{00000000-0008-0000-1500-000030000000}"/>
              </a:ext>
            </a:extLst>
          </xdr:cNvPr>
          <xdr:cNvGrpSpPr/>
        </xdr:nvGrpSpPr>
        <xdr:grpSpPr>
          <a:xfrm>
            <a:off x="29186733" y="7567120"/>
            <a:ext cx="2019602" cy="3870968"/>
            <a:chOff x="25929945" y="6707910"/>
            <a:chExt cx="2164306" cy="3088635"/>
          </a:xfrm>
        </xdr:grpSpPr>
        <mc:AlternateContent xmlns:mc="http://schemas.openxmlformats.org/markup-compatibility/2006">
          <mc:Choice xmlns:cx4="http://schemas.microsoft.com/office/drawing/2016/5/10/chartex" Requires="cx4">
            <xdr:graphicFrame macro="">
              <xdr:nvGraphicFramePr>
                <xdr:cNvPr id="49" name="Gráfico 48">
                  <a:extLst>
                    <a:ext uri="{FF2B5EF4-FFF2-40B4-BE49-F238E27FC236}">
                      <a16:creationId xmlns:a16="http://schemas.microsoft.com/office/drawing/2014/main" id="{00000000-0008-0000-1500-000031000000}"/>
                    </a:ext>
                  </a:extLst>
                </xdr:cNvPr>
                <xdr:cNvGraphicFramePr/>
              </xdr:nvGraphicFramePr>
              <xdr:xfrm>
                <a:off x="25929945" y="6707910"/>
                <a:ext cx="2075527" cy="1529773"/>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25929945" y="6707910"/>
                  <a:ext cx="2075527" cy="1529773"/>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mc:AlternateContent xmlns:mc="http://schemas.openxmlformats.org/markup-compatibility/2006">
          <mc:Choice xmlns:cx4="http://schemas.microsoft.com/office/drawing/2016/5/10/chartex" Requires="cx4">
            <xdr:graphicFrame macro="">
              <xdr:nvGraphicFramePr>
                <xdr:cNvPr id="50" name="Gráfico 49">
                  <a:extLst>
                    <a:ext uri="{FF2B5EF4-FFF2-40B4-BE49-F238E27FC236}">
                      <a16:creationId xmlns:a16="http://schemas.microsoft.com/office/drawing/2014/main" id="{00000000-0008-0000-1500-000032000000}"/>
                    </a:ext>
                  </a:extLst>
                </xdr:cNvPr>
                <xdr:cNvGraphicFramePr/>
              </xdr:nvGraphicFramePr>
              <xdr:xfrm>
                <a:off x="26018728" y="8266545"/>
                <a:ext cx="2075523" cy="153000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26018728" y="8266545"/>
                  <a:ext cx="2075523" cy="1530000"/>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xdr:grpSp>
    </xdr:grpSp>
    <xdr:clientData/>
  </xdr:twoCellAnchor>
  <xdr:twoCellAnchor>
    <xdr:from>
      <xdr:col>45</xdr:col>
      <xdr:colOff>239568</xdr:colOff>
      <xdr:row>42</xdr:row>
      <xdr:rowOff>89477</xdr:rowOff>
    </xdr:from>
    <xdr:to>
      <xdr:col>51</xdr:col>
      <xdr:colOff>408547</xdr:colOff>
      <xdr:row>67</xdr:row>
      <xdr:rowOff>16477</xdr:rowOff>
    </xdr:to>
    <xdr:grpSp>
      <xdr:nvGrpSpPr>
        <xdr:cNvPr id="55" name="Agrupar 54">
          <a:extLst>
            <a:ext uri="{FF2B5EF4-FFF2-40B4-BE49-F238E27FC236}">
              <a16:creationId xmlns:a16="http://schemas.microsoft.com/office/drawing/2014/main" id="{00000000-0008-0000-1500-000037000000}"/>
            </a:ext>
          </a:extLst>
        </xdr:cNvPr>
        <xdr:cNvGrpSpPr/>
      </xdr:nvGrpSpPr>
      <xdr:grpSpPr>
        <a:xfrm>
          <a:off x="31037068" y="7058602"/>
          <a:ext cx="3836104" cy="3927500"/>
          <a:chOff x="4686304" y="5695948"/>
          <a:chExt cx="4047546" cy="4140000"/>
        </a:xfrm>
      </xdr:grpSpPr>
      <xdr:graphicFrame macro="">
        <xdr:nvGraphicFramePr>
          <xdr:cNvPr id="56" name="Gráfico 55">
            <a:extLst>
              <a:ext uri="{FF2B5EF4-FFF2-40B4-BE49-F238E27FC236}">
                <a16:creationId xmlns:a16="http://schemas.microsoft.com/office/drawing/2014/main" id="{00000000-0008-0000-1500-000038000000}"/>
              </a:ext>
            </a:extLst>
          </xdr:cNvPr>
          <xdr:cNvGraphicFramePr/>
        </xdr:nvGraphicFramePr>
        <xdr:xfrm>
          <a:off x="4686304" y="5695948"/>
          <a:ext cx="2700000" cy="4140000"/>
        </xdr:xfrm>
        <a:graphic>
          <a:graphicData uri="http://schemas.openxmlformats.org/drawingml/2006/chart">
            <c:chart xmlns:c="http://schemas.openxmlformats.org/drawingml/2006/chart" xmlns:r="http://schemas.openxmlformats.org/officeDocument/2006/relationships" r:id="rId7"/>
          </a:graphicData>
        </a:graphic>
      </xdr:graphicFrame>
      <xdr:grpSp>
        <xdr:nvGrpSpPr>
          <xdr:cNvPr id="57" name="Agrupar 56">
            <a:extLst>
              <a:ext uri="{FF2B5EF4-FFF2-40B4-BE49-F238E27FC236}">
                <a16:creationId xmlns:a16="http://schemas.microsoft.com/office/drawing/2014/main" id="{00000000-0008-0000-1500-000039000000}"/>
              </a:ext>
            </a:extLst>
          </xdr:cNvPr>
          <xdr:cNvGrpSpPr/>
        </xdr:nvGrpSpPr>
        <xdr:grpSpPr>
          <a:xfrm>
            <a:off x="6775450" y="5772150"/>
            <a:ext cx="1958400" cy="3888000"/>
            <a:chOff x="30699366" y="10194636"/>
            <a:chExt cx="1935370" cy="3790590"/>
          </a:xfrm>
        </xdr:grpSpPr>
        <mc:AlternateContent xmlns:mc="http://schemas.openxmlformats.org/markup-compatibility/2006">
          <mc:Choice xmlns:cx4="http://schemas.microsoft.com/office/drawing/2016/5/10/chartex" Requires="cx4">
            <xdr:graphicFrame macro="">
              <xdr:nvGraphicFramePr>
                <xdr:cNvPr id="58" name="Gráfico 57">
                  <a:extLst>
                    <a:ext uri="{FF2B5EF4-FFF2-40B4-BE49-F238E27FC236}">
                      <a16:creationId xmlns:a16="http://schemas.microsoft.com/office/drawing/2014/main" id="{00000000-0008-0000-1500-00003A000000}"/>
                    </a:ext>
                  </a:extLst>
                </xdr:cNvPr>
                <xdr:cNvGraphicFramePr/>
              </xdr:nvGraphicFramePr>
              <xdr:xfrm>
                <a:off x="30705136" y="10194636"/>
                <a:ext cx="1929600" cy="1925999"/>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30705136" y="10194636"/>
                  <a:ext cx="1929600" cy="1925999"/>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mc:AlternateContent xmlns:mc="http://schemas.openxmlformats.org/markup-compatibility/2006">
          <mc:Choice xmlns:cx4="http://schemas.microsoft.com/office/drawing/2016/5/10/chartex" Requires="cx4">
            <xdr:graphicFrame macro="">
              <xdr:nvGraphicFramePr>
                <xdr:cNvPr id="59" name="Gráfico 58">
                  <a:extLst>
                    <a:ext uri="{FF2B5EF4-FFF2-40B4-BE49-F238E27FC236}">
                      <a16:creationId xmlns:a16="http://schemas.microsoft.com/office/drawing/2014/main" id="{00000000-0008-0000-1500-00003B000000}"/>
                    </a:ext>
                  </a:extLst>
                </xdr:cNvPr>
                <xdr:cNvGraphicFramePr/>
              </xdr:nvGraphicFramePr>
              <xdr:xfrm>
                <a:off x="30699366" y="12059227"/>
                <a:ext cx="1929600" cy="1925999"/>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30699366" y="12059227"/>
                  <a:ext cx="1929600" cy="1925999"/>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xdr:grpSp>
    </xdr:grpSp>
    <xdr:clientData/>
  </xdr:twoCellAnchor>
  <xdr:twoCellAnchor>
    <xdr:from>
      <xdr:col>54</xdr:col>
      <xdr:colOff>196272</xdr:colOff>
      <xdr:row>42</xdr:row>
      <xdr:rowOff>144318</xdr:rowOff>
    </xdr:from>
    <xdr:to>
      <xdr:col>60</xdr:col>
      <xdr:colOff>240122</xdr:colOff>
      <xdr:row>67</xdr:row>
      <xdr:rowOff>74204</xdr:rowOff>
    </xdr:to>
    <xdr:grpSp>
      <xdr:nvGrpSpPr>
        <xdr:cNvPr id="68" name="Agrupar 67">
          <a:extLst>
            <a:ext uri="{FF2B5EF4-FFF2-40B4-BE49-F238E27FC236}">
              <a16:creationId xmlns:a16="http://schemas.microsoft.com/office/drawing/2014/main" id="{00000000-0008-0000-1500-000044000000}"/>
            </a:ext>
          </a:extLst>
        </xdr:cNvPr>
        <xdr:cNvGrpSpPr/>
      </xdr:nvGrpSpPr>
      <xdr:grpSpPr>
        <a:xfrm>
          <a:off x="36526210" y="7113443"/>
          <a:ext cx="3742725" cy="3930386"/>
          <a:chOff x="9321800" y="5695949"/>
          <a:chExt cx="3925560" cy="4140000"/>
        </a:xfrm>
      </xdr:grpSpPr>
      <xdr:grpSp>
        <xdr:nvGrpSpPr>
          <xdr:cNvPr id="69" name="Agrupar 68">
            <a:extLst>
              <a:ext uri="{FF2B5EF4-FFF2-40B4-BE49-F238E27FC236}">
                <a16:creationId xmlns:a16="http://schemas.microsoft.com/office/drawing/2014/main" id="{00000000-0008-0000-1500-000045000000}"/>
              </a:ext>
            </a:extLst>
          </xdr:cNvPr>
          <xdr:cNvGrpSpPr/>
        </xdr:nvGrpSpPr>
        <xdr:grpSpPr>
          <a:xfrm>
            <a:off x="11288960" y="5768938"/>
            <a:ext cx="1958400" cy="3888000"/>
            <a:chOff x="10933360" y="5102189"/>
            <a:chExt cx="1937290" cy="3770711"/>
          </a:xfrm>
        </xdr:grpSpPr>
        <mc:AlternateContent xmlns:mc="http://schemas.openxmlformats.org/markup-compatibility/2006">
          <mc:Choice xmlns:cx4="http://schemas.microsoft.com/office/drawing/2016/5/10/chartex" Requires="cx4">
            <xdr:graphicFrame macro="">
              <xdr:nvGraphicFramePr>
                <xdr:cNvPr id="71" name="Gráfico 70">
                  <a:extLst>
                    <a:ext uri="{FF2B5EF4-FFF2-40B4-BE49-F238E27FC236}">
                      <a16:creationId xmlns:a16="http://schemas.microsoft.com/office/drawing/2014/main" id="{00000000-0008-0000-1500-000047000000}"/>
                    </a:ext>
                  </a:extLst>
                </xdr:cNvPr>
                <xdr:cNvGraphicFramePr/>
              </xdr:nvGraphicFramePr>
              <xdr:xfrm>
                <a:off x="10933360" y="5102189"/>
                <a:ext cx="1929600" cy="1916778"/>
              </xdr:xfrm>
              <a:graphic>
                <a:graphicData uri="http://schemas.microsoft.com/office/drawing/2014/chartex">
                  <cx:chart xmlns:cx="http://schemas.microsoft.com/office/drawing/2014/chartex" xmlns:r="http://schemas.openxmlformats.org/officeDocument/2006/relationships" r:id="rId10"/>
                </a:graphicData>
              </a:graphic>
            </xdr:graphicFrame>
          </mc:Choice>
          <mc:Fallback>
            <xdr:sp macro="" textlink="">
              <xdr:nvSpPr>
                <xdr:cNvPr id="0" name=""/>
                <xdr:cNvSpPr>
                  <a:spLocks noTextEdit="1"/>
                </xdr:cNvSpPr>
              </xdr:nvSpPr>
              <xdr:spPr>
                <a:xfrm>
                  <a:off x="10933360" y="5102189"/>
                  <a:ext cx="1929600" cy="1916778"/>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mc:AlternateContent xmlns:mc="http://schemas.openxmlformats.org/markup-compatibility/2006">
          <mc:Choice xmlns:cx4="http://schemas.microsoft.com/office/drawing/2016/5/10/chartex" Requires="cx4">
            <xdr:graphicFrame macro="">
              <xdr:nvGraphicFramePr>
                <xdr:cNvPr id="72" name="Gráfico 71">
                  <a:extLst>
                    <a:ext uri="{FF2B5EF4-FFF2-40B4-BE49-F238E27FC236}">
                      <a16:creationId xmlns:a16="http://schemas.microsoft.com/office/drawing/2014/main" id="{00000000-0008-0000-1500-000048000000}"/>
                    </a:ext>
                  </a:extLst>
                </xdr:cNvPr>
                <xdr:cNvGraphicFramePr/>
              </xdr:nvGraphicFramePr>
              <xdr:xfrm>
                <a:off x="10941050" y="6946900"/>
                <a:ext cx="1929600" cy="1926000"/>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10941050" y="6946900"/>
                  <a:ext cx="1929600" cy="1926000"/>
                </a:xfrm>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xdr:grpSp>
      <xdr:graphicFrame macro="">
        <xdr:nvGraphicFramePr>
          <xdr:cNvPr id="70" name="Gráfico 69">
            <a:extLst>
              <a:ext uri="{FF2B5EF4-FFF2-40B4-BE49-F238E27FC236}">
                <a16:creationId xmlns:a16="http://schemas.microsoft.com/office/drawing/2014/main" id="{00000000-0008-0000-1500-000046000000}"/>
              </a:ext>
            </a:extLst>
          </xdr:cNvPr>
          <xdr:cNvGraphicFramePr>
            <a:graphicFrameLocks/>
          </xdr:cNvGraphicFramePr>
        </xdr:nvGraphicFramePr>
        <xdr:xfrm>
          <a:off x="9321800" y="5695949"/>
          <a:ext cx="2700000" cy="414000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30</xdr:col>
      <xdr:colOff>0</xdr:colOff>
      <xdr:row>37</xdr:row>
      <xdr:rowOff>0</xdr:rowOff>
    </xdr:from>
    <xdr:to>
      <xdr:col>35</xdr:col>
      <xdr:colOff>39494</xdr:colOff>
      <xdr:row>41</xdr:row>
      <xdr:rowOff>74609</xdr:rowOff>
    </xdr:to>
    <xdr:sp macro="" textlink="q3_q6_q9_q12_q19_q27_Fig!$AE$29">
      <xdr:nvSpPr>
        <xdr:cNvPr id="73" name="CaixaDeTexto 72">
          <a:extLst>
            <a:ext uri="{FF2B5EF4-FFF2-40B4-BE49-F238E27FC236}">
              <a16:creationId xmlns:a16="http://schemas.microsoft.com/office/drawing/2014/main" id="{00000000-0008-0000-1500-000049000000}"/>
            </a:ext>
          </a:extLst>
        </xdr:cNvPr>
        <xdr:cNvSpPr txBox="1"/>
      </xdr:nvSpPr>
      <xdr:spPr>
        <a:xfrm>
          <a:off x="20366182" y="6373091"/>
          <a:ext cx="4299767" cy="7327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67FA102B-623E-4758-BD81-C3B686AC7758}" type="TxLink">
            <a:rPr lang="en-US" sz="1000" b="1" i="0" u="none" strike="noStrike">
              <a:solidFill>
                <a:srgbClr val="17375E"/>
              </a:solidFill>
              <a:latin typeface="Calibri"/>
              <a:cs typeface="Calibri"/>
            </a:rPr>
            <a:pPr algn="l"/>
            <a:t>2022:
O distrito de Lisboa era a sede de 63.924 empresas (6,7%, ou seja, mais 3.996 que em 2012) e era a localização de 75.266 estabelecimentos (4,3%, ou seja, mais 3.102 que em 2012).</a:t>
          </a:fld>
          <a:endParaRPr lang="pt-PT" sz="1000" b="1">
            <a:solidFill>
              <a:srgbClr val="17375E"/>
            </a:solidFill>
            <a:latin typeface="+mn-lt"/>
          </a:endParaRPr>
        </a:p>
      </xdr:txBody>
    </xdr:sp>
    <xdr:clientData/>
  </xdr:twoCellAnchor>
  <xdr:oneCellAnchor>
    <xdr:from>
      <xdr:col>38</xdr:col>
      <xdr:colOff>49068</xdr:colOff>
      <xdr:row>10</xdr:row>
      <xdr:rowOff>31749</xdr:rowOff>
    </xdr:from>
    <xdr:ext cx="4305600" cy="805296"/>
    <xdr:sp macro="" textlink="q3_q6_q9_q12_q19_q27_Fig!$AL$4">
      <xdr:nvSpPr>
        <xdr:cNvPr id="74" name="CaixaDeTexto 73">
          <a:extLst>
            <a:ext uri="{FF2B5EF4-FFF2-40B4-BE49-F238E27FC236}">
              <a16:creationId xmlns:a16="http://schemas.microsoft.com/office/drawing/2014/main" id="{00000000-0008-0000-1500-00004A000000}"/>
            </a:ext>
          </a:extLst>
        </xdr:cNvPr>
        <xdr:cNvSpPr txBox="1"/>
      </xdr:nvSpPr>
      <xdr:spPr>
        <a:xfrm>
          <a:off x="26568256" y="1619249"/>
          <a:ext cx="4305600" cy="805296"/>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fld id="{05EE6538-8254-4769-9B41-D130758B06B6}" type="TxLink">
            <a:rPr lang="en-US" sz="900" b="1" i="0" u="none" strike="noStrike">
              <a:solidFill>
                <a:srgbClr val="19375E"/>
              </a:solidFill>
              <a:latin typeface="Calibri"/>
              <a:cs typeface="Calibri"/>
            </a:rPr>
            <a:pPr algn="l"/>
            <a:t>2022:
O distrito de Lisboa era a sede de 63.924 empresas (equivalendo a 22,4% do Continente, sendo o 1º de 18 distritos);
Era também a localização de 75.266 estabelecimentos (constituindo 22,6% do Continente, sendo o 1º de 18 distritos).</a:t>
          </a:fld>
          <a:endParaRPr lang="en-US" sz="900" b="1">
            <a:solidFill>
              <a:srgbClr val="19375E"/>
            </a:solidFill>
          </a:endParaRPr>
        </a:p>
      </xdr:txBody>
    </xdr:sp>
    <xdr:clientData/>
  </xdr:oneCellAnchor>
  <xdr:twoCellAnchor>
    <xdr:from>
      <xdr:col>30</xdr:col>
      <xdr:colOff>0</xdr:colOff>
      <xdr:row>77</xdr:row>
      <xdr:rowOff>0</xdr:rowOff>
    </xdr:from>
    <xdr:to>
      <xdr:col>35</xdr:col>
      <xdr:colOff>22560</xdr:colOff>
      <xdr:row>81</xdr:row>
      <xdr:rowOff>74609</xdr:rowOff>
    </xdr:to>
    <xdr:sp macro="" textlink="q3_q6_q9_q12_q19_q27_Fig!$AE$69">
      <xdr:nvSpPr>
        <xdr:cNvPr id="75" name="CaixaDeTexto 74">
          <a:extLst>
            <a:ext uri="{FF2B5EF4-FFF2-40B4-BE49-F238E27FC236}">
              <a16:creationId xmlns:a16="http://schemas.microsoft.com/office/drawing/2014/main" id="{00000000-0008-0000-1500-00004B000000}"/>
            </a:ext>
          </a:extLst>
        </xdr:cNvPr>
        <xdr:cNvSpPr txBox="1"/>
      </xdr:nvSpPr>
      <xdr:spPr>
        <a:xfrm>
          <a:off x="20366182" y="12971318"/>
          <a:ext cx="4282833" cy="7327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8B68D530-8978-42BF-A477-72FE6EFAFB1D}" type="TxLink">
            <a:rPr lang="en-US" sz="1000" b="1" i="0" u="none" strike="noStrike">
              <a:solidFill>
                <a:srgbClr val="17375E"/>
              </a:solidFill>
              <a:latin typeface="Calibri"/>
              <a:cs typeface="Calibri"/>
            </a:rPr>
            <a:pPr algn="l"/>
            <a:t>2022:
As empresas do distrito de Lisboa tinham ao seu serviço 981.424 pessoas (33,1%, ou seja, mais 244.286 que em 2012) e tinham 937.531 TCO (34,5%, mais 240.735 que em 2012).</a:t>
          </a:fld>
          <a:endParaRPr lang="pt-PT" sz="1000" b="1">
            <a:solidFill>
              <a:srgbClr val="17375E"/>
            </a:solidFill>
            <a:latin typeface="+mn-lt"/>
          </a:endParaRPr>
        </a:p>
      </xdr:txBody>
    </xdr:sp>
    <xdr:clientData/>
  </xdr:twoCellAnchor>
  <xdr:twoCellAnchor>
    <xdr:from>
      <xdr:col>50</xdr:col>
      <xdr:colOff>60614</xdr:colOff>
      <xdr:row>8</xdr:row>
      <xdr:rowOff>103910</xdr:rowOff>
    </xdr:from>
    <xdr:to>
      <xdr:col>57</xdr:col>
      <xdr:colOff>17233</xdr:colOff>
      <xdr:row>14</xdr:row>
      <xdr:rowOff>77974</xdr:rowOff>
    </xdr:to>
    <xdr:sp macro="" textlink="q3_q6_q9_q12_q19_q27_Fig!$AY$2">
      <xdr:nvSpPr>
        <xdr:cNvPr id="76" name="CaixaDeTexto 75">
          <a:extLst>
            <a:ext uri="{FF2B5EF4-FFF2-40B4-BE49-F238E27FC236}">
              <a16:creationId xmlns:a16="http://schemas.microsoft.com/office/drawing/2014/main" id="{00000000-0008-0000-1500-00004C000000}"/>
            </a:ext>
          </a:extLst>
        </xdr:cNvPr>
        <xdr:cNvSpPr txBox="1"/>
      </xdr:nvSpPr>
      <xdr:spPr>
        <a:xfrm>
          <a:off x="33779114" y="1420092"/>
          <a:ext cx="4303483" cy="9612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1F28934-1925-4A62-87C6-4367C739C557}" type="TxLink">
            <a:rPr lang="en-US" sz="1000" b="1" i="0" u="none" strike="noStrike">
              <a:solidFill>
                <a:srgbClr val="19375E"/>
              </a:solidFill>
              <a:latin typeface="Calibri"/>
              <a:cs typeface="Calibri"/>
            </a:rPr>
            <a:pPr algn="l"/>
            <a:t>2022:
As empresas do distrito de Lisboa tinham ao seu serviço 981.424 pessoas (29,4% do Continente, ocupando a 1º posição entre 18 distritos) e  937.531 TCO ( 29,8% do Continente, sendo o 1º de 18 distritos).</a:t>
          </a:fld>
          <a:endParaRPr lang="pt-PT" sz="1000" b="1">
            <a:solidFill>
              <a:srgbClr val="19375E"/>
            </a:solidFill>
            <a:latin typeface="+mn-lt"/>
          </a:endParaRPr>
        </a:p>
      </xdr:txBody>
    </xdr:sp>
    <xdr:clientData/>
  </xdr:twoCellAnchor>
  <xdr:twoCellAnchor>
    <xdr:from>
      <xdr:col>30</xdr:col>
      <xdr:colOff>8659</xdr:colOff>
      <xdr:row>116</xdr:row>
      <xdr:rowOff>95249</xdr:rowOff>
    </xdr:from>
    <xdr:to>
      <xdr:col>35</xdr:col>
      <xdr:colOff>64269</xdr:colOff>
      <xdr:row>122</xdr:row>
      <xdr:rowOff>150813</xdr:rowOff>
    </xdr:to>
    <xdr:sp macro="" textlink="q3_q6_q9_q12_q19_q27_Fig!$AE$109">
      <xdr:nvSpPr>
        <xdr:cNvPr id="77" name="CaixaDeTexto 76">
          <a:extLst>
            <a:ext uri="{FF2B5EF4-FFF2-40B4-BE49-F238E27FC236}">
              <a16:creationId xmlns:a16="http://schemas.microsoft.com/office/drawing/2014/main" id="{00000000-0008-0000-1500-00004D000000}"/>
            </a:ext>
          </a:extLst>
        </xdr:cNvPr>
        <xdr:cNvSpPr txBox="1"/>
      </xdr:nvSpPr>
      <xdr:spPr>
        <a:xfrm>
          <a:off x="20415972" y="18875374"/>
          <a:ext cx="4333922" cy="1008064"/>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9677BE54-6F28-4EC0-8FA0-7616C2A8B54A}" type="TxLink">
            <a:rPr lang="en-US" sz="1000" b="1" i="0" u="none" strike="noStrike">
              <a:solidFill>
                <a:srgbClr val="17375E"/>
              </a:solidFill>
              <a:latin typeface="Calibri"/>
              <a:cs typeface="Calibri"/>
            </a:rPr>
            <a:pPr algn="l"/>
            <a:t>2022:
No distrito de Lisboa a remuneração média mensal base era de 1.388,4 euros (18,9%, ou seja, mais 220,7 euros que em 2012) e de 1.668,9 euros a remuneração média mensal ganho (18,7%, mais 263,0 euros em 2012).</a:t>
          </a:fld>
          <a:endParaRPr lang="pt-PT" sz="1000" b="1">
            <a:solidFill>
              <a:srgbClr val="17375E"/>
            </a:solidFill>
            <a:latin typeface="+mn-lt"/>
          </a:endParaRPr>
        </a:p>
      </xdr:txBody>
    </xdr:sp>
    <xdr:clientData/>
  </xdr:twoCellAnchor>
  <xdr:twoCellAnchor>
    <xdr:from>
      <xdr:col>63</xdr:col>
      <xdr:colOff>60614</xdr:colOff>
      <xdr:row>8</xdr:row>
      <xdr:rowOff>155863</xdr:rowOff>
    </xdr:from>
    <xdr:to>
      <xdr:col>69</xdr:col>
      <xdr:colOff>565055</xdr:colOff>
      <xdr:row>14</xdr:row>
      <xdr:rowOff>129927</xdr:rowOff>
    </xdr:to>
    <xdr:sp macro="" textlink="q3_q6_q9_q12_q19_q27_Fig!$BL$2">
      <xdr:nvSpPr>
        <xdr:cNvPr id="78" name="CaixaDeTexto 77">
          <a:extLst>
            <a:ext uri="{FF2B5EF4-FFF2-40B4-BE49-F238E27FC236}">
              <a16:creationId xmlns:a16="http://schemas.microsoft.com/office/drawing/2014/main" id="{00000000-0008-0000-1500-00004E000000}"/>
            </a:ext>
          </a:extLst>
        </xdr:cNvPr>
        <xdr:cNvSpPr txBox="1"/>
      </xdr:nvSpPr>
      <xdr:spPr>
        <a:xfrm>
          <a:off x="41762796" y="1472045"/>
          <a:ext cx="4141259" cy="96120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253C62BF-CF50-48B8-9FE7-1F22836FC988}" type="TxLink">
            <a:rPr lang="en-US" sz="1000" b="1" i="0" u="none" strike="noStrike">
              <a:solidFill>
                <a:srgbClr val="19375E"/>
              </a:solidFill>
              <a:latin typeface="Calibri"/>
              <a:cs typeface="Calibri"/>
            </a:rPr>
            <a:pPr algn="l"/>
            <a:t>2022:
No distrito de Lisboa a remuneração média mensal base era de 1.388,4 euros (+21,4% que no Continente, sendo o 1º de 18 distritos) e  1.668,9 euros a remuneração média mensal ganho (+22,0% que no Continente, sendo o 1º de 18 distritos).</a:t>
          </a:fld>
          <a:endParaRPr lang="pt-PT" sz="1000" b="1">
            <a:solidFill>
              <a:srgbClr val="19375E"/>
            </a:solidFill>
            <a:latin typeface="+mn-lt"/>
          </a:endParaRPr>
        </a:p>
      </xdr:txBody>
    </xdr:sp>
    <xdr:clientData/>
  </xdr:twoCellAnchor>
  <xdr:twoCellAnchor>
    <xdr:from>
      <xdr:col>39</xdr:col>
      <xdr:colOff>86591</xdr:colOff>
      <xdr:row>39</xdr:row>
      <xdr:rowOff>5773</xdr:rowOff>
    </xdr:from>
    <xdr:to>
      <xdr:col>45</xdr:col>
      <xdr:colOff>282861</xdr:colOff>
      <xdr:row>42</xdr:row>
      <xdr:rowOff>73804</xdr:rowOff>
    </xdr:to>
    <xdr:grpSp>
      <xdr:nvGrpSpPr>
        <xdr:cNvPr id="21" name="Agrupar 20">
          <a:extLst>
            <a:ext uri="{FF2B5EF4-FFF2-40B4-BE49-F238E27FC236}">
              <a16:creationId xmlns:a16="http://schemas.microsoft.com/office/drawing/2014/main" id="{00000000-0008-0000-1500-000015000000}"/>
            </a:ext>
          </a:extLst>
        </xdr:cNvPr>
        <xdr:cNvGrpSpPr/>
      </xdr:nvGrpSpPr>
      <xdr:grpSpPr>
        <a:xfrm>
          <a:off x="27216966" y="6498648"/>
          <a:ext cx="3863395" cy="544281"/>
          <a:chOff x="27137591" y="6707909"/>
          <a:chExt cx="3833088" cy="561600"/>
        </a:xfrm>
      </xdr:grpSpPr>
      <xdr:grpSp>
        <xdr:nvGrpSpPr>
          <xdr:cNvPr id="52" name="Agrupar 51">
            <a:extLst>
              <a:ext uri="{FF2B5EF4-FFF2-40B4-BE49-F238E27FC236}">
                <a16:creationId xmlns:a16="http://schemas.microsoft.com/office/drawing/2014/main" id="{00000000-0008-0000-1500-000034000000}"/>
              </a:ext>
            </a:extLst>
          </xdr:cNvPr>
          <xdr:cNvGrpSpPr/>
        </xdr:nvGrpSpPr>
        <xdr:grpSpPr>
          <a:xfrm>
            <a:off x="27137591" y="6875735"/>
            <a:ext cx="2083581" cy="246645"/>
            <a:chOff x="120650" y="4292600"/>
            <a:chExt cx="2076459" cy="247572"/>
          </a:xfrm>
        </xdr:grpSpPr>
        <mc:AlternateContent xmlns:mc="http://schemas.openxmlformats.org/markup-compatibility/2006">
          <mc:Choice xmlns:a14="http://schemas.microsoft.com/office/drawing/2010/main" Requires="a14">
            <xdr:sp macro="" textlink="">
              <xdr:nvSpPr>
                <xdr:cNvPr id="133125" name="Drop Down 5" hidden="1">
                  <a:extLst>
                    <a:ext uri="{63B3BB69-23CF-44E3-9099-C40C66FF867C}">
                      <a14:compatExt spid="_x0000_s133125"/>
                    </a:ext>
                    <a:ext uri="{FF2B5EF4-FFF2-40B4-BE49-F238E27FC236}">
                      <a16:creationId xmlns:a16="http://schemas.microsoft.com/office/drawing/2014/main" id="{00000000-0008-0000-1500-000005080200}"/>
                    </a:ext>
                  </a:extLst>
                </xdr:cNvPr>
                <xdr:cNvSpPr/>
              </xdr:nvSpPr>
              <xdr:spPr bwMode="auto">
                <a:xfrm>
                  <a:off x="1524009" y="4298875"/>
                  <a:ext cx="673100" cy="241297"/>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54" name="Text Box 10">
              <a:extLst>
                <a:ext uri="{FF2B5EF4-FFF2-40B4-BE49-F238E27FC236}">
                  <a16:creationId xmlns:a16="http://schemas.microsoft.com/office/drawing/2014/main" id="{00000000-0008-0000-1500-000036000000}"/>
                </a:ext>
              </a:extLst>
            </xdr:cNvPr>
            <xdr:cNvSpPr txBox="1">
              <a:spLocks noChangeArrowheads="1"/>
            </xdr:cNvSpPr>
          </xdr:nvSpPr>
          <xdr:spPr bwMode="auto">
            <a:xfrm>
              <a:off x="120650" y="4292600"/>
              <a:ext cx="1346200" cy="241300"/>
            </a:xfrm>
            <a:prstGeom prst="rect">
              <a:avLst/>
            </a:prstGeom>
            <a:solidFill>
              <a:srgbClr val="00467A"/>
            </a:solidFill>
            <a:ln>
              <a:noFill/>
            </a:ln>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xdr:grpSp>
      <xdr:graphicFrame macro="">
        <xdr:nvGraphicFramePr>
          <xdr:cNvPr id="79" name="Gráfico 78">
            <a:extLst>
              <a:ext uri="{FF2B5EF4-FFF2-40B4-BE49-F238E27FC236}">
                <a16:creationId xmlns:a16="http://schemas.microsoft.com/office/drawing/2014/main" id="{00000000-0008-0000-1500-00004F000000}"/>
              </a:ext>
            </a:extLst>
          </xdr:cNvPr>
          <xdr:cNvGraphicFramePr>
            <a:graphicFrameLocks/>
          </xdr:cNvGraphicFramePr>
        </xdr:nvGraphicFramePr>
        <xdr:xfrm>
          <a:off x="29394725" y="6707909"/>
          <a:ext cx="1575954" cy="561600"/>
        </xdr:xfrm>
        <a:graphic>
          <a:graphicData uri="http://schemas.openxmlformats.org/drawingml/2006/chart">
            <c:chart xmlns:c="http://schemas.openxmlformats.org/drawingml/2006/chart" xmlns:r="http://schemas.openxmlformats.org/officeDocument/2006/relationships" r:id="rId13"/>
          </a:graphicData>
        </a:graphic>
      </xdr:graphicFrame>
    </xdr:grpSp>
    <xdr:clientData/>
  </xdr:twoCellAnchor>
  <xdr:twoCellAnchor>
    <xdr:from>
      <xdr:col>46</xdr:col>
      <xdr:colOff>536863</xdr:colOff>
      <xdr:row>39</xdr:row>
      <xdr:rowOff>5773</xdr:rowOff>
    </xdr:from>
    <xdr:to>
      <xdr:col>53</xdr:col>
      <xdr:colOff>25976</xdr:colOff>
      <xdr:row>42</xdr:row>
      <xdr:rowOff>73804</xdr:rowOff>
    </xdr:to>
    <xdr:grpSp>
      <xdr:nvGrpSpPr>
        <xdr:cNvPr id="22" name="Agrupar 21">
          <a:extLst>
            <a:ext uri="{FF2B5EF4-FFF2-40B4-BE49-F238E27FC236}">
              <a16:creationId xmlns:a16="http://schemas.microsoft.com/office/drawing/2014/main" id="{00000000-0008-0000-1500-000016000000}"/>
            </a:ext>
          </a:extLst>
        </xdr:cNvPr>
        <xdr:cNvGrpSpPr/>
      </xdr:nvGrpSpPr>
      <xdr:grpSpPr>
        <a:xfrm>
          <a:off x="31945551" y="6498648"/>
          <a:ext cx="3783300" cy="544281"/>
          <a:chOff x="31830818" y="6707909"/>
          <a:chExt cx="3758044" cy="561600"/>
        </a:xfrm>
      </xdr:grpSpPr>
      <xdr:grpSp>
        <xdr:nvGrpSpPr>
          <xdr:cNvPr id="61" name="Agrupar 60">
            <a:extLst>
              <a:ext uri="{FF2B5EF4-FFF2-40B4-BE49-F238E27FC236}">
                <a16:creationId xmlns:a16="http://schemas.microsoft.com/office/drawing/2014/main" id="{00000000-0008-0000-1500-00003D000000}"/>
              </a:ext>
            </a:extLst>
          </xdr:cNvPr>
          <xdr:cNvGrpSpPr/>
        </xdr:nvGrpSpPr>
        <xdr:grpSpPr>
          <a:xfrm>
            <a:off x="31830818" y="6875776"/>
            <a:ext cx="2050223" cy="240396"/>
            <a:chOff x="5127622" y="4549776"/>
            <a:chExt cx="2051011" cy="241304"/>
          </a:xfrm>
        </xdr:grpSpPr>
        <xdr:sp macro="" textlink="">
          <xdr:nvSpPr>
            <xdr:cNvPr id="63" name="Text Box 10">
              <a:extLst>
                <a:ext uri="{FF2B5EF4-FFF2-40B4-BE49-F238E27FC236}">
                  <a16:creationId xmlns:a16="http://schemas.microsoft.com/office/drawing/2014/main" id="{00000000-0008-0000-1500-00003F000000}"/>
                </a:ext>
              </a:extLst>
            </xdr:cNvPr>
            <xdr:cNvSpPr txBox="1">
              <a:spLocks noChangeArrowheads="1"/>
            </xdr:cNvSpPr>
          </xdr:nvSpPr>
          <xdr:spPr bwMode="auto">
            <a:xfrm>
              <a:off x="5127622" y="4549780"/>
              <a:ext cx="1346200" cy="241300"/>
            </a:xfrm>
            <a:prstGeom prst="rect">
              <a:avLst/>
            </a:prstGeom>
            <a:solidFill>
              <a:srgbClr val="00467A"/>
            </a:solidFill>
            <a:ln>
              <a:noFill/>
            </a:ln>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mc:AlternateContent xmlns:mc="http://schemas.openxmlformats.org/markup-compatibility/2006">
          <mc:Choice xmlns:a14="http://schemas.microsoft.com/office/drawing/2010/main" Requires="a14">
            <xdr:sp macro="" textlink="">
              <xdr:nvSpPr>
                <xdr:cNvPr id="133126" name="Drop Down 6" hidden="1">
                  <a:extLst>
                    <a:ext uri="{63B3BB69-23CF-44E3-9099-C40C66FF867C}">
                      <a14:compatExt spid="_x0000_s133126"/>
                    </a:ext>
                    <a:ext uri="{FF2B5EF4-FFF2-40B4-BE49-F238E27FC236}">
                      <a16:creationId xmlns:a16="http://schemas.microsoft.com/office/drawing/2014/main" id="{00000000-0008-0000-1500-000006080200}"/>
                    </a:ext>
                  </a:extLst>
                </xdr:cNvPr>
                <xdr:cNvSpPr/>
              </xdr:nvSpPr>
              <xdr:spPr bwMode="auto">
                <a:xfrm>
                  <a:off x="6505554" y="4549776"/>
                  <a:ext cx="673079" cy="241203"/>
                </a:xfrm>
                <a:prstGeom prst="rect">
                  <a:avLst/>
                </a:prstGeom>
                <a:noFill/>
                <a:ln>
                  <a:noFill/>
                </a:ln>
                <a:extLst>
                  <a:ext uri="{91240B29-F687-4F45-9708-019B960494DF}">
                    <a14:hiddenLine w="9525">
                      <a:noFill/>
                      <a:miter lim="800000"/>
                      <a:headEnd/>
                      <a:tailEnd/>
                    </a14:hiddenLine>
                  </a:ext>
                </a:extLst>
              </xdr:spPr>
            </xdr:sp>
          </mc:Choice>
          <mc:Fallback/>
        </mc:AlternateContent>
      </xdr:grpSp>
      <xdr:graphicFrame macro="">
        <xdr:nvGraphicFramePr>
          <xdr:cNvPr id="80" name="Gráfico 79">
            <a:extLst>
              <a:ext uri="{FF2B5EF4-FFF2-40B4-BE49-F238E27FC236}">
                <a16:creationId xmlns:a16="http://schemas.microsoft.com/office/drawing/2014/main" id="{00000000-0008-0000-1500-000050000000}"/>
              </a:ext>
            </a:extLst>
          </xdr:cNvPr>
          <xdr:cNvGraphicFramePr>
            <a:graphicFrameLocks/>
          </xdr:cNvGraphicFramePr>
        </xdr:nvGraphicFramePr>
        <xdr:xfrm>
          <a:off x="34012908" y="6707909"/>
          <a:ext cx="1575954" cy="561600"/>
        </xdr:xfrm>
        <a:graphic>
          <a:graphicData uri="http://schemas.openxmlformats.org/drawingml/2006/chart">
            <c:chart xmlns:c="http://schemas.openxmlformats.org/drawingml/2006/chart" xmlns:r="http://schemas.openxmlformats.org/officeDocument/2006/relationships" r:id="rId14"/>
          </a:graphicData>
        </a:graphic>
      </xdr:graphicFrame>
    </xdr:grpSp>
    <xdr:clientData/>
  </xdr:twoCellAnchor>
  <xdr:twoCellAnchor>
    <xdr:from>
      <xdr:col>54</xdr:col>
      <xdr:colOff>404092</xdr:colOff>
      <xdr:row>39</xdr:row>
      <xdr:rowOff>57728</xdr:rowOff>
    </xdr:from>
    <xdr:to>
      <xdr:col>60</xdr:col>
      <xdr:colOff>404091</xdr:colOff>
      <xdr:row>42</xdr:row>
      <xdr:rowOff>125759</xdr:rowOff>
    </xdr:to>
    <xdr:grpSp>
      <xdr:nvGrpSpPr>
        <xdr:cNvPr id="23" name="Agrupar 22">
          <a:extLst>
            <a:ext uri="{FF2B5EF4-FFF2-40B4-BE49-F238E27FC236}">
              <a16:creationId xmlns:a16="http://schemas.microsoft.com/office/drawing/2014/main" id="{00000000-0008-0000-1500-000017000000}"/>
            </a:ext>
          </a:extLst>
        </xdr:cNvPr>
        <xdr:cNvGrpSpPr/>
      </xdr:nvGrpSpPr>
      <xdr:grpSpPr>
        <a:xfrm>
          <a:off x="36734030" y="6550603"/>
          <a:ext cx="3698874" cy="544281"/>
          <a:chOff x="36599092" y="6759864"/>
          <a:chExt cx="3688772" cy="561600"/>
        </a:xfrm>
      </xdr:grpSpPr>
      <xdr:grpSp>
        <xdr:nvGrpSpPr>
          <xdr:cNvPr id="65" name="Agrupar 64">
            <a:extLst>
              <a:ext uri="{FF2B5EF4-FFF2-40B4-BE49-F238E27FC236}">
                <a16:creationId xmlns:a16="http://schemas.microsoft.com/office/drawing/2014/main" id="{00000000-0008-0000-1500-000041000000}"/>
              </a:ext>
            </a:extLst>
          </xdr:cNvPr>
          <xdr:cNvGrpSpPr/>
        </xdr:nvGrpSpPr>
        <xdr:grpSpPr>
          <a:xfrm>
            <a:off x="36599092" y="6916360"/>
            <a:ext cx="2054313" cy="246644"/>
            <a:chOff x="9423400" y="4330700"/>
            <a:chExt cx="2063816" cy="247571"/>
          </a:xfrm>
        </xdr:grpSpPr>
        <xdr:sp macro="" textlink="">
          <xdr:nvSpPr>
            <xdr:cNvPr id="67" name="Text Box 10">
              <a:extLst>
                <a:ext uri="{FF2B5EF4-FFF2-40B4-BE49-F238E27FC236}">
                  <a16:creationId xmlns:a16="http://schemas.microsoft.com/office/drawing/2014/main" id="{00000000-0008-0000-1500-000043000000}"/>
                </a:ext>
              </a:extLst>
            </xdr:cNvPr>
            <xdr:cNvSpPr txBox="1">
              <a:spLocks noChangeArrowheads="1"/>
            </xdr:cNvSpPr>
          </xdr:nvSpPr>
          <xdr:spPr bwMode="auto">
            <a:xfrm>
              <a:off x="9423400" y="4330700"/>
              <a:ext cx="1346200" cy="241300"/>
            </a:xfrm>
            <a:prstGeom prst="rect">
              <a:avLst/>
            </a:prstGeom>
            <a:solidFill>
              <a:srgbClr val="00467A"/>
            </a:solidFill>
            <a:ln>
              <a:noFill/>
            </a:ln>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bg1"/>
                  </a:solidFill>
                  <a:latin typeface="+mn-lt"/>
                </a:rPr>
                <a:t>Selecione um ano</a:t>
              </a:r>
              <a:endParaRPr lang="en-US" altLang="pt-PT" sz="1200" b="1">
                <a:solidFill>
                  <a:schemeClr val="bg1"/>
                </a:solidFill>
                <a:latin typeface="Arial" charset="0"/>
              </a:endParaRPr>
            </a:p>
          </xdr:txBody>
        </xdr:sp>
        <mc:AlternateContent xmlns:mc="http://schemas.openxmlformats.org/markup-compatibility/2006">
          <mc:Choice xmlns:a14="http://schemas.microsoft.com/office/drawing/2010/main" Requires="a14">
            <xdr:sp macro="" textlink="">
              <xdr:nvSpPr>
                <xdr:cNvPr id="133127" name="Drop Down 7" hidden="1">
                  <a:extLst>
                    <a:ext uri="{63B3BB69-23CF-44E3-9099-C40C66FF867C}">
                      <a14:compatExt spid="_x0000_s133127"/>
                    </a:ext>
                    <a:ext uri="{FF2B5EF4-FFF2-40B4-BE49-F238E27FC236}">
                      <a16:creationId xmlns:a16="http://schemas.microsoft.com/office/drawing/2014/main" id="{00000000-0008-0000-1500-000007080200}"/>
                    </a:ext>
                  </a:extLst>
                </xdr:cNvPr>
                <xdr:cNvSpPr/>
              </xdr:nvSpPr>
              <xdr:spPr bwMode="auto">
                <a:xfrm>
                  <a:off x="10814094" y="4337059"/>
                  <a:ext cx="673122" cy="241212"/>
                </a:xfrm>
                <a:prstGeom prst="rect">
                  <a:avLst/>
                </a:prstGeom>
                <a:noFill/>
                <a:ln>
                  <a:noFill/>
                </a:ln>
                <a:extLst>
                  <a:ext uri="{91240B29-F687-4F45-9708-019B960494DF}">
                    <a14:hiddenLine w="9525">
                      <a:noFill/>
                      <a:miter lim="800000"/>
                      <a:headEnd/>
                      <a:tailEnd/>
                    </a14:hiddenLine>
                  </a:ext>
                </a:extLst>
              </xdr:spPr>
            </xdr:sp>
          </mc:Choice>
          <mc:Fallback/>
        </mc:AlternateContent>
      </xdr:grpSp>
      <xdr:graphicFrame macro="">
        <xdr:nvGraphicFramePr>
          <xdr:cNvPr id="81" name="Gráfico 80">
            <a:extLst>
              <a:ext uri="{FF2B5EF4-FFF2-40B4-BE49-F238E27FC236}">
                <a16:creationId xmlns:a16="http://schemas.microsoft.com/office/drawing/2014/main" id="{00000000-0008-0000-1500-000051000000}"/>
              </a:ext>
            </a:extLst>
          </xdr:cNvPr>
          <xdr:cNvGraphicFramePr>
            <a:graphicFrameLocks/>
          </xdr:cNvGraphicFramePr>
        </xdr:nvGraphicFramePr>
        <xdr:xfrm>
          <a:off x="38711910" y="6759864"/>
          <a:ext cx="1575954" cy="561600"/>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wsDr>
</file>

<file path=xl/drawings/drawing44.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6_q9_q12_q19_q27_Fig!$T$2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9F6455D-4342-4A1A-B4A9-581197AA6303}" type="TxLink">
            <a:rPr lang="en-US" sz="800" b="1" i="0" u="none" strike="noStrike">
              <a:solidFill>
                <a:schemeClr val="bg1"/>
              </a:solidFill>
              <a:latin typeface="Arial"/>
              <a:cs typeface="Arial"/>
            </a:rPr>
            <a:pPr algn="ctr"/>
            <a:t>2012</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3_q6_q9_q12_q19_q27_Fig!$AD$2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95B4863-F92E-4721-A263-86A404FF0CA7}" type="TxLink">
            <a:rPr lang="en-US" sz="800" b="1" i="0" u="none" strike="noStrike">
              <a:solidFill>
                <a:schemeClr val="bg1"/>
              </a:solidFill>
              <a:latin typeface="Arial"/>
              <a:cs typeface="Arial"/>
            </a:rPr>
            <a:pPr algn="ctr"/>
            <a:t>2022</a:t>
          </a:fld>
          <a:endParaRPr lang="pt-PT" sz="800" b="1">
            <a:solidFill>
              <a:schemeClr val="bg1"/>
            </a:solidFill>
          </a:endParaRPr>
        </a:p>
      </cdr:txBody>
    </cdr:sp>
  </cdr:relSizeAnchor>
  <cdr:relSizeAnchor xmlns:cdr="http://schemas.openxmlformats.org/drawingml/2006/chartDrawing">
    <cdr:from>
      <cdr:x>0.76561</cdr:x>
      <cdr:y>0.02071</cdr:y>
    </cdr:from>
    <cdr:to>
      <cdr:x>0.917</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904728" y="-160966"/>
          <a:ext cx="300137" cy="729647"/>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45.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6_q9_q12_q19_q27_Fig!$T$6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1562BE-B5C4-4463-8A69-D7384DB4EAF1}" type="TxLink">
            <a:rPr lang="en-US" sz="800" b="1" i="0" u="none" strike="noStrike">
              <a:solidFill>
                <a:schemeClr val="bg1"/>
              </a:solidFill>
              <a:latin typeface="Arial"/>
              <a:cs typeface="Arial"/>
            </a:rPr>
            <a:pPr algn="ctr"/>
            <a:t>2012</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3_q6_q9_q12_q19_q27_Fig!$AD$6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74D2AA2-194D-463F-A90B-879DF062E9BC}" type="TxLink">
            <a:rPr lang="en-US" sz="800" b="1" i="0" u="none" strike="noStrike">
              <a:solidFill>
                <a:schemeClr val="bg1"/>
              </a:solidFill>
              <a:latin typeface="Arial"/>
              <a:cs typeface="Arial"/>
            </a:rPr>
            <a:pPr algn="ctr"/>
            <a:t>2022</a:t>
          </a:fld>
          <a:endParaRPr lang="pt-PT" sz="800" b="1">
            <a:solidFill>
              <a:schemeClr val="bg1"/>
            </a:solidFill>
          </a:endParaRPr>
        </a:p>
      </cdr:txBody>
    </cdr:sp>
  </cdr:relSizeAnchor>
  <cdr:relSizeAnchor xmlns:cdr="http://schemas.openxmlformats.org/drawingml/2006/chartDrawing">
    <cdr:from>
      <cdr:x>0.76561</cdr:x>
      <cdr:y>0.02071</cdr:y>
    </cdr:from>
    <cdr:to>
      <cdr:x>0.917</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904728" y="-160966"/>
          <a:ext cx="300137" cy="729647"/>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46.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6_q9_q12_q19_q27_Fig!$T$10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2363ABA-4DF2-4BB4-B35C-BE4C0AECD3C3}" type="TxLink">
            <a:rPr lang="en-US" sz="800" b="1" i="0" u="none" strike="noStrike">
              <a:solidFill>
                <a:schemeClr val="bg1"/>
              </a:solidFill>
              <a:latin typeface="Arial"/>
              <a:cs typeface="Arial"/>
            </a:rPr>
            <a:pPr algn="ctr"/>
            <a:t>2012</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3_q6_q9_q12_q19_q27_Fig!$AD$10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EBFF525-C5AC-4332-81AA-4A61089D2C43}" type="TxLink">
            <a:rPr lang="en-US" sz="800" b="1" i="0" u="none" strike="noStrike">
              <a:solidFill>
                <a:schemeClr val="bg1"/>
              </a:solidFill>
              <a:latin typeface="Arial"/>
              <a:cs typeface="Arial"/>
            </a:rPr>
            <a:pPr algn="ctr"/>
            <a:t>2022</a:t>
          </a:fld>
          <a:endParaRPr lang="pt-PT" sz="800" b="1">
            <a:solidFill>
              <a:schemeClr val="bg1"/>
            </a:solidFill>
          </a:endParaRPr>
        </a:p>
      </cdr:txBody>
    </cdr:sp>
  </cdr:relSizeAnchor>
  <cdr:relSizeAnchor xmlns:cdr="http://schemas.openxmlformats.org/drawingml/2006/chartDrawing">
    <cdr:from>
      <cdr:x>0.76561</cdr:x>
      <cdr:y>0.02071</cdr:y>
    </cdr:from>
    <cdr:to>
      <cdr:x>0.917</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904728" y="-160966"/>
          <a:ext cx="300137" cy="729647"/>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266700</xdr:colOff>
          <xdr:row>0</xdr:row>
          <xdr:rowOff>142875</xdr:rowOff>
        </xdr:from>
        <xdr:to>
          <xdr:col>17</xdr:col>
          <xdr:colOff>942975</xdr:colOff>
          <xdr:row>2</xdr:row>
          <xdr:rowOff>19050</xdr:rowOff>
        </xdr:to>
        <xdr:sp macro="" textlink="">
          <xdr:nvSpPr>
            <xdr:cNvPr id="286721" name="Drop Down 1" hidden="1">
              <a:extLst>
                <a:ext uri="{63B3BB69-23CF-44E3-9099-C40C66FF867C}">
                  <a14:compatExt spid="_x0000_s286721"/>
                </a:ext>
                <a:ext uri="{FF2B5EF4-FFF2-40B4-BE49-F238E27FC236}">
                  <a16:creationId xmlns:a16="http://schemas.microsoft.com/office/drawing/2014/main" id="{00000000-0008-0000-1600-0000016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314325</xdr:colOff>
      <xdr:row>10</xdr:row>
      <xdr:rowOff>95250</xdr:rowOff>
    </xdr:from>
    <xdr:to>
      <xdr:col>24</xdr:col>
      <xdr:colOff>314325</xdr:colOff>
      <xdr:row>26</xdr:row>
      <xdr:rowOff>92169</xdr:rowOff>
    </xdr:to>
    <xdr:grpSp>
      <xdr:nvGrpSpPr>
        <xdr:cNvPr id="3" name="Agrupar 2">
          <a:extLst>
            <a:ext uri="{FF2B5EF4-FFF2-40B4-BE49-F238E27FC236}">
              <a16:creationId xmlns:a16="http://schemas.microsoft.com/office/drawing/2014/main" id="{00000000-0008-0000-1600-000003000000}"/>
            </a:ext>
          </a:extLst>
        </xdr:cNvPr>
        <xdr:cNvGrpSpPr/>
      </xdr:nvGrpSpPr>
      <xdr:grpSpPr>
        <a:xfrm>
          <a:off x="11903075" y="1682750"/>
          <a:ext cx="4706938" cy="3029044"/>
          <a:chOff x="36182300" y="8426450"/>
          <a:chExt cx="4819650" cy="2597244"/>
        </a:xfrm>
      </xdr:grpSpPr>
      <xdr:graphicFrame macro="">
        <xdr:nvGraphicFramePr>
          <xdr:cNvPr id="4" name="Gráfico 3">
            <a:extLst>
              <a:ext uri="{FF2B5EF4-FFF2-40B4-BE49-F238E27FC236}">
                <a16:creationId xmlns:a16="http://schemas.microsoft.com/office/drawing/2014/main" id="{00000000-0008-0000-1600-000004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CaixaDeTexto 4">
            <a:extLst>
              <a:ext uri="{FF2B5EF4-FFF2-40B4-BE49-F238E27FC236}">
                <a16:creationId xmlns:a16="http://schemas.microsoft.com/office/drawing/2014/main" id="{00000000-0008-0000-1600-000005000000}"/>
              </a:ext>
            </a:extLst>
          </xdr:cNvPr>
          <xdr:cNvSpPr txBox="1"/>
        </xdr:nvSpPr>
        <xdr:spPr>
          <a:xfrm>
            <a:off x="39836724" y="8902700"/>
            <a:ext cx="820800"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Empresas</a:t>
            </a:r>
          </a:p>
        </xdr:txBody>
      </xdr:sp>
      <xdr:sp macro="" textlink="">
        <xdr:nvSpPr>
          <xdr:cNvPr id="6" name="CaixaDeTexto 5">
            <a:extLst>
              <a:ext uri="{FF2B5EF4-FFF2-40B4-BE49-F238E27FC236}">
                <a16:creationId xmlns:a16="http://schemas.microsoft.com/office/drawing/2014/main" id="{00000000-0008-0000-1600-000006000000}"/>
              </a:ext>
            </a:extLst>
          </xdr:cNvPr>
          <xdr:cNvSpPr txBox="1"/>
        </xdr:nvSpPr>
        <xdr:spPr>
          <a:xfrm>
            <a:off x="39833550" y="9721850"/>
            <a:ext cx="819150"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Estabelecimentos</a:t>
            </a:r>
          </a:p>
        </xdr:txBody>
      </xdr:sp>
      <xdr:sp macro="" textlink="'q3.1_6.1_9.1_12.1_19.1_27.1_Fig'!$AF$7">
        <xdr:nvSpPr>
          <xdr:cNvPr id="7" name="CaixaDeTexto 6">
            <a:extLst>
              <a:ext uri="{FF2B5EF4-FFF2-40B4-BE49-F238E27FC236}">
                <a16:creationId xmlns:a16="http://schemas.microsoft.com/office/drawing/2014/main" id="{00000000-0008-0000-1600-000007000000}"/>
              </a:ext>
            </a:extLst>
          </xdr:cNvPr>
          <xdr:cNvSpPr txBox="1"/>
        </xdr:nvSpPr>
        <xdr:spPr>
          <a:xfrm>
            <a:off x="39839899" y="9994900"/>
            <a:ext cx="820800" cy="2753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82404EAA-843D-404C-97A7-A7D9C1759CE7}" type="TxLink">
              <a:rPr lang="en-US" sz="1000" b="1" i="0" u="none" strike="noStrike">
                <a:solidFill>
                  <a:schemeClr val="bg1"/>
                </a:solidFill>
                <a:latin typeface="Arial"/>
                <a:ea typeface="+mn-ea"/>
                <a:cs typeface="Arial"/>
              </a:rPr>
              <a:pPr marL="0" indent="0" algn="ctr"/>
              <a:t>4,2%</a:t>
            </a:fld>
            <a:endParaRPr lang="pt-PT" sz="1000" b="1" i="0" u="none" strike="noStrike">
              <a:solidFill>
                <a:schemeClr val="bg1"/>
              </a:solidFill>
              <a:latin typeface="+mn-lt"/>
              <a:ea typeface="+mn-ea"/>
              <a:cs typeface="Arial"/>
            </a:endParaRPr>
          </a:p>
        </xdr:txBody>
      </xdr:sp>
      <xdr:sp macro="" textlink="'q3.1_6.1_9.1_12.1_19.1_27.1_Fig'!$AF$6">
        <xdr:nvSpPr>
          <xdr:cNvPr id="8" name="CaixaDeTexto 7">
            <a:extLst>
              <a:ext uri="{FF2B5EF4-FFF2-40B4-BE49-F238E27FC236}">
                <a16:creationId xmlns:a16="http://schemas.microsoft.com/office/drawing/2014/main" id="{00000000-0008-0000-1600-000008000000}"/>
              </a:ext>
            </a:extLst>
          </xdr:cNvPr>
          <xdr:cNvSpPr txBox="1"/>
        </xdr:nvSpPr>
        <xdr:spPr>
          <a:xfrm>
            <a:off x="39839900" y="9201150"/>
            <a:ext cx="820800" cy="281127"/>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703C2B1-8626-42A2-AC00-65574A18ADD9}" type="TxLink">
              <a:rPr lang="en-US" sz="1000" b="1" i="0" u="none" strike="noStrike">
                <a:solidFill>
                  <a:schemeClr val="bg1"/>
                </a:solidFill>
                <a:latin typeface="Arial"/>
                <a:cs typeface="Arial"/>
              </a:rPr>
              <a:pPr algn="ctr"/>
              <a:t>6,6%</a:t>
            </a:fld>
            <a:endParaRPr lang="pt-PT" sz="1000" b="1">
              <a:solidFill>
                <a:schemeClr val="bg1"/>
              </a:solidFill>
              <a:latin typeface="+mn-lt"/>
            </a:endParaRPr>
          </a:p>
        </xdr:txBody>
      </xdr:sp>
    </xdr:grpSp>
    <xdr:clientData/>
  </xdr:twoCellAnchor>
  <xdr:twoCellAnchor>
    <xdr:from>
      <xdr:col>29</xdr:col>
      <xdr:colOff>0</xdr:colOff>
      <xdr:row>20</xdr:row>
      <xdr:rowOff>0</xdr:rowOff>
    </xdr:from>
    <xdr:to>
      <xdr:col>32</xdr:col>
      <xdr:colOff>590550</xdr:colOff>
      <xdr:row>25</xdr:row>
      <xdr:rowOff>123825</xdr:rowOff>
    </xdr:to>
    <xdr:sp macro="" textlink="'q3.1_6.1_9.1_12.1_19.1_27.1_Fig'!$AD$13">
      <xdr:nvSpPr>
        <xdr:cNvPr id="9" name="CaixaDeTexto 8">
          <a:extLst>
            <a:ext uri="{FF2B5EF4-FFF2-40B4-BE49-F238E27FC236}">
              <a16:creationId xmlns:a16="http://schemas.microsoft.com/office/drawing/2014/main" id="{00000000-0008-0000-1600-000009000000}"/>
            </a:ext>
          </a:extLst>
        </xdr:cNvPr>
        <xdr:cNvSpPr txBox="1"/>
      </xdr:nvSpPr>
      <xdr:spPr>
        <a:xfrm>
          <a:off x="19307175" y="3238500"/>
          <a:ext cx="3829050" cy="93345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F135EAE7-FE7B-413D-B5FA-84BD206EC832}" type="TxLink">
            <a:rPr lang="en-US" sz="1000" b="1" i="0" u="none" strike="noStrike">
              <a:solidFill>
                <a:srgbClr val="19375E"/>
              </a:solidFill>
              <a:latin typeface="Calibri"/>
              <a:cs typeface="Calibri"/>
            </a:rPr>
            <a:pPr algn="l"/>
            <a:t>2022:
A região Grande Lisboa era a sede de 57.854 empresas (6,6%, ou seja, mais 3.582 que em 2012) e era a localização de 68.270 estabelecimentos (4,2%, ou seja, mais 2.731 que em 2012).</a:t>
          </a:fld>
          <a:endParaRPr lang="pt-PT" sz="1000" b="1">
            <a:solidFill>
              <a:srgbClr val="19375E"/>
            </a:solidFill>
            <a:latin typeface="+mn-lt"/>
          </a:endParaRPr>
        </a:p>
      </xdr:txBody>
    </xdr:sp>
    <xdr:clientData/>
  </xdr:twoCellAnchor>
  <xdr:twoCellAnchor>
    <xdr:from>
      <xdr:col>17</xdr:col>
      <xdr:colOff>0</xdr:colOff>
      <xdr:row>43</xdr:row>
      <xdr:rowOff>0</xdr:rowOff>
    </xdr:from>
    <xdr:to>
      <xdr:col>24</xdr:col>
      <xdr:colOff>0</xdr:colOff>
      <xdr:row>58</xdr:row>
      <xdr:rowOff>158844</xdr:rowOff>
    </xdr:to>
    <xdr:grpSp>
      <xdr:nvGrpSpPr>
        <xdr:cNvPr id="10" name="Agrupar 9">
          <a:extLst>
            <a:ext uri="{FF2B5EF4-FFF2-40B4-BE49-F238E27FC236}">
              <a16:creationId xmlns:a16="http://schemas.microsoft.com/office/drawing/2014/main" id="{00000000-0008-0000-1600-00000A000000}"/>
            </a:ext>
          </a:extLst>
        </xdr:cNvPr>
        <xdr:cNvGrpSpPr/>
      </xdr:nvGrpSpPr>
      <xdr:grpSpPr>
        <a:xfrm>
          <a:off x="11588750" y="7318375"/>
          <a:ext cx="4706938" cy="2540094"/>
          <a:chOff x="36182300" y="8426450"/>
          <a:chExt cx="4819650" cy="2597244"/>
        </a:xfrm>
      </xdr:grpSpPr>
      <xdr:graphicFrame macro="">
        <xdr:nvGraphicFramePr>
          <xdr:cNvPr id="11" name="Gráfico 10">
            <a:extLst>
              <a:ext uri="{FF2B5EF4-FFF2-40B4-BE49-F238E27FC236}">
                <a16:creationId xmlns:a16="http://schemas.microsoft.com/office/drawing/2014/main" id="{00000000-0008-0000-1600-00000B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2" name="CaixaDeTexto 11">
            <a:extLst>
              <a:ext uri="{FF2B5EF4-FFF2-40B4-BE49-F238E27FC236}">
                <a16:creationId xmlns:a16="http://schemas.microsoft.com/office/drawing/2014/main" id="{00000000-0008-0000-1600-00000C000000}"/>
              </a:ext>
            </a:extLst>
          </xdr:cNvPr>
          <xdr:cNvSpPr txBox="1"/>
        </xdr:nvSpPr>
        <xdr:spPr>
          <a:xfrm>
            <a:off x="39738963" y="8902700"/>
            <a:ext cx="920821"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Pessoas</a:t>
            </a:r>
            <a:r>
              <a:rPr lang="pt-PT" sz="800" b="1" baseline="0">
                <a:solidFill>
                  <a:schemeClr val="bg1"/>
                </a:solidFill>
                <a:latin typeface="+mn-lt"/>
                <a:ea typeface="+mn-ea"/>
                <a:cs typeface="+mn-cs"/>
              </a:rPr>
              <a:t> ao serviço</a:t>
            </a:r>
            <a:endParaRPr lang="pt-PT" sz="800" b="1">
              <a:solidFill>
                <a:schemeClr val="bg1"/>
              </a:solidFill>
              <a:latin typeface="+mn-lt"/>
              <a:ea typeface="+mn-ea"/>
              <a:cs typeface="+mn-cs"/>
            </a:endParaRPr>
          </a:p>
        </xdr:txBody>
      </xdr:sp>
      <xdr:sp macro="" textlink="">
        <xdr:nvSpPr>
          <xdr:cNvPr id="13" name="CaixaDeTexto 12">
            <a:extLst>
              <a:ext uri="{FF2B5EF4-FFF2-40B4-BE49-F238E27FC236}">
                <a16:creationId xmlns:a16="http://schemas.microsoft.com/office/drawing/2014/main" id="{00000000-0008-0000-1600-00000D000000}"/>
              </a:ext>
            </a:extLst>
          </xdr:cNvPr>
          <xdr:cNvSpPr txBox="1"/>
        </xdr:nvSpPr>
        <xdr:spPr>
          <a:xfrm>
            <a:off x="39735787" y="9721850"/>
            <a:ext cx="920037"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TCO</a:t>
            </a:r>
          </a:p>
        </xdr:txBody>
      </xdr:sp>
      <xdr:sp macro="" textlink="'q3.1_6.1_9.1_12.1_19.1_27.1_Fig'!$AF$39">
        <xdr:nvSpPr>
          <xdr:cNvPr id="14" name="CaixaDeTexto 13">
            <a:extLst>
              <a:ext uri="{FF2B5EF4-FFF2-40B4-BE49-F238E27FC236}">
                <a16:creationId xmlns:a16="http://schemas.microsoft.com/office/drawing/2014/main" id="{00000000-0008-0000-1600-00000E000000}"/>
              </a:ext>
            </a:extLst>
          </xdr:cNvPr>
          <xdr:cNvSpPr txBox="1"/>
        </xdr:nvSpPr>
        <xdr:spPr>
          <a:xfrm>
            <a:off x="39742137" y="9994900"/>
            <a:ext cx="920037" cy="2753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7C628681-42B8-490E-BF90-49FAE6624B3A}" type="TxLink">
              <a:rPr lang="en-US" sz="1000" b="1" i="0" u="none" strike="noStrike">
                <a:solidFill>
                  <a:schemeClr val="bg1"/>
                </a:solidFill>
                <a:latin typeface="Arial"/>
                <a:ea typeface="+mn-ea"/>
                <a:cs typeface="Arial"/>
              </a:rPr>
              <a:pPr marL="0" indent="0" algn="ctr"/>
              <a:t>34,2%</a:t>
            </a:fld>
            <a:endParaRPr lang="pt-PT" sz="1000" b="1" i="0" u="none" strike="noStrike">
              <a:solidFill>
                <a:schemeClr val="bg1"/>
              </a:solidFill>
              <a:latin typeface="+mn-lt"/>
              <a:ea typeface="+mn-ea"/>
              <a:cs typeface="Arial"/>
            </a:endParaRPr>
          </a:p>
        </xdr:txBody>
      </xdr:sp>
      <xdr:sp macro="" textlink="'q3.1_6.1_9.1_12.1_19.1_27.1_Fig'!$AF$38">
        <xdr:nvSpPr>
          <xdr:cNvPr id="15" name="CaixaDeTexto 14">
            <a:extLst>
              <a:ext uri="{FF2B5EF4-FFF2-40B4-BE49-F238E27FC236}">
                <a16:creationId xmlns:a16="http://schemas.microsoft.com/office/drawing/2014/main" id="{00000000-0008-0000-1600-00000F000000}"/>
              </a:ext>
            </a:extLst>
          </xdr:cNvPr>
          <xdr:cNvSpPr txBox="1"/>
        </xdr:nvSpPr>
        <xdr:spPr>
          <a:xfrm>
            <a:off x="39742138" y="9201150"/>
            <a:ext cx="920037" cy="281127"/>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8462A02-08D0-485C-A58B-9CFA442F8DAD}" type="TxLink">
              <a:rPr lang="en-US" sz="1000" b="1" i="0" u="none" strike="noStrike">
                <a:solidFill>
                  <a:schemeClr val="bg1"/>
                </a:solidFill>
                <a:latin typeface="Arial"/>
                <a:cs typeface="Arial"/>
              </a:rPr>
              <a:pPr algn="ctr"/>
              <a:t>32,8%</a:t>
            </a:fld>
            <a:endParaRPr lang="pt-PT" sz="1000" b="1">
              <a:solidFill>
                <a:schemeClr val="bg1"/>
              </a:solidFill>
              <a:latin typeface="+mn-lt"/>
            </a:endParaRPr>
          </a:p>
        </xdr:txBody>
      </xdr:sp>
    </xdr:grpSp>
    <xdr:clientData/>
  </xdr:twoCellAnchor>
  <xdr:twoCellAnchor>
    <xdr:from>
      <xdr:col>29</xdr:col>
      <xdr:colOff>0</xdr:colOff>
      <xdr:row>53</xdr:row>
      <xdr:rowOff>0</xdr:rowOff>
    </xdr:from>
    <xdr:to>
      <xdr:col>32</xdr:col>
      <xdr:colOff>590550</xdr:colOff>
      <xdr:row>58</xdr:row>
      <xdr:rowOff>123825</xdr:rowOff>
    </xdr:to>
    <xdr:sp macro="" textlink="'q3.1_6.1_9.1_12.1_19.1_27.1_Fig'!$AD$45">
      <xdr:nvSpPr>
        <xdr:cNvPr id="16" name="CaixaDeTexto 15">
          <a:extLst>
            <a:ext uri="{FF2B5EF4-FFF2-40B4-BE49-F238E27FC236}">
              <a16:creationId xmlns:a16="http://schemas.microsoft.com/office/drawing/2014/main" id="{00000000-0008-0000-1600-000010000000}"/>
            </a:ext>
          </a:extLst>
        </xdr:cNvPr>
        <xdr:cNvSpPr txBox="1"/>
      </xdr:nvSpPr>
      <xdr:spPr>
        <a:xfrm>
          <a:off x="19307175" y="8582025"/>
          <a:ext cx="3829050" cy="933450"/>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44F71898-CF94-4DCE-AA2F-72DCD7959E3E}" type="TxLink">
            <a:rPr lang="en-US" sz="1000" b="1" i="0" u="none" strike="noStrike">
              <a:solidFill>
                <a:srgbClr val="17375E"/>
              </a:solidFill>
              <a:latin typeface="Calibri"/>
              <a:cs typeface="Calibri"/>
            </a:rPr>
            <a:pPr algn="l"/>
            <a:t>2022:
As empresas da região Grande Lisboa tinham ao seu serviço 915.180 pessoas (32,8%, ou seja, mais 226.292 que em 2012) e tinham 875.584 TCO (34,2%, mais 223.230 que em 2012).</a:t>
          </a:fld>
          <a:endParaRPr lang="pt-PT" sz="1000" b="1">
            <a:solidFill>
              <a:srgbClr val="17375E"/>
            </a:solidFill>
            <a:latin typeface="+mn-lt"/>
          </a:endParaRPr>
        </a:p>
      </xdr:txBody>
    </xdr:sp>
    <xdr:clientData/>
  </xdr:twoCellAnchor>
  <xdr:twoCellAnchor>
    <xdr:from>
      <xdr:col>29</xdr:col>
      <xdr:colOff>27709</xdr:colOff>
      <xdr:row>87</xdr:row>
      <xdr:rowOff>66674</xdr:rowOff>
    </xdr:from>
    <xdr:to>
      <xdr:col>34</xdr:col>
      <xdr:colOff>83319</xdr:colOff>
      <xdr:row>94</xdr:row>
      <xdr:rowOff>7938</xdr:rowOff>
    </xdr:to>
    <xdr:sp macro="" textlink="'q3.1_6.1_9.1_12.1_19.1_27.1_Fig'!$AD$79">
      <xdr:nvSpPr>
        <xdr:cNvPr id="24" name="CaixaDeTexto 23">
          <a:extLst>
            <a:ext uri="{FF2B5EF4-FFF2-40B4-BE49-F238E27FC236}">
              <a16:creationId xmlns:a16="http://schemas.microsoft.com/office/drawing/2014/main" id="{00000000-0008-0000-1600-000018000000}"/>
            </a:ext>
          </a:extLst>
        </xdr:cNvPr>
        <xdr:cNvSpPr txBox="1"/>
      </xdr:nvSpPr>
      <xdr:spPr>
        <a:xfrm>
          <a:off x="19379334" y="14751049"/>
          <a:ext cx="4516485" cy="1052514"/>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87A5A50-91E7-41DD-9D93-498CEEF9164E}" type="TxLink">
            <a:rPr lang="en-US" sz="1000" b="1" i="0" u="none" strike="noStrike">
              <a:solidFill>
                <a:srgbClr val="17375E"/>
              </a:solidFill>
              <a:latin typeface="Calibri"/>
              <a:cs typeface="Calibri"/>
            </a:rPr>
            <a:pPr algn="l"/>
            <a:t>2022:
Na região Grande Lisboa a remuneração média mensal base era de 1.418 euros (18,9%, ou seja, mais 225,7 euros que em 2012) e de 1.705 euros a remuneração média mensal ganho (18,7%, mais 268,4 euros que em 2012).</a:t>
          </a:fld>
          <a:endParaRPr lang="pt-PT" sz="1000" b="1">
            <a:solidFill>
              <a:srgbClr val="17375E"/>
            </a:solidFill>
            <a:latin typeface="+mn-lt"/>
          </a:endParaRPr>
        </a:p>
      </xdr:txBody>
    </xdr:sp>
    <xdr:clientData/>
  </xdr:twoCellAnchor>
  <xdr:twoCellAnchor>
    <xdr:from>
      <xdr:col>17</xdr:col>
      <xdr:colOff>0</xdr:colOff>
      <xdr:row>78</xdr:row>
      <xdr:rowOff>0</xdr:rowOff>
    </xdr:from>
    <xdr:to>
      <xdr:col>24</xdr:col>
      <xdr:colOff>0</xdr:colOff>
      <xdr:row>93</xdr:row>
      <xdr:rowOff>158844</xdr:rowOff>
    </xdr:to>
    <xdr:grpSp>
      <xdr:nvGrpSpPr>
        <xdr:cNvPr id="25" name="Agrupar 24">
          <a:extLst>
            <a:ext uri="{FF2B5EF4-FFF2-40B4-BE49-F238E27FC236}">
              <a16:creationId xmlns:a16="http://schemas.microsoft.com/office/drawing/2014/main" id="{00000000-0008-0000-1600-000019000000}"/>
            </a:ext>
          </a:extLst>
        </xdr:cNvPr>
        <xdr:cNvGrpSpPr/>
      </xdr:nvGrpSpPr>
      <xdr:grpSpPr>
        <a:xfrm>
          <a:off x="11588750" y="12874625"/>
          <a:ext cx="4706938" cy="2921094"/>
          <a:chOff x="36182300" y="8426450"/>
          <a:chExt cx="4819650" cy="2597244"/>
        </a:xfrm>
      </xdr:grpSpPr>
      <xdr:graphicFrame macro="">
        <xdr:nvGraphicFramePr>
          <xdr:cNvPr id="26" name="Gráfico 25">
            <a:extLst>
              <a:ext uri="{FF2B5EF4-FFF2-40B4-BE49-F238E27FC236}">
                <a16:creationId xmlns:a16="http://schemas.microsoft.com/office/drawing/2014/main" id="{00000000-0008-0000-1600-00001A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27" name="CaixaDeTexto 26">
            <a:extLst>
              <a:ext uri="{FF2B5EF4-FFF2-40B4-BE49-F238E27FC236}">
                <a16:creationId xmlns:a16="http://schemas.microsoft.com/office/drawing/2014/main" id="{00000000-0008-0000-1600-00001B000000}"/>
              </a:ext>
            </a:extLst>
          </xdr:cNvPr>
          <xdr:cNvSpPr txBox="1"/>
        </xdr:nvSpPr>
        <xdr:spPr>
          <a:xfrm>
            <a:off x="39836724" y="8902700"/>
            <a:ext cx="796408"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a:t>
            </a:r>
            <a:r>
              <a:rPr lang="pt-PT" sz="800" b="1" baseline="0">
                <a:solidFill>
                  <a:schemeClr val="bg1"/>
                </a:solidFill>
                <a:latin typeface="+mn-lt"/>
                <a:ea typeface="+mn-ea"/>
                <a:cs typeface="+mn-cs"/>
              </a:rPr>
              <a:t> Base</a:t>
            </a:r>
          </a:p>
        </xdr:txBody>
      </xdr:sp>
      <xdr:sp macro="" textlink="">
        <xdr:nvSpPr>
          <xdr:cNvPr id="28" name="CaixaDeTexto 27">
            <a:extLst>
              <a:ext uri="{FF2B5EF4-FFF2-40B4-BE49-F238E27FC236}">
                <a16:creationId xmlns:a16="http://schemas.microsoft.com/office/drawing/2014/main" id="{00000000-0008-0000-1600-00001C000000}"/>
              </a:ext>
            </a:extLst>
          </xdr:cNvPr>
          <xdr:cNvSpPr txBox="1"/>
        </xdr:nvSpPr>
        <xdr:spPr>
          <a:xfrm>
            <a:off x="39833550" y="9721850"/>
            <a:ext cx="819150"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800" b="1">
                <a:solidFill>
                  <a:schemeClr val="bg1"/>
                </a:solidFill>
                <a:latin typeface="+mn-lt"/>
                <a:ea typeface="+mn-ea"/>
                <a:cs typeface="+mn-cs"/>
              </a:rPr>
              <a:t>Remuneração Ganho</a:t>
            </a:r>
          </a:p>
        </xdr:txBody>
      </xdr:sp>
      <xdr:sp macro="" textlink="$AF$73">
        <xdr:nvSpPr>
          <xdr:cNvPr id="29" name="CaixaDeTexto 28">
            <a:extLst>
              <a:ext uri="{FF2B5EF4-FFF2-40B4-BE49-F238E27FC236}">
                <a16:creationId xmlns:a16="http://schemas.microsoft.com/office/drawing/2014/main" id="{00000000-0008-0000-1600-00001D000000}"/>
              </a:ext>
            </a:extLst>
          </xdr:cNvPr>
          <xdr:cNvSpPr txBox="1"/>
        </xdr:nvSpPr>
        <xdr:spPr>
          <a:xfrm>
            <a:off x="39839899" y="9994900"/>
            <a:ext cx="820800" cy="2753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63BBC7EA-1A36-477F-82BD-085858888245}" type="TxLink">
              <a:rPr lang="en-US" sz="1000" b="1" i="0" u="none" strike="noStrike">
                <a:solidFill>
                  <a:schemeClr val="bg1"/>
                </a:solidFill>
                <a:latin typeface="Arial"/>
                <a:ea typeface="+mn-ea"/>
                <a:cs typeface="Arial"/>
              </a:rPr>
              <a:pPr marL="0" indent="0" algn="ctr"/>
              <a:t>18,7%</a:t>
            </a:fld>
            <a:endParaRPr lang="pt-PT" sz="1000" b="1" i="0" u="none" strike="noStrike">
              <a:solidFill>
                <a:schemeClr val="bg1"/>
              </a:solidFill>
              <a:latin typeface="+mn-lt"/>
              <a:ea typeface="+mn-ea"/>
              <a:cs typeface="Arial"/>
            </a:endParaRPr>
          </a:p>
        </xdr:txBody>
      </xdr:sp>
      <xdr:sp macro="" textlink="$AF$72">
        <xdr:nvSpPr>
          <xdr:cNvPr id="30" name="CaixaDeTexto 29">
            <a:extLst>
              <a:ext uri="{FF2B5EF4-FFF2-40B4-BE49-F238E27FC236}">
                <a16:creationId xmlns:a16="http://schemas.microsoft.com/office/drawing/2014/main" id="{00000000-0008-0000-1600-00001E000000}"/>
              </a:ext>
            </a:extLst>
          </xdr:cNvPr>
          <xdr:cNvSpPr txBox="1"/>
        </xdr:nvSpPr>
        <xdr:spPr>
          <a:xfrm>
            <a:off x="39839901" y="9201150"/>
            <a:ext cx="797393" cy="26075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A54472D-EA9A-4C5E-A6BB-A6190384620A}" type="TxLink">
              <a:rPr lang="en-US" sz="1000" b="1" i="0" u="none" strike="noStrike">
                <a:solidFill>
                  <a:schemeClr val="bg1"/>
                </a:solidFill>
                <a:latin typeface="Arial"/>
                <a:cs typeface="Arial"/>
              </a:rPr>
              <a:pPr algn="ctr"/>
              <a:t>18,9%</a:t>
            </a:fld>
            <a:endParaRPr lang="pt-PT" sz="1000" b="1">
              <a:solidFill>
                <a:schemeClr val="bg1"/>
              </a:solidFill>
              <a:latin typeface="+mn-lt"/>
            </a:endParaRPr>
          </a:p>
        </xdr:txBody>
      </xdr:sp>
    </xdr:grpSp>
    <xdr:clientData/>
  </xdr:twoCellAnchor>
  <mc:AlternateContent xmlns:mc="http://schemas.openxmlformats.org/markup-compatibility/2006">
    <mc:Choice xmlns:a14="http://schemas.microsoft.com/office/drawing/2010/main" Requires="a14">
      <xdr:twoCellAnchor editAs="oneCell">
        <xdr:from>
          <xdr:col>43</xdr:col>
          <xdr:colOff>9525</xdr:colOff>
          <xdr:row>1</xdr:row>
          <xdr:rowOff>0</xdr:rowOff>
        </xdr:from>
        <xdr:to>
          <xdr:col>43</xdr:col>
          <xdr:colOff>638175</xdr:colOff>
          <xdr:row>2</xdr:row>
          <xdr:rowOff>19050</xdr:rowOff>
        </xdr:to>
        <xdr:sp macro="" textlink="">
          <xdr:nvSpPr>
            <xdr:cNvPr id="286722" name="Drop Down 2" hidden="1">
              <a:extLst>
                <a:ext uri="{63B3BB69-23CF-44E3-9099-C40C66FF867C}">
                  <a14:compatExt spid="_x0000_s286722"/>
                </a:ext>
                <a:ext uri="{FF2B5EF4-FFF2-40B4-BE49-F238E27FC236}">
                  <a16:creationId xmlns:a16="http://schemas.microsoft.com/office/drawing/2014/main" id="{00000000-0008-0000-1600-0000026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41</xdr:col>
      <xdr:colOff>435924</xdr:colOff>
      <xdr:row>44</xdr:row>
      <xdr:rowOff>16327</xdr:rowOff>
    </xdr:from>
    <xdr:to>
      <xdr:col>49</xdr:col>
      <xdr:colOff>29830</xdr:colOff>
      <xdr:row>72</xdr:row>
      <xdr:rowOff>55789</xdr:rowOff>
    </xdr:to>
    <xdr:grpSp>
      <xdr:nvGrpSpPr>
        <xdr:cNvPr id="21" name="Agrupar 20">
          <a:extLst>
            <a:ext uri="{FF2B5EF4-FFF2-40B4-BE49-F238E27FC236}">
              <a16:creationId xmlns:a16="http://schemas.microsoft.com/office/drawing/2014/main" id="{00000000-0008-0000-1600-000015000000}"/>
            </a:ext>
          </a:extLst>
        </xdr:cNvPr>
        <xdr:cNvGrpSpPr/>
      </xdr:nvGrpSpPr>
      <xdr:grpSpPr>
        <a:xfrm>
          <a:off x="28526737" y="7493452"/>
          <a:ext cx="7023406" cy="4484462"/>
          <a:chOff x="28561888" y="7200898"/>
          <a:chExt cx="5383746" cy="4611462"/>
        </a:xfrm>
      </xdr:grpSpPr>
      <xdr:grpSp>
        <xdr:nvGrpSpPr>
          <xdr:cNvPr id="63" name="Agrupar 62">
            <a:extLst>
              <a:ext uri="{FF2B5EF4-FFF2-40B4-BE49-F238E27FC236}">
                <a16:creationId xmlns:a16="http://schemas.microsoft.com/office/drawing/2014/main" id="{00000000-0008-0000-1600-00003F000000}"/>
              </a:ext>
            </a:extLst>
          </xdr:cNvPr>
          <xdr:cNvGrpSpPr/>
        </xdr:nvGrpSpPr>
        <xdr:grpSpPr>
          <a:xfrm>
            <a:off x="30577059" y="7200898"/>
            <a:ext cx="3368575" cy="4368645"/>
            <a:chOff x="30803162" y="7231324"/>
            <a:chExt cx="3364246" cy="4315203"/>
          </a:xfrm>
          <a:solidFill>
            <a:schemeClr val="bg1"/>
          </a:solidFill>
        </xdr:grpSpPr>
        <xdr:grpSp>
          <xdr:nvGrpSpPr>
            <xdr:cNvPr id="39" name="Agrupar 38">
              <a:extLst>
                <a:ext uri="{FF2B5EF4-FFF2-40B4-BE49-F238E27FC236}">
                  <a16:creationId xmlns:a16="http://schemas.microsoft.com/office/drawing/2014/main" id="{00000000-0008-0000-1600-000027000000}"/>
                </a:ext>
              </a:extLst>
            </xdr:cNvPr>
            <xdr:cNvGrpSpPr/>
          </xdr:nvGrpSpPr>
          <xdr:grpSpPr>
            <a:xfrm>
              <a:off x="30803162" y="7422149"/>
              <a:ext cx="3364246" cy="4124378"/>
              <a:chOff x="14530245" y="132576"/>
              <a:chExt cx="5450221" cy="7645400"/>
            </a:xfrm>
            <a:grpFill/>
          </xdr:grpSpPr>
          <xdr:pic>
            <xdr:nvPicPr>
              <xdr:cNvPr id="40" name="Imagem 39" descr="2024">
                <a:extLst>
                  <a:ext uri="{FF2B5EF4-FFF2-40B4-BE49-F238E27FC236}">
                    <a16:creationId xmlns:a16="http://schemas.microsoft.com/office/drawing/2014/main" id="{00000000-0008-0000-1600-000028000000}"/>
                  </a:ext>
                </a:extLst>
              </xdr:cNvPr>
              <xdr:cNvPicPr>
                <a:picLocks noChangeAspect="1" noChangeArrowheads="1"/>
              </xdr:cNvPicPr>
            </xdr:nvPicPr>
            <xdr:blipFill>
              <a:blip xmlns:r="http://schemas.openxmlformats.org/officeDocument/2006/relationships" r:embed="rId4">
                <a:duotone>
                  <a:schemeClr val="accent1">
                    <a:shade val="45000"/>
                    <a:satMod val="135000"/>
                  </a:schemeClr>
                  <a:prstClr val="white"/>
                </a:duotone>
                <a:extLst>
                  <a:ext uri="{BEBA8EAE-BF5A-486C-A8C5-ECC9F3942E4B}">
                    <a14:imgProps xmlns:a14="http://schemas.microsoft.com/office/drawing/2010/main">
                      <a14:imgLayer r:embed="rId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14530245" y="132576"/>
                <a:ext cx="5450221" cy="7645400"/>
              </a:xfrm>
              <a:prstGeom prst="rect">
                <a:avLst/>
              </a:prstGeom>
              <a:grpFill/>
            </xdr:spPr>
          </xdr:pic>
          <xdr:sp macro="" textlink="">
            <xdr:nvSpPr>
              <xdr:cNvPr id="41" name="Retângulo 40">
                <a:extLst>
                  <a:ext uri="{FF2B5EF4-FFF2-40B4-BE49-F238E27FC236}">
                    <a16:creationId xmlns:a16="http://schemas.microsoft.com/office/drawing/2014/main" id="{00000000-0008-0000-1600-000029000000}"/>
                  </a:ext>
                </a:extLst>
              </xdr:cNvPr>
              <xdr:cNvSpPr/>
            </xdr:nvSpPr>
            <xdr:spPr>
              <a:xfrm>
                <a:off x="14723711" y="830833"/>
                <a:ext cx="1838325" cy="1581151"/>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42" name="Retângulo 41">
                <a:extLst>
                  <a:ext uri="{FF2B5EF4-FFF2-40B4-BE49-F238E27FC236}">
                    <a16:creationId xmlns:a16="http://schemas.microsoft.com/office/drawing/2014/main" id="{00000000-0008-0000-1600-00002A000000}"/>
                  </a:ext>
                </a:extLst>
              </xdr:cNvPr>
              <xdr:cNvSpPr/>
            </xdr:nvSpPr>
            <xdr:spPr>
              <a:xfrm>
                <a:off x="14825594" y="6227848"/>
                <a:ext cx="1465935" cy="134144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aphicFrame macro="">
          <xdr:nvGraphicFramePr>
            <xdr:cNvPr id="2" name="Gráfico 1">
              <a:extLst>
                <a:ext uri="{FF2B5EF4-FFF2-40B4-BE49-F238E27FC236}">
                  <a16:creationId xmlns:a16="http://schemas.microsoft.com/office/drawing/2014/main" id="{00000000-0008-0000-1600-000002000000}"/>
                </a:ext>
              </a:extLst>
            </xdr:cNvPr>
            <xdr:cNvGraphicFramePr/>
          </xdr:nvGraphicFramePr>
          <xdr:xfrm>
            <a:off x="32114942" y="7231324"/>
            <a:ext cx="756000" cy="1194648"/>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43" name="Gráfico 42">
              <a:extLst>
                <a:ext uri="{FF2B5EF4-FFF2-40B4-BE49-F238E27FC236}">
                  <a16:creationId xmlns:a16="http://schemas.microsoft.com/office/drawing/2014/main" id="{00000000-0008-0000-1600-00002B000000}"/>
                </a:ext>
              </a:extLst>
            </xdr:cNvPr>
            <xdr:cNvGraphicFramePr>
              <a:graphicFrameLocks/>
            </xdr:cNvGraphicFramePr>
          </xdr:nvGraphicFramePr>
          <xdr:xfrm>
            <a:off x="32867357" y="7811507"/>
            <a:ext cx="756000" cy="1265757"/>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44" name="Gráfico 43">
              <a:extLst>
                <a:ext uri="{FF2B5EF4-FFF2-40B4-BE49-F238E27FC236}">
                  <a16:creationId xmlns:a16="http://schemas.microsoft.com/office/drawing/2014/main" id="{00000000-0008-0000-1600-00002C000000}"/>
                </a:ext>
              </a:extLst>
            </xdr:cNvPr>
            <xdr:cNvGraphicFramePr>
              <a:graphicFrameLocks/>
            </xdr:cNvGraphicFramePr>
          </xdr:nvGraphicFramePr>
          <xdr:xfrm>
            <a:off x="31544838" y="7564654"/>
            <a:ext cx="756000" cy="2258034"/>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45" name="Gráfico 44">
              <a:extLst>
                <a:ext uri="{FF2B5EF4-FFF2-40B4-BE49-F238E27FC236}">
                  <a16:creationId xmlns:a16="http://schemas.microsoft.com/office/drawing/2014/main" id="{00000000-0008-0000-1600-00002D000000}"/>
                </a:ext>
              </a:extLst>
            </xdr:cNvPr>
            <xdr:cNvGraphicFramePr>
              <a:graphicFrameLocks/>
            </xdr:cNvGraphicFramePr>
          </xdr:nvGraphicFramePr>
          <xdr:xfrm>
            <a:off x="31913459" y="7880509"/>
            <a:ext cx="708375" cy="255373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46" name="Gráfico 45">
              <a:extLst>
                <a:ext uri="{FF2B5EF4-FFF2-40B4-BE49-F238E27FC236}">
                  <a16:creationId xmlns:a16="http://schemas.microsoft.com/office/drawing/2014/main" id="{00000000-0008-0000-1600-00002E000000}"/>
                </a:ext>
              </a:extLst>
            </xdr:cNvPr>
            <xdr:cNvGraphicFramePr>
              <a:graphicFrameLocks/>
            </xdr:cNvGraphicFramePr>
          </xdr:nvGraphicFramePr>
          <xdr:xfrm>
            <a:off x="30880757" y="9132749"/>
            <a:ext cx="756000" cy="1170944"/>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47" name="Gráfico 46">
              <a:extLst>
                <a:ext uri="{FF2B5EF4-FFF2-40B4-BE49-F238E27FC236}">
                  <a16:creationId xmlns:a16="http://schemas.microsoft.com/office/drawing/2014/main" id="{00000000-0008-0000-1600-00002F000000}"/>
                </a:ext>
              </a:extLst>
            </xdr:cNvPr>
            <xdr:cNvGraphicFramePr>
              <a:graphicFrameLocks/>
            </xdr:cNvGraphicFramePr>
          </xdr:nvGraphicFramePr>
          <xdr:xfrm>
            <a:off x="32786969" y="8115722"/>
            <a:ext cx="756000" cy="2641093"/>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48" name="Gráfico 47">
              <a:extLst>
                <a:ext uri="{FF2B5EF4-FFF2-40B4-BE49-F238E27FC236}">
                  <a16:creationId xmlns:a16="http://schemas.microsoft.com/office/drawing/2014/main" id="{00000000-0008-0000-1600-000030000000}"/>
                </a:ext>
              </a:extLst>
            </xdr:cNvPr>
            <xdr:cNvGraphicFramePr>
              <a:graphicFrameLocks/>
            </xdr:cNvGraphicFramePr>
          </xdr:nvGraphicFramePr>
          <xdr:xfrm>
            <a:off x="32748992" y="9238020"/>
            <a:ext cx="756000" cy="2216038"/>
          </xdr:xfrm>
          <a:graphic>
            <a:graphicData uri="http://schemas.openxmlformats.org/drawingml/2006/chart">
              <c:chart xmlns:c="http://schemas.openxmlformats.org/drawingml/2006/chart" xmlns:r="http://schemas.openxmlformats.org/officeDocument/2006/relationships" r:id="rId12"/>
            </a:graphicData>
          </a:graphic>
        </xdr:graphicFrame>
      </xdr:grpSp>
      <xdr:graphicFrame macro="">
        <xdr:nvGraphicFramePr>
          <xdr:cNvPr id="34" name="Gráfico 33">
            <a:extLst>
              <a:ext uri="{FF2B5EF4-FFF2-40B4-BE49-F238E27FC236}">
                <a16:creationId xmlns:a16="http://schemas.microsoft.com/office/drawing/2014/main" id="{00000000-0008-0000-1600-000022000000}"/>
              </a:ext>
            </a:extLst>
          </xdr:cNvPr>
          <xdr:cNvGraphicFramePr/>
        </xdr:nvGraphicFramePr>
        <xdr:xfrm>
          <a:off x="28561888" y="7335610"/>
          <a:ext cx="2902775" cy="4476750"/>
        </xdr:xfrm>
        <a:graphic>
          <a:graphicData uri="http://schemas.openxmlformats.org/drawingml/2006/chart">
            <c:chart xmlns:c="http://schemas.openxmlformats.org/drawingml/2006/chart" xmlns:r="http://schemas.openxmlformats.org/officeDocument/2006/relationships" r:id="rId13"/>
          </a:graphicData>
        </a:graphic>
      </xdr:graphicFrame>
    </xdr:grpSp>
    <xdr:clientData/>
  </xdr:twoCellAnchor>
  <mc:AlternateContent xmlns:mc="http://schemas.openxmlformats.org/markup-compatibility/2006">
    <mc:Choice xmlns:a14="http://schemas.microsoft.com/office/drawing/2010/main" Requires="a14">
      <xdr:twoCellAnchor editAs="oneCell">
        <xdr:from>
          <xdr:col>64</xdr:col>
          <xdr:colOff>9525</xdr:colOff>
          <xdr:row>1</xdr:row>
          <xdr:rowOff>0</xdr:rowOff>
        </xdr:from>
        <xdr:to>
          <xdr:col>65</xdr:col>
          <xdr:colOff>28575</xdr:colOff>
          <xdr:row>2</xdr:row>
          <xdr:rowOff>19050</xdr:rowOff>
        </xdr:to>
        <xdr:sp macro="" textlink="">
          <xdr:nvSpPr>
            <xdr:cNvPr id="286723" name="Drop Down 3" hidden="1">
              <a:extLst>
                <a:ext uri="{63B3BB69-23CF-44E3-9099-C40C66FF867C}">
                  <a14:compatExt spid="_x0000_s286723"/>
                </a:ext>
                <a:ext uri="{FF2B5EF4-FFF2-40B4-BE49-F238E27FC236}">
                  <a16:creationId xmlns:a16="http://schemas.microsoft.com/office/drawing/2014/main" id="{00000000-0008-0000-1600-0000036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64</xdr:col>
      <xdr:colOff>0</xdr:colOff>
      <xdr:row>45</xdr:row>
      <xdr:rowOff>39687</xdr:rowOff>
    </xdr:from>
    <xdr:to>
      <xdr:col>70</xdr:col>
      <xdr:colOff>512314</xdr:colOff>
      <xdr:row>71</xdr:row>
      <xdr:rowOff>127101</xdr:rowOff>
    </xdr:to>
    <xdr:grpSp>
      <xdr:nvGrpSpPr>
        <xdr:cNvPr id="22" name="Agrupar 21">
          <a:extLst>
            <a:ext uri="{FF2B5EF4-FFF2-40B4-BE49-F238E27FC236}">
              <a16:creationId xmlns:a16="http://schemas.microsoft.com/office/drawing/2014/main" id="{00000000-0008-0000-1600-000016000000}"/>
            </a:ext>
          </a:extLst>
        </xdr:cNvPr>
        <xdr:cNvGrpSpPr/>
      </xdr:nvGrpSpPr>
      <xdr:grpSpPr>
        <a:xfrm>
          <a:off x="45307250" y="7675562"/>
          <a:ext cx="4893814" cy="4214914"/>
          <a:chOff x="39003020" y="7293427"/>
          <a:chExt cx="5501187" cy="4790952"/>
        </a:xfrm>
      </xdr:grpSpPr>
      <xdr:grpSp>
        <xdr:nvGrpSpPr>
          <xdr:cNvPr id="68" name="Agrupar 67">
            <a:extLst>
              <a:ext uri="{FF2B5EF4-FFF2-40B4-BE49-F238E27FC236}">
                <a16:creationId xmlns:a16="http://schemas.microsoft.com/office/drawing/2014/main" id="{00000000-0008-0000-1600-000044000000}"/>
              </a:ext>
            </a:extLst>
          </xdr:cNvPr>
          <xdr:cNvGrpSpPr/>
        </xdr:nvGrpSpPr>
        <xdr:grpSpPr>
          <a:xfrm>
            <a:off x="41118314" y="7293427"/>
            <a:ext cx="3385893" cy="4579553"/>
            <a:chOff x="31000212" y="7178848"/>
            <a:chExt cx="3364246" cy="4522247"/>
          </a:xfrm>
          <a:solidFill>
            <a:schemeClr val="bg1"/>
          </a:solidFill>
        </xdr:grpSpPr>
        <xdr:grpSp>
          <xdr:nvGrpSpPr>
            <xdr:cNvPr id="69" name="Agrupar 68">
              <a:extLst>
                <a:ext uri="{FF2B5EF4-FFF2-40B4-BE49-F238E27FC236}">
                  <a16:creationId xmlns:a16="http://schemas.microsoft.com/office/drawing/2014/main" id="{00000000-0008-0000-1600-000045000000}"/>
                </a:ext>
              </a:extLst>
            </xdr:cNvPr>
            <xdr:cNvGrpSpPr/>
          </xdr:nvGrpSpPr>
          <xdr:grpSpPr>
            <a:xfrm>
              <a:off x="31000212" y="7576717"/>
              <a:ext cx="3364246" cy="4124378"/>
              <a:chOff x="14849475" y="419100"/>
              <a:chExt cx="5450221" cy="7645400"/>
            </a:xfrm>
            <a:grpFill/>
          </xdr:grpSpPr>
          <xdr:pic>
            <xdr:nvPicPr>
              <xdr:cNvPr id="77" name="Imagem 76" descr="2024">
                <a:extLst>
                  <a:ext uri="{FF2B5EF4-FFF2-40B4-BE49-F238E27FC236}">
                    <a16:creationId xmlns:a16="http://schemas.microsoft.com/office/drawing/2014/main" id="{00000000-0008-0000-1600-00004D000000}"/>
                  </a:ext>
                </a:extLst>
              </xdr:cNvPr>
              <xdr:cNvPicPr>
                <a:picLocks noChangeAspect="1" noChangeArrowheads="1"/>
              </xdr:cNvPicPr>
            </xdr:nvPicPr>
            <xdr:blipFill>
              <a:blip xmlns:r="http://schemas.openxmlformats.org/officeDocument/2006/relationships" r:embed="rId4" cstate="print">
                <a:duotone>
                  <a:schemeClr val="accent1">
                    <a:shade val="45000"/>
                    <a:satMod val="135000"/>
                  </a:schemeClr>
                  <a:prstClr val="white"/>
                </a:duotone>
                <a:extLst>
                  <a:ext uri="{BEBA8EAE-BF5A-486C-A8C5-ECC9F3942E4B}">
                    <a14:imgProps xmlns:a14="http://schemas.microsoft.com/office/drawing/2010/main">
                      <a14:imgLayer r:embed="rId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14849475" y="419100"/>
                <a:ext cx="5450221" cy="7645400"/>
              </a:xfrm>
              <a:prstGeom prst="rect">
                <a:avLst/>
              </a:prstGeom>
              <a:grpFill/>
            </xdr:spPr>
          </xdr:pic>
          <xdr:sp macro="" textlink="">
            <xdr:nvSpPr>
              <xdr:cNvPr id="78" name="Retângulo 77">
                <a:extLst>
                  <a:ext uri="{FF2B5EF4-FFF2-40B4-BE49-F238E27FC236}">
                    <a16:creationId xmlns:a16="http://schemas.microsoft.com/office/drawing/2014/main" id="{00000000-0008-0000-1600-00004E000000}"/>
                  </a:ext>
                </a:extLst>
              </xdr:cNvPr>
              <xdr:cNvSpPr/>
            </xdr:nvSpPr>
            <xdr:spPr>
              <a:xfrm>
                <a:off x="15020925" y="1104900"/>
                <a:ext cx="1838325" cy="15811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79" name="Retângulo 78">
                <a:extLst>
                  <a:ext uri="{FF2B5EF4-FFF2-40B4-BE49-F238E27FC236}">
                    <a16:creationId xmlns:a16="http://schemas.microsoft.com/office/drawing/2014/main" id="{00000000-0008-0000-1600-00004F000000}"/>
                  </a:ext>
                </a:extLst>
              </xdr:cNvPr>
              <xdr:cNvSpPr/>
            </xdr:nvSpPr>
            <xdr:spPr>
              <a:xfrm>
                <a:off x="15111800" y="6477001"/>
                <a:ext cx="1465936" cy="1341442"/>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aphicFrame macro="">
          <xdr:nvGraphicFramePr>
            <xdr:cNvPr id="70" name="Gráfico 69">
              <a:extLst>
                <a:ext uri="{FF2B5EF4-FFF2-40B4-BE49-F238E27FC236}">
                  <a16:creationId xmlns:a16="http://schemas.microsoft.com/office/drawing/2014/main" id="{00000000-0008-0000-1600-000046000000}"/>
                </a:ext>
              </a:extLst>
            </xdr:cNvPr>
            <xdr:cNvGraphicFramePr/>
          </xdr:nvGraphicFramePr>
          <xdr:xfrm>
            <a:off x="32373041" y="7521486"/>
            <a:ext cx="756000" cy="1038904"/>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71" name="Gráfico 70">
              <a:extLst>
                <a:ext uri="{FF2B5EF4-FFF2-40B4-BE49-F238E27FC236}">
                  <a16:creationId xmlns:a16="http://schemas.microsoft.com/office/drawing/2014/main" id="{00000000-0008-0000-1600-000047000000}"/>
                </a:ext>
              </a:extLst>
            </xdr:cNvPr>
            <xdr:cNvGraphicFramePr>
              <a:graphicFrameLocks/>
            </xdr:cNvGraphicFramePr>
          </xdr:nvGraphicFramePr>
          <xdr:xfrm>
            <a:off x="33071132" y="7972866"/>
            <a:ext cx="756000" cy="1265757"/>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72" name="Gráfico 71">
              <a:extLst>
                <a:ext uri="{FF2B5EF4-FFF2-40B4-BE49-F238E27FC236}">
                  <a16:creationId xmlns:a16="http://schemas.microsoft.com/office/drawing/2014/main" id="{00000000-0008-0000-1600-000048000000}"/>
                </a:ext>
              </a:extLst>
            </xdr:cNvPr>
            <xdr:cNvGraphicFramePr>
              <a:graphicFrameLocks/>
            </xdr:cNvGraphicFramePr>
          </xdr:nvGraphicFramePr>
          <xdr:xfrm>
            <a:off x="31742236" y="7541644"/>
            <a:ext cx="756000" cy="2384470"/>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73" name="Gráfico 72">
              <a:extLst>
                <a:ext uri="{FF2B5EF4-FFF2-40B4-BE49-F238E27FC236}">
                  <a16:creationId xmlns:a16="http://schemas.microsoft.com/office/drawing/2014/main" id="{00000000-0008-0000-1600-000049000000}"/>
                </a:ext>
              </a:extLst>
            </xdr:cNvPr>
            <xdr:cNvGraphicFramePr>
              <a:graphicFrameLocks/>
            </xdr:cNvGraphicFramePr>
          </xdr:nvGraphicFramePr>
          <xdr:xfrm>
            <a:off x="32076536" y="7676012"/>
            <a:ext cx="708375" cy="2967915"/>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74" name="Gráfico 73">
              <a:extLst>
                <a:ext uri="{FF2B5EF4-FFF2-40B4-BE49-F238E27FC236}">
                  <a16:creationId xmlns:a16="http://schemas.microsoft.com/office/drawing/2014/main" id="{00000000-0008-0000-1600-00004A000000}"/>
                </a:ext>
              </a:extLst>
            </xdr:cNvPr>
            <xdr:cNvGraphicFramePr>
              <a:graphicFrameLocks/>
            </xdr:cNvGraphicFramePr>
          </xdr:nvGraphicFramePr>
          <xdr:xfrm>
            <a:off x="31104987" y="9273876"/>
            <a:ext cx="756000" cy="1170944"/>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75" name="Gráfico 74">
              <a:extLst>
                <a:ext uri="{FF2B5EF4-FFF2-40B4-BE49-F238E27FC236}">
                  <a16:creationId xmlns:a16="http://schemas.microsoft.com/office/drawing/2014/main" id="{00000000-0008-0000-1600-00004B000000}"/>
                </a:ext>
              </a:extLst>
            </xdr:cNvPr>
            <xdr:cNvGraphicFramePr>
              <a:graphicFrameLocks/>
            </xdr:cNvGraphicFramePr>
          </xdr:nvGraphicFramePr>
          <xdr:xfrm>
            <a:off x="32922727" y="7178848"/>
            <a:ext cx="756000" cy="3654826"/>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76" name="Gráfico 75">
              <a:extLst>
                <a:ext uri="{FF2B5EF4-FFF2-40B4-BE49-F238E27FC236}">
                  <a16:creationId xmlns:a16="http://schemas.microsoft.com/office/drawing/2014/main" id="{00000000-0008-0000-1600-00004C000000}"/>
                </a:ext>
              </a:extLst>
            </xdr:cNvPr>
            <xdr:cNvGraphicFramePr>
              <a:graphicFrameLocks/>
            </xdr:cNvGraphicFramePr>
          </xdr:nvGraphicFramePr>
          <xdr:xfrm>
            <a:off x="32952837" y="8502381"/>
            <a:ext cx="756000" cy="3146566"/>
          </xdr:xfrm>
          <a:graphic>
            <a:graphicData uri="http://schemas.openxmlformats.org/drawingml/2006/chart">
              <c:chart xmlns:c="http://schemas.openxmlformats.org/drawingml/2006/chart" xmlns:r="http://schemas.openxmlformats.org/officeDocument/2006/relationships" r:id="rId20"/>
            </a:graphicData>
          </a:graphic>
        </xdr:graphicFrame>
      </xdr:grpSp>
      <xdr:graphicFrame macro="">
        <xdr:nvGraphicFramePr>
          <xdr:cNvPr id="67" name="Gráfico 66">
            <a:extLst>
              <a:ext uri="{FF2B5EF4-FFF2-40B4-BE49-F238E27FC236}">
                <a16:creationId xmlns:a16="http://schemas.microsoft.com/office/drawing/2014/main" id="{00000000-0008-0000-1600-000043000000}"/>
              </a:ext>
            </a:extLst>
          </xdr:cNvPr>
          <xdr:cNvGraphicFramePr>
            <a:graphicFrameLocks/>
          </xdr:cNvGraphicFramePr>
        </xdr:nvGraphicFramePr>
        <xdr:xfrm>
          <a:off x="39003020" y="7606393"/>
          <a:ext cx="2913290" cy="4477986"/>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mc:AlternateContent xmlns:mc="http://schemas.openxmlformats.org/markup-compatibility/2006">
    <mc:Choice xmlns:a14="http://schemas.microsoft.com/office/drawing/2010/main" Requires="a14">
      <xdr:twoCellAnchor editAs="oneCell">
        <xdr:from>
          <xdr:col>84</xdr:col>
          <xdr:colOff>9525</xdr:colOff>
          <xdr:row>1</xdr:row>
          <xdr:rowOff>0</xdr:rowOff>
        </xdr:from>
        <xdr:to>
          <xdr:col>85</xdr:col>
          <xdr:colOff>28575</xdr:colOff>
          <xdr:row>2</xdr:row>
          <xdr:rowOff>19050</xdr:rowOff>
        </xdr:to>
        <xdr:sp macro="" textlink="">
          <xdr:nvSpPr>
            <xdr:cNvPr id="286724" name="Drop Down 4" hidden="1">
              <a:extLst>
                <a:ext uri="{63B3BB69-23CF-44E3-9099-C40C66FF867C}">
                  <a14:compatExt spid="_x0000_s286724"/>
                </a:ext>
                <a:ext uri="{FF2B5EF4-FFF2-40B4-BE49-F238E27FC236}">
                  <a16:creationId xmlns:a16="http://schemas.microsoft.com/office/drawing/2014/main" id="{00000000-0008-0000-1600-0000046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83</xdr:col>
      <xdr:colOff>388938</xdr:colOff>
      <xdr:row>45</xdr:row>
      <xdr:rowOff>36739</xdr:rowOff>
    </xdr:from>
    <xdr:to>
      <xdr:col>92</xdr:col>
      <xdr:colOff>467161</xdr:colOff>
      <xdr:row>71</xdr:row>
      <xdr:rowOff>127000</xdr:rowOff>
    </xdr:to>
    <xdr:grpSp>
      <xdr:nvGrpSpPr>
        <xdr:cNvPr id="23" name="Agrupar 22">
          <a:extLst>
            <a:ext uri="{FF2B5EF4-FFF2-40B4-BE49-F238E27FC236}">
              <a16:creationId xmlns:a16="http://schemas.microsoft.com/office/drawing/2014/main" id="{00000000-0008-0000-1600-000017000000}"/>
            </a:ext>
          </a:extLst>
        </xdr:cNvPr>
        <xdr:cNvGrpSpPr/>
      </xdr:nvGrpSpPr>
      <xdr:grpSpPr>
        <a:xfrm>
          <a:off x="58205688" y="7672614"/>
          <a:ext cx="5578911" cy="4217761"/>
          <a:chOff x="48482250" y="7384596"/>
          <a:chExt cx="5787554" cy="4690258"/>
        </a:xfrm>
      </xdr:grpSpPr>
      <xdr:grpSp>
        <xdr:nvGrpSpPr>
          <xdr:cNvPr id="82" name="Agrupar 81">
            <a:extLst>
              <a:ext uri="{FF2B5EF4-FFF2-40B4-BE49-F238E27FC236}">
                <a16:creationId xmlns:a16="http://schemas.microsoft.com/office/drawing/2014/main" id="{00000000-0008-0000-1600-000052000000}"/>
              </a:ext>
            </a:extLst>
          </xdr:cNvPr>
          <xdr:cNvGrpSpPr/>
        </xdr:nvGrpSpPr>
        <xdr:grpSpPr>
          <a:xfrm>
            <a:off x="50879829" y="7384596"/>
            <a:ext cx="3389975" cy="4473295"/>
            <a:chOff x="31000212" y="7285159"/>
            <a:chExt cx="3364246" cy="4415936"/>
          </a:xfrm>
          <a:solidFill>
            <a:schemeClr val="bg1"/>
          </a:solidFill>
        </xdr:grpSpPr>
        <xdr:grpSp>
          <xdr:nvGrpSpPr>
            <xdr:cNvPr id="83" name="Agrupar 82">
              <a:extLst>
                <a:ext uri="{FF2B5EF4-FFF2-40B4-BE49-F238E27FC236}">
                  <a16:creationId xmlns:a16="http://schemas.microsoft.com/office/drawing/2014/main" id="{00000000-0008-0000-1600-000053000000}"/>
                </a:ext>
              </a:extLst>
            </xdr:cNvPr>
            <xdr:cNvGrpSpPr/>
          </xdr:nvGrpSpPr>
          <xdr:grpSpPr>
            <a:xfrm>
              <a:off x="31000212" y="7576717"/>
              <a:ext cx="3364246" cy="4124378"/>
              <a:chOff x="14849475" y="419100"/>
              <a:chExt cx="5450221" cy="7645400"/>
            </a:xfrm>
            <a:grpFill/>
          </xdr:grpSpPr>
          <xdr:pic>
            <xdr:nvPicPr>
              <xdr:cNvPr id="91" name="Imagem 90" descr="2024">
                <a:extLst>
                  <a:ext uri="{FF2B5EF4-FFF2-40B4-BE49-F238E27FC236}">
                    <a16:creationId xmlns:a16="http://schemas.microsoft.com/office/drawing/2014/main" id="{00000000-0008-0000-1600-00005B000000}"/>
                  </a:ext>
                </a:extLst>
              </xdr:cNvPr>
              <xdr:cNvPicPr>
                <a:picLocks noChangeAspect="1" noChangeArrowheads="1"/>
              </xdr:cNvPicPr>
            </xdr:nvPicPr>
            <xdr:blipFill>
              <a:blip xmlns:r="http://schemas.openxmlformats.org/officeDocument/2006/relationships" r:embed="rId4" cstate="print">
                <a:duotone>
                  <a:schemeClr val="accent1">
                    <a:shade val="45000"/>
                    <a:satMod val="135000"/>
                  </a:schemeClr>
                  <a:prstClr val="white"/>
                </a:duotone>
                <a:extLst>
                  <a:ext uri="{BEBA8EAE-BF5A-486C-A8C5-ECC9F3942E4B}">
                    <a14:imgProps xmlns:a14="http://schemas.microsoft.com/office/drawing/2010/main">
                      <a14:imgLayer r:embed="rId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14849475" y="419100"/>
                <a:ext cx="5450221" cy="7645400"/>
              </a:xfrm>
              <a:prstGeom prst="rect">
                <a:avLst/>
              </a:prstGeom>
              <a:grpFill/>
            </xdr:spPr>
          </xdr:pic>
          <xdr:sp macro="" textlink="">
            <xdr:nvSpPr>
              <xdr:cNvPr id="92" name="Retângulo 91">
                <a:extLst>
                  <a:ext uri="{FF2B5EF4-FFF2-40B4-BE49-F238E27FC236}">
                    <a16:creationId xmlns:a16="http://schemas.microsoft.com/office/drawing/2014/main" id="{00000000-0008-0000-1600-00005C000000}"/>
                  </a:ext>
                </a:extLst>
              </xdr:cNvPr>
              <xdr:cNvSpPr/>
            </xdr:nvSpPr>
            <xdr:spPr>
              <a:xfrm>
                <a:off x="15020925" y="1104900"/>
                <a:ext cx="1838325" cy="15811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93" name="Retângulo 92">
                <a:extLst>
                  <a:ext uri="{FF2B5EF4-FFF2-40B4-BE49-F238E27FC236}">
                    <a16:creationId xmlns:a16="http://schemas.microsoft.com/office/drawing/2014/main" id="{00000000-0008-0000-1600-00005D000000}"/>
                  </a:ext>
                </a:extLst>
              </xdr:cNvPr>
              <xdr:cNvSpPr/>
            </xdr:nvSpPr>
            <xdr:spPr>
              <a:xfrm>
                <a:off x="15111800" y="6477001"/>
                <a:ext cx="1465936" cy="1341442"/>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graphicFrame macro="">
          <xdr:nvGraphicFramePr>
            <xdr:cNvPr id="84" name="Gráfico 83">
              <a:extLst>
                <a:ext uri="{FF2B5EF4-FFF2-40B4-BE49-F238E27FC236}">
                  <a16:creationId xmlns:a16="http://schemas.microsoft.com/office/drawing/2014/main" id="{00000000-0008-0000-1600-000054000000}"/>
                </a:ext>
              </a:extLst>
            </xdr:cNvPr>
            <xdr:cNvGraphicFramePr/>
          </xdr:nvGraphicFramePr>
          <xdr:xfrm>
            <a:off x="32339257" y="7285159"/>
            <a:ext cx="756000" cy="1194648"/>
          </xdr:xfrm>
          <a:graphic>
            <a:graphicData uri="http://schemas.openxmlformats.org/drawingml/2006/chart">
              <c:chart xmlns:c="http://schemas.openxmlformats.org/drawingml/2006/chart" xmlns:r="http://schemas.openxmlformats.org/officeDocument/2006/relationships" r:id="rId22"/>
            </a:graphicData>
          </a:graphic>
        </xdr:graphicFrame>
        <xdr:graphicFrame macro="">
          <xdr:nvGraphicFramePr>
            <xdr:cNvPr id="85" name="Gráfico 84">
              <a:extLst>
                <a:ext uri="{FF2B5EF4-FFF2-40B4-BE49-F238E27FC236}">
                  <a16:creationId xmlns:a16="http://schemas.microsoft.com/office/drawing/2014/main" id="{00000000-0008-0000-1600-000055000000}"/>
                </a:ext>
              </a:extLst>
            </xdr:cNvPr>
            <xdr:cNvGraphicFramePr>
              <a:graphicFrameLocks/>
            </xdr:cNvGraphicFramePr>
          </xdr:nvGraphicFramePr>
          <xdr:xfrm>
            <a:off x="33064364" y="8013242"/>
            <a:ext cx="756000" cy="1265757"/>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6" name="Gráfico 85">
              <a:extLst>
                <a:ext uri="{FF2B5EF4-FFF2-40B4-BE49-F238E27FC236}">
                  <a16:creationId xmlns:a16="http://schemas.microsoft.com/office/drawing/2014/main" id="{00000000-0008-0000-1600-000056000000}"/>
                </a:ext>
              </a:extLst>
            </xdr:cNvPr>
            <xdr:cNvGraphicFramePr>
              <a:graphicFrameLocks/>
            </xdr:cNvGraphicFramePr>
          </xdr:nvGraphicFramePr>
          <xdr:xfrm>
            <a:off x="31742318" y="8755169"/>
            <a:ext cx="756000" cy="1170945"/>
          </xdr:xfrm>
          <a:graphic>
            <a:graphicData uri="http://schemas.openxmlformats.org/drawingml/2006/chart">
              <c:chart xmlns:c="http://schemas.openxmlformats.org/drawingml/2006/chart" xmlns:r="http://schemas.openxmlformats.org/officeDocument/2006/relationships" r:id="rId24"/>
            </a:graphicData>
          </a:graphic>
        </xdr:graphicFrame>
        <xdr:graphicFrame macro="">
          <xdr:nvGraphicFramePr>
            <xdr:cNvPr id="87" name="Gráfico 86">
              <a:extLst>
                <a:ext uri="{FF2B5EF4-FFF2-40B4-BE49-F238E27FC236}">
                  <a16:creationId xmlns:a16="http://schemas.microsoft.com/office/drawing/2014/main" id="{00000000-0008-0000-1600-000057000000}"/>
                </a:ext>
              </a:extLst>
            </xdr:cNvPr>
            <xdr:cNvGraphicFramePr>
              <a:graphicFrameLocks/>
            </xdr:cNvGraphicFramePr>
          </xdr:nvGraphicFramePr>
          <xdr:xfrm>
            <a:off x="32076536" y="9700927"/>
            <a:ext cx="708375" cy="895985"/>
          </xdr:xfrm>
          <a:graphic>
            <a:graphicData uri="http://schemas.openxmlformats.org/drawingml/2006/chart">
              <c:chart xmlns:c="http://schemas.openxmlformats.org/drawingml/2006/chart" xmlns:r="http://schemas.openxmlformats.org/officeDocument/2006/relationships" r:id="rId25"/>
            </a:graphicData>
          </a:graphic>
        </xdr:graphicFrame>
        <xdr:graphicFrame macro="">
          <xdr:nvGraphicFramePr>
            <xdr:cNvPr id="88" name="Gráfico 87">
              <a:extLst>
                <a:ext uri="{FF2B5EF4-FFF2-40B4-BE49-F238E27FC236}">
                  <a16:creationId xmlns:a16="http://schemas.microsoft.com/office/drawing/2014/main" id="{00000000-0008-0000-1600-000058000000}"/>
                </a:ext>
              </a:extLst>
            </xdr:cNvPr>
            <xdr:cNvGraphicFramePr>
              <a:graphicFrameLocks/>
            </xdr:cNvGraphicFramePr>
          </xdr:nvGraphicFramePr>
          <xdr:xfrm>
            <a:off x="31104987" y="9273876"/>
            <a:ext cx="756000" cy="1170944"/>
          </xdr:xfrm>
          <a:graphic>
            <a:graphicData uri="http://schemas.openxmlformats.org/drawingml/2006/chart">
              <c:chart xmlns:c="http://schemas.openxmlformats.org/drawingml/2006/chart" xmlns:r="http://schemas.openxmlformats.org/officeDocument/2006/relationships" r:id="rId26"/>
            </a:graphicData>
          </a:graphic>
        </xdr:graphicFrame>
        <xdr:graphicFrame macro="">
          <xdr:nvGraphicFramePr>
            <xdr:cNvPr id="89" name="Gráfico 88">
              <a:extLst>
                <a:ext uri="{FF2B5EF4-FFF2-40B4-BE49-F238E27FC236}">
                  <a16:creationId xmlns:a16="http://schemas.microsoft.com/office/drawing/2014/main" id="{00000000-0008-0000-1600-000059000000}"/>
                </a:ext>
              </a:extLst>
            </xdr:cNvPr>
            <xdr:cNvGraphicFramePr>
              <a:graphicFrameLocks/>
            </xdr:cNvGraphicFramePr>
          </xdr:nvGraphicFramePr>
          <xdr:xfrm>
            <a:off x="32895687" y="9941216"/>
            <a:ext cx="756000" cy="878117"/>
          </xdr:xfrm>
          <a:graphic>
            <a:graphicData uri="http://schemas.openxmlformats.org/drawingml/2006/chart">
              <c:chart xmlns:c="http://schemas.openxmlformats.org/drawingml/2006/chart" xmlns:r="http://schemas.openxmlformats.org/officeDocument/2006/relationships" r:id="rId27"/>
            </a:graphicData>
          </a:graphic>
        </xdr:graphicFrame>
        <xdr:graphicFrame macro="">
          <xdr:nvGraphicFramePr>
            <xdr:cNvPr id="90" name="Gráfico 89">
              <a:extLst>
                <a:ext uri="{FF2B5EF4-FFF2-40B4-BE49-F238E27FC236}">
                  <a16:creationId xmlns:a16="http://schemas.microsoft.com/office/drawing/2014/main" id="{00000000-0008-0000-1600-00005A000000}"/>
                </a:ext>
              </a:extLst>
            </xdr:cNvPr>
            <xdr:cNvGraphicFramePr>
              <a:graphicFrameLocks/>
            </xdr:cNvGraphicFramePr>
          </xdr:nvGraphicFramePr>
          <xdr:xfrm>
            <a:off x="32952837" y="10861631"/>
            <a:ext cx="756000" cy="787316"/>
          </xdr:xfrm>
          <a:graphic>
            <a:graphicData uri="http://schemas.openxmlformats.org/drawingml/2006/chart">
              <c:chart xmlns:c="http://schemas.openxmlformats.org/drawingml/2006/chart" xmlns:r="http://schemas.openxmlformats.org/officeDocument/2006/relationships" r:id="rId28"/>
            </a:graphicData>
          </a:graphic>
        </xdr:graphicFrame>
      </xdr:grpSp>
      <xdr:graphicFrame macro="">
        <xdr:nvGraphicFramePr>
          <xdr:cNvPr id="81" name="Gráfico 80">
            <a:extLst>
              <a:ext uri="{FF2B5EF4-FFF2-40B4-BE49-F238E27FC236}">
                <a16:creationId xmlns:a16="http://schemas.microsoft.com/office/drawing/2014/main" id="{00000000-0008-0000-1600-000051000000}"/>
              </a:ext>
            </a:extLst>
          </xdr:cNvPr>
          <xdr:cNvGraphicFramePr>
            <a:graphicFrameLocks/>
          </xdr:cNvGraphicFramePr>
        </xdr:nvGraphicFramePr>
        <xdr:xfrm>
          <a:off x="48482250" y="7596868"/>
          <a:ext cx="3042557" cy="4477986"/>
        </xdr:xfrm>
        <a:graphic>
          <a:graphicData uri="http://schemas.openxmlformats.org/drawingml/2006/chart">
            <c:chart xmlns:c="http://schemas.openxmlformats.org/drawingml/2006/chart" xmlns:r="http://schemas.openxmlformats.org/officeDocument/2006/relationships" r:id="rId29"/>
          </a:graphicData>
        </a:graphic>
      </xdr:graphicFrame>
    </xdr:grpSp>
    <xdr:clientData/>
  </xdr:twoCellAnchor>
  <xdr:twoCellAnchor>
    <xdr:from>
      <xdr:col>39</xdr:col>
      <xdr:colOff>489858</xdr:colOff>
      <xdr:row>41</xdr:row>
      <xdr:rowOff>115661</xdr:rowOff>
    </xdr:from>
    <xdr:to>
      <xdr:col>42</xdr:col>
      <xdr:colOff>135038</xdr:colOff>
      <xdr:row>45</xdr:row>
      <xdr:rowOff>12242</xdr:rowOff>
    </xdr:to>
    <xdr:graphicFrame macro="">
      <xdr:nvGraphicFramePr>
        <xdr:cNvPr id="99" name="Gráfico 98">
          <a:extLst>
            <a:ext uri="{FF2B5EF4-FFF2-40B4-BE49-F238E27FC236}">
              <a16:creationId xmlns:a16="http://schemas.microsoft.com/office/drawing/2014/main" id="{00000000-0008-0000-16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66</xdr:col>
      <xdr:colOff>322036</xdr:colOff>
      <xdr:row>44</xdr:row>
      <xdr:rowOff>107722</xdr:rowOff>
    </xdr:from>
    <xdr:to>
      <xdr:col>68</xdr:col>
      <xdr:colOff>318508</xdr:colOff>
      <xdr:row>48</xdr:row>
      <xdr:rowOff>7478</xdr:rowOff>
    </xdr:to>
    <xdr:graphicFrame macro="">
      <xdr:nvGraphicFramePr>
        <xdr:cNvPr id="101" name="Gráfico 100">
          <a:extLst>
            <a:ext uri="{FF2B5EF4-FFF2-40B4-BE49-F238E27FC236}">
              <a16:creationId xmlns:a16="http://schemas.microsoft.com/office/drawing/2014/main" id="{00000000-0008-0000-16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87</xdr:col>
      <xdr:colOff>190500</xdr:colOff>
      <xdr:row>44</xdr:row>
      <xdr:rowOff>122466</xdr:rowOff>
    </xdr:from>
    <xdr:to>
      <xdr:col>89</xdr:col>
      <xdr:colOff>453445</xdr:colOff>
      <xdr:row>48</xdr:row>
      <xdr:rowOff>17005</xdr:rowOff>
    </xdr:to>
    <xdr:graphicFrame macro="">
      <xdr:nvGraphicFramePr>
        <xdr:cNvPr id="103" name="Gráfico 102">
          <a:extLst>
            <a:ext uri="{FF2B5EF4-FFF2-40B4-BE49-F238E27FC236}">
              <a16:creationId xmlns:a16="http://schemas.microsoft.com/office/drawing/2014/main" id="{00000000-0008-0000-1600-00006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45</xdr:col>
      <xdr:colOff>836839</xdr:colOff>
      <xdr:row>90</xdr:row>
      <xdr:rowOff>156484</xdr:rowOff>
    </xdr:from>
    <xdr:to>
      <xdr:col>47</xdr:col>
      <xdr:colOff>605518</xdr:colOff>
      <xdr:row>96</xdr:row>
      <xdr:rowOff>122467</xdr:rowOff>
    </xdr:to>
    <xdr:sp macro="" textlink="$AW$92">
      <xdr:nvSpPr>
        <xdr:cNvPr id="104" name="CaixaDeTexto 103">
          <a:extLst>
            <a:ext uri="{FF2B5EF4-FFF2-40B4-BE49-F238E27FC236}">
              <a16:creationId xmlns:a16="http://schemas.microsoft.com/office/drawing/2014/main" id="{00000000-0008-0000-1600-000068000000}"/>
            </a:ext>
          </a:extLst>
        </xdr:cNvPr>
        <xdr:cNvSpPr txBox="1"/>
      </xdr:nvSpPr>
      <xdr:spPr>
        <a:xfrm>
          <a:off x="32963303" y="15716252"/>
          <a:ext cx="1381126" cy="945697"/>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29CDB704-0720-45C6-8ADE-75E4044624AF}" type="TxLink">
            <a:rPr lang="en-US" sz="600" b="0" i="0" u="none" strike="noStrike">
              <a:solidFill>
                <a:srgbClr val="000000"/>
              </a:solidFill>
              <a:latin typeface="Calibri"/>
              <a:cs typeface="Calibri"/>
            </a:rPr>
            <a:pPr algn="l"/>
            <a:t>EMPRESAS
NUTS II Grande Lisboa: 57.854 (20,3% do Continente; 2ª região de 7)
Esta NUTS II coincide com a NUTS III.</a:t>
          </a:fld>
          <a:endParaRPr lang="pt-PT" sz="600" b="1">
            <a:solidFill>
              <a:srgbClr val="19375E"/>
            </a:solidFill>
            <a:latin typeface="+mn-lt"/>
          </a:endParaRPr>
        </a:p>
      </xdr:txBody>
    </xdr:sp>
    <xdr:clientData/>
  </xdr:twoCellAnchor>
  <xdr:twoCellAnchor>
    <xdr:from>
      <xdr:col>45</xdr:col>
      <xdr:colOff>544287</xdr:colOff>
      <xdr:row>110</xdr:row>
      <xdr:rowOff>163285</xdr:rowOff>
    </xdr:from>
    <xdr:to>
      <xdr:col>47</xdr:col>
      <xdr:colOff>312964</xdr:colOff>
      <xdr:row>116</xdr:row>
      <xdr:rowOff>129269</xdr:rowOff>
    </xdr:to>
    <xdr:sp macro="" textlink="$AW$112">
      <xdr:nvSpPr>
        <xdr:cNvPr id="105" name="CaixaDeTexto 104">
          <a:extLst>
            <a:ext uri="{FF2B5EF4-FFF2-40B4-BE49-F238E27FC236}">
              <a16:creationId xmlns:a16="http://schemas.microsoft.com/office/drawing/2014/main" id="{00000000-0008-0000-1600-000069000000}"/>
            </a:ext>
          </a:extLst>
        </xdr:cNvPr>
        <xdr:cNvSpPr txBox="1"/>
      </xdr:nvSpPr>
      <xdr:spPr>
        <a:xfrm>
          <a:off x="32670751" y="18988767"/>
          <a:ext cx="1381124" cy="945698"/>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D7B1DBB8-9A93-4C5B-866C-5C67171F9CDB}" type="TxLink">
            <a:rPr lang="en-US" sz="600" b="0" i="0" u="none" strike="noStrike">
              <a:solidFill>
                <a:srgbClr val="000000"/>
              </a:solidFill>
              <a:latin typeface="Calibri"/>
              <a:cs typeface="Calibri"/>
            </a:rPr>
            <a:pPr algn="l"/>
            <a:t>ESTABELECIMENTOS
NUTS II Grande Lisboa: 68.270 (20,5% do Continente; 2ª região de 7)
Esta NUTS II coincide com a NUTS III.</a:t>
          </a:fld>
          <a:endParaRPr lang="pt-PT" sz="600" b="1">
            <a:solidFill>
              <a:srgbClr val="19375E"/>
            </a:solidFill>
            <a:latin typeface="+mn-lt"/>
          </a:endParaRPr>
        </a:p>
      </xdr:txBody>
    </xdr:sp>
    <xdr:clientData/>
  </xdr:twoCellAnchor>
  <xdr:twoCellAnchor>
    <xdr:from>
      <xdr:col>74</xdr:col>
      <xdr:colOff>171676</xdr:colOff>
      <xdr:row>84</xdr:row>
      <xdr:rowOff>77109</xdr:rowOff>
    </xdr:from>
    <xdr:to>
      <xdr:col>79</xdr:col>
      <xdr:colOff>87312</xdr:colOff>
      <xdr:row>90</xdr:row>
      <xdr:rowOff>43092</xdr:rowOff>
    </xdr:to>
    <xdr:sp macro="" textlink="$BS$92">
      <xdr:nvSpPr>
        <xdr:cNvPr id="80" name="CaixaDeTexto 79">
          <a:extLst>
            <a:ext uri="{FF2B5EF4-FFF2-40B4-BE49-F238E27FC236}">
              <a16:creationId xmlns:a16="http://schemas.microsoft.com/office/drawing/2014/main" id="{00000000-0008-0000-1600-000050000000}"/>
            </a:ext>
          </a:extLst>
        </xdr:cNvPr>
        <xdr:cNvSpPr txBox="1"/>
      </xdr:nvSpPr>
      <xdr:spPr>
        <a:xfrm>
          <a:off x="52487739" y="14285234"/>
          <a:ext cx="2971573" cy="918483"/>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ED59423E-B8BF-4A94-9E6A-D8F2F253D56E}" type="TxLink">
            <a:rPr lang="en-US" sz="800" b="0" i="0" u="none" strike="noStrike">
              <a:solidFill>
                <a:srgbClr val="000000"/>
              </a:solidFill>
              <a:latin typeface="Calibri"/>
              <a:cs typeface="Calibri"/>
            </a:rPr>
            <a:pPr algn="l"/>
            <a:t>PESSOAS AO SERVIÇO
NUTS II Grande Lisboa: 915.180 (27,4% do Continente; 2ª região de 7)
Esta NUTS II coincide com a NUTS III.</a:t>
          </a:fld>
          <a:endParaRPr lang="pt-PT" sz="800" b="1">
            <a:solidFill>
              <a:srgbClr val="19375E"/>
            </a:solidFill>
            <a:latin typeface="+mn-lt"/>
          </a:endParaRPr>
        </a:p>
      </xdr:txBody>
    </xdr:sp>
    <xdr:clientData/>
  </xdr:twoCellAnchor>
  <xdr:twoCellAnchor>
    <xdr:from>
      <xdr:col>68</xdr:col>
      <xdr:colOff>349249</xdr:colOff>
      <xdr:row>114</xdr:row>
      <xdr:rowOff>0</xdr:rowOff>
    </xdr:from>
    <xdr:to>
      <xdr:col>72</xdr:col>
      <xdr:colOff>436562</xdr:colOff>
      <xdr:row>119</xdr:row>
      <xdr:rowOff>124733</xdr:rowOff>
    </xdr:to>
    <xdr:sp macro="" textlink="$BS$112">
      <xdr:nvSpPr>
        <xdr:cNvPr id="94" name="CaixaDeTexto 93">
          <a:extLst>
            <a:ext uri="{FF2B5EF4-FFF2-40B4-BE49-F238E27FC236}">
              <a16:creationId xmlns:a16="http://schemas.microsoft.com/office/drawing/2014/main" id="{00000000-0008-0000-1600-00005E000000}"/>
            </a:ext>
          </a:extLst>
        </xdr:cNvPr>
        <xdr:cNvSpPr txBox="1"/>
      </xdr:nvSpPr>
      <xdr:spPr>
        <a:xfrm>
          <a:off x="48577499" y="18970625"/>
          <a:ext cx="2952751" cy="918483"/>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2BBF6DBB-3390-4591-A2F4-679CCB309DB4}" type="TxLink">
            <a:rPr lang="en-US" sz="800" b="0" i="0" u="none" strike="noStrike">
              <a:solidFill>
                <a:srgbClr val="000000"/>
              </a:solidFill>
              <a:latin typeface="Calibri"/>
              <a:cs typeface="Calibri"/>
            </a:rPr>
            <a:pPr algn="l"/>
            <a:t>TCO
NUTS II Grande Lisboa: 875.584 (27,8% do Continente; 2ª região de 7)
Esta NUTS II coincide com a NUTS III.</a:t>
          </a:fld>
          <a:endParaRPr lang="pt-PT" sz="800" b="1">
            <a:solidFill>
              <a:srgbClr val="19375E"/>
            </a:solidFill>
            <a:latin typeface="+mn-lt"/>
          </a:endParaRPr>
        </a:p>
      </xdr:txBody>
    </xdr:sp>
    <xdr:clientData/>
  </xdr:twoCellAnchor>
  <xdr:twoCellAnchor>
    <xdr:from>
      <xdr:col>94</xdr:col>
      <xdr:colOff>55562</xdr:colOff>
      <xdr:row>80</xdr:row>
      <xdr:rowOff>63500</xdr:rowOff>
    </xdr:from>
    <xdr:to>
      <xdr:col>98</xdr:col>
      <xdr:colOff>582385</xdr:colOff>
      <xdr:row>85</xdr:row>
      <xdr:rowOff>119063</xdr:rowOff>
    </xdr:to>
    <xdr:sp macro="" textlink="$CM$92">
      <xdr:nvSpPr>
        <xdr:cNvPr id="95" name="CaixaDeTexto 94">
          <a:extLst>
            <a:ext uri="{FF2B5EF4-FFF2-40B4-BE49-F238E27FC236}">
              <a16:creationId xmlns:a16="http://schemas.microsoft.com/office/drawing/2014/main" id="{00000000-0008-0000-1600-00005F000000}"/>
            </a:ext>
          </a:extLst>
        </xdr:cNvPr>
        <xdr:cNvSpPr txBox="1"/>
      </xdr:nvSpPr>
      <xdr:spPr>
        <a:xfrm>
          <a:off x="64595375" y="13255625"/>
          <a:ext cx="2971573" cy="1230313"/>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9412C77-8EF1-4DCC-A19F-0279A943E6B1}" type="TxLink">
            <a:rPr lang="en-US" sz="1000" b="0" i="0" u="none" strike="noStrike">
              <a:solidFill>
                <a:srgbClr val="000000"/>
              </a:solidFill>
              <a:latin typeface="Calibri"/>
              <a:cs typeface="Calibri"/>
            </a:rPr>
            <a:pPr algn="l"/>
            <a:t>REMUNERAÇÃO BASE
NUTS II Grande Lisboa: 1.418 euros (24,0% que no Continente; 1ª região de 7)
Esta NUTS II coincide com a NUTS III.</a:t>
          </a:fld>
          <a:endParaRPr lang="pt-PT" sz="800" b="1">
            <a:solidFill>
              <a:srgbClr val="19375E"/>
            </a:solidFill>
            <a:latin typeface="+mn-lt"/>
          </a:endParaRPr>
        </a:p>
      </xdr:txBody>
    </xdr:sp>
    <xdr:clientData/>
  </xdr:twoCellAnchor>
  <xdr:twoCellAnchor>
    <xdr:from>
      <xdr:col>95</xdr:col>
      <xdr:colOff>87312</xdr:colOff>
      <xdr:row>103</xdr:row>
      <xdr:rowOff>63500</xdr:rowOff>
    </xdr:from>
    <xdr:to>
      <xdr:col>100</xdr:col>
      <xdr:colOff>515937</xdr:colOff>
      <xdr:row>111</xdr:row>
      <xdr:rowOff>23813</xdr:rowOff>
    </xdr:to>
    <xdr:sp macro="" textlink="$CM$112">
      <xdr:nvSpPr>
        <xdr:cNvPr id="96" name="CaixaDeTexto 95">
          <a:extLst>
            <a:ext uri="{FF2B5EF4-FFF2-40B4-BE49-F238E27FC236}">
              <a16:creationId xmlns:a16="http://schemas.microsoft.com/office/drawing/2014/main" id="{00000000-0008-0000-1600-000060000000}"/>
            </a:ext>
          </a:extLst>
        </xdr:cNvPr>
        <xdr:cNvSpPr txBox="1"/>
      </xdr:nvSpPr>
      <xdr:spPr>
        <a:xfrm>
          <a:off x="65238312" y="17287875"/>
          <a:ext cx="3484563" cy="1230313"/>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83674056-EFF6-46A6-A515-0293399AB118}" type="TxLink">
            <a:rPr lang="en-US" sz="1000" b="0" i="0" u="none" strike="noStrike">
              <a:solidFill>
                <a:srgbClr val="000000"/>
              </a:solidFill>
              <a:latin typeface="Calibri"/>
              <a:cs typeface="Calibri"/>
            </a:rPr>
            <a:pPr algn="l"/>
            <a:t>REMUNERAÇÃO GANHO
NUTS II Grande Lisboa: 1.705 euros (24,6% que no Continente; 1ª região de 7)
Esta NUTS II coincide com a NUTS III.</a:t>
          </a:fld>
          <a:endParaRPr lang="pt-PT" sz="800" b="1">
            <a:solidFill>
              <a:srgbClr val="19375E"/>
            </a:solidFill>
            <a:latin typeface="+mn-lt"/>
          </a:endParaRPr>
        </a:p>
      </xdr:txBody>
    </xdr:sp>
    <xdr:clientData/>
  </xdr:twoCellAnchor>
</xdr:wsDr>
</file>

<file path=xl/drawings/drawing48.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6_q9_q12_q19_q27_Fig!$T$2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9F6455D-4342-4A1A-B4A9-581197AA6303}" type="TxLink">
            <a:rPr lang="en-US" sz="800" b="1" i="0" u="none" strike="noStrike">
              <a:solidFill>
                <a:schemeClr val="bg1"/>
              </a:solidFill>
              <a:latin typeface="Arial"/>
              <a:cs typeface="Arial"/>
            </a:rPr>
            <a:pPr algn="ctr"/>
            <a:t>2012</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3_q6_q9_q12_q19_q27_Fig!$AD$2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95B4863-F92E-4721-A263-86A404FF0CA7}" type="TxLink">
            <a:rPr lang="en-US" sz="800" b="1" i="0" u="none" strike="noStrike">
              <a:solidFill>
                <a:schemeClr val="bg1"/>
              </a:solidFill>
              <a:latin typeface="Arial"/>
              <a:cs typeface="Arial"/>
            </a:rPr>
            <a:pPr algn="ctr"/>
            <a:t>2022</a:t>
          </a:fld>
          <a:endParaRPr lang="pt-PT" sz="800" b="1">
            <a:solidFill>
              <a:schemeClr val="bg1"/>
            </a:solidFill>
          </a:endParaRPr>
        </a:p>
      </cdr:txBody>
    </cdr:sp>
  </cdr:relSizeAnchor>
  <cdr:relSizeAnchor xmlns:cdr="http://schemas.openxmlformats.org/drawingml/2006/chartDrawing">
    <cdr:from>
      <cdr:x>0.76561</cdr:x>
      <cdr:y>0.02071</cdr:y>
    </cdr:from>
    <cdr:to>
      <cdr:x>0.917</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904728" y="-160966"/>
          <a:ext cx="300137" cy="729647"/>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49.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6_q9_q12_q19_q27_Fig!$T$2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9F6455D-4342-4A1A-B4A9-581197AA6303}" type="TxLink">
            <a:rPr lang="en-US" sz="800" b="1" i="0" u="none" strike="noStrike">
              <a:solidFill>
                <a:schemeClr val="bg1"/>
              </a:solidFill>
              <a:latin typeface="Arial"/>
              <a:cs typeface="Arial"/>
            </a:rPr>
            <a:pPr algn="ctr"/>
            <a:t>2012</a:t>
          </a:fld>
          <a:endParaRPr lang="pt-PT" sz="800" b="1">
            <a:solidFill>
              <a:schemeClr val="bg1"/>
            </a:solidFill>
          </a:endParaRPr>
        </a:p>
      </cdr:txBody>
    </cdr:sp>
  </cdr:relSizeAnchor>
  <cdr:relSizeAnchor xmlns:cdr="http://schemas.openxmlformats.org/drawingml/2006/chartDrawing">
    <cdr:from>
      <cdr:x>0.51549</cdr:x>
      <cdr:y>0.02092</cdr:y>
    </cdr:from>
    <cdr:to>
      <cdr:x>0.62006</cdr:x>
      <cdr:y>0.13808</cdr:y>
    </cdr:to>
    <cdr:sp macro="" textlink="q3_q6_q9_q12_q19_q27_Fig!$AD$2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4330" y="-45526"/>
          <a:ext cx="304293" cy="503991"/>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95B4863-F92E-4721-A263-86A404FF0CA7}" type="TxLink">
            <a:rPr lang="en-US" sz="800" b="1" i="0" u="none" strike="noStrike">
              <a:solidFill>
                <a:schemeClr val="bg1"/>
              </a:solidFill>
              <a:latin typeface="Arial"/>
              <a:cs typeface="Arial"/>
            </a:rPr>
            <a:pPr algn="ctr"/>
            <a:t>2022</a:t>
          </a:fld>
          <a:endParaRPr lang="pt-PT" sz="800" b="1">
            <a:solidFill>
              <a:schemeClr val="bg1"/>
            </a:solidFill>
          </a:endParaRPr>
        </a:p>
      </cdr:txBody>
    </cdr:sp>
  </cdr:relSizeAnchor>
  <cdr:relSizeAnchor xmlns:cdr="http://schemas.openxmlformats.org/drawingml/2006/chartDrawing">
    <cdr:from>
      <cdr:x>0.73834</cdr:x>
      <cdr:y>0.02071</cdr:y>
    </cdr:from>
    <cdr:to>
      <cdr:x>0.917</cdr:x>
      <cdr:y>0.132</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742587" y="-221896"/>
          <a:ext cx="288000" cy="838973"/>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485775</xdr:colOff>
      <xdr:row>2</xdr:row>
      <xdr:rowOff>152400</xdr:rowOff>
    </xdr:to>
    <xdr:sp macro="" textlink="">
      <xdr:nvSpPr>
        <xdr:cNvPr id="4" name="Rectangle 18">
          <a:extLst>
            <a:ext uri="{FF2B5EF4-FFF2-40B4-BE49-F238E27FC236}">
              <a16:creationId xmlns:a16="http://schemas.microsoft.com/office/drawing/2014/main" id="{00000000-0008-0000-0500-000004000000}"/>
            </a:ext>
          </a:extLst>
        </xdr:cNvPr>
        <xdr:cNvSpPr>
          <a:spLocks noChangeArrowheads="1"/>
        </xdr:cNvSpPr>
      </xdr:nvSpPr>
      <xdr:spPr bwMode="auto">
        <a:xfrm>
          <a:off x="0" y="0"/>
          <a:ext cx="2924175" cy="314325"/>
        </a:xfrm>
        <a:prstGeom prst="rect">
          <a:avLst/>
        </a:prstGeom>
        <a:solidFill>
          <a:srgbClr val="E1EAEF"/>
        </a:solidFill>
        <a:ln>
          <a:noFill/>
        </a:ln>
        <a:effectLst>
          <a:prstShdw prst="shdw17" dist="17961" dir="13500000">
            <a:srgbClr val="878C8F"/>
          </a:prstShdw>
        </a:effectLst>
        <a:extLst>
          <a:ext uri="{91240B29-F687-4F45-9708-019B960494DF}">
            <a14:hiddenLine xmlns:a14="http://schemas.microsoft.com/office/drawing/2010/main" w="28575" cap="rnd">
              <a:solidFill>
                <a:srgbClr val="000000"/>
              </a:solidFill>
              <a:prstDash val="sysDot"/>
              <a:miter lim="800000"/>
              <a:headEnd/>
              <a:tailEnd/>
            </a14:hiddenLine>
          </a:ext>
        </a:extLst>
      </xdr:spPr>
      <xdr:txBody>
        <a:bodyPr wrap="square" lIns="94515" tIns="47256" rIns="94515" bIns="47256" anchor="ctr"/>
        <a:lstStyle>
          <a:defPPr>
            <a:defRPr lang="en-US"/>
          </a:defPPr>
          <a:lvl1pPr algn="ctr" rtl="0" eaLnBrk="0" fontAlgn="base" hangingPunct="0">
            <a:spcBef>
              <a:spcPct val="0"/>
            </a:spcBef>
            <a:spcAft>
              <a:spcPct val="0"/>
            </a:spcAft>
            <a:defRPr sz="900" kern="1200">
              <a:solidFill>
                <a:schemeClr val="tx1"/>
              </a:solidFill>
              <a:latin typeface="Times New Roman" pitchFamily="18" charset="0"/>
              <a:ea typeface="+mn-ea"/>
              <a:cs typeface="+mn-cs"/>
            </a:defRPr>
          </a:lvl1pPr>
          <a:lvl2pPr marL="457200" algn="ctr" rtl="0" eaLnBrk="0" fontAlgn="base" hangingPunct="0">
            <a:spcBef>
              <a:spcPct val="0"/>
            </a:spcBef>
            <a:spcAft>
              <a:spcPct val="0"/>
            </a:spcAft>
            <a:defRPr sz="900" kern="1200">
              <a:solidFill>
                <a:schemeClr val="tx1"/>
              </a:solidFill>
              <a:latin typeface="Times New Roman" pitchFamily="18" charset="0"/>
              <a:ea typeface="+mn-ea"/>
              <a:cs typeface="+mn-cs"/>
            </a:defRPr>
          </a:lvl2pPr>
          <a:lvl3pPr marL="914400" algn="ctr" rtl="0" eaLnBrk="0" fontAlgn="base" hangingPunct="0">
            <a:spcBef>
              <a:spcPct val="0"/>
            </a:spcBef>
            <a:spcAft>
              <a:spcPct val="0"/>
            </a:spcAft>
            <a:defRPr sz="900" kern="1200">
              <a:solidFill>
                <a:schemeClr val="tx1"/>
              </a:solidFill>
              <a:latin typeface="Times New Roman" pitchFamily="18" charset="0"/>
              <a:ea typeface="+mn-ea"/>
              <a:cs typeface="+mn-cs"/>
            </a:defRPr>
          </a:lvl3pPr>
          <a:lvl4pPr marL="1371600" algn="ctr" rtl="0" eaLnBrk="0" fontAlgn="base" hangingPunct="0">
            <a:spcBef>
              <a:spcPct val="0"/>
            </a:spcBef>
            <a:spcAft>
              <a:spcPct val="0"/>
            </a:spcAft>
            <a:defRPr sz="900" kern="1200">
              <a:solidFill>
                <a:schemeClr val="tx1"/>
              </a:solidFill>
              <a:latin typeface="Times New Roman" pitchFamily="18" charset="0"/>
              <a:ea typeface="+mn-ea"/>
              <a:cs typeface="+mn-cs"/>
            </a:defRPr>
          </a:lvl4pPr>
          <a:lvl5pPr marL="1828800" algn="ctr" rtl="0" eaLnBrk="0" fontAlgn="base" hangingPunct="0">
            <a:spcBef>
              <a:spcPct val="0"/>
            </a:spcBef>
            <a:spcAft>
              <a:spcPct val="0"/>
            </a:spcAft>
            <a:defRPr sz="900" kern="1200">
              <a:solidFill>
                <a:schemeClr val="tx1"/>
              </a:solidFill>
              <a:latin typeface="Times New Roman" pitchFamily="18" charset="0"/>
              <a:ea typeface="+mn-ea"/>
              <a:cs typeface="+mn-cs"/>
            </a:defRPr>
          </a:lvl5pPr>
          <a:lvl6pPr marL="2286000" algn="l" defTabSz="914400" rtl="0" eaLnBrk="1" latinLnBrk="0" hangingPunct="1">
            <a:defRPr sz="900" kern="1200">
              <a:solidFill>
                <a:schemeClr val="tx1"/>
              </a:solidFill>
              <a:latin typeface="Times New Roman" pitchFamily="18" charset="0"/>
              <a:ea typeface="+mn-ea"/>
              <a:cs typeface="+mn-cs"/>
            </a:defRPr>
          </a:lvl6pPr>
          <a:lvl7pPr marL="2743200" algn="l" defTabSz="914400" rtl="0" eaLnBrk="1" latinLnBrk="0" hangingPunct="1">
            <a:defRPr sz="900" kern="1200">
              <a:solidFill>
                <a:schemeClr val="tx1"/>
              </a:solidFill>
              <a:latin typeface="Times New Roman" pitchFamily="18" charset="0"/>
              <a:ea typeface="+mn-ea"/>
              <a:cs typeface="+mn-cs"/>
            </a:defRPr>
          </a:lvl7pPr>
          <a:lvl8pPr marL="3200400" algn="l" defTabSz="914400" rtl="0" eaLnBrk="1" latinLnBrk="0" hangingPunct="1">
            <a:defRPr sz="900" kern="1200">
              <a:solidFill>
                <a:schemeClr val="tx1"/>
              </a:solidFill>
              <a:latin typeface="Times New Roman" pitchFamily="18" charset="0"/>
              <a:ea typeface="+mn-ea"/>
              <a:cs typeface="+mn-cs"/>
            </a:defRPr>
          </a:lvl8pPr>
          <a:lvl9pPr marL="3657600" algn="l" defTabSz="914400" rtl="0" eaLnBrk="1" latinLnBrk="0" hangingPunct="1">
            <a:defRPr sz="900" kern="1200">
              <a:solidFill>
                <a:schemeClr val="tx1"/>
              </a:solidFill>
              <a:latin typeface="Times New Roman" pitchFamily="18" charset="0"/>
              <a:ea typeface="+mn-ea"/>
              <a:cs typeface="+mn-cs"/>
            </a:defRPr>
          </a:lvl9pPr>
        </a:lstStyle>
        <a:p>
          <a:pPr algn="l" defTabSz="946150"/>
          <a:r>
            <a:rPr lang="en-US" sz="1400" b="1">
              <a:solidFill>
                <a:srgbClr val="842F36"/>
              </a:solidFill>
              <a:latin typeface="Arial" charset="0"/>
            </a:rPr>
            <a:t>Introdução</a:t>
          </a:r>
          <a:r>
            <a:rPr lang="en-US" sz="1300" b="1">
              <a:solidFill>
                <a:srgbClr val="842F36"/>
              </a:solidFill>
              <a:latin typeface="Arial" charset="0"/>
            </a:rPr>
            <a:t> – Quadros de Pessoal</a:t>
          </a:r>
          <a:endParaRPr lang="pt-PT" sz="1300" b="1">
            <a:solidFill>
              <a:srgbClr val="842F36"/>
            </a:solidFill>
            <a:latin typeface="Arial" charset="0"/>
          </a:endParaRPr>
        </a:p>
      </xdr:txBody>
    </xdr:sp>
    <xdr:clientData/>
  </xdr:twoCellAnchor>
  <xdr:twoCellAnchor>
    <xdr:from>
      <xdr:col>0</xdr:col>
      <xdr:colOff>9525</xdr:colOff>
      <xdr:row>2</xdr:row>
      <xdr:rowOff>123826</xdr:rowOff>
    </xdr:from>
    <xdr:to>
      <xdr:col>9</xdr:col>
      <xdr:colOff>595313</xdr:colOff>
      <xdr:row>49</xdr:row>
      <xdr:rowOff>428625</xdr:rowOff>
    </xdr:to>
    <xdr:sp macro="" textlink="">
      <xdr:nvSpPr>
        <xdr:cNvPr id="5" name="Rectangle 13">
          <a:extLst>
            <a:ext uri="{FF2B5EF4-FFF2-40B4-BE49-F238E27FC236}">
              <a16:creationId xmlns:a16="http://schemas.microsoft.com/office/drawing/2014/main" id="{00000000-0008-0000-0500-000005000000}"/>
            </a:ext>
          </a:extLst>
        </xdr:cNvPr>
        <xdr:cNvSpPr>
          <a:spLocks noChangeArrowheads="1"/>
        </xdr:cNvSpPr>
      </xdr:nvSpPr>
      <xdr:spPr bwMode="auto">
        <a:xfrm>
          <a:off x="9525" y="381001"/>
          <a:ext cx="6072188" cy="8220074"/>
        </a:xfrm>
        <a:prstGeom prst="rect">
          <a:avLst/>
        </a:prstGeom>
        <a:solidFill>
          <a:srgbClr val="E1EAE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144000" rIns="144000"/>
        <a:lstStyle>
          <a:defPPr>
            <a:defRPr lang="en-US"/>
          </a:defPPr>
          <a:lvl1pPr algn="ctr" rtl="0" eaLnBrk="0" fontAlgn="base" hangingPunct="0">
            <a:spcBef>
              <a:spcPct val="0"/>
            </a:spcBef>
            <a:spcAft>
              <a:spcPct val="0"/>
            </a:spcAft>
            <a:defRPr sz="900" kern="1200">
              <a:solidFill>
                <a:schemeClr val="tx1"/>
              </a:solidFill>
              <a:latin typeface="Times New Roman" pitchFamily="18" charset="0"/>
              <a:ea typeface="+mn-ea"/>
              <a:cs typeface="+mn-cs"/>
            </a:defRPr>
          </a:lvl1pPr>
          <a:lvl2pPr marL="457200" algn="ctr" rtl="0" eaLnBrk="0" fontAlgn="base" hangingPunct="0">
            <a:spcBef>
              <a:spcPct val="0"/>
            </a:spcBef>
            <a:spcAft>
              <a:spcPct val="0"/>
            </a:spcAft>
            <a:defRPr sz="900" kern="1200">
              <a:solidFill>
                <a:schemeClr val="tx1"/>
              </a:solidFill>
              <a:latin typeface="Times New Roman" pitchFamily="18" charset="0"/>
              <a:ea typeface="+mn-ea"/>
              <a:cs typeface="+mn-cs"/>
            </a:defRPr>
          </a:lvl2pPr>
          <a:lvl3pPr marL="914400" algn="ctr" rtl="0" eaLnBrk="0" fontAlgn="base" hangingPunct="0">
            <a:spcBef>
              <a:spcPct val="0"/>
            </a:spcBef>
            <a:spcAft>
              <a:spcPct val="0"/>
            </a:spcAft>
            <a:defRPr sz="900" kern="1200">
              <a:solidFill>
                <a:schemeClr val="tx1"/>
              </a:solidFill>
              <a:latin typeface="Times New Roman" pitchFamily="18" charset="0"/>
              <a:ea typeface="+mn-ea"/>
              <a:cs typeface="+mn-cs"/>
            </a:defRPr>
          </a:lvl3pPr>
          <a:lvl4pPr marL="1371600" algn="ctr" rtl="0" eaLnBrk="0" fontAlgn="base" hangingPunct="0">
            <a:spcBef>
              <a:spcPct val="0"/>
            </a:spcBef>
            <a:spcAft>
              <a:spcPct val="0"/>
            </a:spcAft>
            <a:defRPr sz="900" kern="1200">
              <a:solidFill>
                <a:schemeClr val="tx1"/>
              </a:solidFill>
              <a:latin typeface="Times New Roman" pitchFamily="18" charset="0"/>
              <a:ea typeface="+mn-ea"/>
              <a:cs typeface="+mn-cs"/>
            </a:defRPr>
          </a:lvl4pPr>
          <a:lvl5pPr marL="1828800" algn="ctr" rtl="0" eaLnBrk="0" fontAlgn="base" hangingPunct="0">
            <a:spcBef>
              <a:spcPct val="0"/>
            </a:spcBef>
            <a:spcAft>
              <a:spcPct val="0"/>
            </a:spcAft>
            <a:defRPr sz="900" kern="1200">
              <a:solidFill>
                <a:schemeClr val="tx1"/>
              </a:solidFill>
              <a:latin typeface="Times New Roman" pitchFamily="18" charset="0"/>
              <a:ea typeface="+mn-ea"/>
              <a:cs typeface="+mn-cs"/>
            </a:defRPr>
          </a:lvl5pPr>
          <a:lvl6pPr marL="2286000" algn="l" defTabSz="914400" rtl="0" eaLnBrk="1" latinLnBrk="0" hangingPunct="1">
            <a:defRPr sz="900" kern="1200">
              <a:solidFill>
                <a:schemeClr val="tx1"/>
              </a:solidFill>
              <a:latin typeface="Times New Roman" pitchFamily="18" charset="0"/>
              <a:ea typeface="+mn-ea"/>
              <a:cs typeface="+mn-cs"/>
            </a:defRPr>
          </a:lvl6pPr>
          <a:lvl7pPr marL="2743200" algn="l" defTabSz="914400" rtl="0" eaLnBrk="1" latinLnBrk="0" hangingPunct="1">
            <a:defRPr sz="900" kern="1200">
              <a:solidFill>
                <a:schemeClr val="tx1"/>
              </a:solidFill>
              <a:latin typeface="Times New Roman" pitchFamily="18" charset="0"/>
              <a:ea typeface="+mn-ea"/>
              <a:cs typeface="+mn-cs"/>
            </a:defRPr>
          </a:lvl7pPr>
          <a:lvl8pPr marL="3200400" algn="l" defTabSz="914400" rtl="0" eaLnBrk="1" latinLnBrk="0" hangingPunct="1">
            <a:defRPr sz="900" kern="1200">
              <a:solidFill>
                <a:schemeClr val="tx1"/>
              </a:solidFill>
              <a:latin typeface="Times New Roman" pitchFamily="18" charset="0"/>
              <a:ea typeface="+mn-ea"/>
              <a:cs typeface="+mn-cs"/>
            </a:defRPr>
          </a:lvl8pPr>
          <a:lvl9pPr marL="3657600" algn="l" defTabSz="914400" rtl="0" eaLnBrk="1" latinLnBrk="0" hangingPunct="1">
            <a:defRPr sz="900" kern="1200">
              <a:solidFill>
                <a:schemeClr val="tx1"/>
              </a:solidFill>
              <a:latin typeface="Times New Roman" pitchFamily="18" charset="0"/>
              <a:ea typeface="+mn-ea"/>
              <a:cs typeface="+mn-cs"/>
            </a:defRPr>
          </a:lvl9pPr>
        </a:lstStyle>
        <a:p>
          <a:pPr algn="just">
            <a:lnSpc>
              <a:spcPct val="110000"/>
            </a:lnSpc>
            <a:spcAft>
              <a:spcPts val="400"/>
            </a:spcAft>
          </a:pPr>
          <a:r>
            <a:rPr lang="pt-PT">
              <a:solidFill>
                <a:srgbClr val="415263"/>
              </a:solidFill>
              <a:latin typeface="Arial" charset="0"/>
            </a:rPr>
            <a:t>O regime legal dos Quadros de Pessoal, foi instituído pelo Decreto-Lei n.º 479/76, de 16 de Junho, que tornou obrigatório o preenchimento anual dos mapas “Quadros de Pessoal”, por parte de todas as entidade patronais do Continente e Regiões Autónomas, públicas e privadas, com trabalhadores ao serviço, excetuando-se a Administração Pública e Serviços Domésticos, reportado ao mês de Março.</a:t>
          </a:r>
        </a:p>
        <a:p>
          <a:pPr algn="just">
            <a:lnSpc>
              <a:spcPct val="110000"/>
            </a:lnSpc>
            <a:spcAft>
              <a:spcPts val="400"/>
            </a:spcAft>
          </a:pPr>
          <a:r>
            <a:rPr lang="pt-PT">
              <a:solidFill>
                <a:srgbClr val="415263"/>
              </a:solidFill>
              <a:latin typeface="Arial" charset="0"/>
            </a:rPr>
            <a:t>O Decreto-Lei n.º 380/80, 17 de setembro, veio reunir num só diploma as alterações que se encontravam dispersas pelos Decretos-Leis n.ºs 439/77, de 25 outubro,563/77, de 31 de dezembro, 375/78, de 2 de dezembro e 512/79, de 24 de dezembro, introduzindo-lhes algumas alterações.</a:t>
          </a:r>
        </a:p>
        <a:p>
          <a:pPr algn="just">
            <a:lnSpc>
              <a:spcPct val="110000"/>
            </a:lnSpc>
            <a:spcAft>
              <a:spcPts val="400"/>
            </a:spcAft>
          </a:pPr>
          <a:r>
            <a:rPr lang="pt-PT">
              <a:solidFill>
                <a:srgbClr val="415263"/>
              </a:solidFill>
              <a:latin typeface="Arial" charset="0"/>
            </a:rPr>
            <a:t>Os diplomas Decreto-Lei n.º 332/93, de 25 de Setembro, e Portaria n.º 46/94, de 17 de janeiro operaram uma alteração legislativa sobre o mapa “Quadros de Pessoal”.</a:t>
          </a:r>
        </a:p>
        <a:p>
          <a:pPr algn="just">
            <a:lnSpc>
              <a:spcPct val="110000"/>
            </a:lnSpc>
            <a:spcAft>
              <a:spcPts val="400"/>
            </a:spcAft>
          </a:pPr>
          <a:r>
            <a:rPr lang="pt-PT">
              <a:solidFill>
                <a:srgbClr val="415263"/>
              </a:solidFill>
              <a:latin typeface="Arial" charset="0"/>
            </a:rPr>
            <a:t>As alterações introduzidas justificaram-se, por um lado, pelo desajustamento verificado ao longo do tempo entre a disciplina normativa contida num quadro mais vasto e a obrigatoriedade de resposta a alguns pontos do mapa expressa no anterior Decreto-Lei e por outro, pela necessidade de adequar os conceitos e a data de referência dos dados à realidade sócio laboral. Neste sentido e porque a prática estabelecida conduz a que a maioria das convenções coletivas de trabalho sejam negociadas ou alteradas ao longo do 1.º semestre, operou-se a mudança da data de referência dos dados para o mês de outubro, com entrega no mês de novembro de cada ano.</a:t>
          </a:r>
        </a:p>
        <a:p>
          <a:pPr algn="just">
            <a:lnSpc>
              <a:spcPct val="110000"/>
            </a:lnSpc>
            <a:spcAft>
              <a:spcPts val="400"/>
            </a:spcAft>
          </a:pPr>
          <a:r>
            <a:rPr lang="pt-PT">
              <a:solidFill>
                <a:srgbClr val="415263"/>
              </a:solidFill>
              <a:latin typeface="Arial" charset="0"/>
            </a:rPr>
            <a:t>A partir do ano 2000 inclusive, o Quadro de Pessoal sofreu algumas alterações de conteúdo, nomeadamente novas formas de notação de datas e dos valores monetários. A Portaria n.º 785/2000, de 19 de setembro, veio aprovar os novos modelos dos mapas de Quadros de Pessoal, mantendo-se, contudo, todo o articulado do Decreto-Lei n.º 332/93.</a:t>
          </a:r>
        </a:p>
        <a:p>
          <a:pPr algn="just">
            <a:lnSpc>
              <a:spcPct val="110000"/>
            </a:lnSpc>
            <a:spcAft>
              <a:spcPts val="400"/>
            </a:spcAft>
          </a:pPr>
          <a:r>
            <a:rPr lang="pt-PT">
              <a:solidFill>
                <a:srgbClr val="415263"/>
              </a:solidFill>
              <a:latin typeface="Arial" charset="0"/>
            </a:rPr>
            <a:t>Em 2002, operou-se a revisão do regime jurídico do Quadro de Pessoal, feita pelo Decreto-Lei n.º 123/2002, de 4 de maio (revisão da redação dos Artigos 1.º, 2.º, 3.º e 5.º do Decreto-Lei n.º 332/93), tendo como principal objetivo, de acordo com o respetivo preâmbulo, «…melhorar a informação estatística obtida com esta fonte administrativa através do alargamento do âmbito da recolha de dados …».</a:t>
          </a:r>
        </a:p>
        <a:p>
          <a:pPr algn="just">
            <a:lnSpc>
              <a:spcPct val="110000"/>
            </a:lnSpc>
            <a:spcAft>
              <a:spcPts val="400"/>
            </a:spcAft>
          </a:pPr>
          <a:r>
            <a:rPr lang="pt-PT">
              <a:solidFill>
                <a:srgbClr val="415263"/>
              </a:solidFill>
              <a:latin typeface="Arial" charset="0"/>
            </a:rPr>
            <a:t>O alargamento do âmbito da recolha de dados foi contemplado pela aplicação do diploma aos serviços da Administração Central, Regional e Local e aos Institutos Públicos que empreguem trabalhadores em regime de contrato individual de trabalho (n.º 3 do Artigo 1.º). Não se aplica a obrigatoriedade de entrega do mapa Quadros de Pessoal às entidades sem pessoas ao serviço, i. e. trabalhadores por conta própria.</a:t>
          </a:r>
        </a:p>
        <a:p>
          <a:pPr algn="just">
            <a:lnSpc>
              <a:spcPct val="110000"/>
            </a:lnSpc>
            <a:spcAft>
              <a:spcPts val="400"/>
            </a:spcAft>
          </a:pPr>
          <a:r>
            <a:rPr lang="pt-PT">
              <a:solidFill>
                <a:srgbClr val="415263"/>
              </a:solidFill>
              <a:latin typeface="Arial" charset="0"/>
            </a:rPr>
            <a:t>Após um período transitório de três anos (em que a medida se aplicou gradualmente em função da dimensão das empresas), os empregadores com mais de 10 trabalhadores ao serviço passaram a ser obrigados a apresentar os mapas de quadros de pessoal através de meios informáticos. Este procedimento diminuiu o tempo necessário para o tratamento dos dados, permitindo que a informação estatística seja disponibilizada  em prazos mais curtos. A apresentação dos mapas de quadros de pessoal através de meios informáticos teve, ao mesmo tempo, benefícios para a gestão das empresas através da redução de custos administrativos e pôde concorrer para estimular o desenvolvimento da utilização das novas tecnologias da informação e comunicação.</a:t>
          </a:r>
        </a:p>
        <a:p>
          <a:pPr algn="just">
            <a:lnSpc>
              <a:spcPct val="110000"/>
            </a:lnSpc>
            <a:spcAft>
              <a:spcPts val="400"/>
            </a:spcAft>
          </a:pPr>
          <a:r>
            <a:rPr lang="pt-PT">
              <a:solidFill>
                <a:srgbClr val="415263"/>
              </a:solidFill>
              <a:latin typeface="Arial" charset="0"/>
            </a:rPr>
            <a:t>Em 2010, foi instituído o Relatório Único,</a:t>
          </a:r>
          <a:r>
            <a:rPr lang="pt-PT" baseline="0">
              <a:solidFill>
                <a:srgbClr val="415263"/>
              </a:solidFill>
              <a:latin typeface="Arial" charset="0"/>
            </a:rPr>
            <a:t> </a:t>
          </a:r>
          <a:r>
            <a:rPr lang="pt-PT">
              <a:solidFill>
                <a:srgbClr val="415263"/>
              </a:solidFill>
              <a:latin typeface="Arial" charset="0"/>
            </a:rPr>
            <a:t>referente à informação sobre a atividade social da empresa, constituindo uma obrigação anual, a cargo dos empregadores, com conteúdo e prazo de apresentação regulados na Portaria nº 55/2010 de 21 de Janeiro, é constituído por seis anexos, referentes a várias áreas, correspondendo o Anexo A ao Quadro de Pessoal.</a:t>
          </a:r>
          <a:endParaRPr lang="pt-PT" u="sng">
            <a:solidFill>
              <a:srgbClr val="415263"/>
            </a:solidFill>
            <a:latin typeface="Arial" charset="0"/>
          </a:endParaRPr>
        </a:p>
        <a:p>
          <a:pPr algn="just">
            <a:lnSpc>
              <a:spcPct val="120000"/>
            </a:lnSpc>
            <a:spcAft>
              <a:spcPts val="600"/>
            </a:spcAft>
          </a:pPr>
          <a:r>
            <a:rPr lang="pt-PT">
              <a:solidFill>
                <a:srgbClr val="415263"/>
              </a:solidFill>
              <a:latin typeface="Arial" charset="0"/>
            </a:rPr>
            <a:t>A obrigatoriedade de resposta ao Relatório Único foi definida para os empregadores abrangidos pelo Código do Trabalho e pela legislação específica dele decorrente, ficando excluídos desta obrigação os serviços e órgãos que apenas tenham trabalhadores abrangidos pelo Regime do Contrato de Trabalho em Funções Públicas, uma vez que têm legislação especial, não sendo abrangidos pelo Código do Trabalho. </a:t>
          </a:r>
        </a:p>
        <a:p>
          <a:pPr algn="just">
            <a:lnSpc>
              <a:spcPct val="120000"/>
            </a:lnSpc>
            <a:spcAft>
              <a:spcPts val="600"/>
            </a:spcAft>
          </a:pPr>
          <a:r>
            <a:rPr lang="pt-PT">
              <a:solidFill>
                <a:srgbClr val="415263"/>
              </a:solidFill>
              <a:latin typeface="Arial" charset="0"/>
            </a:rPr>
            <a:t>As séries de Quadros de Pessoal, têm como âmbito geográfico o Continente e como referência o mês de outubro, apresentando informação relativa a Estrutura Empresarial, Emprego, Duração do Trabalho, Remunerações e Regulamentação Coletiva de Trabalho. A informação é desagregada segundo as variáveis qualificantes quer dos trabalhadores por conta de outrem (sexo, idade, nível de qualificação, habilitação), quer das unidades declarantes (empresas e estabelecimentos) e das classificações aplicadas (Classificação Portuguesa das Atividades Económicas, revisão 3 e Classificação Portuguesa das Profissões/2010).</a:t>
          </a:r>
        </a:p>
        <a:p>
          <a:pPr algn="just">
            <a:lnSpc>
              <a:spcPct val="120000"/>
            </a:lnSpc>
            <a:spcAft>
              <a:spcPts val="600"/>
            </a:spcAft>
          </a:pPr>
          <a:r>
            <a:rPr lang="pt-PT" sz="900" b="0" i="0" u="none" strike="noStrike" kern="1200" baseline="0">
              <a:solidFill>
                <a:srgbClr val="415263"/>
              </a:solidFill>
              <a:latin typeface="Arial" panose="020B0604020202020204" pitchFamily="34" charset="0"/>
              <a:ea typeface="+mn-ea"/>
              <a:cs typeface="Arial" panose="020B0604020202020204" pitchFamily="34" charset="0"/>
            </a:rPr>
            <a:t>Os dados relativos às Regiões Autónomas dos Açores e da Madeira podem ser obtidos junto dos Serviços Regionais detentores desta fonte estatística, em cada Região Autónoma</a:t>
          </a:r>
          <a:r>
            <a:rPr lang="pt-PT" sz="900" b="0" i="0" u="none" strike="noStrike" kern="1200" baseline="0">
              <a:solidFill>
                <a:schemeClr val="tx1"/>
              </a:solidFill>
              <a:latin typeface="Arial" panose="020B0604020202020204" pitchFamily="34" charset="0"/>
              <a:ea typeface="+mn-ea"/>
              <a:cs typeface="Arial" panose="020B0604020202020204" pitchFamily="34" charset="0"/>
            </a:rPr>
            <a:t>. </a:t>
          </a:r>
          <a:endParaRPr lang="pt-PT">
            <a:solidFill>
              <a:srgbClr val="415263"/>
            </a:solidFill>
            <a:latin typeface="Arial" panose="020B0604020202020204" pitchFamily="34" charset="0"/>
            <a:cs typeface="Arial" panose="020B0604020202020204" pitchFamily="34" charset="0"/>
          </a:endParaRPr>
        </a:p>
      </xdr:txBody>
    </xdr:sp>
    <xdr:clientData/>
  </xdr:twoCellAnchor>
  <xdr:twoCellAnchor editAs="absolute">
    <xdr:from>
      <xdr:col>8</xdr:col>
      <xdr:colOff>361950</xdr:colOff>
      <xdr:row>1</xdr:row>
      <xdr:rowOff>47625</xdr:rowOff>
    </xdr:from>
    <xdr:to>
      <xdr:col>9</xdr:col>
      <xdr:colOff>581025</xdr:colOff>
      <xdr:row>3</xdr:row>
      <xdr:rowOff>19050</xdr:rowOff>
    </xdr:to>
    <xdr:pic>
      <xdr:nvPicPr>
        <xdr:cNvPr id="9" name="Picture 1">
          <a:hlinkClick xmlns:r="http://schemas.openxmlformats.org/officeDocument/2006/relationships" r:id="rId1"/>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238750" y="142875"/>
          <a:ext cx="828675" cy="266700"/>
        </a:xfrm>
        <a:prstGeom prst="rect">
          <a:avLst/>
        </a:prstGeom>
        <a:noFill/>
        <a:ln w="1">
          <a:noFill/>
          <a:miter lim="800000"/>
          <a:headEnd/>
          <a:tailEnd type="none" w="med" len="med"/>
        </a:ln>
        <a:effectLst/>
      </xdr:spPr>
    </xdr:pic>
    <xdr:clientData fPrintsWithSheet="0"/>
  </xdr:twoCellAnchor>
  <xdr:twoCellAnchor>
    <xdr:from>
      <xdr:col>0</xdr:col>
      <xdr:colOff>0</xdr:colOff>
      <xdr:row>49</xdr:row>
      <xdr:rowOff>474068</xdr:rowOff>
    </xdr:from>
    <xdr:to>
      <xdr:col>9</xdr:col>
      <xdr:colOff>561975</xdr:colOff>
      <xdr:row>52</xdr:row>
      <xdr:rowOff>129180</xdr:rowOff>
    </xdr:to>
    <xdr:sp macro="" textlink="">
      <xdr:nvSpPr>
        <xdr:cNvPr id="7" name="Rectangle 15">
          <a:extLst>
            <a:ext uri="{FF2B5EF4-FFF2-40B4-BE49-F238E27FC236}">
              <a16:creationId xmlns:a16="http://schemas.microsoft.com/office/drawing/2014/main" id="{00000000-0008-0000-0500-000007000000}"/>
            </a:ext>
          </a:extLst>
        </xdr:cNvPr>
        <xdr:cNvSpPr>
          <a:spLocks noChangeArrowheads="1"/>
        </xdr:cNvSpPr>
      </xdr:nvSpPr>
      <xdr:spPr bwMode="auto">
        <a:xfrm>
          <a:off x="0" y="8646518"/>
          <a:ext cx="6048375" cy="674287"/>
        </a:xfrm>
        <a:prstGeom prst="rect">
          <a:avLst/>
        </a:prstGeom>
        <a:noFill/>
        <a:ln>
          <a:noFill/>
        </a:ln>
        <a:effectLst>
          <a:outerShdw dist="563972" dir="14049741" sx="125000" sy="125000" algn="tl" rotWithShape="0">
            <a:srgbClr val="C7DFD3"/>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9050">
              <a:solidFill>
                <a:srgbClr val="000000"/>
              </a:solidFill>
              <a:miter lim="800000"/>
              <a:headEnd/>
              <a:tailEnd/>
            </a14:hiddenLine>
          </a:ext>
        </a:extLst>
      </xdr:spPr>
      <xdr:txBody>
        <a:bodyPr wrap="square" anchor="ctr">
          <a:spAutoFit/>
        </a:bodyPr>
        <a:lstStyle>
          <a:defPPr>
            <a:defRPr lang="en-US"/>
          </a:defPPr>
          <a:lvl1pPr algn="l" rtl="0" eaLnBrk="0" fontAlgn="base" hangingPunct="0">
            <a:spcBef>
              <a:spcPct val="0"/>
            </a:spcBef>
            <a:spcAft>
              <a:spcPct val="0"/>
            </a:spcAft>
            <a:defRPr sz="900" kern="1200">
              <a:solidFill>
                <a:schemeClr val="tx1"/>
              </a:solidFill>
              <a:latin typeface="Times New Roman" panose="02020603050405020304" pitchFamily="18" charset="0"/>
              <a:ea typeface="+mn-ea"/>
              <a:cs typeface="+mn-cs"/>
            </a:defRPr>
          </a:lvl1pPr>
          <a:lvl2pPr marL="496888" indent="-39688" algn="l" rtl="0" eaLnBrk="0" fontAlgn="base" hangingPunct="0">
            <a:spcBef>
              <a:spcPct val="0"/>
            </a:spcBef>
            <a:spcAft>
              <a:spcPct val="0"/>
            </a:spcAft>
            <a:defRPr sz="900" kern="1200">
              <a:solidFill>
                <a:schemeClr val="tx1"/>
              </a:solidFill>
              <a:latin typeface="Times New Roman" panose="02020603050405020304" pitchFamily="18" charset="0"/>
              <a:ea typeface="+mn-ea"/>
              <a:cs typeface="+mn-cs"/>
            </a:defRPr>
          </a:lvl2pPr>
          <a:lvl3pPr marL="995363" indent="-80963" algn="l" rtl="0" eaLnBrk="0" fontAlgn="base" hangingPunct="0">
            <a:spcBef>
              <a:spcPct val="0"/>
            </a:spcBef>
            <a:spcAft>
              <a:spcPct val="0"/>
            </a:spcAft>
            <a:defRPr sz="900" kern="1200">
              <a:solidFill>
                <a:schemeClr val="tx1"/>
              </a:solidFill>
              <a:latin typeface="Times New Roman" panose="02020603050405020304" pitchFamily="18" charset="0"/>
              <a:ea typeface="+mn-ea"/>
              <a:cs typeface="+mn-cs"/>
            </a:defRPr>
          </a:lvl3pPr>
          <a:lvl4pPr marL="1492250" indent="-120650" algn="l" rtl="0" eaLnBrk="0" fontAlgn="base" hangingPunct="0">
            <a:spcBef>
              <a:spcPct val="0"/>
            </a:spcBef>
            <a:spcAft>
              <a:spcPct val="0"/>
            </a:spcAft>
            <a:defRPr sz="900" kern="1200">
              <a:solidFill>
                <a:schemeClr val="tx1"/>
              </a:solidFill>
              <a:latin typeface="Times New Roman" panose="02020603050405020304" pitchFamily="18" charset="0"/>
              <a:ea typeface="+mn-ea"/>
              <a:cs typeface="+mn-cs"/>
            </a:defRPr>
          </a:lvl4pPr>
          <a:lvl5pPr marL="1990725" indent="-161925" algn="l" rtl="0" eaLnBrk="0" fontAlgn="base" hangingPunct="0">
            <a:spcBef>
              <a:spcPct val="0"/>
            </a:spcBef>
            <a:spcAft>
              <a:spcPct val="0"/>
            </a:spcAft>
            <a:defRPr sz="900" kern="1200">
              <a:solidFill>
                <a:schemeClr val="tx1"/>
              </a:solidFill>
              <a:latin typeface="Times New Roman" panose="02020603050405020304" pitchFamily="18" charset="0"/>
              <a:ea typeface="+mn-ea"/>
              <a:cs typeface="+mn-cs"/>
            </a:defRPr>
          </a:lvl5pPr>
          <a:lvl6pPr marL="2286000" algn="l" defTabSz="914400" rtl="0" eaLnBrk="1" latinLnBrk="0" hangingPunct="1">
            <a:defRPr sz="900" kern="1200">
              <a:solidFill>
                <a:schemeClr val="tx1"/>
              </a:solidFill>
              <a:latin typeface="Times New Roman" panose="02020603050405020304" pitchFamily="18" charset="0"/>
              <a:ea typeface="+mn-ea"/>
              <a:cs typeface="+mn-cs"/>
            </a:defRPr>
          </a:lvl6pPr>
          <a:lvl7pPr marL="2743200" algn="l" defTabSz="914400" rtl="0" eaLnBrk="1" latinLnBrk="0" hangingPunct="1">
            <a:defRPr sz="900" kern="1200">
              <a:solidFill>
                <a:schemeClr val="tx1"/>
              </a:solidFill>
              <a:latin typeface="Times New Roman" panose="02020603050405020304" pitchFamily="18" charset="0"/>
              <a:ea typeface="+mn-ea"/>
              <a:cs typeface="+mn-cs"/>
            </a:defRPr>
          </a:lvl7pPr>
          <a:lvl8pPr marL="3200400" algn="l" defTabSz="914400" rtl="0" eaLnBrk="1" latinLnBrk="0" hangingPunct="1">
            <a:defRPr sz="900" kern="1200">
              <a:solidFill>
                <a:schemeClr val="tx1"/>
              </a:solidFill>
              <a:latin typeface="Times New Roman" panose="02020603050405020304" pitchFamily="18" charset="0"/>
              <a:ea typeface="+mn-ea"/>
              <a:cs typeface="+mn-cs"/>
            </a:defRPr>
          </a:lvl8pPr>
          <a:lvl9pPr marL="3657600" algn="l" defTabSz="914400" rtl="0" eaLnBrk="1" latinLnBrk="0" hangingPunct="1">
            <a:defRPr sz="900" kern="1200">
              <a:solidFill>
                <a:schemeClr val="tx1"/>
              </a:solidFill>
              <a:latin typeface="Times New Roman" panose="02020603050405020304" pitchFamily="18" charset="0"/>
              <a:ea typeface="+mn-ea"/>
              <a:cs typeface="+mn-cs"/>
            </a:defRPr>
          </a:lvl9pPr>
        </a:lstStyle>
        <a:p>
          <a:pPr algn="just">
            <a:spcAft>
              <a:spcPts val="400"/>
            </a:spcAft>
          </a:pPr>
          <a:r>
            <a:rPr lang="pt-PT" altLang="pt-PT">
              <a:solidFill>
                <a:srgbClr val="415263"/>
              </a:solidFill>
              <a:latin typeface="Arial" panose="020B0604020202020204" pitchFamily="34" charset="0"/>
            </a:rPr>
            <a:t>Os Quadros de Pessoal têm informação sobre </a:t>
          </a:r>
          <a:r>
            <a:rPr lang="pt-PT" altLang="pt-PT" b="1">
              <a:solidFill>
                <a:srgbClr val="415263"/>
              </a:solidFill>
              <a:latin typeface="Arial" panose="020B0604020202020204" pitchFamily="34" charset="0"/>
            </a:rPr>
            <a:t>Empresas</a:t>
          </a:r>
          <a:r>
            <a:rPr lang="pt-PT" altLang="pt-PT">
              <a:solidFill>
                <a:srgbClr val="415263"/>
              </a:solidFill>
              <a:latin typeface="Arial" panose="020B0604020202020204" pitchFamily="34" charset="0"/>
            </a:rPr>
            <a:t>, </a:t>
          </a:r>
          <a:r>
            <a:rPr lang="pt-PT" altLang="pt-PT" b="1">
              <a:solidFill>
                <a:srgbClr val="415263"/>
              </a:solidFill>
              <a:latin typeface="Arial" panose="020B0604020202020204" pitchFamily="34" charset="0"/>
            </a:rPr>
            <a:t>Estabelecimentos</a:t>
          </a:r>
          <a:r>
            <a:rPr lang="pt-PT" altLang="pt-PT">
              <a:solidFill>
                <a:srgbClr val="415263"/>
              </a:solidFill>
              <a:latin typeface="Arial" panose="020B0604020202020204" pitchFamily="34" charset="0"/>
            </a:rPr>
            <a:t> e </a:t>
          </a:r>
          <a:r>
            <a:rPr lang="pt-PT" altLang="pt-PT" b="1">
              <a:solidFill>
                <a:srgbClr val="415263"/>
              </a:solidFill>
              <a:latin typeface="Arial" panose="020B0604020202020204" pitchFamily="34" charset="0"/>
            </a:rPr>
            <a:t>Pessoas ao serviço</a:t>
          </a:r>
          <a:r>
            <a:rPr lang="pt-PT" altLang="pt-PT">
              <a:solidFill>
                <a:srgbClr val="415263"/>
              </a:solidFill>
              <a:latin typeface="Arial" panose="020B0604020202020204" pitchFamily="34" charset="0"/>
            </a:rPr>
            <a:t> (nas empresas e nos estabelecimentos)</a:t>
          </a:r>
          <a:r>
            <a:rPr lang="pt-PT" altLang="pt-PT" baseline="0">
              <a:solidFill>
                <a:srgbClr val="415263"/>
              </a:solidFill>
              <a:latin typeface="Arial" panose="020B0604020202020204" pitchFamily="34" charset="0"/>
            </a:rPr>
            <a:t> desde 1985 e </a:t>
          </a:r>
          <a:r>
            <a:rPr lang="pt-PT" altLang="pt-PT">
              <a:solidFill>
                <a:srgbClr val="415263"/>
              </a:solidFill>
              <a:latin typeface="Arial" panose="020B0604020202020204" pitchFamily="34" charset="0"/>
            </a:rPr>
            <a:t>permitem apurar dados sobre a </a:t>
          </a:r>
          <a:r>
            <a:rPr lang="pt-PT" altLang="pt-PT" b="1">
              <a:solidFill>
                <a:srgbClr val="415263"/>
              </a:solidFill>
              <a:latin typeface="Arial" panose="020B0604020202020204" pitchFamily="34" charset="0"/>
            </a:rPr>
            <a:t>Estrutura Empresarial</a:t>
          </a:r>
          <a:r>
            <a:rPr lang="pt-PT" altLang="pt-PT">
              <a:solidFill>
                <a:srgbClr val="415263"/>
              </a:solidFill>
              <a:latin typeface="Arial" panose="020B0604020202020204" pitchFamily="34" charset="0"/>
            </a:rPr>
            <a:t>, </a:t>
          </a:r>
          <a:r>
            <a:rPr lang="pt-PT" altLang="pt-PT" b="1">
              <a:solidFill>
                <a:srgbClr val="415263"/>
              </a:solidFill>
              <a:latin typeface="Arial" panose="020B0604020202020204" pitchFamily="34" charset="0"/>
            </a:rPr>
            <a:t>Emprego</a:t>
          </a:r>
          <a:r>
            <a:rPr lang="pt-PT" altLang="pt-PT">
              <a:solidFill>
                <a:srgbClr val="415263"/>
              </a:solidFill>
              <a:latin typeface="Arial" panose="020B0604020202020204" pitchFamily="34" charset="0"/>
            </a:rPr>
            <a:t>, </a:t>
          </a:r>
          <a:r>
            <a:rPr lang="pt-PT" altLang="pt-PT" b="1">
              <a:solidFill>
                <a:srgbClr val="415263"/>
              </a:solidFill>
              <a:latin typeface="Arial" panose="020B0604020202020204" pitchFamily="34" charset="0"/>
            </a:rPr>
            <a:t>Duração de Trabalho</a:t>
          </a:r>
          <a:r>
            <a:rPr lang="pt-PT" altLang="pt-PT">
              <a:solidFill>
                <a:srgbClr val="415263"/>
              </a:solidFill>
              <a:latin typeface="Arial" panose="020B0604020202020204" pitchFamily="34" charset="0"/>
            </a:rPr>
            <a:t>, </a:t>
          </a:r>
          <a:r>
            <a:rPr lang="pt-PT" altLang="pt-PT" b="1">
              <a:solidFill>
                <a:srgbClr val="415263"/>
              </a:solidFill>
              <a:latin typeface="Arial" panose="020B0604020202020204" pitchFamily="34" charset="0"/>
            </a:rPr>
            <a:t>Remunerações</a:t>
          </a:r>
          <a:r>
            <a:rPr lang="pt-PT" altLang="pt-PT">
              <a:solidFill>
                <a:srgbClr val="415263"/>
              </a:solidFill>
              <a:latin typeface="Arial" panose="020B0604020202020204" pitchFamily="34" charset="0"/>
            </a:rPr>
            <a:t> e </a:t>
          </a:r>
          <a:r>
            <a:rPr lang="pt-PT" altLang="pt-PT" b="1">
              <a:solidFill>
                <a:srgbClr val="415263"/>
              </a:solidFill>
              <a:latin typeface="Arial" panose="020B0604020202020204" pitchFamily="34" charset="0"/>
            </a:rPr>
            <a:t>Regulamentação Coletiva de Trabalho</a:t>
          </a:r>
          <a:r>
            <a:rPr lang="pt-PT" altLang="pt-PT">
              <a:solidFill>
                <a:srgbClr val="415263"/>
              </a:solidFill>
              <a:latin typeface="Arial" panose="020B0604020202020204" pitchFamily="34" charset="0"/>
            </a:rPr>
            <a:t>.</a:t>
          </a:r>
        </a:p>
        <a:p>
          <a:pPr algn="just">
            <a:spcAft>
              <a:spcPts val="400"/>
            </a:spcAft>
          </a:pPr>
          <a:r>
            <a:rPr lang="pt-PT" altLang="pt-PT">
              <a:solidFill>
                <a:srgbClr val="415263"/>
              </a:solidFill>
              <a:latin typeface="Arial" panose="020B0604020202020204" pitchFamily="34" charset="0"/>
            </a:rPr>
            <a:t>Os </a:t>
          </a:r>
          <a:r>
            <a:rPr lang="pt-PT" altLang="pt-PT" b="1">
              <a:solidFill>
                <a:srgbClr val="415263"/>
              </a:solidFill>
              <a:latin typeface="Arial" panose="020B0604020202020204" pitchFamily="34" charset="0"/>
            </a:rPr>
            <a:t>Pedidos de informação estatística</a:t>
          </a:r>
          <a:r>
            <a:rPr lang="pt-PT" altLang="pt-PT">
              <a:solidFill>
                <a:srgbClr val="415263"/>
              </a:solidFill>
              <a:latin typeface="Arial" panose="020B0604020202020204" pitchFamily="34" charset="0"/>
            </a:rPr>
            <a:t>  podem ser enviados através do </a:t>
          </a:r>
          <a:r>
            <a:rPr lang="pt-PT" altLang="pt-PT" i="1">
              <a:solidFill>
                <a:srgbClr val="415263"/>
              </a:solidFill>
              <a:latin typeface="Arial" panose="020B0604020202020204" pitchFamily="34" charset="0"/>
            </a:rPr>
            <a:t>e-mail gep.dados@gep.mtsss.pt</a:t>
          </a: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0.08648</cdr:x>
      <cdr:y>0.02756</cdr:y>
    </cdr:from>
    <cdr:to>
      <cdr:x>0.19105</cdr:x>
      <cdr:y>0.14472</cdr:y>
    </cdr:to>
    <cdr:sp macro="" textlink="q3_q6_q9_q12_q19_q27_Fig!$T$101">
      <cdr:nvSpPr>
        <cdr:cNvPr id="6" name="Seta: Pentágono 5">
          <a:extLst xmlns:a="http://schemas.openxmlformats.org/drawingml/2006/main">
            <a:ext uri="{FF2B5EF4-FFF2-40B4-BE49-F238E27FC236}">
              <a16:creationId xmlns:a16="http://schemas.microsoft.com/office/drawing/2014/main" id="{B4CFBDA0-DF1B-4CC3-B11D-A93B65095E83}"/>
            </a:ext>
          </a:extLst>
        </cdr:cNvPr>
        <cdr:cNvSpPr/>
      </cdr:nvSpPr>
      <cdr:spPr bwMode="auto">
        <a:xfrm xmlns:a="http://schemas.openxmlformats.org/drawingml/2006/main" rot="5400000">
          <a:off x="401010" y="11740"/>
          <a:ext cx="297761" cy="41437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2363ABA-4DF2-4BB4-B35C-BE4C0AECD3C3}" type="TxLink">
            <a:rPr lang="en-US" sz="800" b="1" i="0" u="none" strike="noStrike">
              <a:solidFill>
                <a:schemeClr val="bg1"/>
              </a:solidFill>
              <a:latin typeface="Arial"/>
              <a:cs typeface="Arial"/>
            </a:rPr>
            <a:pPr algn="ctr"/>
            <a:t>2012</a:t>
          </a:fld>
          <a:endParaRPr lang="pt-PT" sz="800" b="1">
            <a:solidFill>
              <a:schemeClr val="bg1"/>
            </a:solidFill>
          </a:endParaRPr>
        </a:p>
      </cdr:txBody>
    </cdr:sp>
  </cdr:relSizeAnchor>
  <cdr:relSizeAnchor xmlns:cdr="http://schemas.openxmlformats.org/drawingml/2006/chartDrawing">
    <cdr:from>
      <cdr:x>0.52969</cdr:x>
      <cdr:y>0.02092</cdr:y>
    </cdr:from>
    <cdr:to>
      <cdr:x>0.63426</cdr:x>
      <cdr:y>0.13808</cdr:y>
    </cdr:to>
    <cdr:sp macro="" textlink="q3_q6_q9_q12_q19_q27_Fig!$AD$101">
      <cdr:nvSpPr>
        <cdr:cNvPr id="8" name="Seta: Pentágono 7">
          <a:extLst xmlns:a="http://schemas.openxmlformats.org/drawingml/2006/main">
            <a:ext uri="{FF2B5EF4-FFF2-40B4-BE49-F238E27FC236}">
              <a16:creationId xmlns:a16="http://schemas.microsoft.com/office/drawing/2014/main" id="{8A0E3F86-8FBA-4E85-8255-7868A4F54CA8}"/>
            </a:ext>
          </a:extLst>
        </cdr:cNvPr>
        <cdr:cNvSpPr/>
      </cdr:nvSpPr>
      <cdr:spPr bwMode="auto">
        <a:xfrm xmlns:a="http://schemas.openxmlformats.org/drawingml/2006/main" rot="5400000">
          <a:off x="2581258" y="-39796"/>
          <a:ext cx="303177" cy="491042"/>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EBFF525-C5AC-4332-81AA-4A61089D2C43}" type="TxLink">
            <a:rPr lang="en-US" sz="800" b="1" i="0" u="none" strike="noStrike">
              <a:solidFill>
                <a:schemeClr val="bg1"/>
              </a:solidFill>
              <a:latin typeface="Arial"/>
              <a:cs typeface="Arial"/>
            </a:rPr>
            <a:pPr algn="ctr"/>
            <a:t>2022</a:t>
          </a:fld>
          <a:endParaRPr lang="pt-PT" sz="800" b="1">
            <a:solidFill>
              <a:schemeClr val="bg1"/>
            </a:solidFill>
          </a:endParaRPr>
        </a:p>
      </cdr:txBody>
    </cdr:sp>
  </cdr:relSizeAnchor>
  <cdr:relSizeAnchor xmlns:cdr="http://schemas.openxmlformats.org/drawingml/2006/chartDrawing">
    <cdr:from>
      <cdr:x>0.76561</cdr:x>
      <cdr:y>0.02071</cdr:y>
    </cdr:from>
    <cdr:to>
      <cdr:x>0.917</cdr:x>
      <cdr:y>0.13627</cdr:y>
    </cdr:to>
    <cdr:sp macro="" textlink="">
      <cdr:nvSpPr>
        <cdr:cNvPr id="9" name="Seta: Pentágono 8">
          <a:extLst xmlns:a="http://schemas.openxmlformats.org/drawingml/2006/main">
            <a:ext uri="{FF2B5EF4-FFF2-40B4-BE49-F238E27FC236}">
              <a16:creationId xmlns:a16="http://schemas.microsoft.com/office/drawing/2014/main" id="{E3E5FA6D-8353-4278-A642-338438F13CBD}"/>
            </a:ext>
          </a:extLst>
        </cdr:cNvPr>
        <cdr:cNvSpPr/>
      </cdr:nvSpPr>
      <cdr:spPr bwMode="auto">
        <a:xfrm xmlns:a="http://schemas.openxmlformats.org/drawingml/2006/main" rot="5400000">
          <a:off x="3904728" y="-160966"/>
          <a:ext cx="300137" cy="729647"/>
        </a:xfrm>
        <a:prstGeom xmlns:a="http://schemas.openxmlformats.org/drawingml/2006/main" prst="homePlate">
          <a:avLst/>
        </a:prstGeom>
        <a:solidFill xmlns:a="http://schemas.openxmlformats.org/drawingml/2006/main">
          <a:schemeClr val="tx1">
            <a:lumMod val="65000"/>
            <a:lumOff val="35000"/>
          </a:schemeClr>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800" b="1">
              <a:solidFill>
                <a:schemeClr val="bg1"/>
              </a:solidFill>
            </a:rPr>
            <a:t>VARIAÇÃO</a:t>
          </a:r>
        </a:p>
      </cdr:txBody>
    </cdr:sp>
  </cdr:relSizeAnchor>
</c:userShapes>
</file>

<file path=xl/drawings/drawing51.xml><?xml version="1.0" encoding="utf-8"?>
<xdr:wsDr xmlns:xdr="http://schemas.openxmlformats.org/drawingml/2006/spreadsheetDrawing" xmlns:a="http://schemas.openxmlformats.org/drawingml/2006/main">
  <xdr:twoCellAnchor editAs="oneCell">
    <xdr:from>
      <xdr:col>1</xdr:col>
      <xdr:colOff>588628</xdr:colOff>
      <xdr:row>1</xdr:row>
      <xdr:rowOff>133350</xdr:rowOff>
    </xdr:from>
    <xdr:to>
      <xdr:col>10</xdr:col>
      <xdr:colOff>552449</xdr:colOff>
      <xdr:row>41</xdr:row>
      <xdr:rowOff>152400</xdr:rowOff>
    </xdr:to>
    <xdr:pic>
      <xdr:nvPicPr>
        <xdr:cNvPr id="2" name="Imagem 1" descr="2024">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8228" y="323850"/>
          <a:ext cx="5450221" cy="763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90861</xdr:colOff>
      <xdr:row>42</xdr:row>
      <xdr:rowOff>115037</xdr:rowOff>
    </xdr:from>
    <xdr:to>
      <xdr:col>11</xdr:col>
      <xdr:colOff>508001</xdr:colOff>
      <xdr:row>48</xdr:row>
      <xdr:rowOff>114300</xdr:rowOff>
    </xdr:to>
    <xdr:pic>
      <xdr:nvPicPr>
        <xdr:cNvPr id="3" name="Imagem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90861" y="8116037"/>
          <a:ext cx="7122740" cy="1142263"/>
        </a:xfrm>
        <a:prstGeom prst="rect">
          <a:avLst/>
        </a:prstGeom>
      </xdr:spPr>
    </xdr:pic>
    <xdr:clientData/>
  </xdr:twoCellAnchor>
  <xdr:twoCellAnchor editAs="oneCell">
    <xdr:from>
      <xdr:col>1</xdr:col>
      <xdr:colOff>2010</xdr:colOff>
      <xdr:row>73</xdr:row>
      <xdr:rowOff>101600</xdr:rowOff>
    </xdr:from>
    <xdr:to>
      <xdr:col>9</xdr:col>
      <xdr:colOff>158749</xdr:colOff>
      <xdr:row>98</xdr:row>
      <xdr:rowOff>50800</xdr:rowOff>
    </xdr:to>
    <xdr:pic>
      <xdr:nvPicPr>
        <xdr:cNvPr id="4" name="Imagem 3" descr="undefined">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3">
          <a:duotone>
            <a:schemeClr val="accent5">
              <a:shade val="45000"/>
              <a:satMod val="135000"/>
            </a:schemeClr>
            <a:prstClr val="white"/>
          </a:duotone>
          <a:extLst>
            <a:ext uri="{BEBA8EAE-BF5A-486C-A8C5-ECC9F3942E4B}">
              <a14:imgProps xmlns:a14="http://schemas.microsoft.com/office/drawing/2010/main">
                <a14:imgLayer r:embed="rId4">
                  <a14:imgEffect>
                    <a14:colorTemperature colorTemp="5900"/>
                  </a14:imgEffect>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611610" y="14008100"/>
          <a:ext cx="5033539" cy="471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72</xdr:row>
      <xdr:rowOff>0</xdr:rowOff>
    </xdr:from>
    <xdr:to>
      <xdr:col>28</xdr:col>
      <xdr:colOff>266700</xdr:colOff>
      <xdr:row>109</xdr:row>
      <xdr:rowOff>44450</xdr:rowOff>
    </xdr:to>
    <xdr:pic>
      <xdr:nvPicPr>
        <xdr:cNvPr id="5" name="Imagem 4" descr="undefined">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5">
          <a:duotone>
            <a:schemeClr val="accent6">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753600" y="13716000"/>
          <a:ext cx="7581900" cy="709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238125</xdr:colOff>
      <xdr:row>2</xdr:row>
      <xdr:rowOff>0</xdr:rowOff>
    </xdr:from>
    <xdr:to>
      <xdr:col>23</xdr:col>
      <xdr:colOff>201946</xdr:colOff>
      <xdr:row>42</xdr:row>
      <xdr:rowOff>25400</xdr:rowOff>
    </xdr:to>
    <xdr:pic>
      <xdr:nvPicPr>
        <xdr:cNvPr id="6" name="Imagem 5" descr="2024">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6">
          <a:duotone>
            <a:schemeClr val="accent1">
              <a:shade val="45000"/>
              <a:satMod val="135000"/>
            </a:schemeClr>
            <a:prstClr val="white"/>
          </a:duotone>
          <a:extLst>
            <a:ext uri="{BEBA8EAE-BF5A-486C-A8C5-ECC9F3942E4B}">
              <a14:imgProps xmlns:a14="http://schemas.microsoft.com/office/drawing/2010/main">
                <a14:imgLayer r:embed="rId7">
                  <a14:imgEffect>
                    <a14:colorTemperature colorTemp="11200"/>
                  </a14:imgEffect>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8772525" y="381000"/>
          <a:ext cx="5450221" cy="7645400"/>
        </a:xfrm>
        <a:prstGeom prst="rect">
          <a:avLst/>
        </a:prstGeom>
        <a:solidFill>
          <a:srgbClr val="FFC000"/>
        </a:solidFill>
      </xdr:spPr>
    </xdr:pic>
    <xdr:clientData/>
  </xdr:twoCellAnchor>
  <xdr:twoCellAnchor>
    <xdr:from>
      <xdr:col>25</xdr:col>
      <xdr:colOff>428626</xdr:colOff>
      <xdr:row>2</xdr:row>
      <xdr:rowOff>95250</xdr:rowOff>
    </xdr:from>
    <xdr:to>
      <xdr:col>35</xdr:col>
      <xdr:colOff>325772</xdr:colOff>
      <xdr:row>42</xdr:row>
      <xdr:rowOff>53975</xdr:rowOff>
    </xdr:to>
    <xdr:grpSp>
      <xdr:nvGrpSpPr>
        <xdr:cNvPr id="12" name="Agrupar 11">
          <a:extLst>
            <a:ext uri="{FF2B5EF4-FFF2-40B4-BE49-F238E27FC236}">
              <a16:creationId xmlns:a16="http://schemas.microsoft.com/office/drawing/2014/main" id="{00000000-0008-0000-1700-00000C000000}"/>
            </a:ext>
          </a:extLst>
        </xdr:cNvPr>
        <xdr:cNvGrpSpPr/>
      </xdr:nvGrpSpPr>
      <xdr:grpSpPr>
        <a:xfrm>
          <a:off x="15668626" y="476250"/>
          <a:ext cx="5993146" cy="7578725"/>
          <a:chOff x="14849475" y="419100"/>
          <a:chExt cx="5450221" cy="7645400"/>
        </a:xfrm>
      </xdr:grpSpPr>
      <xdr:pic>
        <xdr:nvPicPr>
          <xdr:cNvPr id="9" name="Imagem 8" descr="2024">
            <a:extLst>
              <a:ext uri="{FF2B5EF4-FFF2-40B4-BE49-F238E27FC236}">
                <a16:creationId xmlns:a16="http://schemas.microsoft.com/office/drawing/2014/main" id="{00000000-0008-0000-1700-000009000000}"/>
              </a:ext>
            </a:extLst>
          </xdr:cNvPr>
          <xdr:cNvPicPr>
            <a:picLocks noChangeAspect="1" noChangeArrowheads="1"/>
          </xdr:cNvPicPr>
        </xdr:nvPicPr>
        <xdr:blipFill>
          <a:blip xmlns:r="http://schemas.openxmlformats.org/officeDocument/2006/relationships" r:embed="rId8">
            <a:duotone>
              <a:schemeClr val="accent1">
                <a:shade val="45000"/>
                <a:satMod val="135000"/>
              </a:schemeClr>
              <a:prstClr val="white"/>
            </a:duotone>
            <a:extLst>
              <a:ext uri="{BEBA8EAE-BF5A-486C-A8C5-ECC9F3942E4B}">
                <a14:imgProps xmlns:a14="http://schemas.microsoft.com/office/drawing/2010/main">
                  <a14:imgLayer r:embed="rId7">
                    <a14:imgEffect>
                      <a14:colorTemperature colorTemp="5900"/>
                    </a14:imgEffect>
                    <a14:imgEffect>
                      <a14:saturation sat="66000"/>
                    </a14:imgEffect>
                  </a14:imgLayer>
                </a14:imgProps>
              </a:ext>
              <a:ext uri="{28A0092B-C50C-407E-A947-70E740481C1C}">
                <a14:useLocalDpi xmlns:a14="http://schemas.microsoft.com/office/drawing/2010/main" val="0"/>
              </a:ext>
            </a:extLst>
          </a:blip>
          <a:srcRect/>
          <a:stretch>
            <a:fillRect/>
          </a:stretch>
        </xdr:blipFill>
        <xdr:spPr bwMode="auto">
          <a:xfrm>
            <a:off x="14849475" y="419100"/>
            <a:ext cx="5450221" cy="7645400"/>
          </a:xfrm>
          <a:prstGeom prst="rect">
            <a:avLst/>
          </a:prstGeom>
          <a:solidFill>
            <a:srgbClr val="FFC000"/>
          </a:solidFill>
        </xdr:spPr>
      </xdr:pic>
      <xdr:sp macro="" textlink="">
        <xdr:nvSpPr>
          <xdr:cNvPr id="10" name="Retângulo 9">
            <a:extLst>
              <a:ext uri="{FF2B5EF4-FFF2-40B4-BE49-F238E27FC236}">
                <a16:creationId xmlns:a16="http://schemas.microsoft.com/office/drawing/2014/main" id="{00000000-0008-0000-1700-00000A000000}"/>
              </a:ext>
            </a:extLst>
          </xdr:cNvPr>
          <xdr:cNvSpPr/>
        </xdr:nvSpPr>
        <xdr:spPr>
          <a:xfrm>
            <a:off x="15020925" y="1104900"/>
            <a:ext cx="1838325" cy="15811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sp macro="" textlink="">
        <xdr:nvSpPr>
          <xdr:cNvPr id="11" name="Retângulo 10">
            <a:extLst>
              <a:ext uri="{FF2B5EF4-FFF2-40B4-BE49-F238E27FC236}">
                <a16:creationId xmlns:a16="http://schemas.microsoft.com/office/drawing/2014/main" id="{00000000-0008-0000-1700-00000B000000}"/>
              </a:ext>
            </a:extLst>
          </xdr:cNvPr>
          <xdr:cNvSpPr/>
        </xdr:nvSpPr>
        <xdr:spPr>
          <a:xfrm>
            <a:off x="15211425" y="6477000"/>
            <a:ext cx="1057275" cy="12668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grpSp>
    <xdr:clientData/>
  </xdr:twoCellAnchor>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561975</xdr:colOff>
          <xdr:row>7</xdr:row>
          <xdr:rowOff>142875</xdr:rowOff>
        </xdr:from>
        <xdr:to>
          <xdr:col>17</xdr:col>
          <xdr:colOff>19050</xdr:colOff>
          <xdr:row>9</xdr:row>
          <xdr:rowOff>9525</xdr:rowOff>
        </xdr:to>
        <xdr:sp macro="" textlink="">
          <xdr:nvSpPr>
            <xdr:cNvPr id="179201" name="Drop Down 1" hidden="1">
              <a:extLst>
                <a:ext uri="{63B3BB69-23CF-44E3-9099-C40C66FF867C}">
                  <a14:compatExt spid="_x0000_s179201"/>
                </a:ext>
                <a:ext uri="{FF2B5EF4-FFF2-40B4-BE49-F238E27FC236}">
                  <a16:creationId xmlns:a16="http://schemas.microsoft.com/office/drawing/2014/main" id="{00000000-0008-0000-1800-000001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581025</xdr:colOff>
          <xdr:row>116</xdr:row>
          <xdr:rowOff>123825</xdr:rowOff>
        </xdr:from>
        <xdr:to>
          <xdr:col>20</xdr:col>
          <xdr:colOff>171450</xdr:colOff>
          <xdr:row>117</xdr:row>
          <xdr:rowOff>142875</xdr:rowOff>
        </xdr:to>
        <xdr:sp macro="" textlink="">
          <xdr:nvSpPr>
            <xdr:cNvPr id="179206" name="Drop Down 6" hidden="1">
              <a:extLst>
                <a:ext uri="{63B3BB69-23CF-44E3-9099-C40C66FF867C}">
                  <a14:compatExt spid="_x0000_s179206"/>
                </a:ext>
                <a:ext uri="{FF2B5EF4-FFF2-40B4-BE49-F238E27FC236}">
                  <a16:creationId xmlns:a16="http://schemas.microsoft.com/office/drawing/2014/main" id="{00000000-0008-0000-1800-000006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142</xdr:row>
          <xdr:rowOff>123825</xdr:rowOff>
        </xdr:from>
        <xdr:to>
          <xdr:col>20</xdr:col>
          <xdr:colOff>171450</xdr:colOff>
          <xdr:row>143</xdr:row>
          <xdr:rowOff>142875</xdr:rowOff>
        </xdr:to>
        <xdr:sp macro="" textlink="">
          <xdr:nvSpPr>
            <xdr:cNvPr id="179207" name="Drop Down 7" hidden="1">
              <a:extLst>
                <a:ext uri="{63B3BB69-23CF-44E3-9099-C40C66FF867C}">
                  <a14:compatExt spid="_x0000_s179207"/>
                </a:ext>
                <a:ext uri="{FF2B5EF4-FFF2-40B4-BE49-F238E27FC236}">
                  <a16:creationId xmlns:a16="http://schemas.microsoft.com/office/drawing/2014/main" id="{00000000-0008-0000-1800-000007B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23</xdr:col>
      <xdr:colOff>317500</xdr:colOff>
      <xdr:row>10</xdr:row>
      <xdr:rowOff>68792</xdr:rowOff>
    </xdr:from>
    <xdr:to>
      <xdr:col>30</xdr:col>
      <xdr:colOff>392483</xdr:colOff>
      <xdr:row>29</xdr:row>
      <xdr:rowOff>93133</xdr:rowOff>
    </xdr:to>
    <xdr:grpSp>
      <xdr:nvGrpSpPr>
        <xdr:cNvPr id="78" name="Agrupar 77">
          <a:extLst>
            <a:ext uri="{FF2B5EF4-FFF2-40B4-BE49-F238E27FC236}">
              <a16:creationId xmlns:a16="http://schemas.microsoft.com/office/drawing/2014/main" id="{00000000-0008-0000-1800-00004E000000}"/>
            </a:ext>
          </a:extLst>
        </xdr:cNvPr>
        <xdr:cNvGrpSpPr/>
      </xdr:nvGrpSpPr>
      <xdr:grpSpPr>
        <a:xfrm>
          <a:off x="14358938" y="1576917"/>
          <a:ext cx="4131045" cy="2889779"/>
          <a:chOff x="190500" y="1133475"/>
          <a:chExt cx="4134750" cy="1964700"/>
        </a:xfrm>
      </xdr:grpSpPr>
      <xdr:grpSp>
        <xdr:nvGrpSpPr>
          <xdr:cNvPr id="79" name="Agrupar 78">
            <a:extLst>
              <a:ext uri="{FF2B5EF4-FFF2-40B4-BE49-F238E27FC236}">
                <a16:creationId xmlns:a16="http://schemas.microsoft.com/office/drawing/2014/main" id="{00000000-0008-0000-1800-00004F000000}"/>
              </a:ext>
            </a:extLst>
          </xdr:cNvPr>
          <xdr:cNvGrpSpPr/>
        </xdr:nvGrpSpPr>
        <xdr:grpSpPr>
          <a:xfrm>
            <a:off x="1924050" y="1133475"/>
            <a:ext cx="2401200" cy="1850400"/>
            <a:chOff x="379" y="50819742"/>
            <a:chExt cx="3722129" cy="2517772"/>
          </a:xfrm>
        </xdr:grpSpPr>
        <xdr:graphicFrame macro="">
          <xdr:nvGraphicFramePr>
            <xdr:cNvPr id="81" name="Gráfico 80">
              <a:extLst>
                <a:ext uri="{FF2B5EF4-FFF2-40B4-BE49-F238E27FC236}">
                  <a16:creationId xmlns:a16="http://schemas.microsoft.com/office/drawing/2014/main" id="{00000000-0008-0000-1800-000051000000}"/>
                </a:ext>
              </a:extLst>
            </xdr:cNvPr>
            <xdr:cNvGraphicFramePr/>
          </xdr:nvGraphicFramePr>
          <xdr:xfrm>
            <a:off x="379" y="50819742"/>
            <a:ext cx="3722129" cy="2517772"/>
          </xdr:xfrm>
          <a:graphic>
            <a:graphicData uri="http://schemas.openxmlformats.org/drawingml/2006/chart">
              <c:chart xmlns:c="http://schemas.openxmlformats.org/drawingml/2006/chart" xmlns:r="http://schemas.openxmlformats.org/officeDocument/2006/relationships" r:id="rId1"/>
            </a:graphicData>
          </a:graphic>
        </xdr:graphicFrame>
        <xdr:sp macro="" textlink="q13_q14_q20_q21_q28_q29_Fig!$S$23">
          <xdr:nvSpPr>
            <xdr:cNvPr id="82" name="CaixaDeTexto 81">
              <a:extLst>
                <a:ext uri="{FF2B5EF4-FFF2-40B4-BE49-F238E27FC236}">
                  <a16:creationId xmlns:a16="http://schemas.microsoft.com/office/drawing/2014/main" id="{00000000-0008-0000-1800-000052000000}"/>
                </a:ext>
              </a:extLst>
            </xdr:cNvPr>
            <xdr:cNvSpPr txBox="1"/>
          </xdr:nvSpPr>
          <xdr:spPr>
            <a:xfrm>
              <a:off x="2466973" y="51215403"/>
              <a:ext cx="1060276" cy="244918"/>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13C352D-7C4F-4D98-833F-9C18CA6F96EA}" type="TxLink">
                <a:rPr kumimoji="0" lang="en-US" sz="9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1.494.230</a:t>
              </a:fld>
              <a:endParaRPr kumimoji="0" lang="pt-PT" sz="900" b="1" i="0" u="none" strike="noStrike" kern="0" cap="none" spc="0" normalizeH="0" baseline="0" noProof="0">
                <a:ln>
                  <a:noFill/>
                </a:ln>
                <a:solidFill>
                  <a:srgbClr val="000000"/>
                </a:solidFill>
                <a:effectLst/>
                <a:uLnTx/>
                <a:uFillTx/>
                <a:latin typeface="+mn-lt"/>
                <a:ea typeface="+mn-ea"/>
                <a:cs typeface="Arial"/>
              </a:endParaRPr>
            </a:p>
          </xdr:txBody>
        </xdr:sp>
        <xdr:sp macro="" textlink="q13_q14_q20_q21_q28_q29_Fig!$R$23">
          <xdr:nvSpPr>
            <xdr:cNvPr id="90" name="CaixaDeTexto 89">
              <a:extLst>
                <a:ext uri="{FF2B5EF4-FFF2-40B4-BE49-F238E27FC236}">
                  <a16:creationId xmlns:a16="http://schemas.microsoft.com/office/drawing/2014/main" id="{00000000-0008-0000-1800-00005A000000}"/>
                </a:ext>
              </a:extLst>
            </xdr:cNvPr>
            <xdr:cNvSpPr txBox="1"/>
          </xdr:nvSpPr>
          <xdr:spPr>
            <a:xfrm>
              <a:off x="827210" y="51207396"/>
              <a:ext cx="1060276" cy="244918"/>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8C47EF46-8E6E-47B5-B759-236E824EAE36}" type="TxLink">
                <a:rPr kumimoji="0" lang="en-US" sz="9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1.653.917</a:t>
              </a:fld>
              <a:endParaRPr kumimoji="0" lang="pt-PT" sz="9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aphicFrame macro="">
        <xdr:nvGraphicFramePr>
          <xdr:cNvPr id="80" name="Gráfico 79">
            <a:extLst>
              <a:ext uri="{FF2B5EF4-FFF2-40B4-BE49-F238E27FC236}">
                <a16:creationId xmlns:a16="http://schemas.microsoft.com/office/drawing/2014/main" id="{00000000-0008-0000-1800-000050000000}"/>
              </a:ext>
            </a:extLst>
          </xdr:cNvPr>
          <xdr:cNvGraphicFramePr>
            <a:graphicFrameLocks/>
          </xdr:cNvGraphicFramePr>
        </xdr:nvGraphicFramePr>
        <xdr:xfrm>
          <a:off x="190500" y="1247775"/>
          <a:ext cx="2314575" cy="18504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25</xdr:col>
      <xdr:colOff>343958</xdr:colOff>
      <xdr:row>4</xdr:row>
      <xdr:rowOff>15876</xdr:rowOff>
    </xdr:from>
    <xdr:to>
      <xdr:col>31</xdr:col>
      <xdr:colOff>474132</xdr:colOff>
      <xdr:row>7</xdr:row>
      <xdr:rowOff>86738</xdr:rowOff>
    </xdr:to>
    <xdr:sp macro="" textlink="q13_q14_q20_q21_q28_q29_Fig!$Z$1">
      <xdr:nvSpPr>
        <xdr:cNvPr id="91" name="CaixaDeTexto 90">
          <a:extLst>
            <a:ext uri="{FF2B5EF4-FFF2-40B4-BE49-F238E27FC236}">
              <a16:creationId xmlns:a16="http://schemas.microsoft.com/office/drawing/2014/main" id="{00000000-0008-0000-1800-00005B000000}"/>
            </a:ext>
          </a:extLst>
        </xdr:cNvPr>
        <xdr:cNvSpPr txBox="1"/>
      </xdr:nvSpPr>
      <xdr:spPr>
        <a:xfrm>
          <a:off x="16303625" y="629709"/>
          <a:ext cx="3781424" cy="531237"/>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1E7581E2-9095-4569-90A1-D838D0031323}" type="TxLink">
            <a:rPr lang="en-US" sz="900" b="0" i="0" u="none" strike="noStrike">
              <a:solidFill>
                <a:sysClr val="windowText" lastClr="000000"/>
              </a:solidFill>
              <a:latin typeface="Calibri"/>
              <a:cs typeface="Calibri"/>
            </a:rPr>
            <a:pPr/>
            <a:t>2022:
Existiam 3.148.147 TCO, dos quais 50,3% tinham entre 25 e 44 anos; 
A taxa de feminização era de 47,5%</a:t>
          </a:fld>
          <a:endParaRPr lang="pt-PT" sz="900" b="0">
            <a:solidFill>
              <a:sysClr val="windowText" lastClr="000000"/>
            </a:solidFill>
          </a:endParaRPr>
        </a:p>
      </xdr:txBody>
    </xdr:sp>
    <xdr:clientData/>
  </xdr:twoCellAnchor>
  <xdr:twoCellAnchor>
    <xdr:from>
      <xdr:col>29</xdr:col>
      <xdr:colOff>407458</xdr:colOff>
      <xdr:row>84</xdr:row>
      <xdr:rowOff>21166</xdr:rowOff>
    </xdr:from>
    <xdr:to>
      <xdr:col>36</xdr:col>
      <xdr:colOff>467666</xdr:colOff>
      <xdr:row>111</xdr:row>
      <xdr:rowOff>50597</xdr:rowOff>
    </xdr:to>
    <xdr:grpSp>
      <xdr:nvGrpSpPr>
        <xdr:cNvPr id="92" name="Agrupar 91">
          <a:extLst>
            <a:ext uri="{FF2B5EF4-FFF2-40B4-BE49-F238E27FC236}">
              <a16:creationId xmlns:a16="http://schemas.microsoft.com/office/drawing/2014/main" id="{00000000-0008-0000-1800-00005C000000}"/>
            </a:ext>
          </a:extLst>
        </xdr:cNvPr>
        <xdr:cNvGrpSpPr/>
      </xdr:nvGrpSpPr>
      <xdr:grpSpPr>
        <a:xfrm>
          <a:off x="17925521" y="12689416"/>
          <a:ext cx="4116270" cy="4148994"/>
          <a:chOff x="17928168" y="13873923"/>
          <a:chExt cx="5162525" cy="3324013"/>
        </a:xfrm>
      </xdr:grpSpPr>
      <xdr:grpSp>
        <xdr:nvGrpSpPr>
          <xdr:cNvPr id="93" name="Agrupar 92">
            <a:extLst>
              <a:ext uri="{FF2B5EF4-FFF2-40B4-BE49-F238E27FC236}">
                <a16:creationId xmlns:a16="http://schemas.microsoft.com/office/drawing/2014/main" id="{00000000-0008-0000-1800-00005D000000}"/>
              </a:ext>
            </a:extLst>
          </xdr:cNvPr>
          <xdr:cNvGrpSpPr/>
        </xdr:nvGrpSpPr>
        <xdr:grpSpPr>
          <a:xfrm>
            <a:off x="17928168" y="13918940"/>
            <a:ext cx="2595140" cy="3278996"/>
            <a:chOff x="16790459" y="14269574"/>
            <a:chExt cx="2595140" cy="2552635"/>
          </a:xfrm>
        </xdr:grpSpPr>
        <xdr:graphicFrame macro="">
          <xdr:nvGraphicFramePr>
            <xdr:cNvPr id="109" name="Gráfico 108">
              <a:extLst>
                <a:ext uri="{FF2B5EF4-FFF2-40B4-BE49-F238E27FC236}">
                  <a16:creationId xmlns:a16="http://schemas.microsoft.com/office/drawing/2014/main" id="{00000000-0008-0000-1800-00006D000000}"/>
                </a:ext>
              </a:extLst>
            </xdr:cNvPr>
            <xdr:cNvGraphicFramePr>
              <a:graphicFrameLocks/>
            </xdr:cNvGraphicFramePr>
          </xdr:nvGraphicFramePr>
          <xdr:xfrm>
            <a:off x="16790459" y="14440959"/>
            <a:ext cx="2595140" cy="2381250"/>
          </xdr:xfrm>
          <a:graphic>
            <a:graphicData uri="http://schemas.openxmlformats.org/drawingml/2006/chart">
              <c:chart xmlns:c="http://schemas.openxmlformats.org/drawingml/2006/chart" xmlns:r="http://schemas.openxmlformats.org/officeDocument/2006/relationships" r:id="rId3"/>
            </a:graphicData>
          </a:graphic>
        </xdr:graphicFrame>
        <xdr:sp macro="" textlink="q13_q14_q20_q21_q28_q29_Fig!$R$107">
          <xdr:nvSpPr>
            <xdr:cNvPr id="110" name="CaixaDeTexto 109">
              <a:extLst>
                <a:ext uri="{FF2B5EF4-FFF2-40B4-BE49-F238E27FC236}">
                  <a16:creationId xmlns:a16="http://schemas.microsoft.com/office/drawing/2014/main" id="{00000000-0008-0000-1800-00006E000000}"/>
                </a:ext>
              </a:extLst>
            </xdr:cNvPr>
            <xdr:cNvSpPr txBox="1"/>
          </xdr:nvSpPr>
          <xdr:spPr>
            <a:xfrm>
              <a:off x="17065625" y="14440466"/>
              <a:ext cx="828116" cy="107708"/>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1C5C7F2-35F2-4BD7-AFD6-3A9B2ABBDB23}"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1.143,45 €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111" name="CaixaDeTexto 110">
              <a:extLst>
                <a:ext uri="{FF2B5EF4-FFF2-40B4-BE49-F238E27FC236}">
                  <a16:creationId xmlns:a16="http://schemas.microsoft.com/office/drawing/2014/main" id="{00000000-0008-0000-1800-00006F000000}"/>
                </a:ext>
              </a:extLst>
            </xdr:cNvPr>
            <xdr:cNvSpPr txBox="1"/>
          </xdr:nvSpPr>
          <xdr:spPr>
            <a:xfrm>
              <a:off x="17065623" y="14269574"/>
              <a:ext cx="835055" cy="141666"/>
            </a:xfrm>
            <a:prstGeom prst="rect">
              <a:avLst/>
            </a:prstGeom>
            <a:solidFill>
              <a:schemeClr val="tx1">
                <a:lumMod val="65000"/>
                <a:lumOff val="35000"/>
              </a:scheme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bg1"/>
                  </a:solidFill>
                  <a:effectLst/>
                  <a:uLnTx/>
                  <a:uFillTx/>
                  <a:latin typeface="+mn-lt"/>
                  <a:ea typeface="+mn-ea"/>
                  <a:cs typeface="Calibri"/>
                </a:rPr>
                <a:t>Continente</a:t>
              </a:r>
            </a:p>
          </xdr:txBody>
        </xdr:sp>
        <xdr:sp macro="" textlink="q13_q14_q20_q21_q28_q29_Fig!$R$108">
          <xdr:nvSpPr>
            <xdr:cNvPr id="112" name="CaixaDeTexto 111">
              <a:extLst>
                <a:ext uri="{FF2B5EF4-FFF2-40B4-BE49-F238E27FC236}">
                  <a16:creationId xmlns:a16="http://schemas.microsoft.com/office/drawing/2014/main" id="{00000000-0008-0000-1800-000070000000}"/>
                </a:ext>
              </a:extLst>
            </xdr:cNvPr>
            <xdr:cNvSpPr txBox="1"/>
          </xdr:nvSpPr>
          <xdr:spPr>
            <a:xfrm>
              <a:off x="17065625" y="14584089"/>
              <a:ext cx="835055" cy="109542"/>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2B156ECC-38C7-4F73-8CAE-70A781794369}"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1.368,00 €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nvGrpSpPr>
          <xdr:cNvPr id="103" name="Agrupar 102">
            <a:extLst>
              <a:ext uri="{FF2B5EF4-FFF2-40B4-BE49-F238E27FC236}">
                <a16:creationId xmlns:a16="http://schemas.microsoft.com/office/drawing/2014/main" id="{00000000-0008-0000-1800-000067000000}"/>
              </a:ext>
            </a:extLst>
          </xdr:cNvPr>
          <xdr:cNvGrpSpPr/>
        </xdr:nvGrpSpPr>
        <xdr:grpSpPr>
          <a:xfrm>
            <a:off x="20312568" y="13873923"/>
            <a:ext cx="2778125" cy="3100196"/>
            <a:chOff x="20936984" y="14847589"/>
            <a:chExt cx="2778125" cy="3100196"/>
          </a:xfrm>
        </xdr:grpSpPr>
        <xdr:graphicFrame macro="">
          <xdr:nvGraphicFramePr>
            <xdr:cNvPr id="104" name="Gráfico 103">
              <a:extLst>
                <a:ext uri="{FF2B5EF4-FFF2-40B4-BE49-F238E27FC236}">
                  <a16:creationId xmlns:a16="http://schemas.microsoft.com/office/drawing/2014/main" id="{00000000-0008-0000-1800-000068000000}"/>
                </a:ext>
              </a:extLst>
            </xdr:cNvPr>
            <xdr:cNvGraphicFramePr/>
          </xdr:nvGraphicFramePr>
          <xdr:xfrm>
            <a:off x="20936984" y="14847589"/>
            <a:ext cx="2778125" cy="3100196"/>
          </xdr:xfrm>
          <a:graphic>
            <a:graphicData uri="http://schemas.openxmlformats.org/drawingml/2006/chart">
              <c:chart xmlns:c="http://schemas.openxmlformats.org/drawingml/2006/chart" xmlns:r="http://schemas.openxmlformats.org/officeDocument/2006/relationships" r:id="rId4"/>
            </a:graphicData>
          </a:graphic>
        </xdr:graphicFrame>
        <xdr:sp macro="" textlink="q13_q14_q20_q21_q28_q29_Fig!$R$114">
          <xdr:nvSpPr>
            <xdr:cNvPr id="105" name="CaixaDeTexto 104">
              <a:extLst>
                <a:ext uri="{FF2B5EF4-FFF2-40B4-BE49-F238E27FC236}">
                  <a16:creationId xmlns:a16="http://schemas.microsoft.com/office/drawing/2014/main" id="{00000000-0008-0000-1800-000069000000}"/>
                </a:ext>
              </a:extLst>
            </xdr:cNvPr>
            <xdr:cNvSpPr txBox="1"/>
          </xdr:nvSpPr>
          <xdr:spPr>
            <a:xfrm>
              <a:off x="21534234" y="15168110"/>
              <a:ext cx="684270" cy="144000"/>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7707BD8C-99F2-4650-BA3A-00151E8ADD39}"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1.217,33 €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3_q14_q20_q21_q28_q29_Fig!$R$115">
          <xdr:nvSpPr>
            <xdr:cNvPr id="106" name="CaixaDeTexto 105">
              <a:extLst>
                <a:ext uri="{FF2B5EF4-FFF2-40B4-BE49-F238E27FC236}">
                  <a16:creationId xmlns:a16="http://schemas.microsoft.com/office/drawing/2014/main" id="{00000000-0008-0000-1800-00006A000000}"/>
                </a:ext>
              </a:extLst>
            </xdr:cNvPr>
            <xdr:cNvSpPr txBox="1"/>
          </xdr:nvSpPr>
          <xdr:spPr>
            <a:xfrm>
              <a:off x="21534234" y="15359885"/>
              <a:ext cx="684270" cy="144000"/>
            </a:xfrm>
            <a:prstGeom prst="rect">
              <a:avLst/>
            </a:prstGeom>
            <a:solidFill>
              <a:srgbClr val="FFC000">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9CF34B2E-6095-4C26-83B7-DA38221164E4}"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1.476,20 €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3_q14_q20_q21_q28_q29_Fig!$U$104">
          <xdr:nvSpPr>
            <xdr:cNvPr id="107" name="CaixaDeTexto 106">
              <a:extLst>
                <a:ext uri="{FF2B5EF4-FFF2-40B4-BE49-F238E27FC236}">
                  <a16:creationId xmlns:a16="http://schemas.microsoft.com/office/drawing/2014/main" id="{00000000-0008-0000-1800-00006B000000}"/>
                </a:ext>
              </a:extLst>
            </xdr:cNvPr>
            <xdr:cNvSpPr txBox="1"/>
          </xdr:nvSpPr>
          <xdr:spPr>
            <a:xfrm>
              <a:off x="22755761" y="15181015"/>
              <a:ext cx="684270" cy="144000"/>
            </a:xfrm>
            <a:prstGeom prst="rect">
              <a:avLst/>
            </a:prstGeom>
            <a:solidFill>
              <a:srgbClr val="95B3D7">
                <a:alpha val="46667"/>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7ED31F1F-4F1E-4B28-80C7-E1D677609C7A}"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1.054,36 €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3_q14_q20_q21_q28_q29_Fig!$V$104">
          <xdr:nvSpPr>
            <xdr:cNvPr id="108" name="CaixaDeTexto 107">
              <a:extLst>
                <a:ext uri="{FF2B5EF4-FFF2-40B4-BE49-F238E27FC236}">
                  <a16:creationId xmlns:a16="http://schemas.microsoft.com/office/drawing/2014/main" id="{00000000-0008-0000-1800-00006C000000}"/>
                </a:ext>
              </a:extLst>
            </xdr:cNvPr>
            <xdr:cNvSpPr txBox="1"/>
          </xdr:nvSpPr>
          <xdr:spPr>
            <a:xfrm>
              <a:off x="22755761" y="15372791"/>
              <a:ext cx="684270" cy="144000"/>
            </a:xfrm>
            <a:prstGeom prst="rect">
              <a:avLst/>
            </a:prstGeom>
            <a:solidFill>
              <a:srgbClr val="FFEF57">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DA095E1-FC08-48A6-9F65-B082055869C6}"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1.237,52 €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clientData/>
  </xdr:twoCellAnchor>
  <xdr:twoCellAnchor>
    <xdr:from>
      <xdr:col>38</xdr:col>
      <xdr:colOff>592666</xdr:colOff>
      <xdr:row>96</xdr:row>
      <xdr:rowOff>136690</xdr:rowOff>
    </xdr:from>
    <xdr:to>
      <xdr:col>42</xdr:col>
      <xdr:colOff>196850</xdr:colOff>
      <xdr:row>103</xdr:row>
      <xdr:rowOff>29635</xdr:rowOff>
    </xdr:to>
    <xdr:sp macro="" textlink="q13_q14_q20_q21_q28_q29_Fig!$AX$86">
      <xdr:nvSpPr>
        <xdr:cNvPr id="123" name="CaixaDeTexto 122">
          <a:extLst>
            <a:ext uri="{FF2B5EF4-FFF2-40B4-BE49-F238E27FC236}">
              <a16:creationId xmlns:a16="http://schemas.microsoft.com/office/drawing/2014/main" id="{00000000-0008-0000-1800-00007B000000}"/>
            </a:ext>
          </a:extLst>
        </xdr:cNvPr>
        <xdr:cNvSpPr txBox="1"/>
      </xdr:nvSpPr>
      <xdr:spPr>
        <a:xfrm>
          <a:off x="24463374" y="14911023"/>
          <a:ext cx="2038351" cy="967154"/>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CDDC6F97-B7BE-48DA-B7B5-CA5C9B648BE6}" type="TxLink">
            <a:rPr kumimoji="0" lang="en-US" sz="900" b="0" i="0" u="none" strike="noStrike" kern="0" cap="none" spc="0" normalizeH="0" baseline="0" noProof="0">
              <a:ln>
                <a:noFill/>
              </a:ln>
              <a:solidFill>
                <a:sysClr val="windowText" lastClr="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2022 - Continente:
Base: 83,6% do Ganho, entre 858 € (18 - 24 anos) e  1.298 €  (65 e + anos).
Ganho: Entre 1.016 €  e 1.489 €, nos mesmos grupos etários, respetivamente.</a:t>
          </a:fld>
          <a:endParaRPr kumimoji="0" lang="pt-PT" sz="10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42</xdr:col>
      <xdr:colOff>545044</xdr:colOff>
      <xdr:row>97</xdr:row>
      <xdr:rowOff>15875</xdr:rowOff>
    </xdr:from>
    <xdr:to>
      <xdr:col>46</xdr:col>
      <xdr:colOff>568325</xdr:colOff>
      <xdr:row>103</xdr:row>
      <xdr:rowOff>47626</xdr:rowOff>
    </xdr:to>
    <xdr:sp macro="" textlink="q13_q14_q20_q21_q28_q29_Fig!AX92">
      <xdr:nvSpPr>
        <xdr:cNvPr id="125" name="CaixaDeTexto 124">
          <a:extLst>
            <a:ext uri="{FF2B5EF4-FFF2-40B4-BE49-F238E27FC236}">
              <a16:creationId xmlns:a16="http://schemas.microsoft.com/office/drawing/2014/main" id="{00000000-0008-0000-1800-00007D000000}"/>
            </a:ext>
          </a:extLst>
        </xdr:cNvPr>
        <xdr:cNvSpPr txBox="1"/>
      </xdr:nvSpPr>
      <xdr:spPr>
        <a:xfrm>
          <a:off x="26849919" y="14943667"/>
          <a:ext cx="2457448" cy="95250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BE1D93B8-A427-4A4B-8792-3BED9284426F}"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2022:
Base Mulheres = 86,6% da dos Homens (H), entre  62,8% da dos H (&lt; 18 anos) e 93,9% (18 - 24 anos).
Ganho Mulheres = 83,8% da dos H, entre  66,4% da dos H (&lt; 18 anos) e 93,% (18 - 24 anos).</a:t>
          </a:fld>
          <a:endParaRPr kumimoji="0" lang="en-US" i="0" u="none" strike="noStrike" kern="0" cap="none" spc="0" normalizeH="0" baseline="0" noProof="0">
            <a:ln>
              <a:noFill/>
            </a:ln>
            <a:solidFill>
              <a:sysClr val="windowText" lastClr="000000"/>
            </a:solidFill>
            <a:effectLst/>
            <a:uLnTx/>
            <a:uFillTx/>
            <a:latin typeface="Calibri"/>
            <a:ea typeface="+mn-ea"/>
          </a:endParaRPr>
        </a:p>
      </xdr:txBody>
    </xdr:sp>
    <xdr:clientData/>
  </xdr:twoCellAnchor>
  <xdr:twoCellAnchor>
    <xdr:from>
      <xdr:col>23</xdr:col>
      <xdr:colOff>63499</xdr:colOff>
      <xdr:row>36</xdr:row>
      <xdr:rowOff>127000</xdr:rowOff>
    </xdr:from>
    <xdr:to>
      <xdr:col>30</xdr:col>
      <xdr:colOff>569384</xdr:colOff>
      <xdr:row>55</xdr:row>
      <xdr:rowOff>110132</xdr:rowOff>
    </xdr:to>
    <xdr:grpSp>
      <xdr:nvGrpSpPr>
        <xdr:cNvPr id="126" name="Agrupar 125">
          <a:extLst>
            <a:ext uri="{FF2B5EF4-FFF2-40B4-BE49-F238E27FC236}">
              <a16:creationId xmlns:a16="http://schemas.microsoft.com/office/drawing/2014/main" id="{00000000-0008-0000-1800-00007E000000}"/>
            </a:ext>
          </a:extLst>
        </xdr:cNvPr>
        <xdr:cNvGrpSpPr/>
      </xdr:nvGrpSpPr>
      <xdr:grpSpPr>
        <a:xfrm>
          <a:off x="14104937" y="5556250"/>
          <a:ext cx="4561947" cy="2848570"/>
          <a:chOff x="4838698" y="1104900"/>
          <a:chExt cx="4438651" cy="2174250"/>
        </a:xfrm>
      </xdr:grpSpPr>
      <xdr:grpSp>
        <xdr:nvGrpSpPr>
          <xdr:cNvPr id="127" name="Agrupar 126">
            <a:extLst>
              <a:ext uri="{FF2B5EF4-FFF2-40B4-BE49-F238E27FC236}">
                <a16:creationId xmlns:a16="http://schemas.microsoft.com/office/drawing/2014/main" id="{00000000-0008-0000-1800-00007F000000}"/>
              </a:ext>
            </a:extLst>
          </xdr:cNvPr>
          <xdr:cNvGrpSpPr/>
        </xdr:nvGrpSpPr>
        <xdr:grpSpPr>
          <a:xfrm>
            <a:off x="6905624" y="1104900"/>
            <a:ext cx="2371725" cy="2088525"/>
            <a:chOff x="237729" y="50865118"/>
            <a:chExt cx="3452223" cy="2472395"/>
          </a:xfrm>
        </xdr:grpSpPr>
        <xdr:graphicFrame macro="">
          <xdr:nvGraphicFramePr>
            <xdr:cNvPr id="129" name="Gráfico 128">
              <a:extLst>
                <a:ext uri="{FF2B5EF4-FFF2-40B4-BE49-F238E27FC236}">
                  <a16:creationId xmlns:a16="http://schemas.microsoft.com/office/drawing/2014/main" id="{00000000-0008-0000-1800-000081000000}"/>
                </a:ext>
              </a:extLst>
            </xdr:cNvPr>
            <xdr:cNvGraphicFramePr/>
          </xdr:nvGraphicFramePr>
          <xdr:xfrm>
            <a:off x="237729" y="50865118"/>
            <a:ext cx="3452223" cy="2472395"/>
          </xdr:xfrm>
          <a:graphic>
            <a:graphicData uri="http://schemas.openxmlformats.org/drawingml/2006/chart">
              <c:chart xmlns:c="http://schemas.openxmlformats.org/drawingml/2006/chart" xmlns:r="http://schemas.openxmlformats.org/officeDocument/2006/relationships" r:id="rId5"/>
            </a:graphicData>
          </a:graphic>
        </xdr:graphicFrame>
        <xdr:sp macro="" textlink="q13_q14_q20_q21_q28_q29_Fig!$S$53">
          <xdr:nvSpPr>
            <xdr:cNvPr id="130" name="CaixaDeTexto 129">
              <a:extLst>
                <a:ext uri="{FF2B5EF4-FFF2-40B4-BE49-F238E27FC236}">
                  <a16:creationId xmlns:a16="http://schemas.microsoft.com/office/drawing/2014/main" id="{00000000-0008-0000-1800-000082000000}"/>
                </a:ext>
              </a:extLst>
            </xdr:cNvPr>
            <xdr:cNvSpPr txBox="1"/>
          </xdr:nvSpPr>
          <xdr:spPr>
            <a:xfrm>
              <a:off x="2462259" y="51257392"/>
              <a:ext cx="972653" cy="212825"/>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33346763-475C-40D3-8C96-022D8ECA6C62}"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1.494.230</a:t>
              </a:fld>
              <a:endParaRPr kumimoji="0" lang="pt-PT" sz="800" b="1" i="0" u="none" strike="noStrike" kern="0" cap="none" spc="0" normalizeH="0" baseline="0" noProof="0">
                <a:ln>
                  <a:noFill/>
                </a:ln>
                <a:solidFill>
                  <a:srgbClr val="000000"/>
                </a:solidFill>
                <a:effectLst/>
                <a:uLnTx/>
                <a:uFillTx/>
                <a:latin typeface="+mn-lt"/>
                <a:ea typeface="+mn-ea"/>
                <a:cs typeface="Arial"/>
              </a:endParaRPr>
            </a:p>
          </xdr:txBody>
        </xdr:sp>
        <xdr:sp macro="" textlink="q13_q14_q20_q21_q28_q29_Fig!$R$53">
          <xdr:nvSpPr>
            <xdr:cNvPr id="131" name="CaixaDeTexto 130">
              <a:extLst>
                <a:ext uri="{FF2B5EF4-FFF2-40B4-BE49-F238E27FC236}">
                  <a16:creationId xmlns:a16="http://schemas.microsoft.com/office/drawing/2014/main" id="{00000000-0008-0000-1800-000083000000}"/>
                </a:ext>
              </a:extLst>
            </xdr:cNvPr>
            <xdr:cNvSpPr txBox="1"/>
          </xdr:nvSpPr>
          <xdr:spPr>
            <a:xfrm>
              <a:off x="930254" y="51250755"/>
              <a:ext cx="972653" cy="213084"/>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A28F9F58-0452-4DC4-9A48-9DAD84751F7C}"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1.653.917</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aphicFrame macro="">
        <xdr:nvGraphicFramePr>
          <xdr:cNvPr id="128" name="Gráfico 127">
            <a:extLst>
              <a:ext uri="{FF2B5EF4-FFF2-40B4-BE49-F238E27FC236}">
                <a16:creationId xmlns:a16="http://schemas.microsoft.com/office/drawing/2014/main" id="{00000000-0008-0000-1800-000080000000}"/>
              </a:ext>
            </a:extLst>
          </xdr:cNvPr>
          <xdr:cNvGraphicFramePr>
            <a:graphicFrameLocks/>
          </xdr:cNvGraphicFramePr>
        </xdr:nvGraphicFramePr>
        <xdr:xfrm>
          <a:off x="4838698" y="1428750"/>
          <a:ext cx="2838452" cy="1850400"/>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16</xdr:col>
      <xdr:colOff>216958</xdr:colOff>
      <xdr:row>55</xdr:row>
      <xdr:rowOff>116417</xdr:rowOff>
    </xdr:from>
    <xdr:to>
      <xdr:col>21</xdr:col>
      <xdr:colOff>434975</xdr:colOff>
      <xdr:row>60</xdr:row>
      <xdr:rowOff>89958</xdr:rowOff>
    </xdr:to>
    <xdr:sp macro="" textlink="q13_q14_q20_q21_q28_q29_Fig!$Y$57">
      <xdr:nvSpPr>
        <xdr:cNvPr id="132" name="CaixaDeTexto 131">
          <a:extLst>
            <a:ext uri="{FF2B5EF4-FFF2-40B4-BE49-F238E27FC236}">
              <a16:creationId xmlns:a16="http://schemas.microsoft.com/office/drawing/2014/main" id="{00000000-0008-0000-1800-000084000000}"/>
            </a:ext>
          </a:extLst>
        </xdr:cNvPr>
        <xdr:cNvSpPr txBox="1"/>
      </xdr:nvSpPr>
      <xdr:spPr>
        <a:xfrm>
          <a:off x="10546291" y="8556625"/>
          <a:ext cx="3414184" cy="740833"/>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48839FCC-299A-463A-BB08-0CE435B4BBAF}" type="TxLink">
            <a:rPr lang="en-US" sz="900" b="0" i="0" u="none" strike="noStrike">
              <a:solidFill>
                <a:sysClr val="windowText" lastClr="000000"/>
              </a:solidFill>
              <a:latin typeface="Calibri"/>
              <a:cs typeface="Calibri"/>
            </a:rPr>
            <a:pPr/>
            <a:t>2022:
55,4% dos TCO eram profissionais qualificados e semi-qualificados, onde a taxa de feminização era de  42,1% e de 56,7%, respetivamente.</a:t>
          </a:fld>
          <a:endParaRPr lang="pt-PT" sz="900" b="0">
            <a:solidFill>
              <a:sysClr val="windowText" lastClr="000000"/>
            </a:solidFill>
          </a:endParaRPr>
        </a:p>
      </xdr:txBody>
    </xdr:sp>
    <xdr:clientData/>
  </xdr:twoCellAnchor>
  <xdr:twoCellAnchor>
    <xdr:from>
      <xdr:col>31</xdr:col>
      <xdr:colOff>508000</xdr:colOff>
      <xdr:row>113</xdr:row>
      <xdr:rowOff>21166</xdr:rowOff>
    </xdr:from>
    <xdr:to>
      <xdr:col>37</xdr:col>
      <xdr:colOff>502673</xdr:colOff>
      <xdr:row>134</xdr:row>
      <xdr:rowOff>105833</xdr:rowOff>
    </xdr:to>
    <xdr:grpSp>
      <xdr:nvGrpSpPr>
        <xdr:cNvPr id="133" name="Agrupar 132">
          <a:extLst>
            <a:ext uri="{FF2B5EF4-FFF2-40B4-BE49-F238E27FC236}">
              <a16:creationId xmlns:a16="http://schemas.microsoft.com/office/drawing/2014/main" id="{00000000-0008-0000-1800-000085000000}"/>
            </a:ext>
          </a:extLst>
        </xdr:cNvPr>
        <xdr:cNvGrpSpPr/>
      </xdr:nvGrpSpPr>
      <xdr:grpSpPr>
        <a:xfrm>
          <a:off x="19184938" y="17110604"/>
          <a:ext cx="3471298" cy="3251729"/>
          <a:chOff x="18293291" y="17907757"/>
          <a:chExt cx="5355382" cy="3534079"/>
        </a:xfrm>
      </xdr:grpSpPr>
      <xdr:grpSp>
        <xdr:nvGrpSpPr>
          <xdr:cNvPr id="134" name="Agrupar 133">
            <a:extLst>
              <a:ext uri="{FF2B5EF4-FFF2-40B4-BE49-F238E27FC236}">
                <a16:creationId xmlns:a16="http://schemas.microsoft.com/office/drawing/2014/main" id="{00000000-0008-0000-1800-000086000000}"/>
              </a:ext>
            </a:extLst>
          </xdr:cNvPr>
          <xdr:cNvGrpSpPr/>
        </xdr:nvGrpSpPr>
        <xdr:grpSpPr>
          <a:xfrm>
            <a:off x="18293291" y="17938754"/>
            <a:ext cx="2846916" cy="3503082"/>
            <a:chOff x="20214167" y="14049372"/>
            <a:chExt cx="2846916" cy="2603503"/>
          </a:xfrm>
        </xdr:grpSpPr>
        <xdr:graphicFrame macro="">
          <xdr:nvGraphicFramePr>
            <xdr:cNvPr id="151" name="Gráfico 150">
              <a:extLst>
                <a:ext uri="{FF2B5EF4-FFF2-40B4-BE49-F238E27FC236}">
                  <a16:creationId xmlns:a16="http://schemas.microsoft.com/office/drawing/2014/main" id="{00000000-0008-0000-1800-000097000000}"/>
                </a:ext>
              </a:extLst>
            </xdr:cNvPr>
            <xdr:cNvGraphicFramePr>
              <a:graphicFrameLocks/>
            </xdr:cNvGraphicFramePr>
          </xdr:nvGraphicFramePr>
          <xdr:xfrm>
            <a:off x="20214167" y="14271625"/>
            <a:ext cx="2846916" cy="2381250"/>
          </xdr:xfrm>
          <a:graphic>
            <a:graphicData uri="http://schemas.openxmlformats.org/drawingml/2006/chart">
              <c:chart xmlns:c="http://schemas.openxmlformats.org/drawingml/2006/chart" xmlns:r="http://schemas.openxmlformats.org/officeDocument/2006/relationships" r:id="rId7"/>
            </a:graphicData>
          </a:graphic>
        </xdr:graphicFrame>
        <xdr:sp macro="" textlink="q13_q14_q20_q21_q28_q29_Fig!$R$132">
          <xdr:nvSpPr>
            <xdr:cNvPr id="152" name="CaixaDeTexto 151">
              <a:extLst>
                <a:ext uri="{FF2B5EF4-FFF2-40B4-BE49-F238E27FC236}">
                  <a16:creationId xmlns:a16="http://schemas.microsoft.com/office/drawing/2014/main" id="{00000000-0008-0000-1800-000098000000}"/>
                </a:ext>
              </a:extLst>
            </xdr:cNvPr>
            <xdr:cNvSpPr txBox="1"/>
          </xdr:nvSpPr>
          <xdr:spPr>
            <a:xfrm>
              <a:off x="20489330" y="14220587"/>
              <a:ext cx="966890" cy="103652"/>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C94FF904-7FF2-4811-B6FA-9508B3DAD15C}"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1.143,45 €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153" name="CaixaDeTexto 152">
              <a:extLst>
                <a:ext uri="{FF2B5EF4-FFF2-40B4-BE49-F238E27FC236}">
                  <a16:creationId xmlns:a16="http://schemas.microsoft.com/office/drawing/2014/main" id="{00000000-0008-0000-1800-000099000000}"/>
                </a:ext>
              </a:extLst>
            </xdr:cNvPr>
            <xdr:cNvSpPr txBox="1"/>
          </xdr:nvSpPr>
          <xdr:spPr>
            <a:xfrm>
              <a:off x="20489333" y="14049372"/>
              <a:ext cx="950758" cy="139765"/>
            </a:xfrm>
            <a:prstGeom prst="rect">
              <a:avLst/>
            </a:prstGeom>
            <a:solidFill>
              <a:schemeClr val="tx1">
                <a:lumMod val="65000"/>
                <a:lumOff val="35000"/>
              </a:scheme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bg1"/>
                  </a:solidFill>
                  <a:effectLst/>
                  <a:uLnTx/>
                  <a:uFillTx/>
                  <a:latin typeface="+mn-lt"/>
                  <a:ea typeface="+mn-ea"/>
                  <a:cs typeface="Calibri"/>
                </a:rPr>
                <a:t>Continente</a:t>
              </a:r>
            </a:p>
          </xdr:txBody>
        </xdr:sp>
        <xdr:sp macro="" textlink="q13_q14_q20_q21_q28_q29_Fig!$R$133">
          <xdr:nvSpPr>
            <xdr:cNvPr id="154" name="CaixaDeTexto 153">
              <a:extLst>
                <a:ext uri="{FF2B5EF4-FFF2-40B4-BE49-F238E27FC236}">
                  <a16:creationId xmlns:a16="http://schemas.microsoft.com/office/drawing/2014/main" id="{00000000-0008-0000-1800-00009A000000}"/>
                </a:ext>
              </a:extLst>
            </xdr:cNvPr>
            <xdr:cNvSpPr txBox="1"/>
          </xdr:nvSpPr>
          <xdr:spPr>
            <a:xfrm>
              <a:off x="20489330" y="14370432"/>
              <a:ext cx="950759" cy="107547"/>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F41B4DC-6B12-4705-972B-8D9EFE182F4F}"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1.368,00 €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nvGrpSpPr>
          <xdr:cNvPr id="135" name="Agrupar 134">
            <a:extLst>
              <a:ext uri="{FF2B5EF4-FFF2-40B4-BE49-F238E27FC236}">
                <a16:creationId xmlns:a16="http://schemas.microsoft.com/office/drawing/2014/main" id="{00000000-0008-0000-1800-000087000000}"/>
              </a:ext>
            </a:extLst>
          </xdr:cNvPr>
          <xdr:cNvGrpSpPr/>
        </xdr:nvGrpSpPr>
        <xdr:grpSpPr>
          <a:xfrm>
            <a:off x="20418296" y="17907757"/>
            <a:ext cx="3230377" cy="3327698"/>
            <a:chOff x="21145612" y="14869909"/>
            <a:chExt cx="2840782" cy="3090007"/>
          </a:xfrm>
        </xdr:grpSpPr>
        <xdr:graphicFrame macro="">
          <xdr:nvGraphicFramePr>
            <xdr:cNvPr id="146" name="Gráfico 145">
              <a:extLst>
                <a:ext uri="{FF2B5EF4-FFF2-40B4-BE49-F238E27FC236}">
                  <a16:creationId xmlns:a16="http://schemas.microsoft.com/office/drawing/2014/main" id="{00000000-0008-0000-1800-000092000000}"/>
                </a:ext>
              </a:extLst>
            </xdr:cNvPr>
            <xdr:cNvGraphicFramePr/>
          </xdr:nvGraphicFramePr>
          <xdr:xfrm>
            <a:off x="21145612" y="14869909"/>
            <a:ext cx="2778125" cy="3090007"/>
          </xdr:xfrm>
          <a:graphic>
            <a:graphicData uri="http://schemas.openxmlformats.org/drawingml/2006/chart">
              <c:chart xmlns:c="http://schemas.openxmlformats.org/drawingml/2006/chart" xmlns:r="http://schemas.openxmlformats.org/officeDocument/2006/relationships" r:id="rId8"/>
            </a:graphicData>
          </a:graphic>
        </xdr:graphicFrame>
        <xdr:sp macro="" textlink="q13_q14_q20_q21_q28_q29_Fig!$R$136">
          <xdr:nvSpPr>
            <xdr:cNvPr id="147" name="CaixaDeTexto 146">
              <a:extLst>
                <a:ext uri="{FF2B5EF4-FFF2-40B4-BE49-F238E27FC236}">
                  <a16:creationId xmlns:a16="http://schemas.microsoft.com/office/drawing/2014/main" id="{00000000-0008-0000-1800-000093000000}"/>
                </a:ext>
              </a:extLst>
            </xdr:cNvPr>
            <xdr:cNvSpPr txBox="1"/>
          </xdr:nvSpPr>
          <xdr:spPr>
            <a:xfrm>
              <a:off x="21936641" y="15221481"/>
              <a:ext cx="782888" cy="119790"/>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E49E796-DCE6-4364-B448-F5CA0509A2D2}"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1.217,33 €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3_q14_q20_q21_q28_q29_Fig!$R$137">
          <xdr:nvSpPr>
            <xdr:cNvPr id="148" name="CaixaDeTexto 147">
              <a:extLst>
                <a:ext uri="{FF2B5EF4-FFF2-40B4-BE49-F238E27FC236}">
                  <a16:creationId xmlns:a16="http://schemas.microsoft.com/office/drawing/2014/main" id="{00000000-0008-0000-1800-000094000000}"/>
                </a:ext>
              </a:extLst>
            </xdr:cNvPr>
            <xdr:cNvSpPr txBox="1"/>
          </xdr:nvSpPr>
          <xdr:spPr>
            <a:xfrm>
              <a:off x="21943733" y="15413258"/>
              <a:ext cx="782231" cy="119900"/>
            </a:xfrm>
            <a:prstGeom prst="rect">
              <a:avLst/>
            </a:prstGeom>
            <a:solidFill>
              <a:srgbClr val="FFC000">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594AF2D3-E95C-4965-BDF3-A75C1EA1175A}"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1.476,20 €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3_q14_q20_q21_q28_q29_Fig!$T$129">
          <xdr:nvSpPr>
            <xdr:cNvPr id="149" name="CaixaDeTexto 148">
              <a:extLst>
                <a:ext uri="{FF2B5EF4-FFF2-40B4-BE49-F238E27FC236}">
                  <a16:creationId xmlns:a16="http://schemas.microsoft.com/office/drawing/2014/main" id="{00000000-0008-0000-1800-000095000000}"/>
                </a:ext>
              </a:extLst>
            </xdr:cNvPr>
            <xdr:cNvSpPr txBox="1"/>
          </xdr:nvSpPr>
          <xdr:spPr>
            <a:xfrm>
              <a:off x="23202946" y="15216190"/>
              <a:ext cx="783448" cy="119790"/>
            </a:xfrm>
            <a:prstGeom prst="rect">
              <a:avLst/>
            </a:prstGeom>
            <a:solidFill>
              <a:srgbClr val="95B3D7">
                <a:alpha val="46667"/>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F7E772E6-B5EE-4022-A5D7-B926F70E47F9}"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1.054,36 €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q13_q14_q20_q21_q28_q29_Fig!$U$129">
          <xdr:nvSpPr>
            <xdr:cNvPr id="150" name="CaixaDeTexto 149">
              <a:extLst>
                <a:ext uri="{FF2B5EF4-FFF2-40B4-BE49-F238E27FC236}">
                  <a16:creationId xmlns:a16="http://schemas.microsoft.com/office/drawing/2014/main" id="{00000000-0008-0000-1800-000096000000}"/>
                </a:ext>
              </a:extLst>
            </xdr:cNvPr>
            <xdr:cNvSpPr txBox="1"/>
          </xdr:nvSpPr>
          <xdr:spPr>
            <a:xfrm>
              <a:off x="23202947" y="15407964"/>
              <a:ext cx="782888" cy="119790"/>
            </a:xfrm>
            <a:prstGeom prst="rect">
              <a:avLst/>
            </a:prstGeom>
            <a:solidFill>
              <a:srgbClr val="FFEF57">
                <a:alpha val="44706"/>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1402D5C1-CE2B-4A98-9B05-1F7756AEEC85}"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1.237,52 €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clientData/>
  </xdr:twoCellAnchor>
  <xdr:twoCellAnchor>
    <xdr:from>
      <xdr:col>39</xdr:col>
      <xdr:colOff>497417</xdr:colOff>
      <xdr:row>111</xdr:row>
      <xdr:rowOff>100543</xdr:rowOff>
    </xdr:from>
    <xdr:to>
      <xdr:col>43</xdr:col>
      <xdr:colOff>359833</xdr:colOff>
      <xdr:row>118</xdr:row>
      <xdr:rowOff>93134</xdr:rowOff>
    </xdr:to>
    <xdr:sp macro="" textlink="q13_q14_q20_q21_q28_q29_Fig!AN135">
      <xdr:nvSpPr>
        <xdr:cNvPr id="155" name="CaixaDeTexto 154">
          <a:extLst>
            <a:ext uri="{FF2B5EF4-FFF2-40B4-BE49-F238E27FC236}">
              <a16:creationId xmlns:a16="http://schemas.microsoft.com/office/drawing/2014/main" id="{00000000-0008-0000-1800-00009B000000}"/>
            </a:ext>
          </a:extLst>
        </xdr:cNvPr>
        <xdr:cNvSpPr txBox="1"/>
      </xdr:nvSpPr>
      <xdr:spPr>
        <a:xfrm>
          <a:off x="24976667" y="17176751"/>
          <a:ext cx="2296583" cy="10668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1912416A-AF04-4DEC-A1EB-FA2979111E70}"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2022 - Continente:
Base: 83,6% do Ganho, entre 746 €  (Profissionais não qualificados) e  2.260 €  (Quadros superiores).
Ganho: Entre 881 €  e 2.626 €, nos mesmos níveis de qualificação, respetivamente.</a:t>
          </a:fld>
          <a:endParaRPr kumimoji="0" lang="en-US" b="0" i="0" u="none" strike="noStrike" kern="0" cap="none" spc="0" normalizeH="0" baseline="0" noProof="0">
            <a:ln>
              <a:noFill/>
            </a:ln>
            <a:effectLst/>
            <a:uLnTx/>
            <a:uFillTx/>
            <a:latin typeface="Calibri"/>
            <a:ea typeface="+mn-ea"/>
          </a:endParaRPr>
        </a:p>
      </xdr:txBody>
    </xdr:sp>
    <xdr:clientData/>
  </xdr:twoCellAnchor>
  <xdr:twoCellAnchor>
    <xdr:from>
      <xdr:col>44</xdr:col>
      <xdr:colOff>194733</xdr:colOff>
      <xdr:row>111</xdr:row>
      <xdr:rowOff>127001</xdr:rowOff>
    </xdr:from>
    <xdr:to>
      <xdr:col>49</xdr:col>
      <xdr:colOff>121708</xdr:colOff>
      <xdr:row>118</xdr:row>
      <xdr:rowOff>63500</xdr:rowOff>
    </xdr:to>
    <xdr:sp macro="" textlink="q13_q14_q20_q21_q28_q29_Fig!AN137">
      <xdr:nvSpPr>
        <xdr:cNvPr id="156" name="CaixaDeTexto 155">
          <a:extLst>
            <a:ext uri="{FF2B5EF4-FFF2-40B4-BE49-F238E27FC236}">
              <a16:creationId xmlns:a16="http://schemas.microsoft.com/office/drawing/2014/main" id="{00000000-0008-0000-1800-00009C000000}"/>
            </a:ext>
          </a:extLst>
        </xdr:cNvPr>
        <xdr:cNvSpPr txBox="1"/>
      </xdr:nvSpPr>
      <xdr:spPr>
        <a:xfrm>
          <a:off x="27716691" y="17203209"/>
          <a:ext cx="2969684" cy="1010708"/>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0D1E7EE5-876E-4ADB-805A-AD48B9195947}"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2022:
Base Mulheres = 86,6%  da dos Homens (H), entre  74,8% da dos H (Quadros superiores ) e 96,6% (Praticantes e aprendizes).
Ganho Mulheres = 83,8% da dos H, entre 74,4% da dos H (Quadros superiores) e 95,1% (Praticantes e aprendizes).</a:t>
          </a:fld>
          <a:endParaRPr kumimoji="0" lang="en-US" sz="900" b="0"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22</xdr:col>
      <xdr:colOff>121708</xdr:colOff>
      <xdr:row>66</xdr:row>
      <xdr:rowOff>116901</xdr:rowOff>
    </xdr:from>
    <xdr:to>
      <xdr:col>29</xdr:col>
      <xdr:colOff>37942</xdr:colOff>
      <xdr:row>84</xdr:row>
      <xdr:rowOff>51976</xdr:rowOff>
    </xdr:to>
    <xdr:grpSp>
      <xdr:nvGrpSpPr>
        <xdr:cNvPr id="164" name="Agrupar 163">
          <a:extLst>
            <a:ext uri="{FF2B5EF4-FFF2-40B4-BE49-F238E27FC236}">
              <a16:creationId xmlns:a16="http://schemas.microsoft.com/office/drawing/2014/main" id="{00000000-0008-0000-1800-0000A4000000}"/>
            </a:ext>
          </a:extLst>
        </xdr:cNvPr>
        <xdr:cNvGrpSpPr/>
      </xdr:nvGrpSpPr>
      <xdr:grpSpPr>
        <a:xfrm>
          <a:off x="13583708" y="10070526"/>
          <a:ext cx="3972297" cy="2649700"/>
          <a:chOff x="8543925" y="1371599"/>
          <a:chExt cx="4049025" cy="2050426"/>
        </a:xfrm>
      </xdr:grpSpPr>
      <xdr:graphicFrame macro="">
        <xdr:nvGraphicFramePr>
          <xdr:cNvPr id="165" name="Gráfico 164">
            <a:extLst>
              <a:ext uri="{FF2B5EF4-FFF2-40B4-BE49-F238E27FC236}">
                <a16:creationId xmlns:a16="http://schemas.microsoft.com/office/drawing/2014/main" id="{00000000-0008-0000-1800-0000A5000000}"/>
              </a:ext>
            </a:extLst>
          </xdr:cNvPr>
          <xdr:cNvGraphicFramePr>
            <a:graphicFrameLocks/>
          </xdr:cNvGraphicFramePr>
        </xdr:nvGraphicFramePr>
        <xdr:xfrm>
          <a:off x="8543925" y="1533525"/>
          <a:ext cx="2857500" cy="1888500"/>
        </xdr:xfrm>
        <a:graphic>
          <a:graphicData uri="http://schemas.openxmlformats.org/drawingml/2006/chart">
            <c:chart xmlns:c="http://schemas.openxmlformats.org/drawingml/2006/chart" xmlns:r="http://schemas.openxmlformats.org/officeDocument/2006/relationships" r:id="rId9"/>
          </a:graphicData>
        </a:graphic>
      </xdr:graphicFrame>
      <xdr:grpSp>
        <xdr:nvGrpSpPr>
          <xdr:cNvPr id="166" name="Agrupar 165">
            <a:extLst>
              <a:ext uri="{FF2B5EF4-FFF2-40B4-BE49-F238E27FC236}">
                <a16:creationId xmlns:a16="http://schemas.microsoft.com/office/drawing/2014/main" id="{00000000-0008-0000-1800-0000A6000000}"/>
              </a:ext>
            </a:extLst>
          </xdr:cNvPr>
          <xdr:cNvGrpSpPr/>
        </xdr:nvGrpSpPr>
        <xdr:grpSpPr>
          <a:xfrm>
            <a:off x="10191750" y="1371599"/>
            <a:ext cx="2401200" cy="1821825"/>
            <a:chOff x="15382876" y="10342315"/>
            <a:chExt cx="2836231" cy="2008440"/>
          </a:xfrm>
        </xdr:grpSpPr>
        <xdr:graphicFrame macro="">
          <xdr:nvGraphicFramePr>
            <xdr:cNvPr id="167" name="Gráfico 166">
              <a:extLst>
                <a:ext uri="{FF2B5EF4-FFF2-40B4-BE49-F238E27FC236}">
                  <a16:creationId xmlns:a16="http://schemas.microsoft.com/office/drawing/2014/main" id="{00000000-0008-0000-1800-0000A7000000}"/>
                </a:ext>
              </a:extLst>
            </xdr:cNvPr>
            <xdr:cNvGraphicFramePr>
              <a:graphicFrameLocks/>
            </xdr:cNvGraphicFramePr>
          </xdr:nvGraphicFramePr>
          <xdr:xfrm>
            <a:off x="15382876" y="10414000"/>
            <a:ext cx="2836231" cy="1936755"/>
          </xdr:xfrm>
          <a:graphic>
            <a:graphicData uri="http://schemas.openxmlformats.org/drawingml/2006/chart">
              <c:chart xmlns:c="http://schemas.openxmlformats.org/drawingml/2006/chart" xmlns:r="http://schemas.openxmlformats.org/officeDocument/2006/relationships" r:id="rId10"/>
            </a:graphicData>
          </a:graphic>
        </xdr:graphicFrame>
        <xdr:sp macro="" textlink="q13_q14_q20_q21_q28_q29_Fig!$R$82">
          <xdr:nvSpPr>
            <xdr:cNvPr id="168" name="CaixaDeTexto 167">
              <a:extLst>
                <a:ext uri="{FF2B5EF4-FFF2-40B4-BE49-F238E27FC236}">
                  <a16:creationId xmlns:a16="http://schemas.microsoft.com/office/drawing/2014/main" id="{00000000-0008-0000-1800-0000A8000000}"/>
                </a:ext>
              </a:extLst>
            </xdr:cNvPr>
            <xdr:cNvSpPr txBox="1"/>
          </xdr:nvSpPr>
          <xdr:spPr>
            <a:xfrm>
              <a:off x="17385495" y="10583829"/>
              <a:ext cx="823129" cy="157512"/>
            </a:xfrm>
            <a:prstGeom prst="rect">
              <a:avLst/>
            </a:prstGeom>
            <a:no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BBBF52B7-D790-4BD9-8770-3F0155F9A181}"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2.376.115</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169" name="CaixaDeTexto 168">
              <a:extLst>
                <a:ext uri="{FF2B5EF4-FFF2-40B4-BE49-F238E27FC236}">
                  <a16:creationId xmlns:a16="http://schemas.microsoft.com/office/drawing/2014/main" id="{00000000-0008-0000-1800-0000A9000000}"/>
                </a:ext>
              </a:extLst>
            </xdr:cNvPr>
            <xdr:cNvSpPr txBox="1"/>
          </xdr:nvSpPr>
          <xdr:spPr>
            <a:xfrm>
              <a:off x="17385495" y="10342315"/>
              <a:ext cx="831067" cy="184497"/>
            </a:xfrm>
            <a:prstGeom prst="rect">
              <a:avLst/>
            </a:prstGeom>
            <a:solidFill>
              <a:schemeClr val="tx1">
                <a:lumMod val="65000"/>
                <a:lumOff val="35000"/>
              </a:scheme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bg1"/>
                  </a:solidFill>
                  <a:effectLst/>
                  <a:uLnTx/>
                  <a:uFillTx/>
                  <a:latin typeface="+mn-lt"/>
                  <a:ea typeface="+mn-ea"/>
                  <a:cs typeface="Calibri"/>
                </a:rPr>
                <a:t>Continente</a:t>
              </a:r>
            </a:p>
          </xdr:txBody>
        </xdr:sp>
      </xdr:grpSp>
    </xdr:grpSp>
    <xdr:clientData/>
  </xdr:twoCellAnchor>
  <xdr:twoCellAnchor>
    <xdr:from>
      <xdr:col>21</xdr:col>
      <xdr:colOff>280308</xdr:colOff>
      <xdr:row>88</xdr:row>
      <xdr:rowOff>111125</xdr:rowOff>
    </xdr:from>
    <xdr:to>
      <xdr:col>28</xdr:col>
      <xdr:colOff>30541</xdr:colOff>
      <xdr:row>91</xdr:row>
      <xdr:rowOff>112400</xdr:rowOff>
    </xdr:to>
    <xdr:sp macro="" textlink="q13_q14_q20_q21_q28_q29_Fig!$W$86">
      <xdr:nvSpPr>
        <xdr:cNvPr id="170" name="CaixaDeTexto 169">
          <a:extLst>
            <a:ext uri="{FF2B5EF4-FFF2-40B4-BE49-F238E27FC236}">
              <a16:creationId xmlns:a16="http://schemas.microsoft.com/office/drawing/2014/main" id="{00000000-0008-0000-1800-0000AA000000}"/>
            </a:ext>
          </a:extLst>
        </xdr:cNvPr>
        <xdr:cNvSpPr txBox="1"/>
      </xdr:nvSpPr>
      <xdr:spPr>
        <a:xfrm>
          <a:off x="13805808" y="13657792"/>
          <a:ext cx="4010025" cy="46165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E93C6ABD-1843-4229-A504-5C37C5A7ECF0}" type="TxLink">
            <a:rPr lang="en-US" sz="900" b="0" i="0" u="none" strike="noStrike">
              <a:solidFill>
                <a:sysClr val="windowText" lastClr="000000"/>
              </a:solidFill>
              <a:latin typeface="Calibri"/>
              <a:cs typeface="Calibri"/>
            </a:rPr>
            <a:pPr/>
            <a:t>2022:
59,3% dos TCO tinham os Ensinos Secundário e Superior completos.</a:t>
          </a:fld>
          <a:endParaRPr lang="pt-PT" sz="900" b="0">
            <a:solidFill>
              <a:sysClr val="windowText" lastClr="000000"/>
            </a:solidFill>
          </a:endParaRPr>
        </a:p>
      </xdr:txBody>
    </xdr:sp>
    <xdr:clientData/>
  </xdr:twoCellAnchor>
  <xdr:twoCellAnchor>
    <xdr:from>
      <xdr:col>22</xdr:col>
      <xdr:colOff>211666</xdr:colOff>
      <xdr:row>81</xdr:row>
      <xdr:rowOff>84667</xdr:rowOff>
    </xdr:from>
    <xdr:to>
      <xdr:col>29</xdr:col>
      <xdr:colOff>397575</xdr:colOff>
      <xdr:row>84</xdr:row>
      <xdr:rowOff>4715</xdr:rowOff>
    </xdr:to>
    <xdr:sp macro="" textlink="">
      <xdr:nvSpPr>
        <xdr:cNvPr id="171" name="CaixaDeTexto 170">
          <a:extLst>
            <a:ext uri="{FF2B5EF4-FFF2-40B4-BE49-F238E27FC236}">
              <a16:creationId xmlns:a16="http://schemas.microsoft.com/office/drawing/2014/main" id="{00000000-0008-0000-1800-0000AB000000}"/>
            </a:ext>
          </a:extLst>
        </xdr:cNvPr>
        <xdr:cNvSpPr txBox="1"/>
      </xdr:nvSpPr>
      <xdr:spPr>
        <a:xfrm>
          <a:off x="14345708" y="12514792"/>
          <a:ext cx="4445700" cy="380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PT" sz="600" b="0">
              <a:solidFill>
                <a:schemeClr val="tx1">
                  <a:lumMod val="50000"/>
                  <a:lumOff val="50000"/>
                </a:schemeClr>
              </a:solidFill>
            </a:rPr>
            <a:t>* Dos TCO a tempo completo, que auferiram remuneração completa no período de referência (outubro).</a:t>
          </a:r>
        </a:p>
        <a:p>
          <a:pPr algn="l"/>
          <a:r>
            <a:rPr lang="pt-PT" sz="600" b="0">
              <a:solidFill>
                <a:schemeClr val="tx1">
                  <a:lumMod val="50000"/>
                  <a:lumOff val="50000"/>
                </a:schemeClr>
              </a:solidFill>
            </a:rPr>
            <a:t>**No Ensino superior</a:t>
          </a:r>
          <a:r>
            <a:rPr lang="pt-PT" sz="600" b="0" baseline="0">
              <a:solidFill>
                <a:schemeClr val="tx1">
                  <a:lumMod val="50000"/>
                  <a:lumOff val="50000"/>
                </a:schemeClr>
              </a:solidFill>
            </a:rPr>
            <a:t> consideram-se: Curso técnico superior profissional, Bacharelato, Licenciatura, Mestrado e Doutoramento.</a:t>
          </a:r>
        </a:p>
        <a:p>
          <a:pPr algn="l"/>
          <a:endParaRPr lang="pt-PT" sz="600" b="0"/>
        </a:p>
      </xdr:txBody>
    </xdr:sp>
    <xdr:clientData/>
  </xdr:twoCellAnchor>
  <xdr:twoCellAnchor>
    <xdr:from>
      <xdr:col>29</xdr:col>
      <xdr:colOff>322792</xdr:colOff>
      <xdr:row>136</xdr:row>
      <xdr:rowOff>95250</xdr:rowOff>
    </xdr:from>
    <xdr:to>
      <xdr:col>36</xdr:col>
      <xdr:colOff>108928</xdr:colOff>
      <xdr:row>161</xdr:row>
      <xdr:rowOff>24342</xdr:rowOff>
    </xdr:to>
    <xdr:grpSp>
      <xdr:nvGrpSpPr>
        <xdr:cNvPr id="172" name="Agrupar 171">
          <a:extLst>
            <a:ext uri="{FF2B5EF4-FFF2-40B4-BE49-F238E27FC236}">
              <a16:creationId xmlns:a16="http://schemas.microsoft.com/office/drawing/2014/main" id="{00000000-0008-0000-1800-0000AC000000}"/>
            </a:ext>
          </a:extLst>
        </xdr:cNvPr>
        <xdr:cNvGrpSpPr/>
      </xdr:nvGrpSpPr>
      <xdr:grpSpPr>
        <a:xfrm>
          <a:off x="17840855" y="20653375"/>
          <a:ext cx="3842198" cy="3699405"/>
          <a:chOff x="9582147" y="4362666"/>
          <a:chExt cx="4057651" cy="2986700"/>
        </a:xfrm>
      </xdr:grpSpPr>
      <xdr:grpSp>
        <xdr:nvGrpSpPr>
          <xdr:cNvPr id="173" name="Agrupar 172">
            <a:extLst>
              <a:ext uri="{FF2B5EF4-FFF2-40B4-BE49-F238E27FC236}">
                <a16:creationId xmlns:a16="http://schemas.microsoft.com/office/drawing/2014/main" id="{00000000-0008-0000-1800-0000AD000000}"/>
              </a:ext>
            </a:extLst>
          </xdr:cNvPr>
          <xdr:cNvGrpSpPr/>
        </xdr:nvGrpSpPr>
        <xdr:grpSpPr>
          <a:xfrm>
            <a:off x="9582147" y="4531941"/>
            <a:ext cx="4057651" cy="2817425"/>
            <a:chOff x="15954373" y="22489526"/>
            <a:chExt cx="6017904" cy="2804664"/>
          </a:xfrm>
        </xdr:grpSpPr>
        <xdr:grpSp>
          <xdr:nvGrpSpPr>
            <xdr:cNvPr id="176" name="Agrupar 175">
              <a:extLst>
                <a:ext uri="{FF2B5EF4-FFF2-40B4-BE49-F238E27FC236}">
                  <a16:creationId xmlns:a16="http://schemas.microsoft.com/office/drawing/2014/main" id="{00000000-0008-0000-1800-0000B0000000}"/>
                </a:ext>
              </a:extLst>
            </xdr:cNvPr>
            <xdr:cNvGrpSpPr/>
          </xdr:nvGrpSpPr>
          <xdr:grpSpPr>
            <a:xfrm>
              <a:off x="15954373" y="22497228"/>
              <a:ext cx="3084446" cy="2796962"/>
              <a:chOff x="20214165" y="14146309"/>
              <a:chExt cx="3084446" cy="2506567"/>
            </a:xfrm>
          </xdr:grpSpPr>
          <xdr:graphicFrame macro="">
            <xdr:nvGraphicFramePr>
              <xdr:cNvPr id="182" name="Gráfico 181">
                <a:extLst>
                  <a:ext uri="{FF2B5EF4-FFF2-40B4-BE49-F238E27FC236}">
                    <a16:creationId xmlns:a16="http://schemas.microsoft.com/office/drawing/2014/main" id="{00000000-0008-0000-1800-0000B6000000}"/>
                  </a:ext>
                </a:extLst>
              </xdr:cNvPr>
              <xdr:cNvGraphicFramePr>
                <a:graphicFrameLocks/>
              </xdr:cNvGraphicFramePr>
            </xdr:nvGraphicFramePr>
            <xdr:xfrm>
              <a:off x="20214165" y="14238964"/>
              <a:ext cx="3084446" cy="2413912"/>
            </xdr:xfrm>
            <a:graphic>
              <a:graphicData uri="http://schemas.openxmlformats.org/drawingml/2006/chart">
                <c:chart xmlns:c="http://schemas.openxmlformats.org/drawingml/2006/chart" xmlns:r="http://schemas.openxmlformats.org/officeDocument/2006/relationships" r:id="rId11"/>
              </a:graphicData>
            </a:graphic>
          </xdr:graphicFrame>
          <xdr:sp macro="" textlink="q13_q14_q20_q21_q28_q29_Fig!$R$156">
            <xdr:nvSpPr>
              <xdr:cNvPr id="183" name="CaixaDeTexto 182">
                <a:extLst>
                  <a:ext uri="{FF2B5EF4-FFF2-40B4-BE49-F238E27FC236}">
                    <a16:creationId xmlns:a16="http://schemas.microsoft.com/office/drawing/2014/main" id="{00000000-0008-0000-1800-0000B7000000}"/>
                  </a:ext>
                </a:extLst>
              </xdr:cNvPr>
              <xdr:cNvSpPr txBox="1"/>
            </xdr:nvSpPr>
            <xdr:spPr>
              <a:xfrm>
                <a:off x="20489332" y="14315305"/>
                <a:ext cx="832831" cy="104984"/>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00F94BA2-6B0E-4433-82C5-B4EFBE3CC760}"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1.143,45 €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184" name="CaixaDeTexto 183">
                <a:extLst>
                  <a:ext uri="{FF2B5EF4-FFF2-40B4-BE49-F238E27FC236}">
                    <a16:creationId xmlns:a16="http://schemas.microsoft.com/office/drawing/2014/main" id="{00000000-0008-0000-1800-0000B8000000}"/>
                  </a:ext>
                </a:extLst>
              </xdr:cNvPr>
              <xdr:cNvSpPr txBox="1"/>
            </xdr:nvSpPr>
            <xdr:spPr>
              <a:xfrm>
                <a:off x="20489331" y="14146309"/>
                <a:ext cx="832831" cy="152704"/>
              </a:xfrm>
              <a:prstGeom prst="rect">
                <a:avLst/>
              </a:prstGeom>
              <a:solidFill>
                <a:sysClr val="windowText" lastClr="000000">
                  <a:lumMod val="65000"/>
                  <a:lumOff val="35000"/>
                </a:sys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Calibri"/>
                    <a:ea typeface="+mn-ea"/>
                    <a:cs typeface="Calibri"/>
                  </a:rPr>
                  <a:t>Continente</a:t>
                </a:r>
              </a:p>
            </xdr:txBody>
          </xdr:sp>
          <xdr:sp macro="" textlink="q13_q14_q20_q21_q28_q29_Fig!$R$157">
            <xdr:nvSpPr>
              <xdr:cNvPr id="185" name="CaixaDeTexto 184">
                <a:extLst>
                  <a:ext uri="{FF2B5EF4-FFF2-40B4-BE49-F238E27FC236}">
                    <a16:creationId xmlns:a16="http://schemas.microsoft.com/office/drawing/2014/main" id="{00000000-0008-0000-1800-0000B9000000}"/>
                  </a:ext>
                </a:extLst>
              </xdr:cNvPr>
              <xdr:cNvSpPr txBox="1"/>
            </xdr:nvSpPr>
            <xdr:spPr>
              <a:xfrm>
                <a:off x="20489332" y="14445865"/>
                <a:ext cx="832831" cy="104984"/>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DA4E0333-78D4-439B-B537-AEE1F2DB13B3}"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1.368,00 €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nvGrpSpPr>
            <xdr:cNvPr id="177" name="Agrupar 176">
              <a:extLst>
                <a:ext uri="{FF2B5EF4-FFF2-40B4-BE49-F238E27FC236}">
                  <a16:creationId xmlns:a16="http://schemas.microsoft.com/office/drawing/2014/main" id="{00000000-0008-0000-1800-0000B1000000}"/>
                </a:ext>
              </a:extLst>
            </xdr:cNvPr>
            <xdr:cNvGrpSpPr/>
          </xdr:nvGrpSpPr>
          <xdr:grpSpPr>
            <a:xfrm>
              <a:off x="19018245" y="22489526"/>
              <a:ext cx="2954032" cy="2699106"/>
              <a:chOff x="20489331" y="14115698"/>
              <a:chExt cx="2954032" cy="2418871"/>
            </a:xfrm>
          </xdr:grpSpPr>
          <xdr:graphicFrame macro="">
            <xdr:nvGraphicFramePr>
              <xdr:cNvPr id="178" name="Gráfico 177">
                <a:extLst>
                  <a:ext uri="{FF2B5EF4-FFF2-40B4-BE49-F238E27FC236}">
                    <a16:creationId xmlns:a16="http://schemas.microsoft.com/office/drawing/2014/main" id="{00000000-0008-0000-1800-0000B2000000}"/>
                  </a:ext>
                </a:extLst>
              </xdr:cNvPr>
              <xdr:cNvGraphicFramePr>
                <a:graphicFrameLocks/>
              </xdr:cNvGraphicFramePr>
            </xdr:nvGraphicFramePr>
            <xdr:xfrm>
              <a:off x="20815828" y="14262773"/>
              <a:ext cx="2627535" cy="2271796"/>
            </xdr:xfrm>
            <a:graphic>
              <a:graphicData uri="http://schemas.openxmlformats.org/drawingml/2006/chart">
                <c:chart xmlns:c="http://schemas.openxmlformats.org/drawingml/2006/chart" xmlns:r="http://schemas.openxmlformats.org/officeDocument/2006/relationships" r:id="rId12"/>
              </a:graphicData>
            </a:graphic>
          </xdr:graphicFrame>
          <xdr:sp macro="" textlink="q13_q14_q20_q21_q28_q29_Fig!$R$161">
            <xdr:nvSpPr>
              <xdr:cNvPr id="179" name="CaixaDeTexto 178">
                <a:extLst>
                  <a:ext uri="{FF2B5EF4-FFF2-40B4-BE49-F238E27FC236}">
                    <a16:creationId xmlns:a16="http://schemas.microsoft.com/office/drawing/2014/main" id="{00000000-0008-0000-1800-0000B3000000}"/>
                  </a:ext>
                </a:extLst>
              </xdr:cNvPr>
              <xdr:cNvSpPr txBox="1"/>
            </xdr:nvSpPr>
            <xdr:spPr>
              <a:xfrm>
                <a:off x="20489332" y="14269390"/>
                <a:ext cx="832831" cy="104984"/>
              </a:xfrm>
              <a:prstGeom prst="rect">
                <a:avLst/>
              </a:prstGeom>
              <a:solidFill>
                <a:srgbClr val="4F81BD">
                  <a:alpha val="47000"/>
                </a:srgbClr>
              </a:solidFill>
              <a:ln w="15875" cmpd="sng">
                <a:solidFill>
                  <a:srgbClr val="1F497D"/>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E587BF85-BB14-4F3A-AD15-798073BC924D}"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816,21 €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180" name="CaixaDeTexto 179">
                <a:extLst>
                  <a:ext uri="{FF2B5EF4-FFF2-40B4-BE49-F238E27FC236}">
                    <a16:creationId xmlns:a16="http://schemas.microsoft.com/office/drawing/2014/main" id="{00000000-0008-0000-1800-0000B4000000}"/>
                  </a:ext>
                </a:extLst>
              </xdr:cNvPr>
              <xdr:cNvSpPr txBox="1"/>
            </xdr:nvSpPr>
            <xdr:spPr>
              <a:xfrm>
                <a:off x="20489331" y="14115698"/>
                <a:ext cx="832831" cy="152704"/>
              </a:xfrm>
              <a:prstGeom prst="rect">
                <a:avLst/>
              </a:prstGeom>
              <a:solidFill>
                <a:sysClr val="windowText" lastClr="000000">
                  <a:lumMod val="65000"/>
                  <a:lumOff val="35000"/>
                </a:sysClr>
              </a:solidFill>
              <a:ln w="1587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Calibri"/>
                    <a:ea typeface="+mn-ea"/>
                    <a:cs typeface="Calibri"/>
                  </a:rPr>
                  <a:t>Continente</a:t>
                </a:r>
              </a:p>
            </xdr:txBody>
          </xdr:sp>
          <xdr:sp macro="" textlink="q13_q14_q20_q21_q28_q29_Fig!$R$162">
            <xdr:nvSpPr>
              <xdr:cNvPr id="181" name="CaixaDeTexto 180">
                <a:extLst>
                  <a:ext uri="{FF2B5EF4-FFF2-40B4-BE49-F238E27FC236}">
                    <a16:creationId xmlns:a16="http://schemas.microsoft.com/office/drawing/2014/main" id="{00000000-0008-0000-1800-0000B5000000}"/>
                  </a:ext>
                </a:extLst>
              </xdr:cNvPr>
              <xdr:cNvSpPr txBox="1"/>
            </xdr:nvSpPr>
            <xdr:spPr>
              <a:xfrm>
                <a:off x="20489332" y="14399947"/>
                <a:ext cx="832831" cy="104984"/>
              </a:xfrm>
              <a:prstGeom prst="rect">
                <a:avLst/>
              </a:prstGeom>
              <a:solidFill>
                <a:srgbClr val="FFC000">
                  <a:alpha val="45000"/>
                </a:srgbClr>
              </a:solidFill>
              <a:ln w="15875" cmpd="sng">
                <a:solidFill>
                  <a:srgbClr val="FFC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4D6D98A2-6D76-440E-BC60-B4CCDBEDA45B}" type="TxLink">
                  <a:rPr kumimoji="0" lang="en-US" sz="800" b="1" i="0" u="none" strike="noStrike" kern="0" cap="none" spc="0" normalizeH="0" baseline="0" noProof="0">
                    <a:ln>
                      <a:noFill/>
                    </a:ln>
                    <a:solidFill>
                      <a:srgbClr val="000000"/>
                    </a:solidFill>
                    <a:effectLst/>
                    <a:uLnTx/>
                    <a:uFillTx/>
                    <a:latin typeface="+mn-lt"/>
                    <a:ea typeface="+mn-ea"/>
                    <a:cs typeface="Calibri"/>
                  </a:rPr>
                  <a:pPr marL="0" marR="0" lvl="0" indent="0" algn="ctr" defTabSz="914400" eaLnBrk="1" fontAlgn="auto" latinLnBrk="0" hangingPunct="1">
                    <a:lnSpc>
                      <a:spcPct val="100000"/>
                    </a:lnSpc>
                    <a:spcBef>
                      <a:spcPts val="0"/>
                    </a:spcBef>
                    <a:spcAft>
                      <a:spcPts val="0"/>
                    </a:spcAft>
                    <a:buClrTx/>
                    <a:buSzTx/>
                    <a:buFontTx/>
                    <a:buNone/>
                    <a:tabLst/>
                    <a:defRPr/>
                  </a:pPr>
                  <a:t>1.017,50 €</a:t>
                </a:fld>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sp macro="" textlink="">
        <xdr:nvSpPr>
          <xdr:cNvPr id="174" name="CaixaDeTexto 173">
            <a:extLst>
              <a:ext uri="{FF2B5EF4-FFF2-40B4-BE49-F238E27FC236}">
                <a16:creationId xmlns:a16="http://schemas.microsoft.com/office/drawing/2014/main" id="{00000000-0008-0000-1800-0000AE000000}"/>
              </a:ext>
            </a:extLst>
          </xdr:cNvPr>
          <xdr:cNvSpPr txBox="1"/>
        </xdr:nvSpPr>
        <xdr:spPr>
          <a:xfrm>
            <a:off x="9632950" y="4363806"/>
            <a:ext cx="1622714" cy="147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Remunerações</a:t>
            </a:r>
            <a:r>
              <a:rPr lang="pt-PT" sz="800" b="1" baseline="0">
                <a:solidFill>
                  <a:schemeClr val="tx2"/>
                </a:solidFill>
              </a:rPr>
              <a:t> médias mensais</a:t>
            </a:r>
            <a:endParaRPr lang="pt-PT" sz="800" b="1">
              <a:solidFill>
                <a:schemeClr val="tx2"/>
              </a:solidFill>
            </a:endParaRPr>
          </a:p>
        </xdr:txBody>
      </xdr:sp>
      <xdr:sp macro="" textlink="">
        <xdr:nvSpPr>
          <xdr:cNvPr id="175" name="CaixaDeTexto 174">
            <a:extLst>
              <a:ext uri="{FF2B5EF4-FFF2-40B4-BE49-F238E27FC236}">
                <a16:creationId xmlns:a16="http://schemas.microsoft.com/office/drawing/2014/main" id="{00000000-0008-0000-1800-0000AF000000}"/>
              </a:ext>
            </a:extLst>
          </xdr:cNvPr>
          <xdr:cNvSpPr txBox="1"/>
        </xdr:nvSpPr>
        <xdr:spPr>
          <a:xfrm>
            <a:off x="11626850" y="4362666"/>
            <a:ext cx="1690234" cy="1620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800" b="1">
                <a:solidFill>
                  <a:schemeClr val="tx2"/>
                </a:solidFill>
              </a:rPr>
              <a:t>Remunerações</a:t>
            </a:r>
            <a:r>
              <a:rPr lang="pt-PT" sz="800" b="1" baseline="0">
                <a:solidFill>
                  <a:schemeClr val="tx2"/>
                </a:solidFill>
              </a:rPr>
              <a:t> medianas mensais</a:t>
            </a:r>
            <a:endParaRPr lang="pt-PT" sz="800" b="1">
              <a:solidFill>
                <a:schemeClr val="tx2"/>
              </a:solidFill>
            </a:endParaRPr>
          </a:p>
        </xdr:txBody>
      </xdr:sp>
    </xdr:grpSp>
    <xdr:clientData/>
  </xdr:twoCellAnchor>
  <xdr:twoCellAnchor>
    <xdr:from>
      <xdr:col>26</xdr:col>
      <xdr:colOff>0</xdr:colOff>
      <xdr:row>184</xdr:row>
      <xdr:rowOff>0</xdr:rowOff>
    </xdr:from>
    <xdr:to>
      <xdr:col>29</xdr:col>
      <xdr:colOff>241301</xdr:colOff>
      <xdr:row>191</xdr:row>
      <xdr:rowOff>119592</xdr:rowOff>
    </xdr:to>
    <xdr:sp macro="" textlink="q13_q14_q20_q21_q28_q29_Fig!$AA$177">
      <xdr:nvSpPr>
        <xdr:cNvPr id="186" name="CaixaDeTexto 185">
          <a:extLst>
            <a:ext uri="{FF2B5EF4-FFF2-40B4-BE49-F238E27FC236}">
              <a16:creationId xmlns:a16="http://schemas.microsoft.com/office/drawing/2014/main" id="{00000000-0008-0000-1800-0000BA000000}"/>
            </a:ext>
          </a:extLst>
        </xdr:cNvPr>
        <xdr:cNvSpPr txBox="1"/>
      </xdr:nvSpPr>
      <xdr:spPr>
        <a:xfrm>
          <a:off x="16568208" y="28278667"/>
          <a:ext cx="2066926" cy="11938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07780C63-7073-4FE6-9238-51DD5D689977}"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2022 - Continente:
Base média: 83,6% do Ganho, entre 766 € (&lt; 1.º ciclo do ensino básico) e  1.768 € (Ensino superior**).
Ganho médio:Entre 893 € e 2.073 €, nos mesmos níveis de habilitação, respetivamente.</a:t>
          </a:fld>
          <a:endParaRPr kumimoji="0" lang="pt-PT" sz="1000" b="1" i="0" u="none" strike="noStrike" kern="0" cap="none" spc="0" normalizeH="0" baseline="0" noProof="0">
            <a:ln>
              <a:noFill/>
            </a:ln>
            <a:solidFill>
              <a:srgbClr val="17375E"/>
            </a:solidFill>
            <a:effectLst/>
            <a:uLnTx/>
            <a:uFillTx/>
            <a:latin typeface="Calibri"/>
            <a:ea typeface="+mn-ea"/>
            <a:cs typeface="+mn-cs"/>
          </a:endParaRPr>
        </a:p>
      </xdr:txBody>
    </xdr:sp>
    <xdr:clientData/>
  </xdr:twoCellAnchor>
  <xdr:twoCellAnchor>
    <xdr:from>
      <xdr:col>32</xdr:col>
      <xdr:colOff>102661</xdr:colOff>
      <xdr:row>182</xdr:row>
      <xdr:rowOff>142875</xdr:rowOff>
    </xdr:from>
    <xdr:to>
      <xdr:col>35</xdr:col>
      <xdr:colOff>286811</xdr:colOff>
      <xdr:row>190</xdr:row>
      <xdr:rowOff>118533</xdr:rowOff>
    </xdr:to>
    <xdr:sp macro="" textlink="q13_q14_q20_q21_q28_q29_Fig!AG177">
      <xdr:nvSpPr>
        <xdr:cNvPr id="187" name="CaixaDeTexto 186">
          <a:extLst>
            <a:ext uri="{FF2B5EF4-FFF2-40B4-BE49-F238E27FC236}">
              <a16:creationId xmlns:a16="http://schemas.microsoft.com/office/drawing/2014/main" id="{00000000-0008-0000-1800-0000BB000000}"/>
            </a:ext>
          </a:extLst>
        </xdr:cNvPr>
        <xdr:cNvSpPr txBox="1"/>
      </xdr:nvSpPr>
      <xdr:spPr>
        <a:xfrm>
          <a:off x="20322119" y="28114625"/>
          <a:ext cx="2009775" cy="1203325"/>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20BB0AFB-71B7-40F7-B536-9863E539EB2E}" type="TxLink">
            <a:rPr kumimoji="0" lang="en-US" sz="900" b="0" i="0" u="none" strike="noStrike" kern="0" cap="none" spc="0" normalizeH="0" baseline="0" noProof="0">
              <a:ln>
                <a:noFill/>
              </a:ln>
              <a:solidFill>
                <a:srgbClr val="000000"/>
              </a:solidFill>
              <a:effectLst/>
              <a:uLnTx/>
              <a:uFillTx/>
              <a:latin typeface="Calibri"/>
              <a:ea typeface="+mn-ea"/>
              <a:cs typeface="Calibri"/>
            </a:rPr>
            <a:pPr marL="0" marR="0" lvl="0" indent="0" defTabSz="914400" eaLnBrk="1" fontAlgn="auto" latinLnBrk="0" hangingPunct="1">
              <a:lnSpc>
                <a:spcPct val="100000"/>
              </a:lnSpc>
              <a:spcBef>
                <a:spcPts val="0"/>
              </a:spcBef>
              <a:spcAft>
                <a:spcPts val="0"/>
              </a:spcAft>
              <a:buClrTx/>
              <a:buSzTx/>
              <a:buFontTx/>
              <a:buNone/>
              <a:tabLst/>
              <a:defRPr/>
            </a:pPr>
            <a:t>2022 - Continente:
Base mediana: 80,2% do Ganho, entre 705 € (&lt; 1.º ciclo do ensino básico) e  1.376 € (Ensino superior**).
Ganho mediano: Entre 825 € e 1.622 €, nos mesmos níveis de habilitação, respetivamente.</a:t>
          </a:fld>
          <a:endParaRPr kumimoji="0" lang="en-US" sz="900" b="0"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wsDr>
</file>

<file path=xl/drawings/drawing53.xml><?xml version="1.0" encoding="utf-8"?>
<c:userShapes xmlns:c="http://schemas.openxmlformats.org/drawingml/2006/chart">
  <cdr:relSizeAnchor xmlns:cdr="http://schemas.openxmlformats.org/drawingml/2006/chartDrawing">
    <cdr:from>
      <cdr:x>0.51845</cdr:x>
      <cdr:y>0.14688</cdr:y>
    </cdr:from>
    <cdr:to>
      <cdr:x>0.65457</cdr:x>
      <cdr:y>0.26625</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1305126" y="406712"/>
          <a:ext cx="342664" cy="330536"/>
          <a:chOff x="1925896" y="369817"/>
          <a:chExt cx="505685" cy="300548"/>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2"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25896" y="374649"/>
            <a:ext cx="196795" cy="29571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54.xml><?xml version="1.0" encoding="utf-8"?>
<c:userShapes xmlns:c="http://schemas.openxmlformats.org/drawingml/2006/chart">
  <cdr:relSizeAnchor xmlns:cdr="http://schemas.openxmlformats.org/drawingml/2006/chartDrawing">
    <cdr:from>
      <cdr:x>0.49765</cdr:x>
      <cdr:y>0.09441</cdr:y>
    </cdr:from>
    <cdr:to>
      <cdr:x>0.61405</cdr:x>
      <cdr:y>0.18938</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1156904" y="371156"/>
          <a:ext cx="270600" cy="373357"/>
          <a:chOff x="1941922" y="369817"/>
          <a:chExt cx="489659" cy="300548"/>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2"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41922" y="374649"/>
            <a:ext cx="196795" cy="29571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55.xml><?xml version="1.0" encoding="utf-8"?>
<c:userShapes xmlns:c="http://schemas.openxmlformats.org/drawingml/2006/chart">
  <cdr:relSizeAnchor xmlns:cdr="http://schemas.openxmlformats.org/drawingml/2006/chartDrawing">
    <cdr:from>
      <cdr:x>0.50439</cdr:x>
      <cdr:y>0.13317</cdr:y>
    </cdr:from>
    <cdr:to>
      <cdr:x>0.64051</cdr:x>
      <cdr:y>0.25254</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1284412" y="370818"/>
          <a:ext cx="346625" cy="332391"/>
          <a:chOff x="1925896" y="369817"/>
          <a:chExt cx="505685" cy="300548"/>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2"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25896" y="374649"/>
            <a:ext cx="196795" cy="29571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56.xml><?xml version="1.0" encoding="utf-8"?>
<c:userShapes xmlns:c="http://schemas.openxmlformats.org/drawingml/2006/chart">
  <cdr:relSizeAnchor xmlns:cdr="http://schemas.openxmlformats.org/drawingml/2006/chartDrawing">
    <cdr:from>
      <cdr:x>0.60932</cdr:x>
      <cdr:y>0.10672</cdr:y>
    </cdr:from>
    <cdr:to>
      <cdr:x>0.72061</cdr:x>
      <cdr:y>0.1913</cdr:y>
    </cdr:to>
    <cdr:grpSp>
      <cdr:nvGrpSpPr>
        <cdr:cNvPr id="9" name="Agrupar 8">
          <a:extLst xmlns:a="http://schemas.openxmlformats.org/drawingml/2006/main">
            <a:ext uri="{FF2B5EF4-FFF2-40B4-BE49-F238E27FC236}">
              <a16:creationId xmlns:a16="http://schemas.microsoft.com/office/drawing/2014/main" id="{3F2FA7DF-7223-487C-AADA-C35D895754C2}"/>
            </a:ext>
          </a:extLst>
        </cdr:cNvPr>
        <cdr:cNvGrpSpPr/>
      </cdr:nvGrpSpPr>
      <cdr:grpSpPr>
        <a:xfrm xmlns:a="http://schemas.openxmlformats.org/drawingml/2006/main">
          <a:off x="1310477" y="332343"/>
          <a:ext cx="239354" cy="263395"/>
          <a:chOff x="1963402" y="369817"/>
          <a:chExt cx="468179" cy="300548"/>
        </a:xfrm>
      </cdr:grpSpPr>
      <cdr:pic>
        <cdr:nvPicPr>
          <cdr:cNvPr id="3" name="Imagem 2">
            <a:extLst xmlns:a="http://schemas.openxmlformats.org/drawingml/2006/main">
              <a:ext uri="{FF2B5EF4-FFF2-40B4-BE49-F238E27FC236}">
                <a16:creationId xmlns:a16="http://schemas.microsoft.com/office/drawing/2014/main" id="{9C9DCB82-186E-4A71-BD2D-2538E35BEC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clrChange>
              <a:clrFrom>
                <a:srgbClr val="FEFEFE"/>
              </a:clrFrom>
              <a:clrTo>
                <a:srgbClr val="FEFEFE">
                  <a:alpha val="0"/>
                </a:srgbClr>
              </a:clrTo>
            </a:clrChange>
            <a:extLst>
              <a:ext uri="{BEBA8EAE-BF5A-486C-A8C5-ECC9F3942E4B}">
                <a14:imgProps xmlns:a14="http://schemas.microsoft.com/office/drawing/2010/main">
                  <a14:imgLayer r:embed="rId2">
                    <a14:imgEffect>
                      <a14:colorTemperature colorTemp="6400"/>
                    </a14:imgEffect>
                  </a14:imgLayer>
                </a14:imgProps>
              </a:ex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2219932" y="369817"/>
            <a:ext cx="211649" cy="29124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pic>
        <cdr:nvPicPr>
          <cdr:cNvPr id="2" name="Imagem 1">
            <a:extLst xmlns:a="http://schemas.openxmlformats.org/drawingml/2006/main">
              <a:ext uri="{FF2B5EF4-FFF2-40B4-BE49-F238E27FC236}">
                <a16:creationId xmlns:a16="http://schemas.microsoft.com/office/drawing/2014/main" id="{60A6D362-59B1-4E4C-AE75-7617BA6F76C8}"/>
              </a:ext>
            </a:extLst>
          </cdr:cNvPr>
          <cdr:cNvPicPr preferRelativeResize="0">
            <a:picLocks xmlns:a="http://schemas.openxmlformats.org/drawingml/2006/main" noChangeAspect="1" noChangeArrowheads="1"/>
          </cdr:cNvPicPr>
        </cdr:nvPicPr>
        <cdr:blipFill>
          <a:blip xmlns:a="http://schemas.openxmlformats.org/drawingml/2006/main" xmlns:r="http://schemas.openxmlformats.org/officeDocument/2006/relationships" r:embed="rId3" cstate="print">
            <a:clrChange>
              <a:clrFrom>
                <a:srgbClr val="FEFEFE"/>
              </a:clrFrom>
              <a:clrTo>
                <a:srgbClr val="FEFEFE">
                  <a:alpha val="0"/>
                </a:srgbClr>
              </a:clrTo>
            </a:clrChange>
            <a:extLst>
              <a:ext uri="{28A0092B-C50C-407E-A947-70E740481C1C}">
                <a14:useLocalDpi xmlns:a14="http://schemas.microsoft.com/office/drawing/2010/main" val="0"/>
              </a:ext>
            </a:extLst>
          </a:blip>
          <a:stretch xmlns:a="http://schemas.openxmlformats.org/drawingml/2006/main">
            <a:fillRect/>
          </a:stretch>
        </cdr:blipFill>
        <cdr:spPr bwMode="auto">
          <a:xfrm xmlns:a="http://schemas.openxmlformats.org/drawingml/2006/main">
            <a:off x="1963402" y="374649"/>
            <a:ext cx="196795" cy="295716"/>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grpSp>
  </cdr:relSizeAnchor>
</c:userShapes>
</file>

<file path=xl/drawings/drawing57.xml><?xml version="1.0" encoding="utf-8"?>
<xdr:wsDr xmlns:xdr="http://schemas.openxmlformats.org/drawingml/2006/spreadsheetDrawing" xmlns:a="http://schemas.openxmlformats.org/drawingml/2006/main">
  <xdr:twoCellAnchor editAs="absolute">
    <xdr:from>
      <xdr:col>11</xdr:col>
      <xdr:colOff>133350</xdr:colOff>
      <xdr:row>0</xdr:row>
      <xdr:rowOff>266700</xdr:rowOff>
    </xdr:from>
    <xdr:to>
      <xdr:col>12</xdr:col>
      <xdr:colOff>428625</xdr:colOff>
      <xdr:row>0</xdr:row>
      <xdr:rowOff>581025</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076950" y="266700"/>
          <a:ext cx="822325" cy="314325"/>
        </a:xfrm>
        <a:prstGeom prst="rect">
          <a:avLst/>
        </a:prstGeom>
        <a:noFill/>
        <a:ln w="1">
          <a:noFill/>
          <a:miter lim="800000"/>
          <a:headEnd/>
          <a:tailEnd type="none" w="med" len="med"/>
        </a:ln>
        <a:effectLst/>
      </xdr:spPr>
    </xdr:pic>
    <xdr:clientData fPrintsWithSheet="0"/>
  </xdr:twoCellAnchor>
</xdr:wsDr>
</file>

<file path=xl/drawings/drawing58.xml><?xml version="1.0" encoding="utf-8"?>
<xdr:wsDr xmlns:xdr="http://schemas.openxmlformats.org/drawingml/2006/spreadsheetDrawing" xmlns:a="http://schemas.openxmlformats.org/drawingml/2006/main">
  <xdr:twoCellAnchor editAs="absolute">
    <xdr:from>
      <xdr:col>11</xdr:col>
      <xdr:colOff>47625</xdr:colOff>
      <xdr:row>0</xdr:row>
      <xdr:rowOff>238125</xdr:rowOff>
    </xdr:from>
    <xdr:to>
      <xdr:col>12</xdr:col>
      <xdr:colOff>399952</xdr:colOff>
      <xdr:row>1</xdr:row>
      <xdr:rowOff>180937</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210175" y="238125"/>
          <a:ext cx="780952" cy="304762"/>
        </a:xfrm>
        <a:prstGeom prst="rect">
          <a:avLst/>
        </a:prstGeom>
        <a:noFill/>
        <a:ln w="1">
          <a:noFill/>
          <a:miter lim="800000"/>
          <a:headEnd/>
          <a:tailEnd type="none" w="med" len="med"/>
        </a:ln>
        <a:effectLst/>
      </xdr:spPr>
    </xdr:pic>
    <xdr:clientData fPrintsWithSheet="0"/>
  </xdr:twoCellAnchor>
</xdr:wsDr>
</file>

<file path=xl/drawings/drawing59.xml><?xml version="1.0" encoding="utf-8"?>
<xdr:wsDr xmlns:xdr="http://schemas.openxmlformats.org/drawingml/2006/spreadsheetDrawing" xmlns:a="http://schemas.openxmlformats.org/drawingml/2006/main">
  <xdr:twoCellAnchor editAs="absolute">
    <xdr:from>
      <xdr:col>11</xdr:col>
      <xdr:colOff>0</xdr:colOff>
      <xdr:row>0</xdr:row>
      <xdr:rowOff>257174</xdr:rowOff>
    </xdr:from>
    <xdr:to>
      <xdr:col>12</xdr:col>
      <xdr:colOff>390423</xdr:colOff>
      <xdr:row>1</xdr:row>
      <xdr:rowOff>180975</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019675" y="257174"/>
          <a:ext cx="819048" cy="285751"/>
        </a:xfrm>
        <a:prstGeom prst="rect">
          <a:avLst/>
        </a:prstGeom>
        <a:noFill/>
        <a:ln w="1">
          <a:noFill/>
          <a:miter lim="800000"/>
          <a:headEnd/>
          <a:tailEnd type="none" w="med" len="med"/>
        </a:ln>
        <a:effectLst/>
      </xdr:spPr>
    </xdr:pic>
    <xdr:clientData fPrintsWithSheet="0"/>
  </xdr:twoCellAnchor>
</xdr:wsDr>
</file>

<file path=xl/drawings/drawing6.xml><?xml version="1.0" encoding="utf-8"?>
<xdr:wsDr xmlns:xdr="http://schemas.openxmlformats.org/drawingml/2006/spreadsheetDrawing" xmlns:a="http://schemas.openxmlformats.org/drawingml/2006/main">
  <xdr:twoCellAnchor>
    <xdr:from>
      <xdr:col>6</xdr:col>
      <xdr:colOff>425450</xdr:colOff>
      <xdr:row>2</xdr:row>
      <xdr:rowOff>28575</xdr:rowOff>
    </xdr:from>
    <xdr:to>
      <xdr:col>10</xdr:col>
      <xdr:colOff>225425</xdr:colOff>
      <xdr:row>2</xdr:row>
      <xdr:rowOff>28575</xdr:rowOff>
    </xdr:to>
    <xdr:sp macro="" textlink="">
      <xdr:nvSpPr>
        <xdr:cNvPr id="2" name="Line 3">
          <a:extLst>
            <a:ext uri="{FF2B5EF4-FFF2-40B4-BE49-F238E27FC236}">
              <a16:creationId xmlns:a16="http://schemas.microsoft.com/office/drawing/2014/main" id="{00000000-0008-0000-0600-000002000000}"/>
            </a:ext>
          </a:extLst>
        </xdr:cNvPr>
        <xdr:cNvSpPr>
          <a:spLocks noChangeShapeType="1"/>
        </xdr:cNvSpPr>
      </xdr:nvSpPr>
      <xdr:spPr bwMode="auto">
        <a:xfrm>
          <a:off x="3911600" y="409575"/>
          <a:ext cx="2124075" cy="0"/>
        </a:xfrm>
        <a:prstGeom prst="line">
          <a:avLst/>
        </a:prstGeom>
        <a:noFill/>
        <a:ln w="25400">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136525</xdr:colOff>
      <xdr:row>7</xdr:row>
      <xdr:rowOff>60325</xdr:rowOff>
    </xdr:from>
    <xdr:to>
      <xdr:col>9</xdr:col>
      <xdr:colOff>355600</xdr:colOff>
      <xdr:row>12</xdr:row>
      <xdr:rowOff>173038</xdr:rowOff>
    </xdr:to>
    <xdr:sp macro="" textlink="">
      <xdr:nvSpPr>
        <xdr:cNvPr id="3" name="Rectangle 5">
          <a:extLst>
            <a:ext uri="{FF2B5EF4-FFF2-40B4-BE49-F238E27FC236}">
              <a16:creationId xmlns:a16="http://schemas.microsoft.com/office/drawing/2014/main" id="{00000000-0008-0000-0600-000003000000}"/>
            </a:ext>
          </a:extLst>
        </xdr:cNvPr>
        <xdr:cNvSpPr>
          <a:spLocks noChangeArrowheads="1"/>
        </xdr:cNvSpPr>
      </xdr:nvSpPr>
      <xdr:spPr bwMode="auto">
        <a:xfrm>
          <a:off x="5365750" y="1393825"/>
          <a:ext cx="219075" cy="1065213"/>
        </a:xfrm>
        <a:prstGeom prst="rect">
          <a:avLst/>
        </a:prstGeom>
        <a:solidFill>
          <a:srgbClr val="FFFF00"/>
        </a:solidFill>
        <a:ln>
          <a:noFill/>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9</xdr:col>
      <xdr:colOff>120650</xdr:colOff>
      <xdr:row>0</xdr:row>
      <xdr:rowOff>0</xdr:rowOff>
    </xdr:from>
    <xdr:to>
      <xdr:col>9</xdr:col>
      <xdr:colOff>136525</xdr:colOff>
      <xdr:row>12</xdr:row>
      <xdr:rowOff>157163</xdr:rowOff>
    </xdr:to>
    <xdr:sp macro="" textlink="">
      <xdr:nvSpPr>
        <xdr:cNvPr id="4" name="Line 6">
          <a:extLst>
            <a:ext uri="{FF2B5EF4-FFF2-40B4-BE49-F238E27FC236}">
              <a16:creationId xmlns:a16="http://schemas.microsoft.com/office/drawing/2014/main" id="{00000000-0008-0000-0600-000004000000}"/>
            </a:ext>
          </a:extLst>
        </xdr:cNvPr>
        <xdr:cNvSpPr>
          <a:spLocks noChangeShapeType="1"/>
        </xdr:cNvSpPr>
      </xdr:nvSpPr>
      <xdr:spPr bwMode="auto">
        <a:xfrm rot="5421033" flipH="1">
          <a:off x="4136231" y="1213644"/>
          <a:ext cx="2443163" cy="15875"/>
        </a:xfrm>
        <a:prstGeom prst="line">
          <a:avLst/>
        </a:prstGeom>
        <a:noFill/>
        <a:ln w="2857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8</xdr:col>
      <xdr:colOff>325437</xdr:colOff>
      <xdr:row>7</xdr:row>
      <xdr:rowOff>47624</xdr:rowOff>
    </xdr:from>
    <xdr:to>
      <xdr:col>10</xdr:col>
      <xdr:colOff>495300</xdr:colOff>
      <xdr:row>7</xdr:row>
      <xdr:rowOff>58737</xdr:rowOff>
    </xdr:to>
    <xdr:sp macro="" textlink="">
      <xdr:nvSpPr>
        <xdr:cNvPr id="5" name="Line 7">
          <a:extLst>
            <a:ext uri="{FF2B5EF4-FFF2-40B4-BE49-F238E27FC236}">
              <a16:creationId xmlns:a16="http://schemas.microsoft.com/office/drawing/2014/main" id="{00000000-0008-0000-0600-000005000000}"/>
            </a:ext>
          </a:extLst>
        </xdr:cNvPr>
        <xdr:cNvSpPr>
          <a:spLocks noChangeShapeType="1"/>
        </xdr:cNvSpPr>
      </xdr:nvSpPr>
      <xdr:spPr bwMode="auto">
        <a:xfrm flipV="1">
          <a:off x="4973637" y="1381124"/>
          <a:ext cx="1331913" cy="11113"/>
        </a:xfrm>
        <a:prstGeom prst="line">
          <a:avLst/>
        </a:prstGeom>
        <a:noFill/>
        <a:ln w="28575">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3</xdr:col>
      <xdr:colOff>336550</xdr:colOff>
      <xdr:row>12</xdr:row>
      <xdr:rowOff>173038</xdr:rowOff>
    </xdr:from>
    <xdr:to>
      <xdr:col>9</xdr:col>
      <xdr:colOff>355600</xdr:colOff>
      <xdr:row>12</xdr:row>
      <xdr:rowOff>173038</xdr:rowOff>
    </xdr:to>
    <xdr:sp macro="" textlink="">
      <xdr:nvSpPr>
        <xdr:cNvPr id="6" name="Line 11">
          <a:extLst>
            <a:ext uri="{FF2B5EF4-FFF2-40B4-BE49-F238E27FC236}">
              <a16:creationId xmlns:a16="http://schemas.microsoft.com/office/drawing/2014/main" id="{00000000-0008-0000-0600-000006000000}"/>
            </a:ext>
          </a:extLst>
        </xdr:cNvPr>
        <xdr:cNvSpPr>
          <a:spLocks noChangeShapeType="1"/>
        </xdr:cNvSpPr>
      </xdr:nvSpPr>
      <xdr:spPr bwMode="auto">
        <a:xfrm>
          <a:off x="2079625" y="2459038"/>
          <a:ext cx="3505200" cy="0"/>
        </a:xfrm>
        <a:prstGeom prst="line">
          <a:avLst/>
        </a:prstGeom>
        <a:noFill/>
        <a:ln w="28575">
          <a:solidFill>
            <a:srgbClr val="FFFF00"/>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352425</xdr:colOff>
      <xdr:row>2</xdr:row>
      <xdr:rowOff>28575</xdr:rowOff>
    </xdr:from>
    <xdr:to>
      <xdr:col>9</xdr:col>
      <xdr:colOff>355600</xdr:colOff>
      <xdr:row>14</xdr:row>
      <xdr:rowOff>82550</xdr:rowOff>
    </xdr:to>
    <xdr:sp macro="" textlink="">
      <xdr:nvSpPr>
        <xdr:cNvPr id="7" name="Line 12">
          <a:extLst>
            <a:ext uri="{FF2B5EF4-FFF2-40B4-BE49-F238E27FC236}">
              <a16:creationId xmlns:a16="http://schemas.microsoft.com/office/drawing/2014/main" id="{00000000-0008-0000-0600-000007000000}"/>
            </a:ext>
          </a:extLst>
        </xdr:cNvPr>
        <xdr:cNvSpPr>
          <a:spLocks noChangeShapeType="1"/>
        </xdr:cNvSpPr>
      </xdr:nvSpPr>
      <xdr:spPr bwMode="auto">
        <a:xfrm rot="5397016">
          <a:off x="4413250" y="1577975"/>
          <a:ext cx="2339975" cy="3175"/>
        </a:xfrm>
        <a:prstGeom prst="line">
          <a:avLst/>
        </a:prstGeom>
        <a:noFill/>
        <a:ln w="1460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0</xdr:col>
      <xdr:colOff>0</xdr:colOff>
      <xdr:row>23</xdr:row>
      <xdr:rowOff>73025</xdr:rowOff>
    </xdr:from>
    <xdr:to>
      <xdr:col>10</xdr:col>
      <xdr:colOff>536575</xdr:colOff>
      <xdr:row>27</xdr:row>
      <xdr:rowOff>46038</xdr:rowOff>
    </xdr:to>
    <xdr:sp macro="" textlink="">
      <xdr:nvSpPr>
        <xdr:cNvPr id="8" name="Rectangle 2">
          <a:extLst>
            <a:ext uri="{FF2B5EF4-FFF2-40B4-BE49-F238E27FC236}">
              <a16:creationId xmlns:a16="http://schemas.microsoft.com/office/drawing/2014/main" id="{00000000-0008-0000-0600-000008000000}"/>
            </a:ext>
          </a:extLst>
        </xdr:cNvPr>
        <xdr:cNvSpPr>
          <a:spLocks noChangeArrowheads="1"/>
        </xdr:cNvSpPr>
      </xdr:nvSpPr>
      <xdr:spPr bwMode="auto">
        <a:xfrm>
          <a:off x="0" y="4454525"/>
          <a:ext cx="6346825" cy="735013"/>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0</xdr:col>
      <xdr:colOff>147637</xdr:colOff>
      <xdr:row>22</xdr:row>
      <xdr:rowOff>101600</xdr:rowOff>
    </xdr:from>
    <xdr:to>
      <xdr:col>5</xdr:col>
      <xdr:colOff>547687</xdr:colOff>
      <xdr:row>26</xdr:row>
      <xdr:rowOff>68263</xdr:rowOff>
    </xdr:to>
    <xdr:sp macro="" textlink="">
      <xdr:nvSpPr>
        <xdr:cNvPr id="9" name="Rectangle 3">
          <a:extLst>
            <a:ext uri="{FF2B5EF4-FFF2-40B4-BE49-F238E27FC236}">
              <a16:creationId xmlns:a16="http://schemas.microsoft.com/office/drawing/2014/main" id="{00000000-0008-0000-0600-000009000000}"/>
            </a:ext>
          </a:extLst>
        </xdr:cNvPr>
        <xdr:cNvSpPr>
          <a:spLocks noChangeArrowheads="1"/>
        </xdr:cNvSpPr>
      </xdr:nvSpPr>
      <xdr:spPr bwMode="auto">
        <a:xfrm>
          <a:off x="147637" y="4292600"/>
          <a:ext cx="3305175" cy="728663"/>
        </a:xfrm>
        <a:prstGeom prst="rect">
          <a:avLst/>
        </a:prstGeom>
        <a:solidFill>
          <a:srgbClr val="FFFF00"/>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clientData/>
  </xdr:twoCellAnchor>
  <xdr:twoCellAnchor>
    <xdr:from>
      <xdr:col>0</xdr:col>
      <xdr:colOff>158750</xdr:colOff>
      <xdr:row>23</xdr:row>
      <xdr:rowOff>147638</xdr:rowOff>
    </xdr:from>
    <xdr:to>
      <xdr:col>4</xdr:col>
      <xdr:colOff>277812</xdr:colOff>
      <xdr:row>25</xdr:row>
      <xdr:rowOff>84321</xdr:rowOff>
    </xdr:to>
    <xdr:sp macro="" textlink="">
      <xdr:nvSpPr>
        <xdr:cNvPr id="10" name="Text Box 10">
          <a:extLst>
            <a:ext uri="{FF2B5EF4-FFF2-40B4-BE49-F238E27FC236}">
              <a16:creationId xmlns:a16="http://schemas.microsoft.com/office/drawing/2014/main" id="{00000000-0008-0000-0600-00000A000000}"/>
            </a:ext>
          </a:extLst>
        </xdr:cNvPr>
        <xdr:cNvSpPr txBox="1">
          <a:spLocks noChangeArrowheads="1"/>
        </xdr:cNvSpPr>
      </xdr:nvSpPr>
      <xdr:spPr bwMode="auto">
        <a:xfrm>
          <a:off x="158750" y="4529138"/>
          <a:ext cx="2443162" cy="317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500" b="1">
              <a:solidFill>
                <a:srgbClr val="00467A"/>
              </a:solidFill>
              <a:latin typeface="Arial" charset="0"/>
            </a:rPr>
            <a:t>Estrutura Empresarial</a:t>
          </a:r>
        </a:p>
      </xdr:txBody>
    </xdr:sp>
    <xdr:clientData/>
  </xdr:twoCellAnchor>
  <xdr:twoCellAnchor>
    <xdr:from>
      <xdr:col>10</xdr:col>
      <xdr:colOff>196850</xdr:colOff>
      <xdr:row>24</xdr:row>
      <xdr:rowOff>11113</xdr:rowOff>
    </xdr:from>
    <xdr:to>
      <xdr:col>10</xdr:col>
      <xdr:colOff>307975</xdr:colOff>
      <xdr:row>26</xdr:row>
      <xdr:rowOff>100013</xdr:rowOff>
    </xdr:to>
    <xdr:sp macro="" textlink="">
      <xdr:nvSpPr>
        <xdr:cNvPr id="11" name="WordArt 4">
          <a:extLst>
            <a:ext uri="{FF2B5EF4-FFF2-40B4-BE49-F238E27FC236}">
              <a16:creationId xmlns:a16="http://schemas.microsoft.com/office/drawing/2014/main" id="{00000000-0008-0000-0600-00000B000000}"/>
            </a:ext>
          </a:extLst>
        </xdr:cNvPr>
        <xdr:cNvSpPr>
          <a:spLocks noChangeArrowheads="1" noChangeShapeType="1" noTextEdit="1"/>
        </xdr:cNvSpPr>
      </xdr:nvSpPr>
      <xdr:spPr bwMode="auto">
        <a:xfrm>
          <a:off x="6007100" y="4583113"/>
          <a:ext cx="111125" cy="4699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16</xdr:col>
      <xdr:colOff>571500</xdr:colOff>
      <xdr:row>1</xdr:row>
      <xdr:rowOff>121708</xdr:rowOff>
    </xdr:from>
    <xdr:to>
      <xdr:col>39</xdr:col>
      <xdr:colOff>565679</xdr:colOff>
      <xdr:row>16</xdr:row>
      <xdr:rowOff>16933</xdr:rowOff>
    </xdr:to>
    <xdr:grpSp>
      <xdr:nvGrpSpPr>
        <xdr:cNvPr id="5" name="Agrupar 4">
          <a:extLst>
            <a:ext uri="{FF2B5EF4-FFF2-40B4-BE49-F238E27FC236}">
              <a16:creationId xmlns:a16="http://schemas.microsoft.com/office/drawing/2014/main" id="{00000000-0008-0000-1C00-000005000000}"/>
            </a:ext>
          </a:extLst>
        </xdr:cNvPr>
        <xdr:cNvGrpSpPr/>
      </xdr:nvGrpSpPr>
      <xdr:grpSpPr>
        <a:xfrm>
          <a:off x="10445750" y="272521"/>
          <a:ext cx="13321242" cy="2157412"/>
          <a:chOff x="8448671" y="712203"/>
          <a:chExt cx="14601170" cy="4374147"/>
        </a:xfrm>
      </xdr:grpSpPr>
      <xdr:graphicFrame macro="">
        <xdr:nvGraphicFramePr>
          <xdr:cNvPr id="6" name="Gráfico 5">
            <a:extLst>
              <a:ext uri="{FF2B5EF4-FFF2-40B4-BE49-F238E27FC236}">
                <a16:creationId xmlns:a16="http://schemas.microsoft.com/office/drawing/2014/main" id="{00000000-0008-0000-1C00-000006000000}"/>
              </a:ext>
            </a:extLst>
          </xdr:cNvPr>
          <xdr:cNvGraphicFramePr/>
        </xdr:nvGraphicFramePr>
        <xdr:xfrm>
          <a:off x="8448671" y="717551"/>
          <a:ext cx="7760518" cy="436879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Gráfico 6">
            <a:extLst>
              <a:ext uri="{FF2B5EF4-FFF2-40B4-BE49-F238E27FC236}">
                <a16:creationId xmlns:a16="http://schemas.microsoft.com/office/drawing/2014/main" id="{00000000-0008-0000-1C00-000007000000}"/>
              </a:ext>
            </a:extLst>
          </xdr:cNvPr>
          <xdr:cNvGraphicFramePr>
            <a:graphicFrameLocks/>
          </xdr:cNvGraphicFramePr>
        </xdr:nvGraphicFramePr>
        <xdr:xfrm>
          <a:off x="15989778" y="712203"/>
          <a:ext cx="7060063" cy="436879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16</xdr:col>
      <xdr:colOff>603250</xdr:colOff>
      <xdr:row>17</xdr:row>
      <xdr:rowOff>10583</xdr:rowOff>
    </xdr:from>
    <xdr:to>
      <xdr:col>34</xdr:col>
      <xdr:colOff>432859</xdr:colOff>
      <xdr:row>19</xdr:row>
      <xdr:rowOff>13759</xdr:rowOff>
    </xdr:to>
    <xdr:sp macro="" textlink="">
      <xdr:nvSpPr>
        <xdr:cNvPr id="8" name="CaixaDeTexto 7">
          <a:extLst>
            <a:ext uri="{FF2B5EF4-FFF2-40B4-BE49-F238E27FC236}">
              <a16:creationId xmlns:a16="http://schemas.microsoft.com/office/drawing/2014/main" id="{00000000-0008-0000-1C00-000008000000}"/>
            </a:ext>
          </a:extLst>
        </xdr:cNvPr>
        <xdr:cNvSpPr txBox="1"/>
      </xdr:nvSpPr>
      <xdr:spPr>
        <a:xfrm>
          <a:off x="10969625" y="2619375"/>
          <a:ext cx="10783359" cy="310092"/>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pt-PT" sz="600" b="0" i="0" baseline="0">
              <a:solidFill>
                <a:schemeClr val="tx1">
                  <a:lumMod val="50000"/>
                  <a:lumOff val="50000"/>
                </a:schemeClr>
              </a:solidFill>
              <a:effectLst/>
              <a:latin typeface="+mn-lt"/>
              <a:ea typeface="+mn-ea"/>
              <a:cs typeface="+mn-cs"/>
            </a:rPr>
            <a:t>* Trabalhadores por conta de outrem a tempo completo, que auferiram remuneração completa no período de referência.</a:t>
          </a:r>
          <a:endParaRPr lang="pt-PT" sz="600">
            <a:solidFill>
              <a:schemeClr val="tx1">
                <a:lumMod val="50000"/>
                <a:lumOff val="50000"/>
              </a:schemeClr>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pt-PT" sz="600" b="0" i="0" u="none" strike="noStrike" kern="0" cap="none" spc="0" normalizeH="0" baseline="0" noProof="0">
              <a:ln>
                <a:noFill/>
              </a:ln>
              <a:solidFill>
                <a:schemeClr val="tx1">
                  <a:lumMod val="50000"/>
                  <a:lumOff val="50000"/>
                </a:schemeClr>
              </a:solidFill>
              <a:effectLst/>
              <a:uLnTx/>
              <a:uFillTx/>
              <a:latin typeface="+mn-lt"/>
              <a:ea typeface="+mn-ea"/>
              <a:cs typeface="+mn-cs"/>
            </a:rPr>
            <a:t>** Retribuição Mínima Mensal Garantida (RMMG) - Continente 2011=485,00 euros; 2012=485,00 euros; 2013=485,00 euros; 2014=505,00 euros; 2015=505,00 euros; 2016=530,00 euros; 2017=557,00 euros; 2018=580,00 euros; 2019=600,00 euros; 2020=635,00 euros e 2021 = 665,00 euros.</a:t>
          </a:r>
        </a:p>
      </xdr:txBody>
    </xdr:sp>
    <xdr:clientData/>
  </xdr:twoCellAnchor>
  <xdr:twoCellAnchor>
    <xdr:from>
      <xdr:col>6</xdr:col>
      <xdr:colOff>555625</xdr:colOff>
      <xdr:row>32</xdr:row>
      <xdr:rowOff>0</xdr:rowOff>
    </xdr:from>
    <xdr:to>
      <xdr:col>11</xdr:col>
      <xdr:colOff>277812</xdr:colOff>
      <xdr:row>36</xdr:row>
      <xdr:rowOff>15875</xdr:rowOff>
    </xdr:to>
    <xdr:sp macro="" textlink="">
      <xdr:nvSpPr>
        <xdr:cNvPr id="9" name="CaixaDeTexto 8">
          <a:extLst>
            <a:ext uri="{FF2B5EF4-FFF2-40B4-BE49-F238E27FC236}">
              <a16:creationId xmlns:a16="http://schemas.microsoft.com/office/drawing/2014/main" id="{00000000-0008-0000-1C00-000009000000}"/>
            </a:ext>
          </a:extLst>
        </xdr:cNvPr>
        <xdr:cNvSpPr txBox="1"/>
      </xdr:nvSpPr>
      <xdr:spPr>
        <a:xfrm>
          <a:off x="4635500" y="4833938"/>
          <a:ext cx="2619375" cy="619125"/>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800" b="1" i="0" u="none" strike="noStrike">
              <a:solidFill>
                <a:sysClr val="windowText" lastClr="000000"/>
              </a:solidFill>
              <a:latin typeface="+mn-lt"/>
              <a:cs typeface="Calibri"/>
            </a:rPr>
            <a:t>2022</a:t>
          </a:r>
          <a:r>
            <a:rPr lang="en-US" sz="800" b="0" i="0" u="none" strike="noStrike" baseline="0">
              <a:solidFill>
                <a:sysClr val="windowText" lastClr="000000"/>
              </a:solidFill>
              <a:latin typeface="+mn-lt"/>
              <a:cs typeface="Calibri"/>
            </a:rPr>
            <a:t> - </a:t>
          </a:r>
          <a:r>
            <a:rPr lang="en-US" sz="800" b="0" i="0" u="sng" strike="noStrike">
              <a:solidFill>
                <a:sysClr val="windowText" lastClr="000000"/>
              </a:solidFill>
              <a:latin typeface="+mn-lt"/>
              <a:cs typeface="Calibri"/>
            </a:rPr>
            <a:t>Proporção</a:t>
          </a:r>
          <a:r>
            <a:rPr lang="en-US" sz="800" b="0" i="0" u="sng" strike="noStrike" baseline="0">
              <a:solidFill>
                <a:sysClr val="windowText" lastClr="000000"/>
              </a:solidFill>
              <a:latin typeface="+mn-lt"/>
              <a:cs typeface="Calibri"/>
            </a:rPr>
            <a:t> de TCO com remuneração Base</a:t>
          </a:r>
        </a:p>
        <a:p>
          <a:r>
            <a:rPr lang="en-US" sz="800" b="0" i="0" u="none" strike="noStrike" baseline="0">
              <a:solidFill>
                <a:sysClr val="windowText" lastClr="000000"/>
              </a:solidFill>
              <a:latin typeface="+mn-lt"/>
              <a:cs typeface="Calibri"/>
            </a:rPr>
            <a:t>&gt;= RMMG e  &lt; 750 €: 3</a:t>
          </a:r>
          <a:r>
            <a:rPr lang="en-US" sz="800" b="0" i="0" u="none" strike="noStrike">
              <a:solidFill>
                <a:sysClr val="windowText" lastClr="000000"/>
              </a:solidFill>
              <a:latin typeface="+mn-lt"/>
              <a:cs typeface="Calibri"/>
            </a:rPr>
            <a:t>4,9% (-25,3 p.p face a 2012)</a:t>
          </a:r>
        </a:p>
        <a:p>
          <a:r>
            <a:rPr lang="en-US" sz="800" b="0" i="0" u="none" strike="noStrike">
              <a:solidFill>
                <a:sysClr val="windowText" lastClr="000000"/>
              </a:solidFill>
              <a:latin typeface="+mn-lt"/>
              <a:cs typeface="Calibri"/>
            </a:rPr>
            <a:t>= </a:t>
          </a:r>
          <a:r>
            <a:rPr lang="en-US" sz="800" b="0" i="0" u="none" strike="noStrike" baseline="0">
              <a:solidFill>
                <a:sysClr val="windowText" lastClr="000000"/>
              </a:solidFill>
              <a:latin typeface="+mn-lt"/>
              <a:cs typeface="Calibri"/>
            </a:rPr>
            <a:t>RMMG: </a:t>
          </a:r>
          <a:r>
            <a:rPr lang="en-US" sz="800" b="0" i="0" u="none" strike="noStrike">
              <a:solidFill>
                <a:sysClr val="windowText" lastClr="000000"/>
              </a:solidFill>
              <a:latin typeface="+mn-lt"/>
              <a:cs typeface="Calibri"/>
            </a:rPr>
            <a:t>23,3% (+8,9 p.p. face a 2012)</a:t>
          </a:r>
          <a:r>
            <a:rPr lang="en-US" sz="800" b="0" i="0" u="none" strike="noStrike" baseline="0">
              <a:solidFill>
                <a:sysClr val="windowText" lastClr="000000"/>
              </a:solidFill>
              <a:latin typeface="+mn-lt"/>
              <a:cs typeface="Calibri"/>
            </a:rPr>
            <a:t>                                      </a:t>
          </a:r>
        </a:p>
        <a:p>
          <a:r>
            <a:rPr lang="en-US" sz="800" b="0" i="0" u="none" strike="noStrike" baseline="0">
              <a:solidFill>
                <a:sysClr val="windowText" lastClr="000000"/>
              </a:solidFill>
              <a:latin typeface="+mn-lt"/>
              <a:cs typeface="Calibri"/>
            </a:rPr>
            <a:t>&gt; RMMG e &lt; 750 €: 11,5% (- 34,2 p.p. face a 2012).</a:t>
          </a:r>
          <a:endParaRPr lang="en-US" sz="800" b="0" i="0" u="none" strike="noStrike">
            <a:solidFill>
              <a:sysClr val="windowText" lastClr="000000"/>
            </a:solidFill>
            <a:latin typeface="+mn-lt"/>
            <a:cs typeface="Calibri"/>
          </a:endParaRPr>
        </a:p>
        <a:p>
          <a:endParaRPr lang="en-US" sz="800" b="0" i="0" u="none" strike="noStrike" baseline="0">
            <a:solidFill>
              <a:sysClr val="windowText" lastClr="000000"/>
            </a:solidFill>
            <a:latin typeface="Calibri"/>
            <a:cs typeface="Calibri"/>
          </a:endParaRPr>
        </a:p>
      </xdr:txBody>
    </xdr:sp>
    <xdr:clientData/>
  </xdr:twoCellAnchor>
  <xdr:twoCellAnchor>
    <xdr:from>
      <xdr:col>1</xdr:col>
      <xdr:colOff>412749</xdr:colOff>
      <xdr:row>35</xdr:row>
      <xdr:rowOff>13229</xdr:rowOff>
    </xdr:from>
    <xdr:to>
      <xdr:col>5</xdr:col>
      <xdr:colOff>444500</xdr:colOff>
      <xdr:row>40</xdr:row>
      <xdr:rowOff>127000</xdr:rowOff>
    </xdr:to>
    <xdr:sp macro="" textlink="$H$38">
      <xdr:nvSpPr>
        <xdr:cNvPr id="10" name="CaixaDeTexto 9">
          <a:extLst>
            <a:ext uri="{FF2B5EF4-FFF2-40B4-BE49-F238E27FC236}">
              <a16:creationId xmlns:a16="http://schemas.microsoft.com/office/drawing/2014/main" id="{00000000-0008-0000-1C00-00000A000000}"/>
            </a:ext>
          </a:extLst>
        </xdr:cNvPr>
        <xdr:cNvSpPr txBox="1"/>
      </xdr:nvSpPr>
      <xdr:spPr>
        <a:xfrm>
          <a:off x="1595437" y="5299604"/>
          <a:ext cx="2349501" cy="87577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BB8039AF-2252-4D28-A5BC-EA7278A8D6BE}" type="TxLink">
            <a:rPr lang="en-US" sz="800" b="0" i="0" u="none" strike="noStrike">
              <a:solidFill>
                <a:srgbClr val="000000"/>
              </a:solidFill>
              <a:latin typeface="+mn-lt"/>
              <a:cs typeface="Calibri"/>
            </a:rPr>
            <a:pPr/>
            <a:t>2022 - Proporção de TCO com remuneração Base: Igual à RMMG e &lt; 750 €: 34,9% (-25,3 p.p. face a 2012):
Igual à RMMG: 23,3% (+8,9 p.p. face a 2012)
Entre RMMG e &lt; 750 €: 11,5% (-34,2 p.p. face a 2012).</a:t>
          </a:fld>
          <a:endParaRPr lang="en-US" sz="800" b="0" i="0" u="none" strike="noStrike" baseline="0">
            <a:solidFill>
              <a:sysClr val="windowText" lastClr="000000"/>
            </a:solidFill>
            <a:latin typeface="+mn-lt"/>
            <a:cs typeface="Calibri"/>
          </a:endParaRPr>
        </a:p>
      </xdr:txBody>
    </xdr:sp>
    <xdr:clientData/>
  </xdr:twoCellAnchor>
  <xdr:twoCellAnchor>
    <xdr:from>
      <xdr:col>25</xdr:col>
      <xdr:colOff>576792</xdr:colOff>
      <xdr:row>26</xdr:row>
      <xdr:rowOff>31750</xdr:rowOff>
    </xdr:from>
    <xdr:to>
      <xdr:col>30</xdr:col>
      <xdr:colOff>254000</xdr:colOff>
      <xdr:row>30</xdr:row>
      <xdr:rowOff>63500</xdr:rowOff>
    </xdr:to>
    <xdr:sp macro="" textlink="">
      <xdr:nvSpPr>
        <xdr:cNvPr id="11" name="CaixaDeTexto 10">
          <a:extLst>
            <a:ext uri="{FF2B5EF4-FFF2-40B4-BE49-F238E27FC236}">
              <a16:creationId xmlns:a16="http://schemas.microsoft.com/office/drawing/2014/main" id="{00000000-0008-0000-1C00-00000B000000}"/>
            </a:ext>
          </a:extLst>
        </xdr:cNvPr>
        <xdr:cNvSpPr txBox="1"/>
      </xdr:nvSpPr>
      <xdr:spPr>
        <a:xfrm>
          <a:off x="16420042" y="4021667"/>
          <a:ext cx="2719916" cy="645583"/>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800" b="1" i="0" u="none" strike="noStrike">
              <a:solidFill>
                <a:sysClr val="windowText" lastClr="000000"/>
              </a:solidFill>
              <a:latin typeface="+mn-lt"/>
              <a:cs typeface="Calibri"/>
            </a:rPr>
            <a:t>2022</a:t>
          </a:r>
          <a:r>
            <a:rPr lang="en-US" sz="800" b="0" i="0" u="none" strike="noStrike">
              <a:solidFill>
                <a:sysClr val="windowText" lastClr="000000"/>
              </a:solidFill>
              <a:latin typeface="+mn-lt"/>
              <a:cs typeface="Calibri"/>
            </a:rPr>
            <a:t> - </a:t>
          </a:r>
          <a:r>
            <a:rPr lang="en-US" sz="800" b="0" i="0" u="sng" strike="noStrike">
              <a:solidFill>
                <a:sysClr val="windowText" lastClr="000000"/>
              </a:solidFill>
              <a:latin typeface="+mn-lt"/>
              <a:cs typeface="Calibri"/>
            </a:rPr>
            <a:t>Proporção de TCO com remuneração Ganho</a:t>
          </a:r>
        </a:p>
        <a:p>
          <a:r>
            <a:rPr lang="en-US" sz="800" b="0" i="0" u="none" strike="noStrike">
              <a:solidFill>
                <a:sysClr val="windowText" lastClr="000000"/>
              </a:solidFill>
              <a:latin typeface="+mn-lt"/>
              <a:cs typeface="Calibri"/>
            </a:rPr>
            <a:t>&gt;= RMMG e  &lt; 750 €: 6,6% (-38,7 p.p face a 2012)</a:t>
          </a:r>
        </a:p>
        <a:p>
          <a:r>
            <a:rPr lang="en-US" sz="800" b="0" i="0" u="none" strike="noStrike">
              <a:solidFill>
                <a:sysClr val="windowText" lastClr="000000"/>
              </a:solidFill>
              <a:latin typeface="+mn-lt"/>
              <a:cs typeface="Calibri"/>
            </a:rPr>
            <a:t>= RMMG: 4,5% (+0,4 p.p. face a 2012)                                      </a:t>
          </a:r>
        </a:p>
        <a:p>
          <a:r>
            <a:rPr lang="en-US" sz="800" b="0" i="0" u="none" strike="noStrike">
              <a:solidFill>
                <a:sysClr val="windowText" lastClr="000000"/>
              </a:solidFill>
              <a:latin typeface="+mn-lt"/>
              <a:cs typeface="Calibri"/>
            </a:rPr>
            <a:t>&gt; RMMG e &lt; 750 €: 2,1% (- 39,1 p.p. face a 2012).</a:t>
          </a:r>
        </a:p>
        <a:p>
          <a:endParaRPr lang="en-US" sz="800" b="0" i="0" u="none" strike="noStrike" baseline="0">
            <a:solidFill>
              <a:sysClr val="windowText" lastClr="000000"/>
            </a:solidFill>
            <a:latin typeface="Calibri"/>
            <a:cs typeface="Calibri"/>
          </a:endParaRPr>
        </a:p>
      </xdr:txBody>
    </xdr:sp>
    <xdr:clientData/>
  </xdr:twoCellAnchor>
  <xdr:twoCellAnchor>
    <xdr:from>
      <xdr:col>26</xdr:col>
      <xdr:colOff>0</xdr:colOff>
      <xdr:row>37</xdr:row>
      <xdr:rowOff>0</xdr:rowOff>
    </xdr:from>
    <xdr:to>
      <xdr:col>33</xdr:col>
      <xdr:colOff>486834</xdr:colOff>
      <xdr:row>42</xdr:row>
      <xdr:rowOff>7938</xdr:rowOff>
    </xdr:to>
    <xdr:sp macro="" textlink="$AA$33">
      <xdr:nvSpPr>
        <xdr:cNvPr id="12" name="CaixaDeTexto 11">
          <a:extLst>
            <a:ext uri="{FF2B5EF4-FFF2-40B4-BE49-F238E27FC236}">
              <a16:creationId xmlns:a16="http://schemas.microsoft.com/office/drawing/2014/main" id="{00000000-0008-0000-1C00-00000C000000}"/>
            </a:ext>
          </a:extLst>
        </xdr:cNvPr>
        <xdr:cNvSpPr txBox="1"/>
      </xdr:nvSpPr>
      <xdr:spPr>
        <a:xfrm>
          <a:off x="15668625" y="5595938"/>
          <a:ext cx="4542897" cy="7620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fld id="{11BDB1A1-79D9-45A2-9F29-DA75D00D1B39}" type="TxLink">
            <a:rPr lang="en-US" sz="800" b="0" i="0" u="none" strike="noStrike">
              <a:solidFill>
                <a:srgbClr val="000000"/>
              </a:solidFill>
              <a:latin typeface="Calibri"/>
              <a:cs typeface="Calibri"/>
            </a:rPr>
            <a:pPr/>
            <a:t>2022 - Proporção de TCO com remuneração Ganho: Igual à RMMG e &lt; 750 €:  6,6% (-38,7 p.p. face a 2012):
Igual à RMMG: 4,5% (+0,4 p.p. face a 2012)
Entre RMMG e &lt; 750 €: 2,1% (-39,1 p.p. face a 2012).</a:t>
          </a:fld>
          <a:endParaRPr lang="en-US" sz="800" b="0" i="0" u="none" strike="noStrike" baseline="0">
            <a:solidFill>
              <a:sysClr val="windowText" lastClr="000000"/>
            </a:solidFill>
            <a:latin typeface="Calibri"/>
            <a:cs typeface="Calibri"/>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16</xdr:col>
      <xdr:colOff>333376</xdr:colOff>
      <xdr:row>11</xdr:row>
      <xdr:rowOff>89958</xdr:rowOff>
    </xdr:from>
    <xdr:to>
      <xdr:col>25</xdr:col>
      <xdr:colOff>590550</xdr:colOff>
      <xdr:row>21</xdr:row>
      <xdr:rowOff>87313</xdr:rowOff>
    </xdr:to>
    <xdr:graphicFrame macro="">
      <xdr:nvGraphicFramePr>
        <xdr:cNvPr id="10" name="Gráfico 9">
          <a:extLst>
            <a:ext uri="{FF2B5EF4-FFF2-40B4-BE49-F238E27FC236}">
              <a16:creationId xmlns:a16="http://schemas.microsoft.com/office/drawing/2014/main" id="{00000000-0008-0000-1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25</xdr:row>
      <xdr:rowOff>0</xdr:rowOff>
    </xdr:from>
    <xdr:to>
      <xdr:col>25</xdr:col>
      <xdr:colOff>516846</xdr:colOff>
      <xdr:row>34</xdr:row>
      <xdr:rowOff>73025</xdr:rowOff>
    </xdr:to>
    <xdr:grpSp>
      <xdr:nvGrpSpPr>
        <xdr:cNvPr id="13" name="Agrupar 12">
          <a:extLst>
            <a:ext uri="{FF2B5EF4-FFF2-40B4-BE49-F238E27FC236}">
              <a16:creationId xmlns:a16="http://schemas.microsoft.com/office/drawing/2014/main" id="{00000000-0008-0000-1D00-00000D000000}"/>
            </a:ext>
          </a:extLst>
        </xdr:cNvPr>
        <xdr:cNvGrpSpPr/>
      </xdr:nvGrpSpPr>
      <xdr:grpSpPr>
        <a:xfrm>
          <a:off x="10969625" y="3968750"/>
          <a:ext cx="6628721" cy="1501775"/>
          <a:chOff x="9525000" y="4636111"/>
          <a:chExt cx="8715370" cy="3506179"/>
        </a:xfrm>
      </xdr:grpSpPr>
      <xdr:graphicFrame macro="">
        <xdr:nvGraphicFramePr>
          <xdr:cNvPr id="15" name="Gráfico 14">
            <a:extLst>
              <a:ext uri="{FF2B5EF4-FFF2-40B4-BE49-F238E27FC236}">
                <a16:creationId xmlns:a16="http://schemas.microsoft.com/office/drawing/2014/main" id="{00000000-0008-0000-1D00-00000F000000}"/>
              </a:ext>
            </a:extLst>
          </xdr:cNvPr>
          <xdr:cNvGraphicFramePr>
            <a:graphicFrameLocks/>
          </xdr:cNvGraphicFramePr>
        </xdr:nvGraphicFramePr>
        <xdr:xfrm>
          <a:off x="9525000" y="4754563"/>
          <a:ext cx="4746624" cy="3371851"/>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7" name="Gráfico 16">
            <a:extLst>
              <a:ext uri="{FF2B5EF4-FFF2-40B4-BE49-F238E27FC236}">
                <a16:creationId xmlns:a16="http://schemas.microsoft.com/office/drawing/2014/main" id="{00000000-0008-0000-1D00-000011000000}"/>
              </a:ext>
            </a:extLst>
          </xdr:cNvPr>
          <xdr:cNvGraphicFramePr>
            <a:graphicFrameLocks/>
          </xdr:cNvGraphicFramePr>
        </xdr:nvGraphicFramePr>
        <xdr:xfrm>
          <a:off x="13493746" y="4636111"/>
          <a:ext cx="4746624" cy="3506179"/>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editAs="oneCell">
    <xdr:from>
      <xdr:col>12</xdr:col>
      <xdr:colOff>179917</xdr:colOff>
      <xdr:row>35</xdr:row>
      <xdr:rowOff>148167</xdr:rowOff>
    </xdr:from>
    <xdr:to>
      <xdr:col>33</xdr:col>
      <xdr:colOff>299029</xdr:colOff>
      <xdr:row>37</xdr:row>
      <xdr:rowOff>76200</xdr:rowOff>
    </xdr:to>
    <xdr:pic>
      <xdr:nvPicPr>
        <xdr:cNvPr id="18" name="Imagem 17">
          <a:extLst>
            <a:ext uri="{FF2B5EF4-FFF2-40B4-BE49-F238E27FC236}">
              <a16:creationId xmlns:a16="http://schemas.microsoft.com/office/drawing/2014/main" id="{00000000-0008-0000-1D00-000012000000}"/>
            </a:ext>
          </a:extLst>
        </xdr:cNvPr>
        <xdr:cNvPicPr>
          <a:picLocks noChangeAspect="1"/>
        </xdr:cNvPicPr>
      </xdr:nvPicPr>
      <xdr:blipFill>
        <a:blip xmlns:r="http://schemas.openxmlformats.org/officeDocument/2006/relationships" r:embed="rId4"/>
        <a:stretch>
          <a:fillRect/>
        </a:stretch>
      </xdr:blipFill>
      <xdr:spPr>
        <a:xfrm>
          <a:off x="9255125" y="5815542"/>
          <a:ext cx="12898487" cy="250825"/>
        </a:xfrm>
        <a:prstGeom prst="rect">
          <a:avLst/>
        </a:prstGeom>
      </xdr:spPr>
    </xdr:pic>
    <xdr:clientData/>
  </xdr:twoCellAnchor>
  <xdr:twoCellAnchor>
    <xdr:from>
      <xdr:col>24</xdr:col>
      <xdr:colOff>476251</xdr:colOff>
      <xdr:row>57</xdr:row>
      <xdr:rowOff>121709</xdr:rowOff>
    </xdr:from>
    <xdr:to>
      <xdr:col>30</xdr:col>
      <xdr:colOff>316924</xdr:colOff>
      <xdr:row>60</xdr:row>
      <xdr:rowOff>118727</xdr:rowOff>
    </xdr:to>
    <xdr:sp macro="" textlink="">
      <xdr:nvSpPr>
        <xdr:cNvPr id="9" name="CaixaDeTexto 8">
          <a:extLst>
            <a:ext uri="{FF2B5EF4-FFF2-40B4-BE49-F238E27FC236}">
              <a16:creationId xmlns:a16="http://schemas.microsoft.com/office/drawing/2014/main" id="{00000000-0008-0000-1D00-000009000000}"/>
            </a:ext>
          </a:extLst>
        </xdr:cNvPr>
        <xdr:cNvSpPr txBox="1"/>
      </xdr:nvSpPr>
      <xdr:spPr>
        <a:xfrm>
          <a:off x="17335501" y="9366251"/>
          <a:ext cx="3491923" cy="489143"/>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sysClr val="windowText" lastClr="000000"/>
              </a:solidFill>
              <a:effectLst/>
              <a:uLnTx/>
              <a:uFillTx/>
              <a:latin typeface="+mn-lt"/>
              <a:ea typeface="+mn-ea"/>
              <a:cs typeface="Calibri"/>
            </a:rPr>
            <a:t>2022 - Remuneração média mensal Base</a:t>
          </a:r>
          <a:r>
            <a:rPr kumimoji="0" lang="en-US" sz="800" b="0" i="0" u="none" strike="noStrike" kern="0" cap="none" spc="0" normalizeH="0" baseline="0" noProof="0">
              <a:ln>
                <a:noFill/>
              </a:ln>
              <a:solidFill>
                <a:sysClr val="windowText" lastClr="000000"/>
              </a:solidFill>
              <a:effectLst/>
              <a:uLnTx/>
              <a:uFillTx/>
              <a:latin typeface="+mn-lt"/>
              <a:ea typeface="+mn-ea"/>
              <a:cs typeface="Calibri"/>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TCO abrangidos por CCT: 90,5% da remuneração média total;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TCO não abrangidos por IRCT: 18,6% superior à remuneração média total.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 </a:t>
          </a:r>
        </a:p>
      </xdr:txBody>
    </xdr:sp>
    <xdr:clientData/>
  </xdr:twoCellAnchor>
  <xdr:twoCellAnchor>
    <xdr:from>
      <xdr:col>24</xdr:col>
      <xdr:colOff>518773</xdr:colOff>
      <xdr:row>73</xdr:row>
      <xdr:rowOff>18085</xdr:rowOff>
    </xdr:from>
    <xdr:to>
      <xdr:col>30</xdr:col>
      <xdr:colOff>369259</xdr:colOff>
      <xdr:row>76</xdr:row>
      <xdr:rowOff>36269</xdr:rowOff>
    </xdr:to>
    <xdr:sp macro="" textlink="">
      <xdr:nvSpPr>
        <xdr:cNvPr id="11" name="CaixaDeTexto 10">
          <a:extLst>
            <a:ext uri="{FF2B5EF4-FFF2-40B4-BE49-F238E27FC236}">
              <a16:creationId xmlns:a16="http://schemas.microsoft.com/office/drawing/2014/main" id="{00000000-0008-0000-1D00-00000B000000}"/>
            </a:ext>
          </a:extLst>
        </xdr:cNvPr>
        <xdr:cNvSpPr txBox="1"/>
      </xdr:nvSpPr>
      <xdr:spPr>
        <a:xfrm>
          <a:off x="17378023" y="11860835"/>
          <a:ext cx="3501736" cy="494434"/>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sysClr val="windowText" lastClr="000000"/>
              </a:solidFill>
              <a:effectLst/>
              <a:uLnTx/>
              <a:uFillTx/>
              <a:latin typeface="+mn-lt"/>
              <a:ea typeface="+mn-ea"/>
              <a:cs typeface="Calibri"/>
            </a:rPr>
            <a:t>2022 - Remuneração média mensal Ganho</a:t>
          </a:r>
          <a:r>
            <a:rPr kumimoji="0" lang="en-US" sz="800" b="0" i="0" u="none" strike="noStrike" kern="0" cap="none" spc="0" normalizeH="0" baseline="0" noProof="0">
              <a:ln>
                <a:noFill/>
              </a:ln>
              <a:solidFill>
                <a:sysClr val="windowText" lastClr="000000"/>
              </a:solidFill>
              <a:effectLst/>
              <a:uLnTx/>
              <a:uFillTx/>
              <a:latin typeface="+mn-lt"/>
              <a:ea typeface="+mn-ea"/>
              <a:cs typeface="Calibri"/>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TCO abrangidos por CCT: 89,3% da remuneração média total;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TCO não abrangidos por IRCT: 15,8% superior à remuneração média total.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 </a:t>
          </a:r>
        </a:p>
      </xdr:txBody>
    </xdr:sp>
    <xdr:clientData/>
  </xdr:twoCellAnchor>
  <xdr:twoCellAnchor>
    <xdr:from>
      <xdr:col>21</xdr:col>
      <xdr:colOff>0</xdr:colOff>
      <xdr:row>40</xdr:row>
      <xdr:rowOff>0</xdr:rowOff>
    </xdr:from>
    <xdr:to>
      <xdr:col>28</xdr:col>
      <xdr:colOff>238538</xdr:colOff>
      <xdr:row>43</xdr:row>
      <xdr:rowOff>15490</xdr:rowOff>
    </xdr:to>
    <xdr:sp macro="" textlink="">
      <xdr:nvSpPr>
        <xdr:cNvPr id="12" name="CaixaDeTexto 11">
          <a:extLst>
            <a:ext uri="{FF2B5EF4-FFF2-40B4-BE49-F238E27FC236}">
              <a16:creationId xmlns:a16="http://schemas.microsoft.com/office/drawing/2014/main" id="{00000000-0008-0000-1D00-00000C000000}"/>
            </a:ext>
          </a:extLst>
        </xdr:cNvPr>
        <xdr:cNvSpPr txBox="1"/>
      </xdr:nvSpPr>
      <xdr:spPr>
        <a:xfrm>
          <a:off x="15033625" y="6471708"/>
          <a:ext cx="4498330" cy="497032"/>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sysClr val="windowText" lastClr="000000"/>
              </a:solidFill>
              <a:effectLst/>
              <a:uLnTx/>
              <a:uFillTx/>
              <a:latin typeface="Calibri"/>
              <a:ea typeface="+mn-ea"/>
              <a:cs typeface="Calibri"/>
            </a:rPr>
            <a:t>2022: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TCO abrangidos por </a:t>
          </a:r>
          <a:r>
            <a:rPr lang="en-US" sz="800" b="0" i="0" baseline="0">
              <a:effectLst/>
              <a:latin typeface="+mn-lt"/>
              <a:ea typeface="+mn-ea"/>
              <a:cs typeface="+mn-cs"/>
            </a:rPr>
            <a:t>Contratos Coletivos de Trabalho</a:t>
          </a: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 69,1% (-5,3 p.p. face a 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TCO não abrangidos por IRCT: 16,7% (+6,4 p.p. face a 2012).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Calibri"/>
            </a:rPr>
            <a:t> </a:t>
          </a:r>
        </a:p>
      </xdr:txBody>
    </xdr:sp>
    <xdr:clientData/>
  </xdr:twoCellAnchor>
  <xdr:twoCellAnchor>
    <xdr:from>
      <xdr:col>23</xdr:col>
      <xdr:colOff>354542</xdr:colOff>
      <xdr:row>52</xdr:row>
      <xdr:rowOff>42333</xdr:rowOff>
    </xdr:from>
    <xdr:to>
      <xdr:col>30</xdr:col>
      <xdr:colOff>593080</xdr:colOff>
      <xdr:row>55</xdr:row>
      <xdr:rowOff>52532</xdr:rowOff>
    </xdr:to>
    <xdr:sp macro="" textlink="$Z$45">
      <xdr:nvSpPr>
        <xdr:cNvPr id="14" name="CaixaDeTexto 13">
          <a:extLst>
            <a:ext uri="{FF2B5EF4-FFF2-40B4-BE49-F238E27FC236}">
              <a16:creationId xmlns:a16="http://schemas.microsoft.com/office/drawing/2014/main" id="{00000000-0008-0000-1D00-00000E000000}"/>
            </a:ext>
          </a:extLst>
        </xdr:cNvPr>
        <xdr:cNvSpPr txBox="1"/>
      </xdr:nvSpPr>
      <xdr:spPr>
        <a:xfrm>
          <a:off x="16605250" y="8471958"/>
          <a:ext cx="4498330" cy="497032"/>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7382368A-6C49-4C52-B44F-250F6D11BD0E}" type="TxLink">
            <a:rPr kumimoji="0" lang="en-US" sz="800" b="0" i="0" u="none" strike="noStrike" kern="0" cap="none" spc="0" normalizeH="0" baseline="0" noProof="0">
              <a:ln>
                <a:noFill/>
              </a:ln>
              <a:solidFill>
                <a:srgbClr val="000000"/>
              </a:solidFill>
              <a:effectLst/>
              <a:uLnTx/>
              <a:uFillTx/>
              <a:latin typeface="+mn-lt"/>
              <a:ea typeface="+mn-ea"/>
              <a:cs typeface="Arial"/>
            </a:rPr>
            <a:pPr marL="0" marR="0" lvl="0" indent="0" defTabSz="914400" eaLnBrk="1" fontAlgn="auto" latinLnBrk="0" hangingPunct="1">
              <a:lnSpc>
                <a:spcPct val="100000"/>
              </a:lnSpc>
              <a:spcBef>
                <a:spcPts val="0"/>
              </a:spcBef>
              <a:spcAft>
                <a:spcPts val="0"/>
              </a:spcAft>
              <a:buClrTx/>
              <a:buSzTx/>
              <a:buFontTx/>
              <a:buNone/>
              <a:tabLst/>
              <a:defRPr/>
            </a:pPr>
            <a:t>2022:
TCO abrangidos por  Contrato Coletivo de Trabalho (CCT): 69,1% (-5,3 p.p.face a 2012);
TCO não abrangidos por IRCT: 16,7% (+6,4 p.p. face a 2012).</a:t>
          </a:fld>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xdr:txBody>
    </xdr:sp>
    <xdr:clientData/>
  </xdr:twoCellAnchor>
  <xdr:twoCellAnchor>
    <xdr:from>
      <xdr:col>24</xdr:col>
      <xdr:colOff>248710</xdr:colOff>
      <xdr:row>67</xdr:row>
      <xdr:rowOff>137583</xdr:rowOff>
    </xdr:from>
    <xdr:to>
      <xdr:col>31</xdr:col>
      <xdr:colOff>216960</xdr:colOff>
      <xdr:row>70</xdr:row>
      <xdr:rowOff>134601</xdr:rowOff>
    </xdr:to>
    <xdr:sp macro="" textlink="$Z$63">
      <xdr:nvSpPr>
        <xdr:cNvPr id="16" name="CaixaDeTexto 15">
          <a:extLst>
            <a:ext uri="{FF2B5EF4-FFF2-40B4-BE49-F238E27FC236}">
              <a16:creationId xmlns:a16="http://schemas.microsoft.com/office/drawing/2014/main" id="{00000000-0008-0000-1D00-000010000000}"/>
            </a:ext>
          </a:extLst>
        </xdr:cNvPr>
        <xdr:cNvSpPr txBox="1"/>
      </xdr:nvSpPr>
      <xdr:spPr>
        <a:xfrm>
          <a:off x="17107960" y="11001375"/>
          <a:ext cx="4228042" cy="489143"/>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72BDEBDE-CFD5-4F05-B17D-59993B657981}" type="TxLink">
            <a:rPr kumimoji="0" lang="en-US" sz="800" b="0" i="0" u="none" strike="noStrike" kern="0" cap="none" spc="0" normalizeH="0" baseline="0" noProof="0">
              <a:ln>
                <a:noFill/>
              </a:ln>
              <a:solidFill>
                <a:srgbClr val="000000"/>
              </a:solidFill>
              <a:effectLst/>
              <a:uLnTx/>
              <a:uFillTx/>
              <a:latin typeface="+mn-lt"/>
              <a:ea typeface="+mn-ea"/>
              <a:cs typeface="Arial"/>
            </a:rPr>
            <a:pPr marL="0" marR="0" lvl="0" indent="0" defTabSz="914400" eaLnBrk="1" fontAlgn="auto" latinLnBrk="0" hangingPunct="1">
              <a:lnSpc>
                <a:spcPct val="100000"/>
              </a:lnSpc>
              <a:spcBef>
                <a:spcPts val="0"/>
              </a:spcBef>
              <a:spcAft>
                <a:spcPts val="0"/>
              </a:spcAft>
              <a:buClrTx/>
              <a:buSzTx/>
              <a:buFontTx/>
              <a:buNone/>
              <a:tabLst/>
              <a:defRPr/>
            </a:pPr>
            <a:t>2022 - Remuneração média mensal Base:
TCO abrangidos por  Contrato Coletivo de Trabalho (CCT): 90,5% da remuneração média total;
TCO não abrangidos por IRCT: 18,6% superior à remuneração média total.</a:t>
          </a:fld>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xdr:txBody>
    </xdr:sp>
    <xdr:clientData/>
  </xdr:twoCellAnchor>
  <xdr:twoCellAnchor>
    <xdr:from>
      <xdr:col>25</xdr:col>
      <xdr:colOff>0</xdr:colOff>
      <xdr:row>85</xdr:row>
      <xdr:rowOff>0</xdr:rowOff>
    </xdr:from>
    <xdr:to>
      <xdr:col>31</xdr:col>
      <xdr:colOff>576792</xdr:colOff>
      <xdr:row>88</xdr:row>
      <xdr:rowOff>12893</xdr:rowOff>
    </xdr:to>
    <xdr:sp macro="" textlink="$Z$80">
      <xdr:nvSpPr>
        <xdr:cNvPr id="19" name="CaixaDeTexto 18">
          <a:extLst>
            <a:ext uri="{FF2B5EF4-FFF2-40B4-BE49-F238E27FC236}">
              <a16:creationId xmlns:a16="http://schemas.microsoft.com/office/drawing/2014/main" id="{00000000-0008-0000-1D00-000013000000}"/>
            </a:ext>
          </a:extLst>
        </xdr:cNvPr>
        <xdr:cNvSpPr txBox="1"/>
      </xdr:nvSpPr>
      <xdr:spPr>
        <a:xfrm>
          <a:off x="17467792" y="13753042"/>
          <a:ext cx="4228042" cy="489143"/>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fld id="{87D13D7A-822D-4E80-A7CD-AAC00E14E98B}" type="TxLink">
            <a:rPr kumimoji="0" lang="en-US" sz="800" b="0" i="0" u="none" strike="noStrike" kern="0" cap="none" spc="0" normalizeH="0" baseline="0" noProof="0">
              <a:ln>
                <a:noFill/>
              </a:ln>
              <a:solidFill>
                <a:srgbClr val="000000"/>
              </a:solidFill>
              <a:effectLst/>
              <a:uLnTx/>
              <a:uFillTx/>
              <a:latin typeface="+mn-lt"/>
              <a:ea typeface="+mn-ea"/>
              <a:cs typeface="Arial"/>
            </a:rPr>
            <a:pPr marL="0" marR="0" lvl="0" indent="0" defTabSz="914400" eaLnBrk="1" fontAlgn="auto" latinLnBrk="0" hangingPunct="1">
              <a:lnSpc>
                <a:spcPct val="100000"/>
              </a:lnSpc>
              <a:spcBef>
                <a:spcPts val="0"/>
              </a:spcBef>
              <a:spcAft>
                <a:spcPts val="0"/>
              </a:spcAft>
              <a:buClrTx/>
              <a:buSzTx/>
              <a:buFontTx/>
              <a:buNone/>
              <a:tabLst/>
              <a:defRPr/>
            </a:pPr>
            <a:t>2022 - Remuneração média mensal Ganho:
TCO abrangidos por  Contrato Coletivo de Trabalho (CCT): 89,3% da remuneração média total;
TCO não abrangidos por IRCT: 15,8% superior à remuneração média total.</a:t>
          </a:fld>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7</xdr:col>
      <xdr:colOff>376917</xdr:colOff>
      <xdr:row>14</xdr:row>
      <xdr:rowOff>149302</xdr:rowOff>
    </xdr:from>
    <xdr:to>
      <xdr:col>8</xdr:col>
      <xdr:colOff>121678</xdr:colOff>
      <xdr:row>16</xdr:row>
      <xdr:rowOff>11660</xdr:rowOff>
    </xdr:to>
    <xdr:grpSp>
      <xdr:nvGrpSpPr>
        <xdr:cNvPr id="5" name="Agrupar 4">
          <a:extLst>
            <a:ext uri="{FF2B5EF4-FFF2-40B4-BE49-F238E27FC236}">
              <a16:creationId xmlns:a16="http://schemas.microsoft.com/office/drawing/2014/main" id="{00000000-0008-0000-1E00-000005000000}"/>
            </a:ext>
          </a:extLst>
        </xdr:cNvPr>
        <xdr:cNvGrpSpPr/>
      </xdr:nvGrpSpPr>
      <xdr:grpSpPr>
        <a:xfrm>
          <a:off x="6393542" y="2419427"/>
          <a:ext cx="355949" cy="179858"/>
          <a:chOff x="12471400" y="-18792954"/>
          <a:chExt cx="4940845" cy="28197304"/>
        </a:xfrm>
      </xdr:grpSpPr>
      <xdr:graphicFrame macro="">
        <xdr:nvGraphicFramePr>
          <xdr:cNvPr id="27" name="Gráfico 26">
            <a:extLst>
              <a:ext uri="{FF2B5EF4-FFF2-40B4-BE49-F238E27FC236}">
                <a16:creationId xmlns:a16="http://schemas.microsoft.com/office/drawing/2014/main" id="{00000000-0008-0000-1E00-00001B000000}"/>
              </a:ext>
            </a:extLst>
          </xdr:cNvPr>
          <xdr:cNvGraphicFramePr/>
        </xdr:nvGraphicFramePr>
        <xdr:xfrm>
          <a:off x="12471400" y="6327775"/>
          <a:ext cx="4625974" cy="3076575"/>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2" name="Imagem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stretch>
            <a:fillRect/>
          </a:stretch>
        </xdr:blipFill>
        <xdr:spPr>
          <a:xfrm>
            <a:off x="12786271" y="-18792954"/>
            <a:ext cx="4625974" cy="3076575"/>
          </a:xfrm>
          <a:prstGeom prst="rect">
            <a:avLst/>
          </a:prstGeom>
        </xdr:spPr>
      </xdr:pic>
      <xdr:pic>
        <xdr:nvPicPr>
          <xdr:cNvPr id="3" name="Imagem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3"/>
          <a:stretch>
            <a:fillRect/>
          </a:stretch>
        </xdr:blipFill>
        <xdr:spPr>
          <a:xfrm>
            <a:off x="15049499" y="6362701"/>
            <a:ext cx="1749005" cy="341874"/>
          </a:xfrm>
          <a:prstGeom prst="rect">
            <a:avLst/>
          </a:prstGeom>
        </xdr:spPr>
      </xdr:pic>
    </xdr:grpSp>
    <xdr:clientData/>
  </xdr:twoCellAnchor>
  <xdr:twoCellAnchor>
    <xdr:from>
      <xdr:col>15</xdr:col>
      <xdr:colOff>220542</xdr:colOff>
      <xdr:row>28</xdr:row>
      <xdr:rowOff>156596</xdr:rowOff>
    </xdr:from>
    <xdr:to>
      <xdr:col>26</xdr:col>
      <xdr:colOff>354596</xdr:colOff>
      <xdr:row>55</xdr:row>
      <xdr:rowOff>98347</xdr:rowOff>
    </xdr:to>
    <xdr:grpSp>
      <xdr:nvGrpSpPr>
        <xdr:cNvPr id="4" name="Agrupar 3">
          <a:extLst>
            <a:ext uri="{FF2B5EF4-FFF2-40B4-BE49-F238E27FC236}">
              <a16:creationId xmlns:a16="http://schemas.microsoft.com/office/drawing/2014/main" id="{00000000-0008-0000-1E00-000004000000}"/>
            </a:ext>
          </a:extLst>
        </xdr:cNvPr>
        <xdr:cNvGrpSpPr/>
      </xdr:nvGrpSpPr>
      <xdr:grpSpPr>
        <a:xfrm>
          <a:off x="11340980" y="4649221"/>
          <a:ext cx="6857116" cy="4370876"/>
          <a:chOff x="11979588" y="4696211"/>
          <a:chExt cx="7182554" cy="4621183"/>
        </a:xfrm>
      </xdr:grpSpPr>
      <xdr:sp macro="" textlink="">
        <xdr:nvSpPr>
          <xdr:cNvPr id="97" name="CaixaDeTexto 1">
            <a:extLst>
              <a:ext uri="{FF2B5EF4-FFF2-40B4-BE49-F238E27FC236}">
                <a16:creationId xmlns:a16="http://schemas.microsoft.com/office/drawing/2014/main" id="{00000000-0008-0000-1E00-000061000000}"/>
              </a:ext>
            </a:extLst>
          </xdr:cNvPr>
          <xdr:cNvSpPr txBox="1"/>
        </xdr:nvSpPr>
        <xdr:spPr>
          <a:xfrm>
            <a:off x="14022264" y="5510169"/>
            <a:ext cx="2577157" cy="248134"/>
          </a:xfrm>
          <a:prstGeom prst="rect">
            <a:avLst/>
          </a:prstGeom>
        </xdr:spPr>
        <xdr:txBody>
          <a:bodyPr wrap="square" rtlCol="0"/>
          <a:lstStyle>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800" b="1" i="0" u="none" strike="noStrike" kern="0" cap="none" spc="0" normalizeH="0" baseline="0" noProof="0">
                <a:ln>
                  <a:noFill/>
                </a:ln>
                <a:solidFill>
                  <a:srgbClr val="1F497D"/>
                </a:solidFill>
                <a:effectLst/>
                <a:uLnTx/>
                <a:uFillTx/>
                <a:latin typeface="Calibri"/>
              </a:rPr>
              <a:t>Ganho mensal - média por decil (share)</a:t>
            </a:r>
          </a:p>
        </xdr:txBody>
      </xdr:sp>
      <xdr:grpSp>
        <xdr:nvGrpSpPr>
          <xdr:cNvPr id="98" name="Agrupar 97">
            <a:extLst>
              <a:ext uri="{FF2B5EF4-FFF2-40B4-BE49-F238E27FC236}">
                <a16:creationId xmlns:a16="http://schemas.microsoft.com/office/drawing/2014/main" id="{00000000-0008-0000-1E00-000062000000}"/>
              </a:ext>
            </a:extLst>
          </xdr:cNvPr>
          <xdr:cNvGrpSpPr/>
        </xdr:nvGrpSpPr>
        <xdr:grpSpPr>
          <a:xfrm>
            <a:off x="11985360" y="5121142"/>
            <a:ext cx="7182554" cy="4577251"/>
            <a:chOff x="41280657" y="498109"/>
            <a:chExt cx="7042547" cy="3855793"/>
          </a:xfrm>
        </xdr:grpSpPr>
        <xdr:graphicFrame macro="">
          <xdr:nvGraphicFramePr>
            <xdr:cNvPr id="112" name="Gráfico 111">
              <a:extLst>
                <a:ext uri="{FF2B5EF4-FFF2-40B4-BE49-F238E27FC236}">
                  <a16:creationId xmlns:a16="http://schemas.microsoft.com/office/drawing/2014/main" id="{00000000-0008-0000-1E00-000070000000}"/>
                </a:ext>
              </a:extLst>
            </xdr:cNvPr>
            <xdr:cNvGraphicFramePr>
              <a:graphicFrameLocks/>
            </xdr:cNvGraphicFramePr>
          </xdr:nvGraphicFramePr>
          <xdr:xfrm>
            <a:off x="41280657" y="498109"/>
            <a:ext cx="7042547" cy="3855793"/>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100" name="Agrupar 99">
              <a:extLst>
                <a:ext uri="{FF2B5EF4-FFF2-40B4-BE49-F238E27FC236}">
                  <a16:creationId xmlns:a16="http://schemas.microsoft.com/office/drawing/2014/main" id="{00000000-0008-0000-1E00-000064000000}"/>
                </a:ext>
              </a:extLst>
            </xdr:cNvPr>
            <xdr:cNvGrpSpPr/>
          </xdr:nvGrpSpPr>
          <xdr:grpSpPr>
            <a:xfrm>
              <a:off x="47167078" y="612444"/>
              <a:ext cx="884892" cy="3010707"/>
              <a:chOff x="47167078" y="612444"/>
              <a:chExt cx="884892" cy="3010707"/>
            </a:xfrm>
          </xdr:grpSpPr>
          <xdr:grpSp>
            <xdr:nvGrpSpPr>
              <xdr:cNvPr id="101" name="Agrupar 100">
                <a:extLst>
                  <a:ext uri="{FF2B5EF4-FFF2-40B4-BE49-F238E27FC236}">
                    <a16:creationId xmlns:a16="http://schemas.microsoft.com/office/drawing/2014/main" id="{00000000-0008-0000-1E00-000065000000}"/>
                  </a:ext>
                </a:extLst>
              </xdr:cNvPr>
              <xdr:cNvGrpSpPr/>
            </xdr:nvGrpSpPr>
            <xdr:grpSpPr>
              <a:xfrm>
                <a:off x="47621043" y="612444"/>
                <a:ext cx="430927" cy="3010707"/>
                <a:chOff x="48732293" y="237794"/>
                <a:chExt cx="430927" cy="3010707"/>
              </a:xfrm>
            </xdr:grpSpPr>
            <xdr:sp macro="" textlink="">
              <xdr:nvSpPr>
                <xdr:cNvPr id="107" name="Retângulo: Cantos Diagonais Arredondados 106">
                  <a:extLst>
                    <a:ext uri="{FF2B5EF4-FFF2-40B4-BE49-F238E27FC236}">
                      <a16:creationId xmlns:a16="http://schemas.microsoft.com/office/drawing/2014/main" id="{00000000-0008-0000-1E00-00006B000000}"/>
                    </a:ext>
                  </a:extLst>
                </xdr:cNvPr>
                <xdr:cNvSpPr/>
              </xdr:nvSpPr>
              <xdr:spPr>
                <a:xfrm>
                  <a:off x="48732293" y="237794"/>
                  <a:ext cx="407014" cy="155461"/>
                </a:xfrm>
                <a:prstGeom prst="round2DiagRect">
                  <a:avLst/>
                </a:prstGeom>
                <a:solidFill>
                  <a:sysClr val="window" lastClr="FFFFFF">
                    <a:lumMod val="65000"/>
                  </a:sysClr>
                </a:solidFill>
                <a:ln w="25400" cap="flat" cmpd="sng" algn="ctr">
                  <a:solidFill>
                    <a:sysClr val="windowText" lastClr="000000">
                      <a:lumMod val="50000"/>
                      <a:lumOff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700" b="1" i="0" u="none" strike="noStrike" kern="0" cap="none" spc="0" normalizeH="0" baseline="0" noProof="0">
                      <a:ln>
                        <a:noFill/>
                      </a:ln>
                      <a:solidFill>
                        <a:sysClr val="window" lastClr="FFFFFF"/>
                      </a:solidFill>
                      <a:effectLst/>
                      <a:uLnTx/>
                      <a:uFillTx/>
                      <a:latin typeface="Calibri"/>
                      <a:ea typeface="+mn-ea"/>
                      <a:cs typeface="+mn-cs"/>
                    </a:rPr>
                    <a:t>D10</a:t>
                  </a:r>
                </a:p>
              </xdr:txBody>
            </xdr:sp>
            <xdr:sp macro="" textlink="">
              <xdr:nvSpPr>
                <xdr:cNvPr id="108" name="Retângulo: Cantos Diagonais Arredondados 107">
                  <a:extLst>
                    <a:ext uri="{FF2B5EF4-FFF2-40B4-BE49-F238E27FC236}">
                      <a16:creationId xmlns:a16="http://schemas.microsoft.com/office/drawing/2014/main" id="{00000000-0008-0000-1E00-00006C000000}"/>
                    </a:ext>
                  </a:extLst>
                </xdr:cNvPr>
                <xdr:cNvSpPr/>
              </xdr:nvSpPr>
              <xdr:spPr>
                <a:xfrm>
                  <a:off x="48733037" y="1744645"/>
                  <a:ext cx="407014" cy="155461"/>
                </a:xfrm>
                <a:prstGeom prst="round2DiagRect">
                  <a:avLst/>
                </a:prstGeom>
                <a:solidFill>
                  <a:sysClr val="window" lastClr="FFFFFF">
                    <a:lumMod val="65000"/>
                  </a:sysClr>
                </a:solidFill>
                <a:ln w="25400" cap="flat" cmpd="sng" algn="ctr">
                  <a:solidFill>
                    <a:sysClr val="windowText" lastClr="000000">
                      <a:lumMod val="50000"/>
                      <a:lumOff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700" b="1" i="0" u="none" strike="noStrike" kern="0" cap="none" spc="0" normalizeH="0" baseline="0" noProof="0">
                      <a:ln>
                        <a:noFill/>
                      </a:ln>
                      <a:solidFill>
                        <a:sysClr val="window" lastClr="FFFFFF"/>
                      </a:solidFill>
                      <a:effectLst/>
                      <a:uLnTx/>
                      <a:uFillTx/>
                      <a:latin typeface="Calibri"/>
                      <a:ea typeface="+mn-ea"/>
                      <a:cs typeface="+mn-cs"/>
                    </a:rPr>
                    <a:t>D9</a:t>
                  </a:r>
                </a:p>
              </xdr:txBody>
            </xdr:sp>
            <xdr:sp macro="" textlink="">
              <xdr:nvSpPr>
                <xdr:cNvPr id="109" name="Retângulo: Cantos Diagonais Arredondados 108">
                  <a:extLst>
                    <a:ext uri="{FF2B5EF4-FFF2-40B4-BE49-F238E27FC236}">
                      <a16:creationId xmlns:a16="http://schemas.microsoft.com/office/drawing/2014/main" id="{00000000-0008-0000-1E00-00006D000000}"/>
                    </a:ext>
                  </a:extLst>
                </xdr:cNvPr>
                <xdr:cNvSpPr/>
              </xdr:nvSpPr>
              <xdr:spPr>
                <a:xfrm>
                  <a:off x="48749178" y="2417956"/>
                  <a:ext cx="407014" cy="155461"/>
                </a:xfrm>
                <a:prstGeom prst="round2DiagRect">
                  <a:avLst/>
                </a:prstGeom>
                <a:solidFill>
                  <a:sysClr val="window" lastClr="FFFFFF">
                    <a:lumMod val="65000"/>
                  </a:sysClr>
                </a:solidFill>
                <a:ln w="25400" cap="flat" cmpd="sng" algn="ctr">
                  <a:solidFill>
                    <a:sysClr val="windowText" lastClr="000000">
                      <a:lumMod val="50000"/>
                      <a:lumOff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700" b="1" i="0" u="none" strike="noStrike" kern="0" cap="none" spc="0" normalizeH="0" baseline="0" noProof="0">
                      <a:ln>
                        <a:noFill/>
                      </a:ln>
                      <a:solidFill>
                        <a:sysClr val="window" lastClr="FFFFFF"/>
                      </a:solidFill>
                      <a:effectLst/>
                      <a:uLnTx/>
                      <a:uFillTx/>
                      <a:latin typeface="Calibri"/>
                      <a:ea typeface="+mn-ea"/>
                      <a:cs typeface="+mn-cs"/>
                    </a:rPr>
                    <a:t>D5</a:t>
                  </a:r>
                </a:p>
              </xdr:txBody>
            </xdr:sp>
            <xdr:sp macro="" textlink="">
              <xdr:nvSpPr>
                <xdr:cNvPr id="110" name="Retângulo: Cantos Diagonais Arredondados 109">
                  <a:extLst>
                    <a:ext uri="{FF2B5EF4-FFF2-40B4-BE49-F238E27FC236}">
                      <a16:creationId xmlns:a16="http://schemas.microsoft.com/office/drawing/2014/main" id="{00000000-0008-0000-1E00-00006E000000}"/>
                    </a:ext>
                  </a:extLst>
                </xdr:cNvPr>
                <xdr:cNvSpPr/>
              </xdr:nvSpPr>
              <xdr:spPr>
                <a:xfrm>
                  <a:off x="48756206" y="2813131"/>
                  <a:ext cx="407014" cy="155461"/>
                </a:xfrm>
                <a:prstGeom prst="round2DiagRect">
                  <a:avLst/>
                </a:prstGeom>
                <a:solidFill>
                  <a:sysClr val="window" lastClr="FFFFFF">
                    <a:lumMod val="65000"/>
                  </a:sysClr>
                </a:solidFill>
                <a:ln w="25400" cap="flat" cmpd="sng" algn="ctr">
                  <a:solidFill>
                    <a:sysClr val="windowText" lastClr="000000">
                      <a:lumMod val="50000"/>
                      <a:lumOff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700" b="1" i="0" u="none" strike="noStrike" kern="0" cap="none" spc="0" normalizeH="0" baseline="0" noProof="0">
                      <a:ln>
                        <a:noFill/>
                      </a:ln>
                      <a:solidFill>
                        <a:sysClr val="window" lastClr="FFFFFF"/>
                      </a:solidFill>
                      <a:effectLst/>
                      <a:uLnTx/>
                      <a:uFillTx/>
                      <a:latin typeface="Calibri"/>
                      <a:ea typeface="+mn-ea"/>
                      <a:cs typeface="+mn-cs"/>
                    </a:rPr>
                    <a:t>D2</a:t>
                  </a:r>
                </a:p>
              </xdr:txBody>
            </xdr:sp>
            <xdr:sp macro="" textlink="">
              <xdr:nvSpPr>
                <xdr:cNvPr id="111" name="Retângulo: Cantos Diagonais Arredondados 110">
                  <a:extLst>
                    <a:ext uri="{FF2B5EF4-FFF2-40B4-BE49-F238E27FC236}">
                      <a16:creationId xmlns:a16="http://schemas.microsoft.com/office/drawing/2014/main" id="{00000000-0008-0000-1E00-00006F000000}"/>
                    </a:ext>
                  </a:extLst>
                </xdr:cNvPr>
                <xdr:cNvSpPr/>
              </xdr:nvSpPr>
              <xdr:spPr>
                <a:xfrm>
                  <a:off x="48754505" y="3093040"/>
                  <a:ext cx="407014" cy="155461"/>
                </a:xfrm>
                <a:prstGeom prst="round2DiagRect">
                  <a:avLst/>
                </a:prstGeom>
                <a:solidFill>
                  <a:sysClr val="window" lastClr="FFFFFF">
                    <a:lumMod val="65000"/>
                  </a:sysClr>
                </a:solidFill>
                <a:ln w="25400" cap="flat" cmpd="sng" algn="ctr">
                  <a:solidFill>
                    <a:sysClr val="windowText" lastClr="000000">
                      <a:lumMod val="50000"/>
                      <a:lumOff val="50000"/>
                    </a:sysClr>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700" b="1" i="0" u="none" strike="noStrike" kern="0" cap="none" spc="0" normalizeH="0" baseline="0" noProof="0">
                      <a:ln>
                        <a:noFill/>
                      </a:ln>
                      <a:solidFill>
                        <a:sysClr val="window" lastClr="FFFFFF"/>
                      </a:solidFill>
                      <a:effectLst/>
                      <a:uLnTx/>
                      <a:uFillTx/>
                      <a:latin typeface="Calibri"/>
                      <a:ea typeface="+mn-ea"/>
                      <a:cs typeface="+mn-cs"/>
                    </a:rPr>
                    <a:t>D1</a:t>
                  </a:r>
                </a:p>
              </xdr:txBody>
            </xdr:sp>
          </xdr:grpSp>
          <xdr:cxnSp macro="">
            <xdr:nvCxnSpPr>
              <xdr:cNvPr id="102" name="Conexão reta 101">
                <a:extLst>
                  <a:ext uri="{FF2B5EF4-FFF2-40B4-BE49-F238E27FC236}">
                    <a16:creationId xmlns:a16="http://schemas.microsoft.com/office/drawing/2014/main" id="{00000000-0008-0000-1E00-000066000000}"/>
                  </a:ext>
                </a:extLst>
              </xdr:cNvPr>
              <xdr:cNvCxnSpPr>
                <a:endCxn id="107" idx="2"/>
              </xdr:cNvCxnSpPr>
            </xdr:nvCxnSpPr>
            <xdr:spPr>
              <a:xfrm flipV="1">
                <a:off x="47167078" y="690175"/>
                <a:ext cx="453965" cy="117470"/>
              </a:xfrm>
              <a:prstGeom prst="line">
                <a:avLst/>
              </a:prstGeom>
              <a:noFill/>
              <a:ln w="9525" cap="flat" cmpd="sng" algn="ctr">
                <a:solidFill>
                  <a:sysClr val="windowText" lastClr="000000">
                    <a:lumMod val="50000"/>
                    <a:lumOff val="50000"/>
                    <a:alpha val="50000"/>
                  </a:sysClr>
                </a:solidFill>
                <a:prstDash val="dash"/>
                <a:round/>
                <a:headEnd type="none" w="med" len="med"/>
                <a:tailEnd type="none" w="med" len="med"/>
              </a:ln>
              <a:effectLst/>
            </xdr:spPr>
          </xdr:cxnSp>
          <xdr:cxnSp macro="">
            <xdr:nvCxnSpPr>
              <xdr:cNvPr id="103" name="Conexão reta 102">
                <a:extLst>
                  <a:ext uri="{FF2B5EF4-FFF2-40B4-BE49-F238E27FC236}">
                    <a16:creationId xmlns:a16="http://schemas.microsoft.com/office/drawing/2014/main" id="{00000000-0008-0000-1E00-000067000000}"/>
                  </a:ext>
                </a:extLst>
              </xdr:cNvPr>
              <xdr:cNvCxnSpPr>
                <a:endCxn id="108" idx="2"/>
              </xdr:cNvCxnSpPr>
            </xdr:nvCxnSpPr>
            <xdr:spPr>
              <a:xfrm flipV="1">
                <a:off x="47180861" y="2197024"/>
                <a:ext cx="440926" cy="155007"/>
              </a:xfrm>
              <a:prstGeom prst="line">
                <a:avLst/>
              </a:prstGeom>
              <a:noFill/>
              <a:ln w="9525" cap="flat" cmpd="sng" algn="ctr">
                <a:solidFill>
                  <a:sysClr val="windowText" lastClr="000000">
                    <a:lumMod val="50000"/>
                    <a:lumOff val="50000"/>
                    <a:alpha val="50000"/>
                  </a:sysClr>
                </a:solidFill>
                <a:prstDash val="dash"/>
                <a:round/>
                <a:headEnd type="none" w="med" len="med"/>
                <a:tailEnd type="none" w="med" len="med"/>
              </a:ln>
              <a:effectLst/>
            </xdr:spPr>
          </xdr:cxnSp>
          <xdr:cxnSp macro="">
            <xdr:nvCxnSpPr>
              <xdr:cNvPr id="104" name="Conexão reta 103">
                <a:extLst>
                  <a:ext uri="{FF2B5EF4-FFF2-40B4-BE49-F238E27FC236}">
                    <a16:creationId xmlns:a16="http://schemas.microsoft.com/office/drawing/2014/main" id="{00000000-0008-0000-1E00-000068000000}"/>
                  </a:ext>
                </a:extLst>
              </xdr:cNvPr>
              <xdr:cNvCxnSpPr/>
            </xdr:nvCxnSpPr>
            <xdr:spPr>
              <a:xfrm flipV="1">
                <a:off x="47214300" y="2945844"/>
                <a:ext cx="522836" cy="237394"/>
              </a:xfrm>
              <a:prstGeom prst="line">
                <a:avLst/>
              </a:prstGeom>
              <a:noFill/>
              <a:ln w="9525" cap="flat" cmpd="sng" algn="ctr">
                <a:solidFill>
                  <a:sysClr val="windowText" lastClr="000000">
                    <a:lumMod val="50000"/>
                    <a:lumOff val="50000"/>
                    <a:alpha val="50000"/>
                  </a:sysClr>
                </a:solidFill>
                <a:prstDash val="dash"/>
                <a:round/>
                <a:headEnd type="none" w="med" len="med"/>
                <a:tailEnd type="none" w="med" len="med"/>
              </a:ln>
              <a:effectLst/>
            </xdr:spPr>
          </xdr:cxnSp>
          <xdr:cxnSp macro="">
            <xdr:nvCxnSpPr>
              <xdr:cNvPr id="105" name="Conexão reta 104">
                <a:extLst>
                  <a:ext uri="{FF2B5EF4-FFF2-40B4-BE49-F238E27FC236}">
                    <a16:creationId xmlns:a16="http://schemas.microsoft.com/office/drawing/2014/main" id="{00000000-0008-0000-1E00-000069000000}"/>
                  </a:ext>
                </a:extLst>
              </xdr:cNvPr>
              <xdr:cNvCxnSpPr/>
            </xdr:nvCxnSpPr>
            <xdr:spPr>
              <a:xfrm flipV="1">
                <a:off x="47191707" y="3267484"/>
                <a:ext cx="459992" cy="78008"/>
              </a:xfrm>
              <a:prstGeom prst="line">
                <a:avLst/>
              </a:prstGeom>
              <a:noFill/>
              <a:ln w="9525" cap="flat" cmpd="sng" algn="ctr">
                <a:solidFill>
                  <a:sysClr val="windowText" lastClr="000000">
                    <a:lumMod val="50000"/>
                    <a:lumOff val="50000"/>
                    <a:alpha val="50000"/>
                  </a:sysClr>
                </a:solidFill>
                <a:prstDash val="dash"/>
                <a:round/>
                <a:headEnd type="none" w="med" len="med"/>
                <a:tailEnd type="none" w="med" len="med"/>
              </a:ln>
              <a:effectLst/>
            </xdr:spPr>
          </xdr:cxnSp>
          <xdr:cxnSp macro="">
            <xdr:nvCxnSpPr>
              <xdr:cNvPr id="106" name="Conexão reta 105">
                <a:extLst>
                  <a:ext uri="{FF2B5EF4-FFF2-40B4-BE49-F238E27FC236}">
                    <a16:creationId xmlns:a16="http://schemas.microsoft.com/office/drawing/2014/main" id="{00000000-0008-0000-1E00-00006A000000}"/>
                  </a:ext>
                </a:extLst>
              </xdr:cNvPr>
              <xdr:cNvCxnSpPr/>
            </xdr:nvCxnSpPr>
            <xdr:spPr>
              <a:xfrm>
                <a:off x="47224045" y="3402150"/>
                <a:ext cx="443236" cy="76546"/>
              </a:xfrm>
              <a:prstGeom prst="line">
                <a:avLst/>
              </a:prstGeom>
              <a:noFill/>
              <a:ln w="9525" cap="flat" cmpd="sng" algn="ctr">
                <a:solidFill>
                  <a:sysClr val="windowText" lastClr="000000">
                    <a:lumMod val="50000"/>
                    <a:lumOff val="50000"/>
                    <a:alpha val="50000"/>
                  </a:sysClr>
                </a:solidFill>
                <a:prstDash val="dash"/>
                <a:round/>
                <a:headEnd type="none" w="med" len="med"/>
                <a:tailEnd type="none" w="med" len="med"/>
              </a:ln>
              <a:effectLst/>
            </xdr:spPr>
          </xdr:cxnSp>
        </xdr:grpSp>
      </xdr:grpSp>
    </xdr:grpSp>
    <xdr:clientData/>
  </xdr:twoCellAnchor>
  <xdr:twoCellAnchor>
    <xdr:from>
      <xdr:col>12</xdr:col>
      <xdr:colOff>184728</xdr:colOff>
      <xdr:row>83</xdr:row>
      <xdr:rowOff>150091</xdr:rowOff>
    </xdr:from>
    <xdr:to>
      <xdr:col>20</xdr:col>
      <xdr:colOff>559123</xdr:colOff>
      <xdr:row>90</xdr:row>
      <xdr:rowOff>11545</xdr:rowOff>
    </xdr:to>
    <xdr:sp macro="" textlink="">
      <xdr:nvSpPr>
        <xdr:cNvPr id="28" name="CaixaDeTexto 27">
          <a:extLst>
            <a:ext uri="{FF2B5EF4-FFF2-40B4-BE49-F238E27FC236}">
              <a16:creationId xmlns:a16="http://schemas.microsoft.com/office/drawing/2014/main" id="{00000000-0008-0000-1E00-00001C000000}"/>
            </a:ext>
          </a:extLst>
        </xdr:cNvPr>
        <xdr:cNvSpPr txBox="1"/>
      </xdr:nvSpPr>
      <xdr:spPr>
        <a:xfrm>
          <a:off x="9657773" y="14200909"/>
          <a:ext cx="5731486" cy="1033318"/>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800" b="1" i="0" u="none" strike="noStrike">
              <a:solidFill>
                <a:sysClr val="windowText" lastClr="000000"/>
              </a:solidFill>
              <a:latin typeface="+mn-lt"/>
              <a:ea typeface="+mn-ea"/>
              <a:cs typeface="Calibri"/>
            </a:rPr>
            <a:t>Ganho mediano:     </a:t>
          </a:r>
          <a:r>
            <a:rPr lang="en-US" sz="800" b="1" i="0" u="none" strike="noStrike" baseline="0">
              <a:solidFill>
                <a:sysClr val="windowText" lastClr="000000"/>
              </a:solidFill>
              <a:latin typeface="+mn-lt"/>
              <a:ea typeface="+mn-ea"/>
              <a:cs typeface="Calibri"/>
            </a:rPr>
            <a:t>                                                                                                         Incidência de baixos salários:</a:t>
          </a:r>
          <a:endParaRPr lang="en-US" sz="800" b="1" i="0" u="none" strike="noStrike">
            <a:solidFill>
              <a:sysClr val="windowText" lastClr="000000"/>
            </a:solidFill>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u="sng" strike="noStrike">
              <a:solidFill>
                <a:sysClr val="windowText" lastClr="000000"/>
              </a:solidFill>
              <a:latin typeface="+mn-lt"/>
              <a:ea typeface="+mn-ea"/>
              <a:cs typeface="Calibri"/>
            </a:rPr>
            <a:t>2022:</a:t>
          </a:r>
          <a:r>
            <a:rPr lang="en-US" sz="800" b="0" i="0" u="none" strike="noStrike">
              <a:solidFill>
                <a:sysClr val="windowText" lastClr="000000"/>
              </a:solidFill>
              <a:latin typeface="+mn-lt"/>
              <a:ea typeface="+mn-ea"/>
              <a:cs typeface="Calibri"/>
            </a:rPr>
            <a:t> Metade dos TCO ganhava até 1.018 euros (+30% face a 2012).                   </a:t>
          </a:r>
          <a:r>
            <a:rPr lang="en-US" sz="800" b="0" i="0" u="sng" strike="noStrike">
              <a:solidFill>
                <a:sysClr val="windowText" lastClr="000000"/>
              </a:solidFill>
              <a:latin typeface="+mn-lt"/>
              <a:ea typeface="+mn-ea"/>
              <a:cs typeface="Calibri"/>
            </a:rPr>
            <a:t>2012 - 2016</a:t>
          </a:r>
          <a:r>
            <a:rPr lang="en-US" sz="800" b="0" i="0" u="none" strike="noStrike">
              <a:solidFill>
                <a:sysClr val="windowText" lastClr="000000"/>
              </a:solidFill>
              <a:latin typeface="+mn-lt"/>
              <a:ea typeface="+mn-ea"/>
              <a:cs typeface="Calibri"/>
            </a:rPr>
            <a:t>: Total</a:t>
          </a:r>
          <a:r>
            <a:rPr lang="en-US" sz="800" b="0" i="0" u="none" strike="noStrike" baseline="0">
              <a:solidFill>
                <a:sysClr val="windowText" lastClr="000000"/>
              </a:solidFill>
              <a:latin typeface="+mn-lt"/>
              <a:ea typeface="+mn-ea"/>
              <a:cs typeface="Calibri"/>
            </a:rPr>
            <a:t> entre 7,59% e 5,86%;</a:t>
          </a:r>
          <a:r>
            <a:rPr lang="en-US" sz="800" b="0" i="0" u="none" strike="noStrike">
              <a:solidFill>
                <a:sysClr val="windowText" lastClr="000000"/>
              </a:solidFill>
              <a:latin typeface="+mn-lt"/>
              <a:ea typeface="+mn-ea"/>
              <a:cs typeface="Calibri"/>
            </a:rPr>
            <a:t> </a:t>
          </a:r>
        </a:p>
        <a:p>
          <a:r>
            <a:rPr lang="en-US" sz="800" b="1" i="0" u="none" strike="noStrike">
              <a:solidFill>
                <a:sysClr val="windowText" lastClr="000000"/>
              </a:solidFill>
              <a:latin typeface="+mn-lt"/>
              <a:ea typeface="+mn-ea"/>
              <a:cs typeface="Calibri"/>
            </a:rPr>
            <a:t>RMMG:			</a:t>
          </a:r>
          <a:r>
            <a:rPr lang="en-US" sz="800" b="1" i="0" u="none" strike="noStrike" baseline="0">
              <a:solidFill>
                <a:sysClr val="windowText" lastClr="000000"/>
              </a:solidFill>
              <a:latin typeface="+mn-lt"/>
              <a:ea typeface="+mn-ea"/>
              <a:cs typeface="Calibri"/>
            </a:rPr>
            <a:t>                                             </a:t>
          </a:r>
          <a:r>
            <a:rPr lang="en-US" sz="800" b="0" i="0" u="none" strike="noStrike" baseline="0">
              <a:solidFill>
                <a:sysClr val="windowText" lastClr="000000"/>
              </a:solidFill>
              <a:latin typeface="+mn-lt"/>
              <a:ea typeface="+mn-ea"/>
              <a:cs typeface="Calibri"/>
            </a:rPr>
            <a:t>Homens: entre 5,46% e 4,38%;</a:t>
          </a:r>
          <a:endParaRPr lang="en-US" sz="800" b="0" i="0" u="none" strike="noStrike">
            <a:solidFill>
              <a:sysClr val="windowText" lastClr="000000"/>
            </a:solidFill>
            <a:latin typeface="+mn-lt"/>
            <a:ea typeface="+mn-ea"/>
            <a:cs typeface="Calibri"/>
          </a:endParaRPr>
        </a:p>
        <a:p>
          <a:r>
            <a:rPr lang="en-US" sz="800" b="0" i="0" u="sng" strike="noStrike">
              <a:solidFill>
                <a:sysClr val="windowText" lastClr="000000"/>
              </a:solidFill>
              <a:latin typeface="+mn-lt"/>
              <a:cs typeface="Calibri"/>
            </a:rPr>
            <a:t>2012 -</a:t>
          </a:r>
          <a:r>
            <a:rPr lang="en-US" sz="800" b="0" i="0" u="sng" strike="noStrike" baseline="0">
              <a:solidFill>
                <a:sysClr val="windowText" lastClr="000000"/>
              </a:solidFill>
              <a:latin typeface="+mn-lt"/>
              <a:cs typeface="Calibri"/>
            </a:rPr>
            <a:t> </a:t>
          </a:r>
          <a:r>
            <a:rPr lang="en-US" sz="800" b="0" i="0" u="sng" strike="noStrike">
              <a:solidFill>
                <a:sysClr val="windowText" lastClr="000000"/>
              </a:solidFill>
              <a:latin typeface="+mn-lt"/>
              <a:cs typeface="Calibri"/>
            </a:rPr>
            <a:t>2015</a:t>
          </a:r>
          <a:r>
            <a:rPr lang="en-US" sz="800" b="0" i="0" u="none" strike="noStrike">
              <a:solidFill>
                <a:sysClr val="windowText" lastClr="000000"/>
              </a:solidFill>
              <a:latin typeface="+mn-lt"/>
              <a:cs typeface="Calibri"/>
            </a:rPr>
            <a:t>:</a:t>
          </a:r>
          <a:r>
            <a:rPr lang="en-US" sz="800" b="0" i="0" u="none" strike="noStrike" baseline="0">
              <a:solidFill>
                <a:sysClr val="windowText" lastClr="000000"/>
              </a:solidFill>
              <a:latin typeface="+mn-lt"/>
              <a:cs typeface="Calibri"/>
            </a:rPr>
            <a:t> aumento de 4,1%;			     Mulheres: entre 10,13% e 7,59%</a:t>
          </a:r>
        </a:p>
        <a:p>
          <a:r>
            <a:rPr lang="en-US" sz="800" b="0" i="0" u="sng" strike="noStrike">
              <a:solidFill>
                <a:sysClr val="windowText" lastClr="000000"/>
              </a:solidFill>
              <a:latin typeface="+mn-lt"/>
              <a:cs typeface="Calibri"/>
            </a:rPr>
            <a:t>2015 - 2022</a:t>
          </a:r>
          <a:r>
            <a:rPr lang="en-US" sz="800" b="0" i="0" u="none" strike="noStrike">
              <a:solidFill>
                <a:sysClr val="windowText" lastClr="000000"/>
              </a:solidFill>
              <a:latin typeface="+mn-lt"/>
              <a:cs typeface="Calibri"/>
            </a:rPr>
            <a:t>: aumento de 39,6%;		</a:t>
          </a:r>
          <a:r>
            <a:rPr lang="en-US" sz="800" b="0" i="0" u="none" strike="noStrike" baseline="0">
              <a:solidFill>
                <a:sysClr val="windowText" lastClr="000000"/>
              </a:solidFill>
              <a:latin typeface="+mn-lt"/>
              <a:cs typeface="Calibri"/>
            </a:rPr>
            <a:t>                      </a:t>
          </a:r>
          <a:r>
            <a:rPr lang="en-US" sz="800" b="0" i="0" u="sng" strike="noStrike" baseline="0">
              <a:solidFill>
                <a:sysClr val="windowText" lastClr="000000"/>
              </a:solidFill>
              <a:latin typeface="+mn-lt"/>
              <a:cs typeface="Calibri"/>
            </a:rPr>
            <a:t>2017 - 2022</a:t>
          </a:r>
          <a:r>
            <a:rPr lang="en-US" sz="800" b="0" i="0" u="none" strike="noStrike" baseline="0">
              <a:solidFill>
                <a:sysClr val="windowText" lastClr="000000"/>
              </a:solidFill>
              <a:latin typeface="+mn-lt"/>
              <a:cs typeface="Calibri"/>
            </a:rPr>
            <a:t>: Total entre 0,19% e 0,11%;</a:t>
          </a:r>
          <a:endParaRPr lang="en-US" sz="800" b="0" i="0" u="none" strike="noStrike">
            <a:solidFill>
              <a:sysClr val="windowText" lastClr="000000"/>
            </a:solidFill>
            <a:latin typeface="+mn-lt"/>
            <a:cs typeface="Calibri"/>
          </a:endParaRPr>
        </a:p>
        <a:p>
          <a:r>
            <a:rPr lang="en-US" sz="800" b="0" i="0" u="sng" strike="noStrike">
              <a:solidFill>
                <a:sysClr val="windowText" lastClr="000000"/>
              </a:solidFill>
              <a:latin typeface="+mn-lt"/>
              <a:cs typeface="Calibri"/>
            </a:rPr>
            <a:t>2017:</a:t>
          </a:r>
          <a:r>
            <a:rPr lang="en-US" sz="800" b="0" i="0" u="sng" strike="noStrike" baseline="0">
              <a:solidFill>
                <a:sysClr val="windowText" lastClr="000000"/>
              </a:solidFill>
              <a:latin typeface="+mn-lt"/>
              <a:cs typeface="Calibri"/>
            </a:rPr>
            <a:t> </a:t>
          </a:r>
          <a:r>
            <a:rPr lang="en-US" sz="800" b="0" i="0" u="none" strike="noStrike" baseline="0">
              <a:solidFill>
                <a:sysClr val="windowText" lastClr="000000"/>
              </a:solidFill>
              <a:latin typeface="+mn-lt"/>
              <a:cs typeface="Calibri"/>
            </a:rPr>
            <a:t>RMMG &gt; limiar de baixos salários, </a:t>
          </a:r>
          <a:r>
            <a:rPr lang="en-US" sz="800" b="0" i="0" u="none" strike="noStrike">
              <a:solidFill>
                <a:sysClr val="windowText" lastClr="000000"/>
              </a:solidFill>
              <a:latin typeface="+mn-lt"/>
              <a:cs typeface="Calibri"/>
            </a:rPr>
            <a:t>pela primeira vez.                                                           Homens entre 0,10% e 0,07%;</a:t>
          </a:r>
        </a:p>
        <a:p>
          <a:r>
            <a:rPr lang="en-US" sz="800" b="0" i="0" u="none" strike="noStrike">
              <a:solidFill>
                <a:sysClr val="windowText" lastClr="000000"/>
              </a:solidFill>
              <a:latin typeface="+mn-lt"/>
              <a:cs typeface="Calibri"/>
            </a:rPr>
            <a:t>				     Mulheres entre 0,10% e 0,15%    </a:t>
          </a:r>
        </a:p>
        <a:p>
          <a:endParaRPr lang="en-US" sz="800" b="0" i="0" u="none" strike="noStrike">
            <a:solidFill>
              <a:sysClr val="windowText" lastClr="000000"/>
            </a:solidFill>
            <a:latin typeface="+mn-lt"/>
            <a:cs typeface="Calibri"/>
          </a:endParaRPr>
        </a:p>
      </xdr:txBody>
    </xdr:sp>
    <xdr:clientData/>
  </xdr:twoCellAnchor>
  <xdr:twoCellAnchor>
    <xdr:from>
      <xdr:col>15</xdr:col>
      <xdr:colOff>600363</xdr:colOff>
      <xdr:row>55</xdr:row>
      <xdr:rowOff>144318</xdr:rowOff>
    </xdr:from>
    <xdr:to>
      <xdr:col>26</xdr:col>
      <xdr:colOff>505909</xdr:colOff>
      <xdr:row>56</xdr:row>
      <xdr:rowOff>121937</xdr:rowOff>
    </xdr:to>
    <xdr:sp macro="" textlink="">
      <xdr:nvSpPr>
        <xdr:cNvPr id="29" name="CaixaDeTexto 28">
          <a:extLst>
            <a:ext uri="{FF2B5EF4-FFF2-40B4-BE49-F238E27FC236}">
              <a16:creationId xmlns:a16="http://schemas.microsoft.com/office/drawing/2014/main" id="{00000000-0008-0000-1E00-00001D000000}"/>
            </a:ext>
          </a:extLst>
        </xdr:cNvPr>
        <xdr:cNvSpPr txBox="1"/>
      </xdr:nvSpPr>
      <xdr:spPr>
        <a:xfrm>
          <a:off x="12226636" y="9507682"/>
          <a:ext cx="6954046" cy="145028"/>
        </a:xfrm>
        <a:prstGeom prst="rect">
          <a:avLst/>
        </a:prstGeom>
        <a:noFill/>
        <a:ln w="9525" cmpd="sng">
          <a:noFill/>
        </a:ln>
        <a:effectLst/>
      </xdr:spPr>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pt-PT" sz="600" b="0" i="0" baseline="0">
              <a:solidFill>
                <a:schemeClr val="tx1">
                  <a:lumMod val="50000"/>
                  <a:lumOff val="50000"/>
                </a:schemeClr>
              </a:solidFill>
              <a:effectLst/>
              <a:latin typeface="+mn-lt"/>
              <a:ea typeface="+mn-ea"/>
              <a:cs typeface="+mn-cs"/>
            </a:rPr>
            <a:t>Nota: D</a:t>
          </a:r>
          <a:r>
            <a:rPr lang="pt-PT" sz="600" b="0" i="0" baseline="-25000">
              <a:solidFill>
                <a:schemeClr val="tx1">
                  <a:lumMod val="50000"/>
                  <a:lumOff val="50000"/>
                </a:schemeClr>
              </a:solidFill>
              <a:effectLst/>
              <a:latin typeface="+mn-lt"/>
              <a:ea typeface="+mn-ea"/>
              <a:cs typeface="+mn-cs"/>
            </a:rPr>
            <a:t>k</a:t>
          </a:r>
          <a:r>
            <a:rPr lang="pt-PT" sz="600" b="0" i="0" baseline="0">
              <a:solidFill>
                <a:schemeClr val="tx1">
                  <a:lumMod val="50000"/>
                  <a:lumOff val="50000"/>
                </a:schemeClr>
              </a:solidFill>
              <a:effectLst/>
              <a:latin typeface="+mn-lt"/>
              <a:ea typeface="+mn-ea"/>
              <a:cs typeface="+mn-cs"/>
            </a:rPr>
            <a:t> representa a média do ganho recebido pelos 10% da população no decil k, por exemplo, D1 representa a média do ganho recebido pelos 10% da população com menor remuneração ganho. </a:t>
          </a:r>
          <a:endParaRPr kumimoji="0" lang="pt-PT" sz="600" b="0" i="0" u="none" strike="noStrike" kern="0" cap="none" spc="0" normalizeH="0" baseline="0" noProof="0">
            <a:ln>
              <a:noFill/>
            </a:ln>
            <a:solidFill>
              <a:schemeClr val="tx1">
                <a:lumMod val="50000"/>
                <a:lumOff val="50000"/>
              </a:schemeClr>
            </a:solidFill>
            <a:effectLst/>
            <a:uLnTx/>
            <a:uFillTx/>
            <a:latin typeface="+mn-lt"/>
            <a:ea typeface="+mn-ea"/>
            <a:cs typeface="+mn-cs"/>
          </a:endParaRPr>
        </a:p>
      </xdr:txBody>
    </xdr:sp>
    <xdr:clientData/>
  </xdr:twoCellAnchor>
  <xdr:twoCellAnchor>
    <xdr:from>
      <xdr:col>1</xdr:col>
      <xdr:colOff>583046</xdr:colOff>
      <xdr:row>49</xdr:row>
      <xdr:rowOff>138545</xdr:rowOff>
    </xdr:from>
    <xdr:to>
      <xdr:col>11</xdr:col>
      <xdr:colOff>608157</xdr:colOff>
      <xdr:row>55</xdr:row>
      <xdr:rowOff>7938</xdr:rowOff>
    </xdr:to>
    <xdr:sp macro="" textlink="">
      <xdr:nvSpPr>
        <xdr:cNvPr id="30" name="CaixaDeTexto 29">
          <a:extLst>
            <a:ext uri="{FF2B5EF4-FFF2-40B4-BE49-F238E27FC236}">
              <a16:creationId xmlns:a16="http://schemas.microsoft.com/office/drawing/2014/main" id="{00000000-0008-0000-1E00-00001E000000}"/>
            </a:ext>
          </a:extLst>
        </xdr:cNvPr>
        <xdr:cNvSpPr txBox="1"/>
      </xdr:nvSpPr>
      <xdr:spPr>
        <a:xfrm>
          <a:off x="2900796" y="8107795"/>
          <a:ext cx="6168736" cy="821893"/>
        </a:xfrm>
        <a:prstGeom prst="rect">
          <a:avLst/>
        </a:prstGeom>
        <a:solidFill>
          <a:sysClr val="window" lastClr="FFFFFF"/>
        </a:solidFill>
        <a:ln w="25400" cap="flat" cmpd="sng" algn="ctr">
          <a:solidFill>
            <a:srgbClr val="4F81BD"/>
          </a:solidFill>
          <a:prstDash val="solid"/>
        </a:ln>
        <a:effectLst/>
      </xdr:spPr>
      <xdr:txBody>
        <a:bodyPr vertOverflow="clip" horzOverflow="clip" wrap="square" numCol="2"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sng" strike="noStrike" kern="0" cap="none" spc="0" normalizeH="0" baseline="0" noProof="0">
              <a:ln>
                <a:noFill/>
              </a:ln>
              <a:solidFill>
                <a:sysClr val="windowText" lastClr="000000"/>
              </a:solidFill>
              <a:effectLst/>
              <a:uLnTx/>
              <a:uFillTx/>
              <a:latin typeface="+mn-lt"/>
              <a:ea typeface="+mn-ea"/>
              <a:cs typeface="Calibri"/>
            </a:rPr>
            <a:t>2011 - 2021</a:t>
          </a:r>
          <a:r>
            <a:rPr kumimoji="0" lang="en-US" sz="800" b="0" i="0" u="none" strike="noStrike" kern="0" cap="none" spc="0" normalizeH="0" baseline="0" noProof="0">
              <a:ln>
                <a:noFill/>
              </a:ln>
              <a:solidFill>
                <a:sysClr val="windowText" lastClr="000000"/>
              </a:solidFill>
              <a:effectLst/>
              <a:uLnTx/>
              <a:uFillTx/>
              <a:latin typeface="+mn-lt"/>
              <a:ea typeface="+mn-ea"/>
              <a:cs typeface="Calibri"/>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Text" lastClr="000000"/>
              </a:solidFill>
              <a:effectLst/>
              <a:uLnTx/>
              <a:uFillTx/>
              <a:latin typeface="+mn-lt"/>
              <a:ea typeface="+mn-ea"/>
              <a:cs typeface="Calibri"/>
            </a:rPr>
            <a:t>S80/S20</a:t>
          </a:r>
          <a:r>
            <a:rPr kumimoji="0" lang="en-US" sz="800" b="0" i="0" u="none" strike="noStrike" kern="0" cap="none" spc="0" normalizeH="0" baseline="0" noProof="0">
              <a:ln>
                <a:noFill/>
              </a:ln>
              <a:solidFill>
                <a:sysClr val="windowText" lastClr="000000"/>
              </a:solidFill>
              <a:effectLst/>
              <a:uLnTx/>
              <a:uFillTx/>
              <a:latin typeface="+mn-lt"/>
              <a:ea typeface="+mn-ea"/>
              <a:cs typeface="Calibri"/>
            </a:rPr>
            <a:t>: Entre 2012 e 2013, as remunerações dos 20% de TCO que mais ganhavam, era 4,5 vezes o valor das remunerações dos 20% que menos auferiam. O mesmo rácio era 3,7 em 2022.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Text" lastClr="000000"/>
              </a:solidFill>
              <a:effectLst/>
              <a:uLnTx/>
              <a:uFillTx/>
              <a:latin typeface="+mn-lt"/>
              <a:ea typeface="+mn-ea"/>
              <a:cs typeface="Calibri"/>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Text" lastClr="000000"/>
              </a:solidFill>
              <a:effectLst/>
              <a:uLnTx/>
              <a:uFillTx/>
              <a:latin typeface="+mn-lt"/>
              <a:ea typeface="+mn-ea"/>
              <a:cs typeface="Calibri"/>
            </a:rPr>
            <a:t>S90/S10</a:t>
          </a:r>
          <a:r>
            <a:rPr kumimoji="0" lang="en-US" sz="800" b="0" i="0" u="none" strike="noStrike" kern="0" cap="none" spc="0" normalizeH="0" baseline="0" noProof="0">
              <a:ln>
                <a:noFill/>
              </a:ln>
              <a:solidFill>
                <a:sysClr val="windowText" lastClr="000000"/>
              </a:solidFill>
              <a:effectLst/>
              <a:uLnTx/>
              <a:uFillTx/>
              <a:latin typeface="+mn-lt"/>
              <a:ea typeface="+mn-ea"/>
              <a:cs typeface="Calibri"/>
            </a:rPr>
            <a:t>: Entre 2011 e 2013, as remunerações dos 10% de TCO que mais ganhavam, era 6,4 vezes o vlor das remunerações dos 10% que menos auferiam. O mesmo rácio era 5,1 em 2021.</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mn-lt"/>
              <a:ea typeface="+mn-ea"/>
              <a:cs typeface="Calibri"/>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800" b="0" i="0" u="none" strike="noStrike" kern="0" cap="none" spc="0" normalizeH="0" baseline="0" noProof="0">
            <a:ln>
              <a:noFill/>
            </a:ln>
            <a:solidFill>
              <a:sysClr val="windowText" lastClr="000000"/>
            </a:solidFill>
            <a:effectLst/>
            <a:uLnTx/>
            <a:uFillTx/>
            <a:latin typeface="+mn-lt"/>
            <a:ea typeface="+mn-ea"/>
            <a:cs typeface="Calibri"/>
          </a:endParaRPr>
        </a:p>
      </xdr:txBody>
    </xdr:sp>
    <xdr:clientData/>
  </xdr:twoCellAnchor>
  <xdr:twoCellAnchor>
    <xdr:from>
      <xdr:col>5</xdr:col>
      <xdr:colOff>340590</xdr:colOff>
      <xdr:row>46</xdr:row>
      <xdr:rowOff>109682</xdr:rowOff>
    </xdr:from>
    <xdr:to>
      <xdr:col>14</xdr:col>
      <xdr:colOff>54263</xdr:colOff>
      <xdr:row>48</xdr:row>
      <xdr:rowOff>163874</xdr:rowOff>
    </xdr:to>
    <xdr:sp macro="" textlink="">
      <xdr:nvSpPr>
        <xdr:cNvPr id="31" name="CaixaDeTexto 30">
          <a:extLst>
            <a:ext uri="{FF2B5EF4-FFF2-40B4-BE49-F238E27FC236}">
              <a16:creationId xmlns:a16="http://schemas.microsoft.com/office/drawing/2014/main" id="{00000000-0008-0000-1E00-00001F000000}"/>
            </a:ext>
          </a:extLst>
        </xdr:cNvPr>
        <xdr:cNvSpPr txBox="1"/>
      </xdr:nvSpPr>
      <xdr:spPr>
        <a:xfrm>
          <a:off x="5345545" y="7966364"/>
          <a:ext cx="5728854" cy="389010"/>
        </a:xfrm>
        <a:prstGeom prst="rect">
          <a:avLst/>
        </a:prstGeom>
        <a:solidFill>
          <a:sysClr val="window" lastClr="FFFFFF"/>
        </a:solidFill>
        <a:ln w="25400" cap="flat" cmpd="sng" algn="ctr">
          <a:solidFill>
            <a:srgbClr val="4F81BD"/>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900" b="1" i="0" u="sng" strike="noStrike" kern="0" cap="none" spc="0" normalizeH="0" baseline="0" noProof="0">
              <a:ln>
                <a:noFill/>
              </a:ln>
              <a:solidFill>
                <a:sysClr val="windowText" lastClr="000000"/>
              </a:solidFill>
              <a:effectLst/>
              <a:uLnTx/>
              <a:uFillTx/>
              <a:latin typeface="+mn-lt"/>
              <a:ea typeface="+mn-ea"/>
              <a:cs typeface="Calibri"/>
            </a:rPr>
            <a:t>2011 - 2021</a:t>
          </a:r>
          <a:r>
            <a:rPr kumimoji="0" lang="en-US" sz="900" b="0" i="0" u="none" strike="noStrike" kern="0" cap="none" spc="0" normalizeH="0" baseline="0" noProof="0">
              <a:ln>
                <a:noFill/>
              </a:ln>
              <a:solidFill>
                <a:sysClr val="windowText" lastClr="000000"/>
              </a:solidFill>
              <a:effectLst/>
              <a:uLnTx/>
              <a:uFillTx/>
              <a:latin typeface="+mn-lt"/>
              <a:ea typeface="+mn-ea"/>
              <a:cs typeface="Calibri"/>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1" i="0" u="none" strike="noStrike" kern="0" cap="none" spc="0" normalizeH="0" baseline="0" noProof="0">
              <a:ln>
                <a:noFill/>
              </a:ln>
              <a:solidFill>
                <a:sysClr val="windowText" lastClr="000000"/>
              </a:solidFill>
              <a:effectLst/>
              <a:uLnTx/>
              <a:uFillTx/>
              <a:latin typeface="+mn-lt"/>
              <a:ea typeface="+mn-ea"/>
              <a:cs typeface="Calibri"/>
            </a:rPr>
            <a:t>S80/S20</a:t>
          </a:r>
          <a:r>
            <a:rPr kumimoji="0" lang="en-US" sz="900" b="0" i="0" u="none" strike="noStrike" kern="0" cap="none" spc="0" normalizeH="0" baseline="0" noProof="0">
              <a:ln>
                <a:noFill/>
              </a:ln>
              <a:solidFill>
                <a:sysClr val="windowText" lastClr="000000"/>
              </a:solidFill>
              <a:effectLst/>
              <a:uLnTx/>
              <a:uFillTx/>
              <a:latin typeface="+mn-lt"/>
              <a:ea typeface="+mn-ea"/>
              <a:cs typeface="Calibri"/>
            </a:rPr>
            <a:t>: entre 4,5 (2011 - 2013) e 3,7 (2021)                                    </a:t>
          </a:r>
          <a:r>
            <a:rPr kumimoji="0" lang="en-US" sz="900" b="1" i="0" u="none" strike="noStrike" kern="0" cap="none" spc="0" normalizeH="0" baseline="0" noProof="0">
              <a:ln>
                <a:noFill/>
              </a:ln>
              <a:solidFill>
                <a:sysClr val="windowText" lastClr="000000"/>
              </a:solidFill>
              <a:effectLst/>
              <a:uLnTx/>
              <a:uFillTx/>
              <a:latin typeface="+mn-lt"/>
              <a:ea typeface="+mn-ea"/>
              <a:cs typeface="Calibri"/>
            </a:rPr>
            <a:t>S90/S10</a:t>
          </a:r>
          <a:r>
            <a:rPr kumimoji="0" lang="en-US" sz="900" b="0" i="0" u="none" strike="noStrike" kern="0" cap="none" spc="0" normalizeH="0" baseline="0" noProof="0">
              <a:ln>
                <a:noFill/>
              </a:ln>
              <a:solidFill>
                <a:sysClr val="windowText" lastClr="000000"/>
              </a:solidFill>
              <a:effectLst/>
              <a:uLnTx/>
              <a:uFillTx/>
              <a:latin typeface="+mn-lt"/>
              <a:ea typeface="+mn-ea"/>
              <a:cs typeface="Calibri"/>
            </a:rPr>
            <a:t>: entre 6,4 (2011 - 2013) e 5,1 (2021)</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mn-lt"/>
              <a:ea typeface="+mn-ea"/>
              <a:cs typeface="Calibri"/>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9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900" b="0" i="0" u="none" strike="noStrike" kern="0" cap="none" spc="0" normalizeH="0" baseline="0" noProof="0">
            <a:ln>
              <a:noFill/>
            </a:ln>
            <a:solidFill>
              <a:sysClr val="windowText" lastClr="000000"/>
            </a:solidFill>
            <a:effectLst/>
            <a:uLnTx/>
            <a:uFillTx/>
            <a:latin typeface="+mn-lt"/>
            <a:ea typeface="+mn-ea"/>
            <a:cs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mn-lt"/>
              <a:ea typeface="+mn-ea"/>
              <a:cs typeface="Calibri"/>
            </a:rPr>
            <a:t>S90/S10</a:t>
          </a:r>
        </a:p>
      </xdr:txBody>
    </xdr:sp>
    <xdr:clientData/>
  </xdr:twoCellAnchor>
  <xdr:twoCellAnchor>
    <xdr:from>
      <xdr:col>0</xdr:col>
      <xdr:colOff>2147455</xdr:colOff>
      <xdr:row>84</xdr:row>
      <xdr:rowOff>57727</xdr:rowOff>
    </xdr:from>
    <xdr:to>
      <xdr:col>10</xdr:col>
      <xdr:colOff>106693</xdr:colOff>
      <xdr:row>99</xdr:row>
      <xdr:rowOff>58615</xdr:rowOff>
    </xdr:to>
    <xdr:grpSp>
      <xdr:nvGrpSpPr>
        <xdr:cNvPr id="8" name="Agrupar 7">
          <a:extLst>
            <a:ext uri="{FF2B5EF4-FFF2-40B4-BE49-F238E27FC236}">
              <a16:creationId xmlns:a16="http://schemas.microsoft.com/office/drawing/2014/main" id="{00000000-0008-0000-1E00-000008000000}"/>
            </a:ext>
          </a:extLst>
        </xdr:cNvPr>
        <xdr:cNvGrpSpPr/>
      </xdr:nvGrpSpPr>
      <xdr:grpSpPr>
        <a:xfrm>
          <a:off x="2147455" y="13607040"/>
          <a:ext cx="5809426" cy="2382138"/>
          <a:chOff x="2147455" y="14193804"/>
          <a:chExt cx="6184930" cy="2492042"/>
        </a:xfrm>
      </xdr:grpSpPr>
      <xdr:grpSp>
        <xdr:nvGrpSpPr>
          <xdr:cNvPr id="99" name="Agrupar 98">
            <a:extLst>
              <a:ext uri="{FF2B5EF4-FFF2-40B4-BE49-F238E27FC236}">
                <a16:creationId xmlns:a16="http://schemas.microsoft.com/office/drawing/2014/main" id="{00000000-0008-0000-1E00-000063000000}"/>
              </a:ext>
            </a:extLst>
          </xdr:cNvPr>
          <xdr:cNvGrpSpPr/>
        </xdr:nvGrpSpPr>
        <xdr:grpSpPr>
          <a:xfrm>
            <a:off x="2147455" y="14193804"/>
            <a:ext cx="6184930" cy="2428299"/>
            <a:chOff x="82547" y="5042476"/>
            <a:chExt cx="4535398" cy="2473663"/>
          </a:xfrm>
        </xdr:grpSpPr>
        <xdr:sp macro="" textlink="">
          <xdr:nvSpPr>
            <xdr:cNvPr id="113" name="CaixaDeTexto 1">
              <a:extLst>
                <a:ext uri="{FF2B5EF4-FFF2-40B4-BE49-F238E27FC236}">
                  <a16:creationId xmlns:a16="http://schemas.microsoft.com/office/drawing/2014/main" id="{00000000-0008-0000-1E00-000071000000}"/>
                </a:ext>
              </a:extLst>
            </xdr:cNvPr>
            <xdr:cNvSpPr txBox="1"/>
          </xdr:nvSpPr>
          <xdr:spPr>
            <a:xfrm>
              <a:off x="445001" y="5071651"/>
              <a:ext cx="3752999" cy="200278"/>
            </a:xfrm>
            <a:prstGeom prst="rect">
              <a:avLst/>
            </a:prstGeom>
          </xdr:spPr>
          <xdr:txBody>
            <a:bodyPr wrap="square" rtlCol="0"/>
            <a:lstStyle>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PT" sz="700" b="1" i="0" u="none" strike="noStrike" kern="0" cap="none" spc="0" normalizeH="0" baseline="0" noProof="0">
                  <a:ln>
                    <a:noFill/>
                  </a:ln>
                  <a:solidFill>
                    <a:srgbClr val="1F497D"/>
                  </a:solidFill>
                  <a:effectLst/>
                  <a:uLnTx/>
                  <a:uFillTx/>
                  <a:latin typeface="Calibri"/>
                </a:rPr>
                <a:t>Ganho mensal mediano, limiar de baixos salários*, retribuição mínima mensal garantida e Incidência de baixos salários</a:t>
              </a:r>
            </a:p>
          </xdr:txBody>
        </xdr:sp>
        <xdr:grpSp>
          <xdr:nvGrpSpPr>
            <xdr:cNvPr id="114" name="Agrupar 113">
              <a:extLst>
                <a:ext uri="{FF2B5EF4-FFF2-40B4-BE49-F238E27FC236}">
                  <a16:creationId xmlns:a16="http://schemas.microsoft.com/office/drawing/2014/main" id="{00000000-0008-0000-1E00-000072000000}"/>
                </a:ext>
              </a:extLst>
            </xdr:cNvPr>
            <xdr:cNvGrpSpPr/>
          </xdr:nvGrpSpPr>
          <xdr:grpSpPr>
            <a:xfrm>
              <a:off x="82547" y="5042476"/>
              <a:ext cx="4535398" cy="2473663"/>
              <a:chOff x="15468383" y="13077031"/>
              <a:chExt cx="4547872" cy="2466158"/>
            </a:xfrm>
          </xdr:grpSpPr>
          <xdr:graphicFrame macro="">
            <xdr:nvGraphicFramePr>
              <xdr:cNvPr id="115" name="Gráfico 114">
                <a:extLst>
                  <a:ext uri="{FF2B5EF4-FFF2-40B4-BE49-F238E27FC236}">
                    <a16:creationId xmlns:a16="http://schemas.microsoft.com/office/drawing/2014/main" id="{00000000-0008-0000-1E00-000073000000}"/>
                  </a:ext>
                </a:extLst>
              </xdr:cNvPr>
              <xdr:cNvGraphicFramePr>
                <a:graphicFrameLocks/>
              </xdr:cNvGraphicFramePr>
            </xdr:nvGraphicFramePr>
            <xdr:xfrm>
              <a:off x="15468383" y="13077031"/>
              <a:ext cx="4420041" cy="2466158"/>
            </xdr:xfrm>
            <a:graphic>
              <a:graphicData uri="http://schemas.openxmlformats.org/drawingml/2006/chart">
                <c:chart xmlns:c="http://schemas.openxmlformats.org/drawingml/2006/chart" xmlns:r="http://schemas.openxmlformats.org/officeDocument/2006/relationships" r:id="rId5"/>
              </a:graphicData>
            </a:graphic>
          </xdr:graphicFrame>
          <xdr:pic>
            <xdr:nvPicPr>
              <xdr:cNvPr id="116" name="Imagem 115">
                <a:extLst>
                  <a:ext uri="{FF2B5EF4-FFF2-40B4-BE49-F238E27FC236}">
                    <a16:creationId xmlns:a16="http://schemas.microsoft.com/office/drawing/2014/main" id="{00000000-0008-0000-1E00-000074000000}"/>
                  </a:ext>
                </a:extLst>
              </xdr:cNvPr>
              <xdr:cNvPicPr>
                <a:picLocks noChangeAspect="1"/>
              </xdr:cNvPicPr>
            </xdr:nvPicPr>
            <xdr:blipFill>
              <a:blip xmlns:r="http://schemas.openxmlformats.org/officeDocument/2006/relationships" r:embed="rId6"/>
              <a:stretch>
                <a:fillRect/>
              </a:stretch>
            </xdr:blipFill>
            <xdr:spPr>
              <a:xfrm>
                <a:off x="15471858" y="15069524"/>
                <a:ext cx="2333729" cy="337980"/>
              </a:xfrm>
              <a:prstGeom prst="rect">
                <a:avLst/>
              </a:prstGeom>
            </xdr:spPr>
          </xdr:pic>
          <xdr:pic>
            <xdr:nvPicPr>
              <xdr:cNvPr id="117" name="Imagem 116">
                <a:extLst>
                  <a:ext uri="{FF2B5EF4-FFF2-40B4-BE49-F238E27FC236}">
                    <a16:creationId xmlns:a16="http://schemas.microsoft.com/office/drawing/2014/main" id="{00000000-0008-0000-1E00-000075000000}"/>
                  </a:ext>
                </a:extLst>
              </xdr:cNvPr>
              <xdr:cNvPicPr>
                <a:picLocks noChangeAspect="1"/>
              </xdr:cNvPicPr>
            </xdr:nvPicPr>
            <xdr:blipFill>
              <a:blip xmlns:r="http://schemas.openxmlformats.org/officeDocument/2006/relationships" r:embed="rId7"/>
              <a:stretch>
                <a:fillRect/>
              </a:stretch>
            </xdr:blipFill>
            <xdr:spPr>
              <a:xfrm>
                <a:off x="18381691" y="15081276"/>
                <a:ext cx="1634564" cy="317182"/>
              </a:xfrm>
              <a:prstGeom prst="rect">
                <a:avLst/>
              </a:prstGeom>
            </xdr:spPr>
          </xdr:pic>
        </xdr:grpSp>
      </xdr:grpSp>
      <xdr:sp macro="" textlink="">
        <xdr:nvSpPr>
          <xdr:cNvPr id="6" name="CaixaDeTexto 5">
            <a:extLst>
              <a:ext uri="{FF2B5EF4-FFF2-40B4-BE49-F238E27FC236}">
                <a16:creationId xmlns:a16="http://schemas.microsoft.com/office/drawing/2014/main" id="{00000000-0008-0000-1E00-000006000000}"/>
              </a:ext>
            </a:extLst>
          </xdr:cNvPr>
          <xdr:cNvSpPr txBox="1"/>
        </xdr:nvSpPr>
        <xdr:spPr>
          <a:xfrm>
            <a:off x="2188306" y="16485576"/>
            <a:ext cx="3341079" cy="2002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PT" sz="600"/>
              <a:t>*Limiar</a:t>
            </a:r>
            <a:r>
              <a:rPr lang="pt-PT" sz="600" baseline="0"/>
              <a:t> de baixos salários - </a:t>
            </a:r>
            <a:r>
              <a:rPr lang="pt-PT" sz="600"/>
              <a:t>considerado como sendo 2/3 da mediana do ganho mensal do Continente.</a:t>
            </a:r>
          </a:p>
        </xdr:txBody>
      </xdr:sp>
    </xdr:grpSp>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171450</xdr:colOff>
      <xdr:row>7</xdr:row>
      <xdr:rowOff>219075</xdr:rowOff>
    </xdr:from>
    <xdr:to>
      <xdr:col>10</xdr:col>
      <xdr:colOff>123825</xdr:colOff>
      <xdr:row>26</xdr:row>
      <xdr:rowOff>95250</xdr:rowOff>
    </xdr:to>
    <xdr:pic>
      <xdr:nvPicPr>
        <xdr:cNvPr id="2" name="Imagem 1" descr="https://ninjadoexcel.com.br/wp-content/uploads/2019/04/Indo-na-guia-desenvolvedor-para-criar-Gr%C3%A1fico-com-caixa-de-combina%C3%A7%C3%A3o-no-Excel.png">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438275"/>
          <a:ext cx="6048375" cy="310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xdr:row>
      <xdr:rowOff>0</xdr:rowOff>
    </xdr:from>
    <xdr:to>
      <xdr:col>9</xdr:col>
      <xdr:colOff>323850</xdr:colOff>
      <xdr:row>42</xdr:row>
      <xdr:rowOff>114300</xdr:rowOff>
    </xdr:to>
    <xdr:pic>
      <xdr:nvPicPr>
        <xdr:cNvPr id="3" name="Imagem 2" descr="https://ninjadoexcel.com.br/wp-content/uploads/2019/04/Desenhando-caixa-de-combina%C3%A7%C3%A3o-para-Gr%C3%A1fico-com-caixa-de-combina%C3%A7%C3%A3o-no-Excel.png">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2744450"/>
          <a:ext cx="5810250"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xdr:row>
      <xdr:rowOff>0</xdr:rowOff>
    </xdr:from>
    <xdr:to>
      <xdr:col>3</xdr:col>
      <xdr:colOff>409575</xdr:colOff>
      <xdr:row>62</xdr:row>
      <xdr:rowOff>152400</xdr:rowOff>
    </xdr:to>
    <xdr:pic>
      <xdr:nvPicPr>
        <xdr:cNvPr id="4" name="Imagem 3" descr="https://ninjadoexcel.com.br/wp-content/uploads/2019/04/Clicando-em-formatar-controle-para-Gr%C3%A1fico-com-caixa-de-combina%C3%A7%C3%A3o-no-Excel.png">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9764375"/>
          <a:ext cx="2238375"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xdr:row>
      <xdr:rowOff>0</xdr:rowOff>
    </xdr:from>
    <xdr:to>
      <xdr:col>12</xdr:col>
      <xdr:colOff>466725</xdr:colOff>
      <xdr:row>95</xdr:row>
      <xdr:rowOff>133350</xdr:rowOff>
    </xdr:to>
    <xdr:pic>
      <xdr:nvPicPr>
        <xdr:cNvPr id="5" name="Imagem 4" descr="https://ninjadoexcel.com.br/wp-content/uploads/2019/04/Intervalo-de-entrada-para-Gr%C3%A1fico-com-caixa-de-combina%C3%A7%C3%A3o-no-Excel.png">
          <a:extLst>
            <a:ext uri="{FF2B5EF4-FFF2-40B4-BE49-F238E27FC236}">
              <a16:creationId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1972925"/>
          <a:ext cx="7781925" cy="434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8</xdr:col>
      <xdr:colOff>342900</xdr:colOff>
      <xdr:row>119</xdr:row>
      <xdr:rowOff>0</xdr:rowOff>
    </xdr:to>
    <xdr:pic>
      <xdr:nvPicPr>
        <xdr:cNvPr id="6" name="Imagem 5" descr="https://ninjadoexcel.com.br/wp-content/uploads/2019/04/Vinculando-c%C3%A9lula-para-Gr%C3%A1fico-com-caixa-de-combina%C3%A7%C3%A3o-no-Excel.png">
          <a:extLst>
            <a:ext uri="{FF2B5EF4-FFF2-40B4-BE49-F238E27FC236}">
              <a16:creationId xmlns:a16="http://schemas.microsoft.com/office/drawing/2014/main" id="{00000000-0008-0000-20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6668750"/>
          <a:ext cx="5219700" cy="340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122</xdr:row>
      <xdr:rowOff>0</xdr:rowOff>
    </xdr:from>
    <xdr:to>
      <xdr:col>5</xdr:col>
      <xdr:colOff>581025</xdr:colOff>
      <xdr:row>135</xdr:row>
      <xdr:rowOff>0</xdr:rowOff>
    </xdr:to>
    <xdr:pic>
      <xdr:nvPicPr>
        <xdr:cNvPr id="7" name="Imagem 6" descr="https://ninjadoexcel.com.br/wp-content/uploads/2019/04/Tamanho-da-lista-suspensa-Gr%C3%A1fico-com-caixa-de-combina%C3%A7%C3%A3o-no-Excel.png">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0554950"/>
          <a:ext cx="3629025" cy="210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142</xdr:row>
      <xdr:rowOff>0</xdr:rowOff>
    </xdr:from>
    <xdr:to>
      <xdr:col>14</xdr:col>
      <xdr:colOff>76200</xdr:colOff>
      <xdr:row>156</xdr:row>
      <xdr:rowOff>95250</xdr:rowOff>
    </xdr:to>
    <xdr:pic>
      <xdr:nvPicPr>
        <xdr:cNvPr id="8" name="Imagem 7" descr="https://ninjadoexcel.com.br/wp-content/uploads/2019/04/Confirmando-nomes-na-lista-suspensa-para-Gr%C3%A1fico-com-caixa-de-combina%C3%A7%C3%A3o-no-Excel.png">
          <a:extLst>
            <a:ext uri="{FF2B5EF4-FFF2-40B4-BE49-F238E27FC236}">
              <a16:creationId xmlns:a16="http://schemas.microsoft.com/office/drawing/2014/main" id="{00000000-0008-0000-20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3793450"/>
          <a:ext cx="8610600" cy="236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159</xdr:row>
      <xdr:rowOff>0</xdr:rowOff>
    </xdr:from>
    <xdr:to>
      <xdr:col>14</xdr:col>
      <xdr:colOff>295275</xdr:colOff>
      <xdr:row>173</xdr:row>
      <xdr:rowOff>47625</xdr:rowOff>
    </xdr:to>
    <xdr:pic>
      <xdr:nvPicPr>
        <xdr:cNvPr id="9" name="Imagem 8" descr="https://ninjadoexcel.com.br/wp-content/uploads/2019/04/Selecionando-nome-na-lista-para-Gr%C3%A1fico-com-caixa-de-combina%C3%A7%C3%A3o-no-Excel.png">
          <a:extLst>
            <a:ext uri="{FF2B5EF4-FFF2-40B4-BE49-F238E27FC236}">
              <a16:creationId xmlns:a16="http://schemas.microsoft.com/office/drawing/2014/main" id="{00000000-0008-0000-20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6546175"/>
          <a:ext cx="8829675" cy="2314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178</xdr:row>
      <xdr:rowOff>0</xdr:rowOff>
    </xdr:from>
    <xdr:to>
      <xdr:col>8</xdr:col>
      <xdr:colOff>238125</xdr:colOff>
      <xdr:row>189</xdr:row>
      <xdr:rowOff>66675</xdr:rowOff>
    </xdr:to>
    <xdr:pic>
      <xdr:nvPicPr>
        <xdr:cNvPr id="10" name="Imagem 9" descr="https://ninjadoexcel.com.br/wp-content/uploads/2019/04/Chamando-%C3%8DNDICE-para-Gr%C3%A1fico-com-caixa-de-combina%C3%A7%C3%A3o-no-Excel.png">
          <a:extLst>
            <a:ext uri="{FF2B5EF4-FFF2-40B4-BE49-F238E27FC236}">
              <a16:creationId xmlns:a16="http://schemas.microsoft.com/office/drawing/2014/main" id="{00000000-0008-0000-20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9622750"/>
          <a:ext cx="5114925" cy="184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192</xdr:row>
      <xdr:rowOff>0</xdr:rowOff>
    </xdr:from>
    <xdr:to>
      <xdr:col>8</xdr:col>
      <xdr:colOff>342900</xdr:colOff>
      <xdr:row>206</xdr:row>
      <xdr:rowOff>114300</xdr:rowOff>
    </xdr:to>
    <xdr:pic>
      <xdr:nvPicPr>
        <xdr:cNvPr id="11" name="Imagem 10" descr="https://ninjadoexcel.com.br/wp-content/uploads/2019/04/Matriz-de-%C3%8DNDICE-para-Gr%C3%A1fico-com-caixa-de-combina%C3%A7%C3%A3o-no-Excel.png">
          <a:extLst>
            <a:ext uri="{FF2B5EF4-FFF2-40B4-BE49-F238E27FC236}">
              <a16:creationId xmlns:a16="http://schemas.microsoft.com/office/drawing/2014/main" id="{00000000-0008-0000-20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31889700"/>
          <a:ext cx="5219700" cy="238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209</xdr:row>
      <xdr:rowOff>0</xdr:rowOff>
    </xdr:from>
    <xdr:to>
      <xdr:col>7</xdr:col>
      <xdr:colOff>0</xdr:colOff>
      <xdr:row>220</xdr:row>
      <xdr:rowOff>0</xdr:rowOff>
    </xdr:to>
    <xdr:pic>
      <xdr:nvPicPr>
        <xdr:cNvPr id="12" name="Imagem 11" descr="https://ninjadoexcel.com.br/wp-content/uploads/2019/04/Num_linha-%C3%8DNDICE-para-Gr%C3%A1fico-com-caixa-de-combina%C3%A7%C3%A3o-no-Excel.png">
          <a:extLst>
            <a:ext uri="{FF2B5EF4-FFF2-40B4-BE49-F238E27FC236}">
              <a16:creationId xmlns:a16="http://schemas.microsoft.com/office/drawing/2014/main" id="{00000000-0008-0000-20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34642425"/>
          <a:ext cx="4267200" cy="178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223</xdr:row>
      <xdr:rowOff>0</xdr:rowOff>
    </xdr:from>
    <xdr:to>
      <xdr:col>9</xdr:col>
      <xdr:colOff>161925</xdr:colOff>
      <xdr:row>236</xdr:row>
      <xdr:rowOff>114300</xdr:rowOff>
    </xdr:to>
    <xdr:pic>
      <xdr:nvPicPr>
        <xdr:cNvPr id="13" name="Imagem 12" descr="https://ninjadoexcel.com.br/wp-content/uploads/2019/04/Observe-nomes-iguais-para-Gr%C3%A1fico-com-caixa-de-combina%C3%A7%C3%A3o-no-Excel.png">
          <a:extLst>
            <a:ext uri="{FF2B5EF4-FFF2-40B4-BE49-F238E27FC236}">
              <a16:creationId xmlns:a16="http://schemas.microsoft.com/office/drawing/2014/main" id="{00000000-0008-0000-20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36909375"/>
          <a:ext cx="5648325" cy="221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241</xdr:row>
      <xdr:rowOff>0</xdr:rowOff>
    </xdr:from>
    <xdr:to>
      <xdr:col>6</xdr:col>
      <xdr:colOff>371475</xdr:colOff>
      <xdr:row>249</xdr:row>
      <xdr:rowOff>104775</xdr:rowOff>
    </xdr:to>
    <xdr:pic>
      <xdr:nvPicPr>
        <xdr:cNvPr id="14" name="Imagem 13" descr="https://ninjadoexcel.com.br/wp-content/uploads/2019/04/Chamando-PROCV-para-Gr%C3%A1fico-com-caixa-de-combina%C3%A7%C3%A3o-no-Excel.png">
          <a:extLst>
            <a:ext uri="{FF2B5EF4-FFF2-40B4-BE49-F238E27FC236}">
              <a16:creationId xmlns:a16="http://schemas.microsoft.com/office/drawing/2014/main" id="{00000000-0008-0000-2000-00000E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39824025"/>
          <a:ext cx="4029075" cy="140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254</xdr:row>
      <xdr:rowOff>0</xdr:rowOff>
    </xdr:from>
    <xdr:to>
      <xdr:col>18</xdr:col>
      <xdr:colOff>0</xdr:colOff>
      <xdr:row>304</xdr:row>
      <xdr:rowOff>133350</xdr:rowOff>
    </xdr:to>
    <xdr:pic>
      <xdr:nvPicPr>
        <xdr:cNvPr id="15" name="Imagem 14" descr="https://ninjadoexcel.com.br/wp-content/uploads/2019/04/Gr%C3%A1fico-com-caixa-de-combina%C3%A7%C3%A3o-no-Excel.gif">
          <a:extLst>
            <a:ext uri="{FF2B5EF4-FFF2-40B4-BE49-F238E27FC236}">
              <a16:creationId xmlns:a16="http://schemas.microsoft.com/office/drawing/2014/main" id="{00000000-0008-0000-2000-00000F000000}"/>
            </a:ext>
          </a:extLst>
        </xdr:cNvPr>
        <xdr:cNvPicPr>
          <a:picLocks noChangeAspect="1" noChangeArrowheads="1" noCrop="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41929050"/>
          <a:ext cx="10972800" cy="82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307</xdr:row>
      <xdr:rowOff>0</xdr:rowOff>
    </xdr:from>
    <xdr:to>
      <xdr:col>9</xdr:col>
      <xdr:colOff>247650</xdr:colOff>
      <xdr:row>316</xdr:row>
      <xdr:rowOff>47625</xdr:rowOff>
    </xdr:to>
    <xdr:pic>
      <xdr:nvPicPr>
        <xdr:cNvPr id="16" name="Imagem 15" descr="https://ninjadoexcel.com.br/wp-content/uploads/2019/04/Trocando-pela-ultima-vez-nome-na-lista-para-Gr%C3%A1fico-com-caixa-de-combina%C3%A7%C3%A3o-no-Excel.png">
          <a:extLst>
            <a:ext uri="{FF2B5EF4-FFF2-40B4-BE49-F238E27FC236}">
              <a16:creationId xmlns:a16="http://schemas.microsoft.com/office/drawing/2014/main" id="{00000000-0008-0000-2000-000010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50511075"/>
          <a:ext cx="5734050"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319</xdr:row>
      <xdr:rowOff>0</xdr:rowOff>
    </xdr:from>
    <xdr:to>
      <xdr:col>7</xdr:col>
      <xdr:colOff>47625</xdr:colOff>
      <xdr:row>328</xdr:row>
      <xdr:rowOff>133350</xdr:rowOff>
    </xdr:to>
    <xdr:pic>
      <xdr:nvPicPr>
        <xdr:cNvPr id="17" name="Imagem 16" descr="https://ninjadoexcel.com.br/wp-content/uploads/2019/04/Screenshot_1-1.png">
          <a:extLst>
            <a:ext uri="{FF2B5EF4-FFF2-40B4-BE49-F238E27FC236}">
              <a16:creationId xmlns:a16="http://schemas.microsoft.com/office/drawing/2014/main" id="{00000000-0008-0000-2000-000011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52454175"/>
          <a:ext cx="4314825" cy="1590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331</xdr:row>
      <xdr:rowOff>0</xdr:rowOff>
    </xdr:from>
    <xdr:to>
      <xdr:col>10</xdr:col>
      <xdr:colOff>352425</xdr:colOff>
      <xdr:row>368</xdr:row>
      <xdr:rowOff>0</xdr:rowOff>
    </xdr:to>
    <xdr:pic>
      <xdr:nvPicPr>
        <xdr:cNvPr id="18" name="Imagem 17" descr="https://ninjadoexcel.com.br/wp-content/uploads/2019/04/Gr%C3%A1fico-com-caixa-de-combina%C3%A7%C3%A3o-no-Excel.png">
          <a:extLst>
            <a:ext uri="{FF2B5EF4-FFF2-40B4-BE49-F238E27FC236}">
              <a16:creationId xmlns:a16="http://schemas.microsoft.com/office/drawing/2014/main" id="{00000000-0008-0000-2000-00001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54397275"/>
          <a:ext cx="6448425" cy="5991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371</xdr:row>
      <xdr:rowOff>0</xdr:rowOff>
    </xdr:from>
    <xdr:to>
      <xdr:col>9</xdr:col>
      <xdr:colOff>285750</xdr:colOff>
      <xdr:row>391</xdr:row>
      <xdr:rowOff>0</xdr:rowOff>
    </xdr:to>
    <xdr:pic>
      <xdr:nvPicPr>
        <xdr:cNvPr id="19" name="Imagem 18" descr="https://ninjadoexcel.com.br/wp-content/uploads/2019/04/Gr%C3%A1fico-com-caixa-de-combina%C3%A7%C3%A3o-no-Excel-02.png">
          <a:extLst>
            <a:ext uri="{FF2B5EF4-FFF2-40B4-BE49-F238E27FC236}">
              <a16:creationId xmlns:a16="http://schemas.microsoft.com/office/drawing/2014/main" id="{00000000-0008-0000-2000-00001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60874275"/>
          <a:ext cx="577215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394</xdr:row>
      <xdr:rowOff>0</xdr:rowOff>
    </xdr:from>
    <xdr:to>
      <xdr:col>9</xdr:col>
      <xdr:colOff>314325</xdr:colOff>
      <xdr:row>415</xdr:row>
      <xdr:rowOff>57150</xdr:rowOff>
    </xdr:to>
    <xdr:pic>
      <xdr:nvPicPr>
        <xdr:cNvPr id="20" name="Imagem 19" descr="https://ninjadoexcel.com.br/wp-content/uploads/2019/04/Gr%C3%A1fico-com-caixa-de-combina%C3%A7%C3%A3o-no-Excel-03.png">
          <a:extLst>
            <a:ext uri="{FF2B5EF4-FFF2-40B4-BE49-F238E27FC236}">
              <a16:creationId xmlns:a16="http://schemas.microsoft.com/office/drawing/2014/main" id="{00000000-0008-0000-2000-00001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64598550"/>
          <a:ext cx="5800725" cy="3457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oneCellAnchor>
    <xdr:from>
      <xdr:col>11</xdr:col>
      <xdr:colOff>38099</xdr:colOff>
      <xdr:row>0</xdr:row>
      <xdr:rowOff>295275</xdr:rowOff>
    </xdr:from>
    <xdr:ext cx="790476" cy="276190"/>
    <xdr:pic>
      <xdr:nvPicPr>
        <xdr:cNvPr id="4" name="Picture 5">
          <a:hlinkClick xmlns:r="http://schemas.openxmlformats.org/officeDocument/2006/relationships" r:id="rId1"/>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657849" y="295275"/>
          <a:ext cx="790476" cy="276190"/>
        </a:xfrm>
        <a:prstGeom prst="rect">
          <a:avLst/>
        </a:prstGeom>
        <a:noFill/>
        <a:ln w="1">
          <a:noFill/>
          <a:miter lim="800000"/>
          <a:headEnd/>
          <a:tailEnd type="none" w="med" len="med"/>
        </a:ln>
        <a:effectLst/>
      </xdr:spPr>
    </xdr:pic>
    <xdr:clientData fPrintsWithSheet="0"/>
  </xdr:oneCellAnchor>
</xdr:wsDr>
</file>

<file path=xl/drawings/drawing65.xml><?xml version="1.0" encoding="utf-8"?>
<xdr:wsDr xmlns:xdr="http://schemas.openxmlformats.org/drawingml/2006/spreadsheetDrawing" xmlns:a="http://schemas.openxmlformats.org/drawingml/2006/main">
  <xdr:oneCellAnchor>
    <xdr:from>
      <xdr:col>10</xdr:col>
      <xdr:colOff>142874</xdr:colOff>
      <xdr:row>0</xdr:row>
      <xdr:rowOff>342900</xdr:rowOff>
    </xdr:from>
    <xdr:ext cx="790476" cy="276190"/>
    <xdr:pic>
      <xdr:nvPicPr>
        <xdr:cNvPr id="3" name="Picture 5">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324474" y="342900"/>
          <a:ext cx="790476" cy="276190"/>
        </a:xfrm>
        <a:prstGeom prst="rect">
          <a:avLst/>
        </a:prstGeom>
        <a:noFill/>
        <a:ln w="1">
          <a:noFill/>
          <a:miter lim="800000"/>
          <a:headEnd/>
          <a:tailEnd type="none" w="med" len="med"/>
        </a:ln>
        <a:effectLst/>
      </xdr:spPr>
    </xdr:pic>
    <xdr:clientData fPrintsWithSheet="0"/>
  </xdr:oneCellAnchor>
</xdr:wsDr>
</file>

<file path=xl/drawings/drawing66.xml><?xml version="1.0" encoding="utf-8"?>
<xdr:wsDr xmlns:xdr="http://schemas.openxmlformats.org/drawingml/2006/spreadsheetDrawing" xmlns:a="http://schemas.openxmlformats.org/drawingml/2006/main">
  <xdr:oneCellAnchor>
    <xdr:from>
      <xdr:col>10</xdr:col>
      <xdr:colOff>171449</xdr:colOff>
      <xdr:row>0</xdr:row>
      <xdr:rowOff>304800</xdr:rowOff>
    </xdr:from>
    <xdr:ext cx="790476" cy="276190"/>
    <xdr:pic>
      <xdr:nvPicPr>
        <xdr:cNvPr id="3" name="Picture 5">
          <a:hlinkClick xmlns:r="http://schemas.openxmlformats.org/officeDocument/2006/relationships" r:id="rId1"/>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353049" y="304800"/>
          <a:ext cx="790476" cy="276190"/>
        </a:xfrm>
        <a:prstGeom prst="rect">
          <a:avLst/>
        </a:prstGeom>
        <a:noFill/>
        <a:ln w="1">
          <a:noFill/>
          <a:miter lim="800000"/>
          <a:headEnd/>
          <a:tailEnd type="none" w="med" len="med"/>
        </a:ln>
        <a:effectLst/>
      </xdr:spPr>
    </xdr:pic>
    <xdr:clientData fPrintsWithSheet="0"/>
  </xdr:oneCellAnchor>
</xdr:wsDr>
</file>

<file path=xl/drawings/drawing67.xml><?xml version="1.0" encoding="utf-8"?>
<xdr:wsDr xmlns:xdr="http://schemas.openxmlformats.org/drawingml/2006/spreadsheetDrawing" xmlns:a="http://schemas.openxmlformats.org/drawingml/2006/main">
  <xdr:oneCellAnchor>
    <xdr:from>
      <xdr:col>10</xdr:col>
      <xdr:colOff>171449</xdr:colOff>
      <xdr:row>0</xdr:row>
      <xdr:rowOff>304800</xdr:rowOff>
    </xdr:from>
    <xdr:ext cx="790476" cy="276190"/>
    <xdr:pic>
      <xdr:nvPicPr>
        <xdr:cNvPr id="2" name="Picture 5">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603999" y="304800"/>
          <a:ext cx="790476" cy="276190"/>
        </a:xfrm>
        <a:prstGeom prst="rect">
          <a:avLst/>
        </a:prstGeom>
        <a:noFill/>
        <a:ln w="1">
          <a:noFill/>
          <a:miter lim="800000"/>
          <a:headEnd/>
          <a:tailEnd type="none" w="med" len="med"/>
        </a:ln>
        <a:effectLst/>
      </xdr:spPr>
    </xdr:pic>
    <xdr:clientData fPrintsWithSheet="0"/>
  </xdr:oneCellAnchor>
</xdr:wsDr>
</file>

<file path=xl/drawings/drawing68.xml><?xml version="1.0" encoding="utf-8"?>
<xdr:wsDr xmlns:xdr="http://schemas.openxmlformats.org/drawingml/2006/spreadsheetDrawing" xmlns:a="http://schemas.openxmlformats.org/drawingml/2006/main">
  <xdr:oneCellAnchor>
    <xdr:from>
      <xdr:col>11</xdr:col>
      <xdr:colOff>0</xdr:colOff>
      <xdr:row>0</xdr:row>
      <xdr:rowOff>238125</xdr:rowOff>
    </xdr:from>
    <xdr:ext cx="790476" cy="276190"/>
    <xdr:pic>
      <xdr:nvPicPr>
        <xdr:cNvPr id="3" name="Picture 5">
          <a:hlinkClick xmlns:r="http://schemas.openxmlformats.org/officeDocument/2006/relationships" r:id="rId1"/>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600700" y="238125"/>
          <a:ext cx="790476" cy="276190"/>
        </a:xfrm>
        <a:prstGeom prst="rect">
          <a:avLst/>
        </a:prstGeom>
        <a:noFill/>
        <a:ln w="1">
          <a:noFill/>
          <a:miter lim="800000"/>
          <a:headEnd/>
          <a:tailEnd type="none" w="med" len="med"/>
        </a:ln>
        <a:effectLst/>
      </xdr:spPr>
    </xdr:pic>
    <xdr:clientData fPrintsWithSheet="0"/>
  </xdr:oneCellAnchor>
</xdr:wsDr>
</file>

<file path=xl/drawings/drawing69.xml><?xml version="1.0" encoding="utf-8"?>
<xdr:wsDr xmlns:xdr="http://schemas.openxmlformats.org/drawingml/2006/spreadsheetDrawing" xmlns:a="http://schemas.openxmlformats.org/drawingml/2006/main">
  <xdr:oneCellAnchor>
    <xdr:from>
      <xdr:col>10</xdr:col>
      <xdr:colOff>142874</xdr:colOff>
      <xdr:row>0</xdr:row>
      <xdr:rowOff>323850</xdr:rowOff>
    </xdr:from>
    <xdr:ext cx="790476" cy="276190"/>
    <xdr:pic>
      <xdr:nvPicPr>
        <xdr:cNvPr id="3" name="Picture 5">
          <a:hlinkClick xmlns:r="http://schemas.openxmlformats.org/officeDocument/2006/relationships" r:id="rId1"/>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324474" y="323850"/>
          <a:ext cx="790476" cy="276190"/>
        </a:xfrm>
        <a:prstGeom prst="rect">
          <a:avLst/>
        </a:prstGeom>
        <a:noFill/>
        <a:ln w="1">
          <a:noFill/>
          <a:miter lim="800000"/>
          <a:headEnd/>
          <a:tailEnd type="none" w="med" len="med"/>
        </a:ln>
        <a:effectLst/>
      </xdr:spPr>
    </xdr:pic>
    <xdr:clientData fPrintsWithSheet="0"/>
  </xdr:oneCellAnchor>
</xdr:wsDr>
</file>

<file path=xl/drawings/drawing7.xml><?xml version="1.0" encoding="utf-8"?>
<xdr:wsDr xmlns:xdr="http://schemas.openxmlformats.org/drawingml/2006/spreadsheetDrawing" xmlns:a="http://schemas.openxmlformats.org/drawingml/2006/main">
  <xdr:twoCellAnchor>
    <xdr:from>
      <xdr:col>0</xdr:col>
      <xdr:colOff>47624</xdr:colOff>
      <xdr:row>2</xdr:row>
      <xdr:rowOff>152125</xdr:rowOff>
    </xdr:from>
    <xdr:to>
      <xdr:col>22</xdr:col>
      <xdr:colOff>596899</xdr:colOff>
      <xdr:row>4</xdr:row>
      <xdr:rowOff>77125</xdr:rowOff>
    </xdr:to>
    <xdr:grpSp>
      <xdr:nvGrpSpPr>
        <xdr:cNvPr id="2" name="Agrupar 1">
          <a:extLst>
            <a:ext uri="{FF2B5EF4-FFF2-40B4-BE49-F238E27FC236}">
              <a16:creationId xmlns:a16="http://schemas.microsoft.com/office/drawing/2014/main" id="{00000000-0008-0000-0700-000002000000}"/>
            </a:ext>
          </a:extLst>
        </xdr:cNvPr>
        <xdr:cNvGrpSpPr/>
      </xdr:nvGrpSpPr>
      <xdr:grpSpPr>
        <a:xfrm>
          <a:off x="47624" y="533125"/>
          <a:ext cx="12988925" cy="306000"/>
          <a:chOff x="230187" y="595689"/>
          <a:chExt cx="5846763" cy="515561"/>
        </a:xfrm>
      </xdr:grpSpPr>
      <xdr:sp macro="" textlink="">
        <xdr:nvSpPr>
          <xdr:cNvPr id="3" name="Rectangle 3">
            <a:extLst>
              <a:ext uri="{FF2B5EF4-FFF2-40B4-BE49-F238E27FC236}">
                <a16:creationId xmlns:a16="http://schemas.microsoft.com/office/drawing/2014/main" id="{00000000-0008-0000-0700-000003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4" name="Text Box 10">
            <a:extLst>
              <a:ext uri="{FF2B5EF4-FFF2-40B4-BE49-F238E27FC236}">
                <a16:creationId xmlns:a16="http://schemas.microsoft.com/office/drawing/2014/main" id="{00000000-0008-0000-0700-000004000000}"/>
              </a:ext>
            </a:extLst>
          </xdr:cNvPr>
          <xdr:cNvSpPr txBox="1">
            <a:spLocks noChangeArrowheads="1"/>
          </xdr:cNvSpPr>
        </xdr:nvSpPr>
        <xdr:spPr bwMode="auto">
          <a:xfrm>
            <a:off x="307901" y="595689"/>
            <a:ext cx="802767" cy="400026"/>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Empresas e Estabelecimentos</a:t>
            </a:r>
            <a:endParaRPr lang="en-US" altLang="pt-PT" sz="1200" b="1">
              <a:solidFill>
                <a:srgbClr val="00467A"/>
              </a:solidFill>
              <a:latin typeface="Arial" charset="0"/>
            </a:endParaRPr>
          </a:p>
        </xdr:txBody>
      </xdr:sp>
    </xdr:grpSp>
    <xdr:clientData/>
  </xdr:twoCellAnchor>
  <xdr:twoCellAnchor editAs="oneCell">
    <xdr:from>
      <xdr:col>0</xdr:col>
      <xdr:colOff>66675</xdr:colOff>
      <xdr:row>0</xdr:row>
      <xdr:rowOff>0</xdr:rowOff>
    </xdr:from>
    <xdr:to>
      <xdr:col>1</xdr:col>
      <xdr:colOff>383503</xdr:colOff>
      <xdr:row>2</xdr:row>
      <xdr:rowOff>52161</xdr:rowOff>
    </xdr:to>
    <xdr:pic>
      <xdr:nvPicPr>
        <xdr:cNvPr id="5" name="Imagem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66675" y="0"/>
          <a:ext cx="907378" cy="417286"/>
        </a:xfrm>
        <a:prstGeom prst="rect">
          <a:avLst/>
        </a:prstGeom>
      </xdr:spPr>
    </xdr:pic>
    <xdr:clientData/>
  </xdr:twoCellAnchor>
  <xdr:twoCellAnchor>
    <xdr:from>
      <xdr:col>1</xdr:col>
      <xdr:colOff>469834</xdr:colOff>
      <xdr:row>0</xdr:row>
      <xdr:rowOff>41276</xdr:rowOff>
    </xdr:from>
    <xdr:to>
      <xdr:col>22</xdr:col>
      <xdr:colOff>596836</xdr:colOff>
      <xdr:row>2</xdr:row>
      <xdr:rowOff>165100</xdr:rowOff>
    </xdr:to>
    <xdr:sp macro="" textlink="">
      <xdr:nvSpPr>
        <xdr:cNvPr id="7" name="Rectangle 17">
          <a:extLst>
            <a:ext uri="{FF2B5EF4-FFF2-40B4-BE49-F238E27FC236}">
              <a16:creationId xmlns:a16="http://schemas.microsoft.com/office/drawing/2014/main" id="{00000000-0008-0000-0700-000007000000}"/>
            </a:ext>
          </a:extLst>
        </xdr:cNvPr>
        <xdr:cNvSpPr>
          <a:spLocks noChangeArrowheads="1"/>
        </xdr:cNvSpPr>
      </xdr:nvSpPr>
      <xdr:spPr bwMode="auto">
        <a:xfrm>
          <a:off x="1060384" y="41276"/>
          <a:ext cx="12617452" cy="492124"/>
        </a:xfrm>
        <a:prstGeom prst="rect">
          <a:avLst/>
        </a:prstGeom>
        <a:solidFill>
          <a:srgbClr val="00467A"/>
        </a:solidFill>
        <a:ln w="28575" cap="rnd">
          <a:noFill/>
          <a:prstDash val="sysDot"/>
          <a:miter lim="800000"/>
          <a:headEnd/>
          <a:tailEnd/>
        </a:ln>
        <a:effectLst>
          <a:prstShdw prst="shdw18" dist="17961" dir="13500000">
            <a:srgbClr val="556B81">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r>
            <a:rPr lang="pt-PT" sz="1600" b="1" i="1">
              <a:solidFill>
                <a:schemeClr val="bg1"/>
              </a:solidFill>
              <a:effectLst>
                <a:outerShdw blurRad="38100" dist="38100" dir="2700000" algn="tl">
                  <a:srgbClr val="000000"/>
                </a:outerShdw>
              </a:effectLst>
              <a:latin typeface="Arial" charset="0"/>
            </a:rPr>
            <a:t>Séries Cronológicas 2012 - 2022: Quadros de Pessoal</a:t>
          </a:r>
        </a:p>
        <a:p>
          <a:pPr defTabSz="988538">
            <a:defRPr/>
          </a:pPr>
          <a:r>
            <a:rPr lang="pt-PT" sz="1600" b="1" i="1">
              <a:solidFill>
                <a:srgbClr val="FFE600"/>
              </a:solidFill>
              <a:effectLst>
                <a:outerShdw blurRad="38100" dist="38100" dir="2700000" algn="tl">
                  <a:srgbClr val="000000"/>
                </a:outerShdw>
              </a:effectLst>
              <a:latin typeface="Arial" charset="0"/>
            </a:rPr>
            <a:t>Estrutura Empresarial</a:t>
          </a:r>
        </a:p>
      </xdr:txBody>
    </xdr:sp>
    <xdr:clientData/>
  </xdr:twoCellAnchor>
  <xdr:twoCellAnchor>
    <xdr:from>
      <xdr:col>4</xdr:col>
      <xdr:colOff>46094</xdr:colOff>
      <xdr:row>27</xdr:row>
      <xdr:rowOff>130484</xdr:rowOff>
    </xdr:from>
    <xdr:to>
      <xdr:col>5</xdr:col>
      <xdr:colOff>64908</xdr:colOff>
      <xdr:row>28</xdr:row>
      <xdr:rowOff>132156</xdr:rowOff>
    </xdr:to>
    <xdr:grpSp>
      <xdr:nvGrpSpPr>
        <xdr:cNvPr id="31" name="Agrupar 30">
          <a:extLst>
            <a:ext uri="{FF2B5EF4-FFF2-40B4-BE49-F238E27FC236}">
              <a16:creationId xmlns:a16="http://schemas.microsoft.com/office/drawing/2014/main" id="{00000000-0008-0000-0700-00001F000000}"/>
            </a:ext>
          </a:extLst>
        </xdr:cNvPr>
        <xdr:cNvGrpSpPr/>
      </xdr:nvGrpSpPr>
      <xdr:grpSpPr>
        <a:xfrm>
          <a:off x="2293994" y="5273984"/>
          <a:ext cx="580789" cy="192172"/>
          <a:chOff x="2408294" y="5054526"/>
          <a:chExt cx="609364" cy="179986"/>
        </a:xfrm>
      </xdr:grpSpPr>
      <xdr:sp macro="" textlink="">
        <xdr:nvSpPr>
          <xdr:cNvPr id="32" name="CaixaDeTexto 31">
            <a:extLst>
              <a:ext uri="{FF2B5EF4-FFF2-40B4-BE49-F238E27FC236}">
                <a16:creationId xmlns:a16="http://schemas.microsoft.com/office/drawing/2014/main" id="{00000000-0008-0000-0700-000020000000}"/>
              </a:ext>
            </a:extLst>
          </xdr:cNvPr>
          <xdr:cNvSpPr txBox="1"/>
        </xdr:nvSpPr>
        <xdr:spPr>
          <a:xfrm>
            <a:off x="2408294" y="5054526"/>
            <a:ext cx="609364" cy="1799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endParaRPr lang="pt-PT" sz="800" b="1"/>
          </a:p>
        </xdr:txBody>
      </xdr:sp>
    </xdr:grpSp>
    <xdr:clientData/>
  </xdr:twoCellAnchor>
  <xdr:twoCellAnchor>
    <xdr:from>
      <xdr:col>7</xdr:col>
      <xdr:colOff>449586</xdr:colOff>
      <xdr:row>25</xdr:row>
      <xdr:rowOff>143948</xdr:rowOff>
    </xdr:from>
    <xdr:to>
      <xdr:col>16</xdr:col>
      <xdr:colOff>304890</xdr:colOff>
      <xdr:row>26</xdr:row>
      <xdr:rowOff>166905</xdr:rowOff>
    </xdr:to>
    <xdr:sp macro="" textlink="">
      <xdr:nvSpPr>
        <xdr:cNvPr id="58" name="CaixaDeTexto 57">
          <a:hlinkClick xmlns:r="http://schemas.openxmlformats.org/officeDocument/2006/relationships" r:id="rId2"/>
          <a:extLst>
            <a:ext uri="{FF2B5EF4-FFF2-40B4-BE49-F238E27FC236}">
              <a16:creationId xmlns:a16="http://schemas.microsoft.com/office/drawing/2014/main" id="{00000000-0008-0000-0700-00003A000000}"/>
            </a:ext>
          </a:extLst>
        </xdr:cNvPr>
        <xdr:cNvSpPr txBox="1"/>
      </xdr:nvSpPr>
      <xdr:spPr>
        <a:xfrm>
          <a:off x="4571313" y="4785221"/>
          <a:ext cx="5148895" cy="2076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800"/>
            <a:t>* - </a:t>
          </a:r>
          <a:r>
            <a:rPr lang="pt-PT" sz="800" i="0"/>
            <a:t>Consultar  códigos</a:t>
          </a:r>
          <a:r>
            <a:rPr lang="pt-PT" sz="800" i="0" baseline="0"/>
            <a:t> de Secção de Atividade Económica em </a:t>
          </a:r>
          <a:r>
            <a:rPr lang="pt-PT" sz="800" i="0" u="sng">
              <a:solidFill>
                <a:srgbClr val="1403EB"/>
              </a:solidFill>
            </a:rPr>
            <a:t>Classificação Portuguesa das Atividades Económicas rev.3</a:t>
          </a:r>
        </a:p>
      </xdr:txBody>
    </xdr:sp>
    <xdr:clientData/>
  </xdr:twoCellAnchor>
  <xdr:twoCellAnchor>
    <xdr:from>
      <xdr:col>8</xdr:col>
      <xdr:colOff>23091</xdr:colOff>
      <xdr:row>10</xdr:row>
      <xdr:rowOff>17319</xdr:rowOff>
    </xdr:from>
    <xdr:to>
      <xdr:col>15</xdr:col>
      <xdr:colOff>207027</xdr:colOff>
      <xdr:row>27</xdr:row>
      <xdr:rowOff>123410</xdr:rowOff>
    </xdr:to>
    <xdr:graphicFrame macro="">
      <xdr:nvGraphicFramePr>
        <xdr:cNvPr id="84" name="Gráfico 83">
          <a:extLst>
            <a:ext uri="{FF2B5EF4-FFF2-40B4-BE49-F238E27FC236}">
              <a16:creationId xmlns:a16="http://schemas.microsoft.com/office/drawing/2014/main" id="{00000000-0008-0000-07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577079</xdr:colOff>
      <xdr:row>10</xdr:row>
      <xdr:rowOff>61607</xdr:rowOff>
    </xdr:from>
    <xdr:to>
      <xdr:col>22</xdr:col>
      <xdr:colOff>422915</xdr:colOff>
      <xdr:row>26</xdr:row>
      <xdr:rowOff>163798</xdr:rowOff>
    </xdr:to>
    <xdr:graphicFrame macro="">
      <xdr:nvGraphicFramePr>
        <xdr:cNvPr id="85" name="Gráfico 84">
          <a:extLst>
            <a:ext uri="{FF2B5EF4-FFF2-40B4-BE49-F238E27FC236}">
              <a16:creationId xmlns:a16="http://schemas.microsoft.com/office/drawing/2014/main" id="{00000000-0008-0000-0700-00005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207919</xdr:colOff>
      <xdr:row>34</xdr:row>
      <xdr:rowOff>99029</xdr:rowOff>
    </xdr:from>
    <xdr:to>
      <xdr:col>15</xdr:col>
      <xdr:colOff>360971</xdr:colOff>
      <xdr:row>52</xdr:row>
      <xdr:rowOff>31938</xdr:rowOff>
    </xdr:to>
    <xdr:graphicFrame macro="">
      <xdr:nvGraphicFramePr>
        <xdr:cNvPr id="94" name="Gráfico 93">
          <a:extLst>
            <a:ext uri="{FF2B5EF4-FFF2-40B4-BE49-F238E27FC236}">
              <a16:creationId xmlns:a16="http://schemas.microsoft.com/office/drawing/2014/main" id="{00000000-0008-0000-07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553425</xdr:colOff>
      <xdr:row>34</xdr:row>
      <xdr:rowOff>49949</xdr:rowOff>
    </xdr:from>
    <xdr:to>
      <xdr:col>22</xdr:col>
      <xdr:colOff>399261</xdr:colOff>
      <xdr:row>50</xdr:row>
      <xdr:rowOff>163685</xdr:rowOff>
    </xdr:to>
    <xdr:graphicFrame macro="">
      <xdr:nvGraphicFramePr>
        <xdr:cNvPr id="96" name="Gráfico 95">
          <a:extLst>
            <a:ext uri="{FF2B5EF4-FFF2-40B4-BE49-F238E27FC236}">
              <a16:creationId xmlns:a16="http://schemas.microsoft.com/office/drawing/2014/main" id="{00000000-0008-0000-07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116320</xdr:colOff>
      <xdr:row>2</xdr:row>
      <xdr:rowOff>180990</xdr:rowOff>
    </xdr:from>
    <xdr:to>
      <xdr:col>16</xdr:col>
      <xdr:colOff>570345</xdr:colOff>
      <xdr:row>4</xdr:row>
      <xdr:rowOff>51956</xdr:rowOff>
    </xdr:to>
    <xdr:grpSp>
      <xdr:nvGrpSpPr>
        <xdr:cNvPr id="12" name="Agrupar 11">
          <a:extLst>
            <a:ext uri="{FF2B5EF4-FFF2-40B4-BE49-F238E27FC236}">
              <a16:creationId xmlns:a16="http://schemas.microsoft.com/office/drawing/2014/main" id="{00000000-0008-0000-0700-00000C000000}"/>
            </a:ext>
          </a:extLst>
        </xdr:cNvPr>
        <xdr:cNvGrpSpPr/>
      </xdr:nvGrpSpPr>
      <xdr:grpSpPr>
        <a:xfrm>
          <a:off x="6764770" y="561990"/>
          <a:ext cx="2778125" cy="251966"/>
          <a:chOff x="8689399" y="579308"/>
          <a:chExt cx="2699063" cy="240420"/>
        </a:xfrm>
      </xdr:grpSpPr>
      <mc:AlternateContent xmlns:mc="http://schemas.openxmlformats.org/markup-compatibility/2006">
        <mc:Choice xmlns:a14="http://schemas.microsoft.com/office/drawing/2010/main" Requires="a14">
          <xdr:sp macro="" textlink="">
            <xdr:nvSpPr>
              <xdr:cNvPr id="5124" name="Drop Down 4" hidden="1">
                <a:extLst>
                  <a:ext uri="{63B3BB69-23CF-44E3-9099-C40C66FF867C}">
                    <a14:compatExt spid="_x0000_s5124"/>
                  </a:ext>
                  <a:ext uri="{FF2B5EF4-FFF2-40B4-BE49-F238E27FC236}">
                    <a16:creationId xmlns:a16="http://schemas.microsoft.com/office/drawing/2014/main" id="{00000000-0008-0000-0700-000004140000}"/>
                  </a:ext>
                </a:extLst>
              </xdr:cNvPr>
              <xdr:cNvSpPr/>
            </xdr:nvSpPr>
            <xdr:spPr bwMode="auto">
              <a:xfrm>
                <a:off x="10132888" y="593437"/>
                <a:ext cx="1255574" cy="204354"/>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113" name="Text Box 10">
            <a:extLst>
              <a:ext uri="{FF2B5EF4-FFF2-40B4-BE49-F238E27FC236}">
                <a16:creationId xmlns:a16="http://schemas.microsoft.com/office/drawing/2014/main" id="{00000000-0008-0000-0700-000071000000}"/>
              </a:ext>
            </a:extLst>
          </xdr:cNvPr>
          <xdr:cNvSpPr txBox="1">
            <a:spLocks noChangeArrowheads="1"/>
          </xdr:cNvSpPr>
        </xdr:nvSpPr>
        <xdr:spPr bwMode="auto">
          <a:xfrm>
            <a:off x="8689399" y="579308"/>
            <a:ext cx="1387009" cy="240420"/>
          </a:xfrm>
          <a:prstGeom prst="rect">
            <a:avLst/>
          </a:prstGeom>
          <a:solidFill>
            <a:srgbClr val="FFE600"/>
          </a:solidFill>
          <a:ln w="9525">
            <a:solidFill>
              <a:srgbClr val="000000"/>
            </a:solidFill>
            <a:miter lim="800000"/>
            <a:headEnd/>
            <a:tailEnd/>
          </a:ln>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tx2">
                    <a:lumMod val="75000"/>
                  </a:schemeClr>
                </a:solidFill>
                <a:latin typeface="+mn-lt"/>
              </a:rPr>
              <a:t>Selecione uma opção:</a:t>
            </a:r>
            <a:endParaRPr lang="en-US" altLang="pt-PT" sz="1200" b="1">
              <a:solidFill>
                <a:schemeClr val="tx2">
                  <a:lumMod val="75000"/>
                </a:schemeClr>
              </a:solidFill>
              <a:latin typeface="Arial" charset="0"/>
            </a:endParaRPr>
          </a:p>
        </xdr:txBody>
      </xdr:sp>
    </xdr:grpSp>
    <xdr:clientData/>
  </xdr:twoCellAnchor>
  <xdr:twoCellAnchor>
    <xdr:from>
      <xdr:col>8</xdr:col>
      <xdr:colOff>128061</xdr:colOff>
      <xdr:row>4</xdr:row>
      <xdr:rowOff>154710</xdr:rowOff>
    </xdr:from>
    <xdr:to>
      <xdr:col>15</xdr:col>
      <xdr:colOff>228336</xdr:colOff>
      <xdr:row>9</xdr:row>
      <xdr:rowOff>38100</xdr:rowOff>
    </xdr:to>
    <xdr:sp macro="" textlink="q1_q2_q4_q5_Fig!$R$62">
      <xdr:nvSpPr>
        <xdr:cNvPr id="67" name="CaixaDeTexto 66">
          <a:extLst>
            <a:ext uri="{FF2B5EF4-FFF2-40B4-BE49-F238E27FC236}">
              <a16:creationId xmlns:a16="http://schemas.microsoft.com/office/drawing/2014/main" id="{00000000-0008-0000-0700-000043000000}"/>
            </a:ext>
          </a:extLst>
        </xdr:cNvPr>
        <xdr:cNvSpPr txBox="1"/>
      </xdr:nvSpPr>
      <xdr:spPr>
        <a:xfrm>
          <a:off x="4869394" y="888488"/>
          <a:ext cx="4185442" cy="814723"/>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fld id="{96BA8799-5AEB-48FE-A345-32827F783336}" type="TxLink">
            <a:rPr lang="en-US" sz="900" b="0" i="0" u="none" strike="noStrike">
              <a:solidFill>
                <a:srgbClr val="000000"/>
              </a:solidFill>
              <a:effectLst/>
              <a:latin typeface="+mn-lt"/>
              <a:cs typeface="Arial"/>
            </a:rPr>
            <a:pPr eaLnBrk="1" fontAlgn="auto" latinLnBrk="0" hangingPunct="1"/>
            <a:t>3 CAE com mais Empresas em 2022 vs 2012: 
G - Com. por grosso e a ret.; rep. de veíc. autom. e mot. (24,4% vs 27,9%);
I - Alojamento, rest. e sim. (12,1% vs 11,3%) - em 2012: C - Ind. transformadoras (11,1% vs 12,2%);
F - Construção (11,8% vs 11,2%).</a:t>
          </a:fld>
          <a:endParaRPr lang="en-US" sz="900" b="1" i="0" u="none" strike="noStrike">
            <a:solidFill>
              <a:srgbClr val="17375E"/>
            </a:solidFill>
            <a:latin typeface="+mn-lt"/>
            <a:cs typeface="Calibri"/>
          </a:endParaRPr>
        </a:p>
      </xdr:txBody>
    </xdr:sp>
    <xdr:clientData/>
  </xdr:twoCellAnchor>
  <xdr:twoCellAnchor>
    <xdr:from>
      <xdr:col>8</xdr:col>
      <xdr:colOff>270448</xdr:colOff>
      <xdr:row>29</xdr:row>
      <xdr:rowOff>97721</xdr:rowOff>
    </xdr:from>
    <xdr:to>
      <xdr:col>15</xdr:col>
      <xdr:colOff>370723</xdr:colOff>
      <xdr:row>33</xdr:row>
      <xdr:rowOff>180272</xdr:rowOff>
    </xdr:to>
    <xdr:sp macro="" textlink="q7_q8_q10_q11_Fig!$R$62">
      <xdr:nvSpPr>
        <xdr:cNvPr id="68" name="CaixaDeTexto 67">
          <a:extLst>
            <a:ext uri="{FF2B5EF4-FFF2-40B4-BE49-F238E27FC236}">
              <a16:creationId xmlns:a16="http://schemas.microsoft.com/office/drawing/2014/main" id="{00000000-0008-0000-0700-000044000000}"/>
            </a:ext>
          </a:extLst>
        </xdr:cNvPr>
        <xdr:cNvSpPr txBox="1"/>
      </xdr:nvSpPr>
      <xdr:spPr>
        <a:xfrm>
          <a:off x="5011781" y="5445832"/>
          <a:ext cx="4185442" cy="816329"/>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F28CE3A0-BFCF-4FEC-9E8B-546D80A6E85B}" type="TxLink">
            <a:rPr lang="en-US" sz="900" b="0" i="0" u="none" strike="noStrike" baseline="0">
              <a:solidFill>
                <a:srgbClr val="000000"/>
              </a:solidFill>
              <a:effectLst/>
              <a:latin typeface="+mn-lt"/>
              <a:ea typeface="+mn-ea"/>
              <a:cs typeface="Arial"/>
            </a:rPr>
            <a:pPr marL="0" marR="0" lvl="0" indent="0" algn="l" defTabSz="914400" eaLnBrk="1" fontAlgn="auto" latinLnBrk="0" hangingPunct="1">
              <a:lnSpc>
                <a:spcPct val="100000"/>
              </a:lnSpc>
              <a:spcBef>
                <a:spcPts val="0"/>
              </a:spcBef>
              <a:spcAft>
                <a:spcPts val="0"/>
              </a:spcAft>
              <a:buClrTx/>
              <a:buSzTx/>
              <a:buFontTx/>
              <a:buNone/>
              <a:tabLst/>
              <a:defRPr/>
            </a:pPr>
            <a:t>3 CAE com mais TCO em 2022 vs 2012: 
C - Ind. transformadoras (20,4% vs 22,6%);
G - Com. por grosso e a ret.; rep. de veíc. autom. e mot. (17,8% vs 19,3%);
N - Atividades administrativas e dos serviços de apoio (9,8% vs 9,0%).</a:t>
          </a:fld>
          <a:endParaRPr lang="en-US" sz="900" b="0" baseline="0">
            <a:solidFill>
              <a:schemeClr val="dk1"/>
            </a:solidFill>
            <a:effectLst/>
            <a:latin typeface="+mn-lt"/>
            <a:ea typeface="+mn-ea"/>
            <a:cs typeface="+mn-cs"/>
          </a:endParaRPr>
        </a:p>
      </xdr:txBody>
    </xdr:sp>
    <xdr:clientData/>
  </xdr:twoCellAnchor>
  <xdr:twoCellAnchor>
    <xdr:from>
      <xdr:col>0</xdr:col>
      <xdr:colOff>5773</xdr:colOff>
      <xdr:row>10</xdr:row>
      <xdr:rowOff>138546</xdr:rowOff>
    </xdr:from>
    <xdr:to>
      <xdr:col>8</xdr:col>
      <xdr:colOff>178955</xdr:colOff>
      <xdr:row>27</xdr:row>
      <xdr:rowOff>155864</xdr:rowOff>
    </xdr:to>
    <xdr:grpSp>
      <xdr:nvGrpSpPr>
        <xdr:cNvPr id="72" name="Agrupar 71">
          <a:extLst>
            <a:ext uri="{FF2B5EF4-FFF2-40B4-BE49-F238E27FC236}">
              <a16:creationId xmlns:a16="http://schemas.microsoft.com/office/drawing/2014/main" id="{00000000-0008-0000-0700-000048000000}"/>
            </a:ext>
          </a:extLst>
        </xdr:cNvPr>
        <xdr:cNvGrpSpPr/>
      </xdr:nvGrpSpPr>
      <xdr:grpSpPr>
        <a:xfrm>
          <a:off x="5773" y="2043546"/>
          <a:ext cx="4668982" cy="3255818"/>
          <a:chOff x="36040924" y="8426450"/>
          <a:chExt cx="4819650" cy="2597244"/>
        </a:xfrm>
      </xdr:grpSpPr>
      <xdr:graphicFrame macro="">
        <xdr:nvGraphicFramePr>
          <xdr:cNvPr id="73" name="Gráfico 72">
            <a:extLst>
              <a:ext uri="{FF2B5EF4-FFF2-40B4-BE49-F238E27FC236}">
                <a16:creationId xmlns:a16="http://schemas.microsoft.com/office/drawing/2014/main" id="{00000000-0008-0000-0700-000049000000}"/>
              </a:ext>
            </a:extLst>
          </xdr:cNvPr>
          <xdr:cNvGraphicFramePr>
            <a:graphicFrameLocks/>
          </xdr:cNvGraphicFramePr>
        </xdr:nvGraphicFramePr>
        <xdr:xfrm>
          <a:off x="36040924" y="8426450"/>
          <a:ext cx="4819650" cy="2597244"/>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75" name="CaixaDeTexto 74">
            <a:extLst>
              <a:ext uri="{FF2B5EF4-FFF2-40B4-BE49-F238E27FC236}">
                <a16:creationId xmlns:a16="http://schemas.microsoft.com/office/drawing/2014/main" id="{00000000-0008-0000-0700-00004B000000}"/>
              </a:ext>
            </a:extLst>
          </xdr:cNvPr>
          <xdr:cNvSpPr txBox="1"/>
        </xdr:nvSpPr>
        <xdr:spPr>
          <a:xfrm>
            <a:off x="39425587" y="9090837"/>
            <a:ext cx="976378" cy="25920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Empresas</a:t>
            </a:r>
          </a:p>
        </xdr:txBody>
      </xdr:sp>
      <xdr:sp macro="" textlink="">
        <xdr:nvSpPr>
          <xdr:cNvPr id="76" name="CaixaDeTexto 75">
            <a:extLst>
              <a:ext uri="{FF2B5EF4-FFF2-40B4-BE49-F238E27FC236}">
                <a16:creationId xmlns:a16="http://schemas.microsoft.com/office/drawing/2014/main" id="{00000000-0008-0000-0700-00004C000000}"/>
              </a:ext>
            </a:extLst>
          </xdr:cNvPr>
          <xdr:cNvSpPr txBox="1"/>
        </xdr:nvSpPr>
        <xdr:spPr>
          <a:xfrm>
            <a:off x="39437830" y="9814607"/>
            <a:ext cx="974547" cy="258350"/>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Estabelecimentos</a:t>
            </a:r>
          </a:p>
        </xdr:txBody>
      </xdr:sp>
      <xdr:sp macro="" textlink="q1_q2_q4_q5_Fig!$BH$5">
        <xdr:nvSpPr>
          <xdr:cNvPr id="77" name="CaixaDeTexto 76">
            <a:extLst>
              <a:ext uri="{FF2B5EF4-FFF2-40B4-BE49-F238E27FC236}">
                <a16:creationId xmlns:a16="http://schemas.microsoft.com/office/drawing/2014/main" id="{00000000-0008-0000-0700-00004D000000}"/>
              </a:ext>
            </a:extLst>
          </xdr:cNvPr>
          <xdr:cNvSpPr txBox="1"/>
        </xdr:nvSpPr>
        <xdr:spPr>
          <a:xfrm>
            <a:off x="39438920" y="10117573"/>
            <a:ext cx="976378" cy="259200"/>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4B3BF183-0A7B-4E9A-9519-4413FAA583EA}" type="TxLink">
              <a:rPr lang="en-US" sz="1000" b="1" i="0" u="none" strike="noStrike">
                <a:solidFill>
                  <a:schemeClr val="bg1"/>
                </a:solidFill>
                <a:latin typeface="Arial"/>
                <a:ea typeface="+mn-ea"/>
                <a:cs typeface="Arial"/>
              </a:rPr>
              <a:pPr marL="0" indent="0" algn="ctr"/>
              <a:t>4,2%</a:t>
            </a:fld>
            <a:endParaRPr lang="pt-PT" sz="1000" b="1" i="0" u="none" strike="noStrike">
              <a:solidFill>
                <a:schemeClr val="bg1"/>
              </a:solidFill>
              <a:latin typeface="+mn-lt"/>
              <a:ea typeface="+mn-ea"/>
              <a:cs typeface="Arial"/>
            </a:endParaRPr>
          </a:p>
        </xdr:txBody>
      </xdr:sp>
      <xdr:sp macro="" textlink="q1_q2_q4_q5_Fig!$BH$4">
        <xdr:nvSpPr>
          <xdr:cNvPr id="78" name="CaixaDeTexto 77">
            <a:extLst>
              <a:ext uri="{FF2B5EF4-FFF2-40B4-BE49-F238E27FC236}">
                <a16:creationId xmlns:a16="http://schemas.microsoft.com/office/drawing/2014/main" id="{00000000-0008-0000-0700-00004E000000}"/>
              </a:ext>
            </a:extLst>
          </xdr:cNvPr>
          <xdr:cNvSpPr txBox="1"/>
        </xdr:nvSpPr>
        <xdr:spPr>
          <a:xfrm>
            <a:off x="39428763" y="9383789"/>
            <a:ext cx="976378" cy="259200"/>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9C7EAD2-6A40-48E9-B770-012A6C6E2AEE}" type="TxLink">
              <a:rPr lang="en-US" sz="1000" b="1" i="0" u="none" strike="noStrike">
                <a:solidFill>
                  <a:schemeClr val="bg1"/>
                </a:solidFill>
                <a:latin typeface="Arial"/>
                <a:cs typeface="Arial"/>
              </a:rPr>
              <a:pPr algn="ctr"/>
              <a:t>6,3%</a:t>
            </a:fld>
            <a:endParaRPr lang="pt-PT" sz="1000" b="1">
              <a:solidFill>
                <a:schemeClr val="bg1"/>
              </a:solidFill>
              <a:latin typeface="+mn-lt"/>
            </a:endParaRPr>
          </a:p>
        </xdr:txBody>
      </xdr:sp>
    </xdr:grpSp>
    <xdr:clientData/>
  </xdr:twoCellAnchor>
  <xdr:twoCellAnchor>
    <xdr:from>
      <xdr:col>15</xdr:col>
      <xdr:colOff>601140</xdr:colOff>
      <xdr:row>4</xdr:row>
      <xdr:rowOff>169238</xdr:rowOff>
    </xdr:from>
    <xdr:to>
      <xdr:col>22</xdr:col>
      <xdr:colOff>529965</xdr:colOff>
      <xdr:row>8</xdr:row>
      <xdr:rowOff>163238</xdr:rowOff>
    </xdr:to>
    <xdr:sp macro="" textlink="q1_q2_q4_q5_Fig!$R$110">
      <xdr:nvSpPr>
        <xdr:cNvPr id="44" name="CaixaDeTexto 43">
          <a:extLst>
            <a:ext uri="{FF2B5EF4-FFF2-40B4-BE49-F238E27FC236}">
              <a16:creationId xmlns:a16="http://schemas.microsoft.com/office/drawing/2014/main" id="{00000000-0008-0000-0700-00002C000000}"/>
            </a:ext>
          </a:extLst>
        </xdr:cNvPr>
        <xdr:cNvSpPr txBox="1"/>
      </xdr:nvSpPr>
      <xdr:spPr>
        <a:xfrm>
          <a:off x="9427640" y="903016"/>
          <a:ext cx="4176269" cy="734833"/>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fld id="{B0EE5A97-A150-42F4-9B53-DA5174FCEFEF}" type="TxLink">
            <a:rPr lang="en-US" sz="900" b="0" i="0" u="none" strike="noStrike">
              <a:solidFill>
                <a:srgbClr val="000000"/>
              </a:solidFill>
              <a:latin typeface="+mn-lt"/>
              <a:cs typeface="Arial"/>
            </a:rPr>
            <a:pPr eaLnBrk="1" fontAlgn="auto" latinLnBrk="0" hangingPunct="1"/>
            <a:t>2012 - 2022:
Micro e Pequenas empresas representam cerca de 97% das estruturas;
Micro empresas (1-9 pessoas): entre 82,1% e 85,1%;
Pequenas empresas (10 - 49 pessoas): entre 12,0% e 14,4%.</a:t>
          </a:fld>
          <a:endParaRPr lang="en-US" sz="900" b="1" i="0" u="none" strike="noStrike">
            <a:solidFill>
              <a:srgbClr val="17375E"/>
            </a:solidFill>
            <a:latin typeface="+mn-lt"/>
            <a:cs typeface="Calibri"/>
          </a:endParaRPr>
        </a:p>
      </xdr:txBody>
    </xdr:sp>
    <xdr:clientData/>
  </xdr:twoCellAnchor>
  <xdr:twoCellAnchor>
    <xdr:from>
      <xdr:col>0</xdr:col>
      <xdr:colOff>92364</xdr:colOff>
      <xdr:row>35</xdr:row>
      <xdr:rowOff>98137</xdr:rowOff>
    </xdr:from>
    <xdr:to>
      <xdr:col>8</xdr:col>
      <xdr:colOff>267019</xdr:colOff>
      <xdr:row>52</xdr:row>
      <xdr:rowOff>125773</xdr:rowOff>
    </xdr:to>
    <xdr:grpSp>
      <xdr:nvGrpSpPr>
        <xdr:cNvPr id="45" name="Agrupar 44">
          <a:extLst>
            <a:ext uri="{FF2B5EF4-FFF2-40B4-BE49-F238E27FC236}">
              <a16:creationId xmlns:a16="http://schemas.microsoft.com/office/drawing/2014/main" id="{00000000-0008-0000-0700-00002D000000}"/>
            </a:ext>
          </a:extLst>
        </xdr:cNvPr>
        <xdr:cNvGrpSpPr/>
      </xdr:nvGrpSpPr>
      <xdr:grpSpPr>
        <a:xfrm>
          <a:off x="92364" y="6765637"/>
          <a:ext cx="4670455" cy="3266136"/>
          <a:chOff x="36182300" y="8426450"/>
          <a:chExt cx="4819650" cy="2597244"/>
        </a:xfrm>
      </xdr:grpSpPr>
      <xdr:graphicFrame macro="">
        <xdr:nvGraphicFramePr>
          <xdr:cNvPr id="46" name="Gráfico 45">
            <a:extLst>
              <a:ext uri="{FF2B5EF4-FFF2-40B4-BE49-F238E27FC236}">
                <a16:creationId xmlns:a16="http://schemas.microsoft.com/office/drawing/2014/main" id="{00000000-0008-0000-0700-00002E000000}"/>
              </a:ext>
            </a:extLst>
          </xdr:cNvPr>
          <xdr:cNvGraphicFramePr>
            <a:graphicFrameLocks/>
          </xdr:cNvGraphicFramePr>
        </xdr:nvGraphicFramePr>
        <xdr:xfrm>
          <a:off x="36182300" y="8426450"/>
          <a:ext cx="4819650" cy="2597244"/>
        </xdr:xfrm>
        <a:graphic>
          <a:graphicData uri="http://schemas.openxmlformats.org/drawingml/2006/chart">
            <c:chart xmlns:c="http://schemas.openxmlformats.org/drawingml/2006/chart" xmlns:r="http://schemas.openxmlformats.org/officeDocument/2006/relationships" r:id="rId8"/>
          </a:graphicData>
        </a:graphic>
      </xdr:graphicFrame>
      <xdr:sp macro="" textlink="">
        <xdr:nvSpPr>
          <xdr:cNvPr id="47" name="CaixaDeTexto 46">
            <a:extLst>
              <a:ext uri="{FF2B5EF4-FFF2-40B4-BE49-F238E27FC236}">
                <a16:creationId xmlns:a16="http://schemas.microsoft.com/office/drawing/2014/main" id="{00000000-0008-0000-0700-00002F000000}"/>
              </a:ext>
            </a:extLst>
          </xdr:cNvPr>
          <xdr:cNvSpPr txBox="1"/>
        </xdr:nvSpPr>
        <xdr:spPr>
          <a:xfrm>
            <a:off x="39514016" y="9085960"/>
            <a:ext cx="977045" cy="257646"/>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Pessoas ao serviço</a:t>
            </a:r>
          </a:p>
        </xdr:txBody>
      </xdr:sp>
      <xdr:sp macro="" textlink="">
        <xdr:nvSpPr>
          <xdr:cNvPr id="48" name="CaixaDeTexto 47">
            <a:extLst>
              <a:ext uri="{FF2B5EF4-FFF2-40B4-BE49-F238E27FC236}">
                <a16:creationId xmlns:a16="http://schemas.microsoft.com/office/drawing/2014/main" id="{00000000-0008-0000-0700-000030000000}"/>
              </a:ext>
            </a:extLst>
          </xdr:cNvPr>
          <xdr:cNvSpPr txBox="1"/>
        </xdr:nvSpPr>
        <xdr:spPr>
          <a:xfrm>
            <a:off x="39530506" y="9886770"/>
            <a:ext cx="977045" cy="257646"/>
          </a:xfrm>
          <a:prstGeom prst="rect">
            <a:avLst/>
          </a:prstGeom>
          <a:solidFill>
            <a:schemeClr val="tx1">
              <a:lumMod val="65000"/>
              <a:lumOff val="35000"/>
            </a:schemeClr>
          </a:solidFill>
          <a:ln w="9525" cap="flat" cmpd="sng" algn="ctr">
            <a:solidFill>
              <a:schemeClr val="bg1"/>
            </a:solidFill>
            <a:prstDash val="solid"/>
            <a:round/>
            <a:headEnd type="none" w="med" len="med"/>
            <a:tailEnd type="none" w="med" len="med"/>
          </a:ln>
          <a:effectLst/>
        </xdr:spPr>
        <xdr:txBody>
          <a:bodyPr wrap="square" lIns="18288" tIns="0" rIns="0" bIns="0" rtlCol="0" anchor="ctr" upright="1"/>
          <a:lstStyle/>
          <a:p>
            <a:pPr marL="0" indent="0" algn="ctr"/>
            <a:r>
              <a:rPr lang="pt-PT" sz="900" b="1">
                <a:solidFill>
                  <a:schemeClr val="bg1"/>
                </a:solidFill>
                <a:latin typeface="+mn-lt"/>
                <a:ea typeface="+mn-ea"/>
                <a:cs typeface="+mn-cs"/>
              </a:rPr>
              <a:t>TCO</a:t>
            </a:r>
          </a:p>
        </xdr:txBody>
      </xdr:sp>
      <xdr:sp macro="" textlink="q7_q8_q10_q11_Fig!$BH$5">
        <xdr:nvSpPr>
          <xdr:cNvPr id="49" name="CaixaDeTexto 48">
            <a:extLst>
              <a:ext uri="{FF2B5EF4-FFF2-40B4-BE49-F238E27FC236}">
                <a16:creationId xmlns:a16="http://schemas.microsoft.com/office/drawing/2014/main" id="{00000000-0008-0000-0700-000031000000}"/>
              </a:ext>
            </a:extLst>
          </xdr:cNvPr>
          <xdr:cNvSpPr txBox="1"/>
        </xdr:nvSpPr>
        <xdr:spPr>
          <a:xfrm>
            <a:off x="39525173" y="10159489"/>
            <a:ext cx="977045" cy="257646"/>
          </a:xfrm>
          <a:prstGeom prst="rect">
            <a:avLst/>
          </a:prstGeom>
          <a:gradFill flip="none" rotWithShape="1">
            <a:gsLst>
              <a:gs pos="0">
                <a:schemeClr val="accent6"/>
              </a:gs>
              <a:gs pos="48000">
                <a:srgbClr val="FFC000"/>
              </a:gs>
              <a:gs pos="100000">
                <a:srgbClr val="F5F5C1"/>
              </a:gs>
            </a:gsLst>
            <a:lin ang="16200000" scaled="0"/>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CB4B404-2108-4C4D-A04B-A6D5F7F0544E}" type="TxLink">
              <a:rPr lang="en-US" sz="1000" b="1" i="0" u="none" strike="noStrike">
                <a:solidFill>
                  <a:schemeClr val="bg1"/>
                </a:solidFill>
                <a:latin typeface="Arial"/>
                <a:ea typeface="+mn-ea"/>
                <a:cs typeface="Arial"/>
              </a:rPr>
              <a:pPr marL="0" indent="0" algn="ctr"/>
              <a:t>31,9%</a:t>
            </a:fld>
            <a:endParaRPr lang="pt-PT" sz="1000" b="1" i="0" u="none" strike="noStrike">
              <a:solidFill>
                <a:schemeClr val="bg1"/>
              </a:solidFill>
              <a:latin typeface="+mn-lt"/>
              <a:ea typeface="+mn-ea"/>
              <a:cs typeface="Arial"/>
            </a:endParaRPr>
          </a:p>
        </xdr:txBody>
      </xdr:sp>
      <xdr:sp macro="" textlink="q7_q8_q10_q11_Fig!$BH$4">
        <xdr:nvSpPr>
          <xdr:cNvPr id="50" name="CaixaDeTexto 49">
            <a:extLst>
              <a:ext uri="{FF2B5EF4-FFF2-40B4-BE49-F238E27FC236}">
                <a16:creationId xmlns:a16="http://schemas.microsoft.com/office/drawing/2014/main" id="{00000000-0008-0000-0700-000032000000}"/>
              </a:ext>
            </a:extLst>
          </xdr:cNvPr>
          <xdr:cNvSpPr txBox="1"/>
        </xdr:nvSpPr>
        <xdr:spPr>
          <a:xfrm>
            <a:off x="39527026" y="9368566"/>
            <a:ext cx="977045" cy="257646"/>
          </a:xfrm>
          <a:prstGeom prst="rect">
            <a:avLst/>
          </a:prstGeom>
          <a:gradFill flip="none" rotWithShape="1">
            <a:gsLst>
              <a:gs pos="0">
                <a:schemeClr val="accent1">
                  <a:lumMod val="67000"/>
                  <a:alpha val="0"/>
                </a:schemeClr>
              </a:gs>
              <a:gs pos="48000">
                <a:schemeClr val="accent1">
                  <a:lumMod val="97000"/>
                  <a:lumOff val="3000"/>
                </a:schemeClr>
              </a:gs>
              <a:gs pos="100000">
                <a:schemeClr val="accent1">
                  <a:lumMod val="60000"/>
                  <a:lumOff val="40000"/>
                </a:schemeClr>
              </a:gs>
            </a:gsLst>
            <a:lin ang="16200000" scaled="1"/>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14234B1-07DF-4947-B48B-976B47D35BDC}" type="TxLink">
              <a:rPr lang="en-US" sz="1000" b="1" i="0" u="none" strike="noStrike">
                <a:solidFill>
                  <a:schemeClr val="bg1"/>
                </a:solidFill>
                <a:latin typeface="Arial"/>
                <a:cs typeface="Arial"/>
              </a:rPr>
              <a:pPr algn="ctr"/>
              <a:t>30,4%</a:t>
            </a:fld>
            <a:endParaRPr lang="pt-PT" sz="1000" b="1">
              <a:solidFill>
                <a:schemeClr val="bg1"/>
              </a:solidFill>
              <a:latin typeface="+mn-lt"/>
            </a:endParaRPr>
          </a:p>
        </xdr:txBody>
      </xdr:sp>
    </xdr:grpSp>
    <xdr:clientData/>
  </xdr:twoCellAnchor>
  <xdr:twoCellAnchor>
    <xdr:from>
      <xdr:col>0</xdr:col>
      <xdr:colOff>36908</xdr:colOff>
      <xdr:row>27</xdr:row>
      <xdr:rowOff>67864</xdr:rowOff>
    </xdr:from>
    <xdr:to>
      <xdr:col>23</xdr:col>
      <xdr:colOff>0</xdr:colOff>
      <xdr:row>28</xdr:row>
      <xdr:rowOff>166953</xdr:rowOff>
    </xdr:to>
    <xdr:grpSp>
      <xdr:nvGrpSpPr>
        <xdr:cNvPr id="51" name="Agrupar 50">
          <a:extLst>
            <a:ext uri="{FF2B5EF4-FFF2-40B4-BE49-F238E27FC236}">
              <a16:creationId xmlns:a16="http://schemas.microsoft.com/office/drawing/2014/main" id="{00000000-0008-0000-0700-000033000000}"/>
            </a:ext>
          </a:extLst>
        </xdr:cNvPr>
        <xdr:cNvGrpSpPr/>
      </xdr:nvGrpSpPr>
      <xdr:grpSpPr>
        <a:xfrm>
          <a:off x="36908" y="5211364"/>
          <a:ext cx="13002817" cy="289589"/>
          <a:chOff x="0" y="3905035"/>
          <a:chExt cx="13591566" cy="304035"/>
        </a:xfrm>
      </xdr:grpSpPr>
      <xdr:grpSp>
        <xdr:nvGrpSpPr>
          <xdr:cNvPr id="52" name="Agrupar 51">
            <a:extLst>
              <a:ext uri="{FF2B5EF4-FFF2-40B4-BE49-F238E27FC236}">
                <a16:creationId xmlns:a16="http://schemas.microsoft.com/office/drawing/2014/main" id="{00000000-0008-0000-0700-000034000000}"/>
              </a:ext>
            </a:extLst>
          </xdr:cNvPr>
          <xdr:cNvGrpSpPr/>
        </xdr:nvGrpSpPr>
        <xdr:grpSpPr>
          <a:xfrm>
            <a:off x="0" y="3905035"/>
            <a:ext cx="13591566" cy="304035"/>
            <a:chOff x="230187" y="612160"/>
            <a:chExt cx="5846763" cy="499090"/>
          </a:xfrm>
        </xdr:grpSpPr>
        <xdr:sp macro="" textlink="">
          <xdr:nvSpPr>
            <xdr:cNvPr id="56" name="Rectangle 3">
              <a:extLst>
                <a:ext uri="{FF2B5EF4-FFF2-40B4-BE49-F238E27FC236}">
                  <a16:creationId xmlns:a16="http://schemas.microsoft.com/office/drawing/2014/main" id="{00000000-0008-0000-0700-000038000000}"/>
                </a:ext>
              </a:extLst>
            </xdr:cNvPr>
            <xdr:cNvSpPr>
              <a:spLocks noChangeArrowheads="1"/>
            </xdr:cNvSpPr>
          </xdr:nvSpPr>
          <xdr:spPr bwMode="auto">
            <a:xfrm>
              <a:off x="230187" y="673100"/>
              <a:ext cx="5846763" cy="438150"/>
            </a:xfrm>
            <a:prstGeom prst="rect">
              <a:avLst/>
            </a:prstGeom>
            <a:solidFill>
              <a:srgbClr val="00467A"/>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tx1"/>
                </a:solidFill>
                <a:effectLst>
                  <a:outerShdw blurRad="38100" dist="38100" dir="2700000" algn="tl">
                    <a:srgbClr val="000000"/>
                  </a:outerShdw>
                </a:effectLst>
                <a:latin typeface="Arial" charset="0"/>
              </a:endParaRPr>
            </a:p>
          </xdr:txBody>
        </xdr:sp>
        <xdr:sp macro="" textlink="">
          <xdr:nvSpPr>
            <xdr:cNvPr id="61" name="Text Box 10">
              <a:extLst>
                <a:ext uri="{FF2B5EF4-FFF2-40B4-BE49-F238E27FC236}">
                  <a16:creationId xmlns:a16="http://schemas.microsoft.com/office/drawing/2014/main" id="{00000000-0008-0000-0700-00003D000000}"/>
                </a:ext>
              </a:extLst>
            </xdr:cNvPr>
            <xdr:cNvSpPr txBox="1">
              <a:spLocks noChangeArrowheads="1"/>
            </xdr:cNvSpPr>
          </xdr:nvSpPr>
          <xdr:spPr bwMode="auto">
            <a:xfrm>
              <a:off x="273050" y="612160"/>
              <a:ext cx="805289" cy="415292"/>
            </a:xfrm>
            <a:prstGeom prst="rect">
              <a:avLst/>
            </a:prstGeom>
            <a:solidFill>
              <a:srgbClr val="FFE6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rgbClr val="00467A"/>
                  </a:solidFill>
                  <a:latin typeface="+mn-lt"/>
                </a:rPr>
                <a:t>Pessoas ao serviço e TCO</a:t>
              </a:r>
            </a:p>
          </xdr:txBody>
        </xdr:sp>
      </xdr:grpSp>
      <xdr:grpSp>
        <xdr:nvGrpSpPr>
          <xdr:cNvPr id="53" name="Agrupar 52">
            <a:extLst>
              <a:ext uri="{FF2B5EF4-FFF2-40B4-BE49-F238E27FC236}">
                <a16:creationId xmlns:a16="http://schemas.microsoft.com/office/drawing/2014/main" id="{00000000-0008-0000-0700-000035000000}"/>
              </a:ext>
            </a:extLst>
          </xdr:cNvPr>
          <xdr:cNvGrpSpPr/>
        </xdr:nvGrpSpPr>
        <xdr:grpSpPr>
          <a:xfrm>
            <a:off x="7195259" y="3946443"/>
            <a:ext cx="2821173" cy="222758"/>
            <a:chOff x="5945143" y="4242122"/>
            <a:chExt cx="2688263" cy="235546"/>
          </a:xfrm>
        </xdr:grpSpPr>
        <mc:AlternateContent xmlns:mc="http://schemas.openxmlformats.org/markup-compatibility/2006">
          <mc:Choice xmlns:a14="http://schemas.microsoft.com/office/drawing/2010/main" Requires="a14">
            <xdr:sp macro="" textlink="">
              <xdr:nvSpPr>
                <xdr:cNvPr id="5125" name="Drop Down 5" hidden="1">
                  <a:extLst>
                    <a:ext uri="{63B3BB69-23CF-44E3-9099-C40C66FF867C}">
                      <a14:compatExt spid="_x0000_s5125"/>
                    </a:ext>
                    <a:ext uri="{FF2B5EF4-FFF2-40B4-BE49-F238E27FC236}">
                      <a16:creationId xmlns:a16="http://schemas.microsoft.com/office/drawing/2014/main" id="{00000000-0008-0000-0700-000005140000}"/>
                    </a:ext>
                  </a:extLst>
                </xdr:cNvPr>
                <xdr:cNvSpPr/>
              </xdr:nvSpPr>
              <xdr:spPr bwMode="auto">
                <a:xfrm>
                  <a:off x="7393138" y="4254325"/>
                  <a:ext cx="1240268" cy="203873"/>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55" name="Text Box 10">
              <a:extLst>
                <a:ext uri="{FF2B5EF4-FFF2-40B4-BE49-F238E27FC236}">
                  <a16:creationId xmlns:a16="http://schemas.microsoft.com/office/drawing/2014/main" id="{00000000-0008-0000-0700-000037000000}"/>
                </a:ext>
              </a:extLst>
            </xdr:cNvPr>
            <xdr:cNvSpPr txBox="1">
              <a:spLocks noChangeArrowheads="1"/>
            </xdr:cNvSpPr>
          </xdr:nvSpPr>
          <xdr:spPr bwMode="auto">
            <a:xfrm>
              <a:off x="5945143" y="4242122"/>
              <a:ext cx="1421051" cy="235546"/>
            </a:xfrm>
            <a:prstGeom prst="rect">
              <a:avLst/>
            </a:prstGeom>
            <a:solidFill>
              <a:srgbClr val="FFE600"/>
            </a:solidFill>
            <a:ln w="9525">
              <a:solidFill>
                <a:srgbClr val="000000"/>
              </a:solidFill>
              <a:miter lim="800000"/>
              <a:headEnd/>
              <a:tailEnd/>
            </a:ln>
          </xdr:spPr>
          <xdr:txBody>
            <a:bodyPr wrap="square" lIns="95537" tIns="47768" rIns="95537" bIns="47768">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000" b="1">
                  <a:solidFill>
                    <a:schemeClr val="tx2">
                      <a:lumMod val="75000"/>
                    </a:schemeClr>
                  </a:solidFill>
                  <a:latin typeface="+mn-lt"/>
                </a:rPr>
                <a:t>Selecione uma opção:</a:t>
              </a:r>
              <a:endParaRPr lang="en-US" altLang="pt-PT" sz="1200" b="1">
                <a:solidFill>
                  <a:schemeClr val="tx2">
                    <a:lumMod val="75000"/>
                  </a:schemeClr>
                </a:solidFill>
                <a:latin typeface="Arial" charset="0"/>
              </a:endParaRPr>
            </a:p>
          </xdr:txBody>
        </xdr:sp>
      </xdr:grpSp>
    </xdr:grpSp>
    <xdr:clientData/>
  </xdr:twoCellAnchor>
  <xdr:twoCellAnchor>
    <xdr:from>
      <xdr:col>15</xdr:col>
      <xdr:colOff>572076</xdr:colOff>
      <xdr:row>29</xdr:row>
      <xdr:rowOff>98140</xdr:rowOff>
    </xdr:from>
    <xdr:to>
      <xdr:col>22</xdr:col>
      <xdr:colOff>500901</xdr:colOff>
      <xdr:row>34</xdr:row>
      <xdr:rowOff>5046</xdr:rowOff>
    </xdr:to>
    <xdr:sp macro="" textlink="q7_q8_q10_q11_Fig!$R$110">
      <xdr:nvSpPr>
        <xdr:cNvPr id="62" name="CaixaDeTexto 61">
          <a:extLst>
            <a:ext uri="{FF2B5EF4-FFF2-40B4-BE49-F238E27FC236}">
              <a16:creationId xmlns:a16="http://schemas.microsoft.com/office/drawing/2014/main" id="{00000000-0008-0000-0700-00003E000000}"/>
            </a:ext>
          </a:extLst>
        </xdr:cNvPr>
        <xdr:cNvSpPr txBox="1"/>
      </xdr:nvSpPr>
      <xdr:spPr>
        <a:xfrm>
          <a:off x="9398576" y="5446251"/>
          <a:ext cx="4176269" cy="824128"/>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fld id="{B6EB5655-C640-488E-84BF-C9F5455959BF}" type="TxLink">
            <a:rPr lang="en-US" sz="900" b="0" i="0" u="none" strike="noStrike" baseline="0">
              <a:solidFill>
                <a:srgbClr val="000000"/>
              </a:solidFill>
              <a:effectLst/>
              <a:latin typeface="+mn-lt"/>
              <a:ea typeface="+mn-ea"/>
              <a:cs typeface="Arial"/>
            </a:rPr>
            <a:pPr marL="0" marR="0" lvl="0" indent="0" algn="l" defTabSz="914400" eaLnBrk="1" fontAlgn="auto" latinLnBrk="0" hangingPunct="1">
              <a:lnSpc>
                <a:spcPct val="100000"/>
              </a:lnSpc>
              <a:spcBef>
                <a:spcPts val="0"/>
              </a:spcBef>
              <a:spcAft>
                <a:spcPts val="0"/>
              </a:spcAft>
              <a:buClrTx/>
              <a:buSzTx/>
              <a:buFontTx/>
              <a:buNone/>
              <a:tabLst/>
              <a:defRPr/>
            </a:pPr>
            <a:t>2012 - 2022:
Micro e Pequenos estabelecimentos têm ao serviço mais de 54% dos TCO (entre 53,9% e 59,3%);
Micro estabelecimentos: entre 23,1% e 28,5%;
Pequenos estabelecimentos: entre 30,5% e 30,8%.</a:t>
          </a:fld>
          <a:endParaRPr lang="en-US" sz="900" b="0" baseline="0">
            <a:solidFill>
              <a:schemeClr val="dk1"/>
            </a:solidFill>
            <a:effectLst/>
            <a:latin typeface="+mn-lt"/>
            <a:ea typeface="+mn-ea"/>
            <a:cs typeface="+mn-cs"/>
          </a:endParaRPr>
        </a:p>
      </xdr:txBody>
    </xdr:sp>
    <xdr:clientData/>
  </xdr:twoCellAnchor>
  <xdr:twoCellAnchor>
    <xdr:from>
      <xdr:col>21</xdr:col>
      <xdr:colOff>19050</xdr:colOff>
      <xdr:row>0</xdr:row>
      <xdr:rowOff>98426</xdr:rowOff>
    </xdr:from>
    <xdr:to>
      <xdr:col>22</xdr:col>
      <xdr:colOff>471541</xdr:colOff>
      <xdr:row>1</xdr:row>
      <xdr:rowOff>145353</xdr:rowOff>
    </xdr:to>
    <xdr:sp macro="" textlink="">
      <xdr:nvSpPr>
        <xdr:cNvPr id="42" name="Text Box 10">
          <a:hlinkClick xmlns:r="http://schemas.openxmlformats.org/officeDocument/2006/relationships" r:id="rId9"/>
          <a:extLst>
            <a:ext uri="{FF2B5EF4-FFF2-40B4-BE49-F238E27FC236}">
              <a16:creationId xmlns:a16="http://schemas.microsoft.com/office/drawing/2014/main" id="{00000000-0008-0000-0700-00002A000000}"/>
            </a:ext>
          </a:extLst>
        </xdr:cNvPr>
        <xdr:cNvSpPr txBox="1">
          <a:spLocks noChangeArrowheads="1"/>
        </xdr:cNvSpPr>
      </xdr:nvSpPr>
      <xdr:spPr bwMode="auto">
        <a:xfrm>
          <a:off x="11896725" y="98426"/>
          <a:ext cx="1033516" cy="237427"/>
        </a:xfrm>
        <a:prstGeom prst="rect">
          <a:avLst/>
        </a:prstGeom>
        <a:solidFill>
          <a:srgbClr val="FFE6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a:extLs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nchor="ctr">
          <a:no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ctr">
            <a:spcBef>
              <a:spcPct val="50000"/>
            </a:spcBef>
          </a:pPr>
          <a:r>
            <a:rPr lang="en-US" altLang="pt-PT" sz="1000" b="1">
              <a:solidFill>
                <a:srgbClr val="00467A"/>
              </a:solidFill>
              <a:latin typeface="+mn-lt"/>
            </a:rPr>
            <a:t>Voltar ao</a:t>
          </a:r>
          <a:r>
            <a:rPr lang="en-US" altLang="pt-PT" sz="1000" b="1" baseline="0">
              <a:solidFill>
                <a:srgbClr val="00467A"/>
              </a:solidFill>
              <a:latin typeface="+mn-lt"/>
            </a:rPr>
            <a:t> Índice</a:t>
          </a:r>
          <a:endParaRPr lang="en-US" altLang="pt-PT" sz="1200" b="1">
            <a:solidFill>
              <a:srgbClr val="00467A"/>
            </a:solidFill>
            <a:latin typeface="Arial" charset="0"/>
          </a:endParaRPr>
        </a:p>
      </xdr:txBody>
    </xdr:sp>
    <xdr:clientData/>
  </xdr:twoCellAnchor>
  <xdr:twoCellAnchor>
    <xdr:from>
      <xdr:col>0</xdr:col>
      <xdr:colOff>169334</xdr:colOff>
      <xdr:row>4</xdr:row>
      <xdr:rowOff>134055</xdr:rowOff>
    </xdr:from>
    <xdr:to>
      <xdr:col>7</xdr:col>
      <xdr:colOff>73817</xdr:colOff>
      <xdr:row>8</xdr:row>
      <xdr:rowOff>133347</xdr:rowOff>
    </xdr:to>
    <xdr:sp macro="" textlink="">
      <xdr:nvSpPr>
        <xdr:cNvPr id="43" name="CaixaDeTexto 42">
          <a:extLst>
            <a:ext uri="{FF2B5EF4-FFF2-40B4-BE49-F238E27FC236}">
              <a16:creationId xmlns:a16="http://schemas.microsoft.com/office/drawing/2014/main" id="{00000000-0008-0000-0700-00002B000000}"/>
            </a:ext>
          </a:extLst>
        </xdr:cNvPr>
        <xdr:cNvSpPr txBox="1"/>
      </xdr:nvSpPr>
      <xdr:spPr>
        <a:xfrm>
          <a:off x="169334" y="867833"/>
          <a:ext cx="4053150" cy="740125"/>
        </a:xfrm>
        <a:prstGeom prst="rect">
          <a:avLst/>
        </a:prstGeom>
        <a:no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900" b="1" u="sng" baseline="0">
              <a:solidFill>
                <a:schemeClr val="dk1"/>
              </a:solidFill>
              <a:effectLst/>
              <a:latin typeface="+mn-lt"/>
              <a:ea typeface="+mn-ea"/>
              <a:cs typeface="+mn-cs"/>
            </a:rPr>
            <a:t>2022:</a:t>
          </a:r>
          <a:r>
            <a:rPr lang="en-US" sz="900" b="1" baseline="0">
              <a:solidFill>
                <a:schemeClr val="dk1"/>
              </a:solidFill>
              <a:effectLst/>
              <a:latin typeface="+mn-lt"/>
              <a:ea typeface="+mn-ea"/>
              <a:cs typeface="+mn-cs"/>
            </a:rPr>
            <a:t>                                                                </a:t>
          </a:r>
          <a:r>
            <a:rPr lang="en-US" sz="900" b="1" u="sng" baseline="0">
              <a:solidFill>
                <a:schemeClr val="dk1"/>
              </a:solidFill>
              <a:effectLst/>
              <a:latin typeface="+mn-lt"/>
              <a:ea typeface="+mn-ea"/>
              <a:cs typeface="+mn-cs"/>
            </a:rPr>
            <a:t>2022 vs. 2021</a:t>
          </a:r>
          <a:r>
            <a:rPr lang="en-US" sz="900" b="1" baseline="0">
              <a:solidFill>
                <a:schemeClr val="dk1"/>
              </a:solidFill>
              <a:effectLst/>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lang="en-US" sz="900" b="0" baseline="0">
              <a:solidFill>
                <a:schemeClr val="dk1"/>
              </a:solidFill>
              <a:effectLst/>
              <a:latin typeface="+mn-lt"/>
              <a:ea typeface="+mn-ea"/>
              <a:cs typeface="+mn-cs"/>
            </a:rPr>
            <a:t>284.860 empresas                                         + 13.054 empresas (+4,8%)</a:t>
          </a:r>
        </a:p>
        <a:p>
          <a:pPr marL="0" marR="0" lvl="0" indent="0" algn="l" defTabSz="914400" eaLnBrk="1" fontAlgn="auto" latinLnBrk="0" hangingPunct="1">
            <a:lnSpc>
              <a:spcPct val="100000"/>
            </a:lnSpc>
            <a:spcBef>
              <a:spcPts val="0"/>
            </a:spcBef>
            <a:spcAft>
              <a:spcPts val="0"/>
            </a:spcAft>
            <a:buClrTx/>
            <a:buSzTx/>
            <a:buFontTx/>
            <a:buNone/>
            <a:tabLst/>
            <a:defRPr/>
          </a:pPr>
          <a:r>
            <a:rPr lang="en-US" sz="900" b="0" baseline="0">
              <a:solidFill>
                <a:schemeClr val="dk1"/>
              </a:solidFill>
              <a:effectLst/>
              <a:latin typeface="+mn-lt"/>
              <a:ea typeface="+mn-ea"/>
              <a:cs typeface="+mn-cs"/>
            </a:rPr>
            <a:t>332.683 estabelecimentos                           + 14.429 stabelecimentos (+4,5%)</a:t>
          </a:r>
        </a:p>
      </xdr:txBody>
    </xdr:sp>
    <xdr:clientData/>
  </xdr:twoCellAnchor>
  <xdr:twoCellAnchor>
    <xdr:from>
      <xdr:col>0</xdr:col>
      <xdr:colOff>303389</xdr:colOff>
      <xdr:row>29</xdr:row>
      <xdr:rowOff>98778</xdr:rowOff>
    </xdr:from>
    <xdr:to>
      <xdr:col>7</xdr:col>
      <xdr:colOff>207872</xdr:colOff>
      <xdr:row>33</xdr:row>
      <xdr:rowOff>105125</xdr:rowOff>
    </xdr:to>
    <xdr:sp macro="" textlink="">
      <xdr:nvSpPr>
        <xdr:cNvPr id="54" name="CaixaDeTexto 53">
          <a:extLst>
            <a:ext uri="{FF2B5EF4-FFF2-40B4-BE49-F238E27FC236}">
              <a16:creationId xmlns:a16="http://schemas.microsoft.com/office/drawing/2014/main" id="{00000000-0008-0000-0700-000036000000}"/>
            </a:ext>
          </a:extLst>
        </xdr:cNvPr>
        <xdr:cNvSpPr txBox="1"/>
      </xdr:nvSpPr>
      <xdr:spPr>
        <a:xfrm>
          <a:off x="303389" y="5446889"/>
          <a:ext cx="4053150" cy="740125"/>
        </a:xfrm>
        <a:prstGeom prst="rect">
          <a:avLst/>
        </a:prstGeom>
        <a:noFill/>
        <a:ln w="28575" cmpd="sng">
          <a:solidFill>
            <a:srgbClr val="4F81BD"/>
          </a:solidFill>
        </a:ln>
        <a:effectLst/>
      </xdr:spPr>
      <xdr:txBody>
        <a:bodyPr vertOverflow="clip" horzOverflow="clip" wrap="square" rtlCol="0" anchor="ctr"/>
        <a:lstStyle/>
        <a:p>
          <a:pPr eaLnBrk="1" fontAlgn="auto" latinLnBrk="0" hangingPunct="1"/>
          <a:r>
            <a:rPr lang="en-US" sz="900" b="1" u="sng" baseline="0">
              <a:effectLst/>
              <a:latin typeface="+mn-lt"/>
              <a:ea typeface="+mn-ea"/>
              <a:cs typeface="+mn-cs"/>
            </a:rPr>
            <a:t>2022:</a:t>
          </a:r>
          <a:r>
            <a:rPr lang="en-US" sz="900" b="1" baseline="0">
              <a:effectLst/>
              <a:latin typeface="+mn-lt"/>
              <a:ea typeface="+mn-ea"/>
              <a:cs typeface="+mn-cs"/>
            </a:rPr>
            <a:t>                                                           </a:t>
          </a:r>
          <a:r>
            <a:rPr lang="en-US" sz="900" b="1" u="sng" baseline="0">
              <a:effectLst/>
              <a:latin typeface="+mn-lt"/>
              <a:ea typeface="+mn-ea"/>
              <a:cs typeface="+mn-cs"/>
            </a:rPr>
            <a:t>2022 vs. 2021</a:t>
          </a:r>
          <a:r>
            <a:rPr lang="en-US" sz="900" b="1" baseline="0">
              <a:effectLst/>
              <a:latin typeface="+mn-lt"/>
              <a:ea typeface="+mn-ea"/>
              <a:cs typeface="+mn-cs"/>
            </a:rPr>
            <a:t>: </a:t>
          </a:r>
        </a:p>
        <a:p>
          <a:pPr eaLnBrk="1" fontAlgn="auto" latinLnBrk="0" hangingPunct="1"/>
          <a:r>
            <a:rPr lang="en-US" sz="900" b="0" baseline="0">
              <a:effectLst/>
              <a:latin typeface="+mn-lt"/>
              <a:ea typeface="+mn-ea"/>
              <a:cs typeface="+mn-cs"/>
            </a:rPr>
            <a:t>3.337.082 pessoas ao serviço               + 234.737 pessoas ao serviço (+ 7,6%)</a:t>
          </a:r>
        </a:p>
        <a:p>
          <a:pPr eaLnBrk="1" fontAlgn="auto" latinLnBrk="0" hangingPunct="1"/>
          <a:r>
            <a:rPr lang="en-US" sz="900" b="0" baseline="0">
              <a:effectLst/>
              <a:latin typeface="+mn-lt"/>
              <a:ea typeface="+mn-ea"/>
              <a:cs typeface="+mn-cs"/>
            </a:rPr>
            <a:t>3.148.147 TCO                                         + 225.804 TCO (+ 7,7%)</a:t>
          </a:r>
        </a:p>
      </xdr:txBody>
    </xdr:sp>
    <xdr:clientData/>
  </xdr:twoCellAnchor>
</xdr:wsDr>
</file>

<file path=xl/drawings/drawing70.xml><?xml version="1.0" encoding="utf-8"?>
<xdr:wsDr xmlns:xdr="http://schemas.openxmlformats.org/drawingml/2006/spreadsheetDrawing" xmlns:a="http://schemas.openxmlformats.org/drawingml/2006/main">
  <xdr:oneCellAnchor>
    <xdr:from>
      <xdr:col>10</xdr:col>
      <xdr:colOff>171449</xdr:colOff>
      <xdr:row>0</xdr:row>
      <xdr:rowOff>314325</xdr:rowOff>
    </xdr:from>
    <xdr:ext cx="790476" cy="276190"/>
    <xdr:pic>
      <xdr:nvPicPr>
        <xdr:cNvPr id="3" name="Picture 5">
          <a:hlinkClick xmlns:r="http://schemas.openxmlformats.org/officeDocument/2006/relationships" r:id="rId1"/>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353049" y="314325"/>
          <a:ext cx="790476" cy="276190"/>
        </a:xfrm>
        <a:prstGeom prst="rect">
          <a:avLst/>
        </a:prstGeom>
        <a:noFill/>
        <a:ln w="1">
          <a:noFill/>
          <a:miter lim="800000"/>
          <a:headEnd/>
          <a:tailEnd type="none" w="med" len="med"/>
        </a:ln>
        <a:effectLst/>
      </xdr:spPr>
    </xdr:pic>
    <xdr:clientData fPrintsWithSheet="0"/>
  </xdr:oneCellAnchor>
</xdr:wsDr>
</file>

<file path=xl/drawings/drawing71.xml><?xml version="1.0" encoding="utf-8"?>
<xdr:wsDr xmlns:xdr="http://schemas.openxmlformats.org/drawingml/2006/spreadsheetDrawing" xmlns:a="http://schemas.openxmlformats.org/drawingml/2006/main">
  <xdr:oneCellAnchor>
    <xdr:from>
      <xdr:col>10</xdr:col>
      <xdr:colOff>171449</xdr:colOff>
      <xdr:row>0</xdr:row>
      <xdr:rowOff>304800</xdr:rowOff>
    </xdr:from>
    <xdr:ext cx="790476" cy="276190"/>
    <xdr:pic>
      <xdr:nvPicPr>
        <xdr:cNvPr id="2" name="Picture 5">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603999" y="304800"/>
          <a:ext cx="790476" cy="276190"/>
        </a:xfrm>
        <a:prstGeom prst="rect">
          <a:avLst/>
        </a:prstGeom>
        <a:noFill/>
        <a:ln w="1">
          <a:noFill/>
          <a:miter lim="800000"/>
          <a:headEnd/>
          <a:tailEnd type="none" w="med" len="med"/>
        </a:ln>
        <a:effectLst/>
      </xdr:spPr>
    </xdr:pic>
    <xdr:clientData fPrintsWithSheet="0"/>
  </xdr:oneCellAnchor>
</xdr:wsDr>
</file>

<file path=xl/drawings/drawing72.xml><?xml version="1.0" encoding="utf-8"?>
<xdr:wsDr xmlns:xdr="http://schemas.openxmlformats.org/drawingml/2006/spreadsheetDrawing" xmlns:a="http://schemas.openxmlformats.org/drawingml/2006/main">
  <xdr:twoCellAnchor>
    <xdr:from>
      <xdr:col>6</xdr:col>
      <xdr:colOff>425450</xdr:colOff>
      <xdr:row>2</xdr:row>
      <xdr:rowOff>28575</xdr:rowOff>
    </xdr:from>
    <xdr:to>
      <xdr:col>10</xdr:col>
      <xdr:colOff>225425</xdr:colOff>
      <xdr:row>2</xdr:row>
      <xdr:rowOff>28575</xdr:rowOff>
    </xdr:to>
    <xdr:sp macro="" textlink="">
      <xdr:nvSpPr>
        <xdr:cNvPr id="2" name="Line 3">
          <a:extLst>
            <a:ext uri="{FF2B5EF4-FFF2-40B4-BE49-F238E27FC236}">
              <a16:creationId xmlns:a16="http://schemas.microsoft.com/office/drawing/2014/main" id="{00000000-0008-0000-2900-000002000000}"/>
            </a:ext>
          </a:extLst>
        </xdr:cNvPr>
        <xdr:cNvSpPr>
          <a:spLocks noChangeShapeType="1"/>
        </xdr:cNvSpPr>
      </xdr:nvSpPr>
      <xdr:spPr bwMode="auto">
        <a:xfrm>
          <a:off x="3911600" y="409575"/>
          <a:ext cx="2124075" cy="0"/>
        </a:xfrm>
        <a:prstGeom prst="line">
          <a:avLst/>
        </a:prstGeom>
        <a:noFill/>
        <a:ln w="25400">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136525</xdr:colOff>
      <xdr:row>7</xdr:row>
      <xdr:rowOff>60325</xdr:rowOff>
    </xdr:from>
    <xdr:to>
      <xdr:col>9</xdr:col>
      <xdr:colOff>355600</xdr:colOff>
      <xdr:row>12</xdr:row>
      <xdr:rowOff>173038</xdr:rowOff>
    </xdr:to>
    <xdr:sp macro="" textlink="">
      <xdr:nvSpPr>
        <xdr:cNvPr id="3" name="Rectangle 5">
          <a:extLst>
            <a:ext uri="{FF2B5EF4-FFF2-40B4-BE49-F238E27FC236}">
              <a16:creationId xmlns:a16="http://schemas.microsoft.com/office/drawing/2014/main" id="{00000000-0008-0000-2900-000003000000}"/>
            </a:ext>
          </a:extLst>
        </xdr:cNvPr>
        <xdr:cNvSpPr>
          <a:spLocks noChangeArrowheads="1"/>
        </xdr:cNvSpPr>
      </xdr:nvSpPr>
      <xdr:spPr bwMode="auto">
        <a:xfrm>
          <a:off x="5365750" y="1393825"/>
          <a:ext cx="219075" cy="1065213"/>
        </a:xfrm>
        <a:prstGeom prst="rect">
          <a:avLst/>
        </a:prstGeom>
        <a:solidFill>
          <a:srgbClr val="FFFF00"/>
        </a:solidFill>
        <a:ln>
          <a:noFill/>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9</xdr:col>
      <xdr:colOff>120650</xdr:colOff>
      <xdr:row>0</xdr:row>
      <xdr:rowOff>0</xdr:rowOff>
    </xdr:from>
    <xdr:to>
      <xdr:col>9</xdr:col>
      <xdr:colOff>136525</xdr:colOff>
      <xdr:row>12</xdr:row>
      <xdr:rowOff>157163</xdr:rowOff>
    </xdr:to>
    <xdr:sp macro="" textlink="">
      <xdr:nvSpPr>
        <xdr:cNvPr id="4" name="Line 6">
          <a:extLst>
            <a:ext uri="{FF2B5EF4-FFF2-40B4-BE49-F238E27FC236}">
              <a16:creationId xmlns:a16="http://schemas.microsoft.com/office/drawing/2014/main" id="{00000000-0008-0000-2900-000004000000}"/>
            </a:ext>
          </a:extLst>
        </xdr:cNvPr>
        <xdr:cNvSpPr>
          <a:spLocks noChangeShapeType="1"/>
        </xdr:cNvSpPr>
      </xdr:nvSpPr>
      <xdr:spPr bwMode="auto">
        <a:xfrm rot="5421033" flipH="1">
          <a:off x="4136231" y="1213644"/>
          <a:ext cx="2443163" cy="15875"/>
        </a:xfrm>
        <a:prstGeom prst="line">
          <a:avLst/>
        </a:prstGeom>
        <a:noFill/>
        <a:ln w="2857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8</xdr:col>
      <xdr:colOff>325437</xdr:colOff>
      <xdr:row>7</xdr:row>
      <xdr:rowOff>57151</xdr:rowOff>
    </xdr:from>
    <xdr:to>
      <xdr:col>10</xdr:col>
      <xdr:colOff>533400</xdr:colOff>
      <xdr:row>7</xdr:row>
      <xdr:rowOff>58739</xdr:rowOff>
    </xdr:to>
    <xdr:sp macro="" textlink="">
      <xdr:nvSpPr>
        <xdr:cNvPr id="5" name="Line 7">
          <a:extLst>
            <a:ext uri="{FF2B5EF4-FFF2-40B4-BE49-F238E27FC236}">
              <a16:creationId xmlns:a16="http://schemas.microsoft.com/office/drawing/2014/main" id="{00000000-0008-0000-2900-000005000000}"/>
            </a:ext>
          </a:extLst>
        </xdr:cNvPr>
        <xdr:cNvSpPr>
          <a:spLocks noChangeShapeType="1"/>
        </xdr:cNvSpPr>
      </xdr:nvSpPr>
      <xdr:spPr bwMode="auto">
        <a:xfrm flipV="1">
          <a:off x="4973637" y="1390651"/>
          <a:ext cx="1370013" cy="1588"/>
        </a:xfrm>
        <a:prstGeom prst="line">
          <a:avLst/>
        </a:prstGeom>
        <a:noFill/>
        <a:ln w="28575">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3</xdr:col>
      <xdr:colOff>336550</xdr:colOff>
      <xdr:row>12</xdr:row>
      <xdr:rowOff>173038</xdr:rowOff>
    </xdr:from>
    <xdr:to>
      <xdr:col>9</xdr:col>
      <xdr:colOff>355600</xdr:colOff>
      <xdr:row>12</xdr:row>
      <xdr:rowOff>173038</xdr:rowOff>
    </xdr:to>
    <xdr:sp macro="" textlink="">
      <xdr:nvSpPr>
        <xdr:cNvPr id="6" name="Line 11">
          <a:extLst>
            <a:ext uri="{FF2B5EF4-FFF2-40B4-BE49-F238E27FC236}">
              <a16:creationId xmlns:a16="http://schemas.microsoft.com/office/drawing/2014/main" id="{00000000-0008-0000-2900-000006000000}"/>
            </a:ext>
          </a:extLst>
        </xdr:cNvPr>
        <xdr:cNvSpPr>
          <a:spLocks noChangeShapeType="1"/>
        </xdr:cNvSpPr>
      </xdr:nvSpPr>
      <xdr:spPr bwMode="auto">
        <a:xfrm>
          <a:off x="2079625" y="2459038"/>
          <a:ext cx="3505200" cy="0"/>
        </a:xfrm>
        <a:prstGeom prst="line">
          <a:avLst/>
        </a:prstGeom>
        <a:noFill/>
        <a:ln w="28575">
          <a:solidFill>
            <a:srgbClr val="FFFF00"/>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352425</xdr:colOff>
      <xdr:row>2</xdr:row>
      <xdr:rowOff>28575</xdr:rowOff>
    </xdr:from>
    <xdr:to>
      <xdr:col>9</xdr:col>
      <xdr:colOff>355600</xdr:colOff>
      <xdr:row>14</xdr:row>
      <xdr:rowOff>82550</xdr:rowOff>
    </xdr:to>
    <xdr:sp macro="" textlink="">
      <xdr:nvSpPr>
        <xdr:cNvPr id="7" name="Line 12">
          <a:extLst>
            <a:ext uri="{FF2B5EF4-FFF2-40B4-BE49-F238E27FC236}">
              <a16:creationId xmlns:a16="http://schemas.microsoft.com/office/drawing/2014/main" id="{00000000-0008-0000-2900-000007000000}"/>
            </a:ext>
          </a:extLst>
        </xdr:cNvPr>
        <xdr:cNvSpPr>
          <a:spLocks noChangeShapeType="1"/>
        </xdr:cNvSpPr>
      </xdr:nvSpPr>
      <xdr:spPr bwMode="auto">
        <a:xfrm rot="5397016">
          <a:off x="4413250" y="1577975"/>
          <a:ext cx="2339975" cy="3175"/>
        </a:xfrm>
        <a:prstGeom prst="line">
          <a:avLst/>
        </a:prstGeom>
        <a:noFill/>
        <a:ln w="1460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0</xdr:col>
      <xdr:colOff>0</xdr:colOff>
      <xdr:row>28</xdr:row>
      <xdr:rowOff>73025</xdr:rowOff>
    </xdr:from>
    <xdr:to>
      <xdr:col>10</xdr:col>
      <xdr:colOff>536575</xdr:colOff>
      <xdr:row>32</xdr:row>
      <xdr:rowOff>46038</xdr:rowOff>
    </xdr:to>
    <xdr:sp macro="" textlink="">
      <xdr:nvSpPr>
        <xdr:cNvPr id="8" name="Rectangle 2">
          <a:extLst>
            <a:ext uri="{FF2B5EF4-FFF2-40B4-BE49-F238E27FC236}">
              <a16:creationId xmlns:a16="http://schemas.microsoft.com/office/drawing/2014/main" id="{00000000-0008-0000-2900-000008000000}"/>
            </a:ext>
          </a:extLst>
        </xdr:cNvPr>
        <xdr:cNvSpPr>
          <a:spLocks noChangeArrowheads="1"/>
        </xdr:cNvSpPr>
      </xdr:nvSpPr>
      <xdr:spPr bwMode="auto">
        <a:xfrm>
          <a:off x="0" y="4454525"/>
          <a:ext cx="6346825" cy="735013"/>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0</xdr:col>
      <xdr:colOff>147637</xdr:colOff>
      <xdr:row>27</xdr:row>
      <xdr:rowOff>101600</xdr:rowOff>
    </xdr:from>
    <xdr:to>
      <xdr:col>5</xdr:col>
      <xdr:colOff>547687</xdr:colOff>
      <xdr:row>31</xdr:row>
      <xdr:rowOff>68263</xdr:rowOff>
    </xdr:to>
    <xdr:sp macro="" textlink="">
      <xdr:nvSpPr>
        <xdr:cNvPr id="9" name="Rectangle 3">
          <a:extLst>
            <a:ext uri="{FF2B5EF4-FFF2-40B4-BE49-F238E27FC236}">
              <a16:creationId xmlns:a16="http://schemas.microsoft.com/office/drawing/2014/main" id="{00000000-0008-0000-2900-000009000000}"/>
            </a:ext>
          </a:extLst>
        </xdr:cNvPr>
        <xdr:cNvSpPr>
          <a:spLocks noChangeArrowheads="1"/>
        </xdr:cNvSpPr>
      </xdr:nvSpPr>
      <xdr:spPr bwMode="auto">
        <a:xfrm>
          <a:off x="147637" y="4292600"/>
          <a:ext cx="3305175" cy="728663"/>
        </a:xfrm>
        <a:prstGeom prst="rect">
          <a:avLst/>
        </a:prstGeom>
        <a:solidFill>
          <a:srgbClr val="FFE600"/>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clientData/>
  </xdr:twoCellAnchor>
  <xdr:twoCellAnchor>
    <xdr:from>
      <xdr:col>0</xdr:col>
      <xdr:colOff>158750</xdr:colOff>
      <xdr:row>28</xdr:row>
      <xdr:rowOff>147638</xdr:rowOff>
    </xdr:from>
    <xdr:to>
      <xdr:col>4</xdr:col>
      <xdr:colOff>277812</xdr:colOff>
      <xdr:row>30</xdr:row>
      <xdr:rowOff>84321</xdr:rowOff>
    </xdr:to>
    <xdr:sp macro="" textlink="">
      <xdr:nvSpPr>
        <xdr:cNvPr id="10" name="Text Box 10">
          <a:extLst>
            <a:ext uri="{FF2B5EF4-FFF2-40B4-BE49-F238E27FC236}">
              <a16:creationId xmlns:a16="http://schemas.microsoft.com/office/drawing/2014/main" id="{00000000-0008-0000-2900-00000A000000}"/>
            </a:ext>
          </a:extLst>
        </xdr:cNvPr>
        <xdr:cNvSpPr txBox="1">
          <a:spLocks noChangeArrowheads="1"/>
        </xdr:cNvSpPr>
      </xdr:nvSpPr>
      <xdr:spPr bwMode="auto">
        <a:xfrm>
          <a:off x="158750" y="4529138"/>
          <a:ext cx="2443162" cy="317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500" b="1">
              <a:solidFill>
                <a:srgbClr val="00467A"/>
              </a:solidFill>
              <a:latin typeface="Arial" charset="0"/>
            </a:rPr>
            <a:t>Emprego</a:t>
          </a:r>
        </a:p>
      </xdr:txBody>
    </xdr:sp>
    <xdr:clientData/>
  </xdr:twoCellAnchor>
  <xdr:twoCellAnchor>
    <xdr:from>
      <xdr:col>10</xdr:col>
      <xdr:colOff>196850</xdr:colOff>
      <xdr:row>29</xdr:row>
      <xdr:rowOff>11113</xdr:rowOff>
    </xdr:from>
    <xdr:to>
      <xdr:col>10</xdr:col>
      <xdr:colOff>307975</xdr:colOff>
      <xdr:row>31</xdr:row>
      <xdr:rowOff>100013</xdr:rowOff>
    </xdr:to>
    <xdr:sp macro="" textlink="">
      <xdr:nvSpPr>
        <xdr:cNvPr id="11" name="WordArt 4">
          <a:extLst>
            <a:ext uri="{FF2B5EF4-FFF2-40B4-BE49-F238E27FC236}">
              <a16:creationId xmlns:a16="http://schemas.microsoft.com/office/drawing/2014/main" id="{00000000-0008-0000-2900-00000B000000}"/>
            </a:ext>
          </a:extLst>
        </xdr:cNvPr>
        <xdr:cNvSpPr>
          <a:spLocks noChangeArrowheads="1" noChangeShapeType="1" noTextEdit="1"/>
        </xdr:cNvSpPr>
      </xdr:nvSpPr>
      <xdr:spPr bwMode="auto">
        <a:xfrm>
          <a:off x="6007100" y="4583113"/>
          <a:ext cx="111125" cy="4699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a:t>
          </a:r>
        </a:p>
      </xdr:txBody>
    </xdr:sp>
    <xdr:clientData/>
  </xdr:twoCellAnchor>
  <xdr:twoCellAnchor>
    <xdr:from>
      <xdr:col>9</xdr:col>
      <xdr:colOff>552450</xdr:colOff>
      <xdr:row>29</xdr:row>
      <xdr:rowOff>0</xdr:rowOff>
    </xdr:from>
    <xdr:to>
      <xdr:col>10</xdr:col>
      <xdr:colOff>83025</xdr:colOff>
      <xdr:row>31</xdr:row>
      <xdr:rowOff>90600</xdr:rowOff>
    </xdr:to>
    <xdr:sp macro="" textlink="">
      <xdr:nvSpPr>
        <xdr:cNvPr id="40961" name="Text Box 1">
          <a:extLst>
            <a:ext uri="{FF2B5EF4-FFF2-40B4-BE49-F238E27FC236}">
              <a16:creationId xmlns:a16="http://schemas.microsoft.com/office/drawing/2014/main" id="{00000000-0008-0000-2900-000001A00000}"/>
            </a:ext>
          </a:extLst>
        </xdr:cNvPr>
        <xdr:cNvSpPr txBox="1">
          <a:spLocks noChangeArrowheads="1"/>
        </xdr:cNvSpPr>
      </xdr:nvSpPr>
      <xdr:spPr bwMode="auto">
        <a:xfrm>
          <a:off x="5781675" y="4572000"/>
          <a:ext cx="111600" cy="471600"/>
        </a:xfrm>
        <a:prstGeom prst="rect">
          <a:avLst/>
        </a:prstGeom>
        <a:solidFill>
          <a:srgbClr val="00467A"/>
        </a:solidFill>
        <a:ln w="9525">
          <a:solidFill>
            <a:schemeClr val="bg1"/>
          </a:solidFill>
          <a:miter lim="800000"/>
          <a:headEnd/>
          <a:tailEnd/>
        </a:ln>
      </xdr:spPr>
      <xdr:txBody>
        <a:bodyPr vertOverflow="clip" wrap="square" lIns="27432" tIns="22860" rIns="0" bIns="0" anchor="t" upright="1"/>
        <a:lstStyle/>
        <a:p>
          <a:pPr algn="l" rtl="0">
            <a:defRPr sz="1000"/>
          </a:pPr>
          <a:endParaRPr lang="pt-PT" sz="1000" b="0" i="0" u="none" strike="noStrike" baseline="0">
            <a:solidFill>
              <a:srgbClr val="000000"/>
            </a:solidFill>
            <a:latin typeface="Arial"/>
            <a:cs typeface="Arial"/>
          </a:endParaRPr>
        </a:p>
      </xdr:txBody>
    </xdr:sp>
    <xdr:clientData/>
  </xdr:twoCellAnchor>
</xdr:wsDr>
</file>

<file path=xl/drawings/drawing73.xml><?xml version="1.0" encoding="utf-8"?>
<xdr:wsDr xmlns:xdr="http://schemas.openxmlformats.org/drawingml/2006/spreadsheetDrawing" xmlns:a="http://schemas.openxmlformats.org/drawingml/2006/main">
  <xdr:twoCellAnchor editAs="absolute">
    <xdr:from>
      <xdr:col>11</xdr:col>
      <xdr:colOff>142875</xdr:colOff>
      <xdr:row>0</xdr:row>
      <xdr:rowOff>276225</xdr:rowOff>
    </xdr:from>
    <xdr:to>
      <xdr:col>12</xdr:col>
      <xdr:colOff>438050</xdr:colOff>
      <xdr:row>2</xdr:row>
      <xdr:rowOff>38061</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677025" y="276225"/>
          <a:ext cx="800000" cy="314286"/>
        </a:xfrm>
        <a:prstGeom prst="rect">
          <a:avLst/>
        </a:prstGeom>
        <a:noFill/>
        <a:ln w="1">
          <a:noFill/>
          <a:miter lim="800000"/>
          <a:headEnd/>
          <a:tailEnd type="none" w="med" len="med"/>
        </a:ln>
        <a:effectLst/>
      </xdr:spPr>
    </xdr:pic>
    <xdr:clientData fPrintsWithSheet="0"/>
  </xdr:twoCellAnchor>
</xdr:wsDr>
</file>

<file path=xl/drawings/drawing74.xml><?xml version="1.0" encoding="utf-8"?>
<xdr:wsDr xmlns:xdr="http://schemas.openxmlformats.org/drawingml/2006/spreadsheetDrawing" xmlns:a="http://schemas.openxmlformats.org/drawingml/2006/main">
  <xdr:twoCellAnchor editAs="absolute">
    <xdr:from>
      <xdr:col>10</xdr:col>
      <xdr:colOff>152400</xdr:colOff>
      <xdr:row>0</xdr:row>
      <xdr:rowOff>285750</xdr:rowOff>
    </xdr:from>
    <xdr:to>
      <xdr:col>11</xdr:col>
      <xdr:colOff>447575</xdr:colOff>
      <xdr:row>2</xdr:row>
      <xdr:rowOff>47586</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838825" y="285750"/>
          <a:ext cx="800000" cy="314286"/>
        </a:xfrm>
        <a:prstGeom prst="rect">
          <a:avLst/>
        </a:prstGeom>
        <a:noFill/>
        <a:ln w="1">
          <a:noFill/>
          <a:miter lim="800000"/>
          <a:headEnd/>
          <a:tailEnd type="none" w="med" len="med"/>
        </a:ln>
        <a:effectLst/>
      </xdr:spPr>
    </xdr:pic>
    <xdr:clientData fPrintsWithSheet="0"/>
  </xdr:twoCellAnchor>
</xdr:wsDr>
</file>

<file path=xl/drawings/drawing75.xml><?xml version="1.0" encoding="utf-8"?>
<xdr:wsDr xmlns:xdr="http://schemas.openxmlformats.org/drawingml/2006/spreadsheetDrawing" xmlns:a="http://schemas.openxmlformats.org/drawingml/2006/main">
  <xdr:twoCellAnchor editAs="absolute">
    <xdr:from>
      <xdr:col>10</xdr:col>
      <xdr:colOff>171450</xdr:colOff>
      <xdr:row>0</xdr:row>
      <xdr:rowOff>266700</xdr:rowOff>
    </xdr:from>
    <xdr:to>
      <xdr:col>11</xdr:col>
      <xdr:colOff>466625</xdr:colOff>
      <xdr:row>2</xdr:row>
      <xdr:rowOff>28536</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857875" y="266700"/>
          <a:ext cx="800000" cy="314286"/>
        </a:xfrm>
        <a:prstGeom prst="rect">
          <a:avLst/>
        </a:prstGeom>
        <a:noFill/>
        <a:ln w="1">
          <a:noFill/>
          <a:miter lim="800000"/>
          <a:headEnd/>
          <a:tailEnd type="none" w="med" len="med"/>
        </a:ln>
        <a:effectLst/>
      </xdr:spPr>
    </xdr:pic>
    <xdr:clientData fPrintsWithSheet="0"/>
  </xdr:twoCellAnchor>
</xdr:wsDr>
</file>

<file path=xl/drawings/drawing76.xml><?xml version="1.0" encoding="utf-8"?>
<xdr:wsDr xmlns:xdr="http://schemas.openxmlformats.org/drawingml/2006/spreadsheetDrawing" xmlns:a="http://schemas.openxmlformats.org/drawingml/2006/main">
  <xdr:twoCellAnchor editAs="absolute">
    <xdr:from>
      <xdr:col>10</xdr:col>
      <xdr:colOff>114300</xdr:colOff>
      <xdr:row>0</xdr:row>
      <xdr:rowOff>298450</xdr:rowOff>
    </xdr:from>
    <xdr:to>
      <xdr:col>11</xdr:col>
      <xdr:colOff>409475</xdr:colOff>
      <xdr:row>2</xdr:row>
      <xdr:rowOff>60286</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565900" y="298450"/>
          <a:ext cx="822225" cy="314286"/>
        </a:xfrm>
        <a:prstGeom prst="rect">
          <a:avLst/>
        </a:prstGeom>
        <a:noFill/>
        <a:ln w="1">
          <a:noFill/>
          <a:miter lim="800000"/>
          <a:headEnd/>
          <a:tailEnd type="none" w="med" len="med"/>
        </a:ln>
        <a:effectLst/>
      </xdr:spPr>
    </xdr:pic>
    <xdr:clientData fPrintsWithSheet="0"/>
  </xdr:twoCellAnchor>
</xdr:wsDr>
</file>

<file path=xl/drawings/drawing77.xml><?xml version="1.0" encoding="utf-8"?>
<xdr:wsDr xmlns:xdr="http://schemas.openxmlformats.org/drawingml/2006/spreadsheetDrawing" xmlns:a="http://schemas.openxmlformats.org/drawingml/2006/main">
  <xdr:twoCellAnchor editAs="absolute">
    <xdr:from>
      <xdr:col>11</xdr:col>
      <xdr:colOff>142875</xdr:colOff>
      <xdr:row>0</xdr:row>
      <xdr:rowOff>304800</xdr:rowOff>
    </xdr:from>
    <xdr:to>
      <xdr:col>12</xdr:col>
      <xdr:colOff>438150</xdr:colOff>
      <xdr:row>2</xdr:row>
      <xdr:rowOff>57150</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715125" y="304800"/>
          <a:ext cx="800100" cy="314325"/>
        </a:xfrm>
        <a:prstGeom prst="rect">
          <a:avLst/>
        </a:prstGeom>
        <a:noFill/>
        <a:ln w="1">
          <a:noFill/>
          <a:miter lim="800000"/>
          <a:headEnd/>
          <a:tailEnd type="none" w="med" len="med"/>
        </a:ln>
        <a:effectLst/>
      </xdr:spPr>
    </xdr:pic>
    <xdr:clientData fPrintsWithSheet="0"/>
  </xdr:twoCellAnchor>
</xdr:wsDr>
</file>

<file path=xl/drawings/drawing78.xml><?xml version="1.0" encoding="utf-8"?>
<xdr:wsDr xmlns:xdr="http://schemas.openxmlformats.org/drawingml/2006/spreadsheetDrawing" xmlns:a="http://schemas.openxmlformats.org/drawingml/2006/main">
  <xdr:twoCellAnchor editAs="absolute">
    <xdr:from>
      <xdr:col>11</xdr:col>
      <xdr:colOff>171450</xdr:colOff>
      <xdr:row>0</xdr:row>
      <xdr:rowOff>276225</xdr:rowOff>
    </xdr:from>
    <xdr:to>
      <xdr:col>12</xdr:col>
      <xdr:colOff>466725</xdr:colOff>
      <xdr:row>2</xdr:row>
      <xdr:rowOff>38100</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857875" y="276225"/>
          <a:ext cx="800100" cy="314325"/>
        </a:xfrm>
        <a:prstGeom prst="rect">
          <a:avLst/>
        </a:prstGeom>
        <a:noFill/>
        <a:ln w="1">
          <a:noFill/>
          <a:miter lim="800000"/>
          <a:headEnd/>
          <a:tailEnd type="none" w="med" len="med"/>
        </a:ln>
        <a:effectLst/>
      </xdr:spPr>
    </xdr:pic>
    <xdr:clientData fPrintsWithSheet="0"/>
  </xdr:twoCellAnchor>
</xdr:wsDr>
</file>

<file path=xl/drawings/drawing79.xml><?xml version="1.0" encoding="utf-8"?>
<xdr:wsDr xmlns:xdr="http://schemas.openxmlformats.org/drawingml/2006/spreadsheetDrawing" xmlns:a="http://schemas.openxmlformats.org/drawingml/2006/main">
  <xdr:twoCellAnchor editAs="absolute">
    <xdr:from>
      <xdr:col>10</xdr:col>
      <xdr:colOff>200025</xdr:colOff>
      <xdr:row>0</xdr:row>
      <xdr:rowOff>266700</xdr:rowOff>
    </xdr:from>
    <xdr:to>
      <xdr:col>11</xdr:col>
      <xdr:colOff>495300</xdr:colOff>
      <xdr:row>2</xdr:row>
      <xdr:rowOff>28575</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24525" y="266700"/>
          <a:ext cx="800100" cy="314325"/>
        </a:xfrm>
        <a:prstGeom prst="rect">
          <a:avLst/>
        </a:prstGeom>
        <a:noFill/>
        <a:ln w="1">
          <a:noFill/>
          <a:miter lim="800000"/>
          <a:headEnd/>
          <a:tailEnd type="none" w="med" len="med"/>
        </a:ln>
        <a:effectLst/>
      </xdr:spPr>
    </xdr:pic>
    <xdr:clientData fPrintsWithSheet="0"/>
  </xdr:twoCellAnchor>
</xdr:wsDr>
</file>

<file path=xl/drawings/drawing8.xml><?xml version="1.0" encoding="utf-8"?>
<c:userShapes xmlns:c="http://schemas.openxmlformats.org/drawingml/2006/chart">
  <cdr:relSizeAnchor xmlns:cdr="http://schemas.openxmlformats.org/drawingml/2006/chartDrawing">
    <cdr:from>
      <cdr:x>0.7644</cdr:x>
      <cdr:y>0.01741</cdr:y>
    </cdr:from>
    <cdr:to>
      <cdr:x>0.98168</cdr:x>
      <cdr:y>0.10792</cdr:y>
    </cdr:to>
    <cdr:sp macro="" textlink="">
      <cdr:nvSpPr>
        <cdr:cNvPr id="2" name="CaixaDeTexto 1">
          <a:extLst xmlns:a="http://schemas.openxmlformats.org/drawingml/2006/main">
            <a:ext uri="{FF2B5EF4-FFF2-40B4-BE49-F238E27FC236}">
              <a16:creationId xmlns:a16="http://schemas.microsoft.com/office/drawing/2014/main" id="{C1039EE9-AEA0-40B8-AE5B-C8B5A095227E}"/>
            </a:ext>
          </a:extLst>
        </cdr:cNvPr>
        <cdr:cNvSpPr txBox="1"/>
      </cdr:nvSpPr>
      <cdr:spPr>
        <a:xfrm xmlns:a="http://schemas.openxmlformats.org/drawingml/2006/main">
          <a:off x="2781300" y="47625"/>
          <a:ext cx="7905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pt-PT" sz="1100"/>
        </a:p>
        <a:p xmlns:a="http://schemas.openxmlformats.org/drawingml/2006/main">
          <a:endParaRPr lang="pt-PT" sz="1100"/>
        </a:p>
      </cdr:txBody>
    </cdr:sp>
  </cdr:relSizeAnchor>
</c:userShapes>
</file>

<file path=xl/drawings/drawing80.xml><?xml version="1.0" encoding="utf-8"?>
<xdr:wsDr xmlns:xdr="http://schemas.openxmlformats.org/drawingml/2006/spreadsheetDrawing" xmlns:a="http://schemas.openxmlformats.org/drawingml/2006/main">
  <xdr:twoCellAnchor editAs="absolute">
    <xdr:from>
      <xdr:col>10</xdr:col>
      <xdr:colOff>38100</xdr:colOff>
      <xdr:row>0</xdr:row>
      <xdr:rowOff>276225</xdr:rowOff>
    </xdr:from>
    <xdr:to>
      <xdr:col>11</xdr:col>
      <xdr:colOff>333275</xdr:colOff>
      <xdr:row>2</xdr:row>
      <xdr:rowOff>38061</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489700" y="276225"/>
          <a:ext cx="822225" cy="314286"/>
        </a:xfrm>
        <a:prstGeom prst="rect">
          <a:avLst/>
        </a:prstGeom>
        <a:noFill/>
        <a:ln w="1">
          <a:noFill/>
          <a:miter lim="800000"/>
          <a:headEnd/>
          <a:tailEnd type="none" w="med" len="med"/>
        </a:ln>
        <a:effectLst/>
      </xdr:spPr>
    </xdr:pic>
    <xdr:clientData fPrintsWithSheet="0"/>
  </xdr:twoCellAnchor>
</xdr:wsDr>
</file>

<file path=xl/drawings/drawing81.xml><?xml version="1.0" encoding="utf-8"?>
<xdr:wsDr xmlns:xdr="http://schemas.openxmlformats.org/drawingml/2006/spreadsheetDrawing" xmlns:a="http://schemas.openxmlformats.org/drawingml/2006/main">
  <xdr:twoCellAnchor editAs="absolute">
    <xdr:from>
      <xdr:col>11</xdr:col>
      <xdr:colOff>133350</xdr:colOff>
      <xdr:row>0</xdr:row>
      <xdr:rowOff>266700</xdr:rowOff>
    </xdr:from>
    <xdr:to>
      <xdr:col>12</xdr:col>
      <xdr:colOff>428625</xdr:colOff>
      <xdr:row>2</xdr:row>
      <xdr:rowOff>28575</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32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819775" y="266700"/>
          <a:ext cx="800100" cy="314325"/>
        </a:xfrm>
        <a:prstGeom prst="rect">
          <a:avLst/>
        </a:prstGeom>
        <a:noFill/>
        <a:ln w="1">
          <a:noFill/>
          <a:miter lim="800000"/>
          <a:headEnd/>
          <a:tailEnd type="none" w="med" len="med"/>
        </a:ln>
        <a:effectLst/>
      </xdr:spPr>
    </xdr:pic>
    <xdr:clientData fPrintsWithSheet="0"/>
  </xdr:twoCellAnchor>
</xdr:wsDr>
</file>

<file path=xl/drawings/drawing82.xml><?xml version="1.0" encoding="utf-8"?>
<xdr:wsDr xmlns:xdr="http://schemas.openxmlformats.org/drawingml/2006/spreadsheetDrawing" xmlns:a="http://schemas.openxmlformats.org/drawingml/2006/main">
  <xdr:twoCellAnchor editAs="absolute">
    <xdr:from>
      <xdr:col>11</xdr:col>
      <xdr:colOff>104775</xdr:colOff>
      <xdr:row>0</xdr:row>
      <xdr:rowOff>276225</xdr:rowOff>
    </xdr:from>
    <xdr:to>
      <xdr:col>12</xdr:col>
      <xdr:colOff>400050</xdr:colOff>
      <xdr:row>2</xdr:row>
      <xdr:rowOff>38100</xdr:rowOff>
    </xdr:to>
    <xdr:pic>
      <xdr:nvPicPr>
        <xdr:cNvPr id="3" name="Picture 4">
          <a:hlinkClick xmlns:r="http://schemas.openxmlformats.org/officeDocument/2006/relationships" r:id="rId1"/>
          <a:extLst>
            <a:ext uri="{FF2B5EF4-FFF2-40B4-BE49-F238E27FC236}">
              <a16:creationId xmlns:a16="http://schemas.microsoft.com/office/drawing/2014/main" id="{00000000-0008-0000-33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448425" y="276225"/>
          <a:ext cx="800100" cy="314325"/>
        </a:xfrm>
        <a:prstGeom prst="rect">
          <a:avLst/>
        </a:prstGeom>
        <a:noFill/>
        <a:ln w="1">
          <a:noFill/>
          <a:miter lim="800000"/>
          <a:headEnd/>
          <a:tailEnd type="none" w="med" len="med"/>
        </a:ln>
        <a:effectLst/>
      </xdr:spPr>
    </xdr:pic>
    <xdr:clientData fPrintsWithSheet="0"/>
  </xdr:twoCellAnchor>
</xdr:wsDr>
</file>

<file path=xl/drawings/drawing83.xml><?xml version="1.0" encoding="utf-8"?>
<xdr:wsDr xmlns:xdr="http://schemas.openxmlformats.org/drawingml/2006/spreadsheetDrawing" xmlns:a="http://schemas.openxmlformats.org/drawingml/2006/main">
  <xdr:twoCellAnchor editAs="absolute">
    <xdr:from>
      <xdr:col>10</xdr:col>
      <xdr:colOff>57150</xdr:colOff>
      <xdr:row>0</xdr:row>
      <xdr:rowOff>257175</xdr:rowOff>
    </xdr:from>
    <xdr:to>
      <xdr:col>11</xdr:col>
      <xdr:colOff>352425</xdr:colOff>
      <xdr:row>2</xdr:row>
      <xdr:rowOff>19050</xdr:rowOff>
    </xdr:to>
    <xdr:pic>
      <xdr:nvPicPr>
        <xdr:cNvPr id="2" name="Picture 4">
          <a:hlinkClick xmlns:r="http://schemas.openxmlformats.org/officeDocument/2006/relationships" r:id="rId1"/>
          <a:extLst>
            <a:ext uri="{FF2B5EF4-FFF2-40B4-BE49-F238E27FC236}">
              <a16:creationId xmlns:a16="http://schemas.microsoft.com/office/drawing/2014/main" id="{00000000-0008-0000-34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581775" y="257175"/>
          <a:ext cx="800100" cy="314325"/>
        </a:xfrm>
        <a:prstGeom prst="rect">
          <a:avLst/>
        </a:prstGeom>
        <a:noFill/>
        <a:ln w="1">
          <a:noFill/>
          <a:miter lim="800000"/>
          <a:headEnd/>
          <a:tailEnd type="none" w="med" len="med"/>
        </a:ln>
        <a:effectLst/>
      </xdr:spPr>
    </xdr:pic>
    <xdr:clientData fPrintsWithSheet="0"/>
  </xdr:twoCellAnchor>
</xdr:wsDr>
</file>

<file path=xl/drawings/drawing84.xml><?xml version="1.0" encoding="utf-8"?>
<xdr:wsDr xmlns:xdr="http://schemas.openxmlformats.org/drawingml/2006/spreadsheetDrawing" xmlns:a="http://schemas.openxmlformats.org/drawingml/2006/main">
  <xdr:twoCellAnchor>
    <xdr:from>
      <xdr:col>6</xdr:col>
      <xdr:colOff>425450</xdr:colOff>
      <xdr:row>2</xdr:row>
      <xdr:rowOff>28575</xdr:rowOff>
    </xdr:from>
    <xdr:to>
      <xdr:col>10</xdr:col>
      <xdr:colOff>225425</xdr:colOff>
      <xdr:row>2</xdr:row>
      <xdr:rowOff>28575</xdr:rowOff>
    </xdr:to>
    <xdr:sp macro="" textlink="">
      <xdr:nvSpPr>
        <xdr:cNvPr id="2" name="Line 3">
          <a:extLst>
            <a:ext uri="{FF2B5EF4-FFF2-40B4-BE49-F238E27FC236}">
              <a16:creationId xmlns:a16="http://schemas.microsoft.com/office/drawing/2014/main" id="{00000000-0008-0000-3500-000002000000}"/>
            </a:ext>
          </a:extLst>
        </xdr:cNvPr>
        <xdr:cNvSpPr>
          <a:spLocks noChangeShapeType="1"/>
        </xdr:cNvSpPr>
      </xdr:nvSpPr>
      <xdr:spPr bwMode="auto">
        <a:xfrm>
          <a:off x="3911600" y="409575"/>
          <a:ext cx="2124075" cy="0"/>
        </a:xfrm>
        <a:prstGeom prst="line">
          <a:avLst/>
        </a:prstGeom>
        <a:noFill/>
        <a:ln w="25400">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136525</xdr:colOff>
      <xdr:row>7</xdr:row>
      <xdr:rowOff>60325</xdr:rowOff>
    </xdr:from>
    <xdr:to>
      <xdr:col>9</xdr:col>
      <xdr:colOff>355600</xdr:colOff>
      <xdr:row>12</xdr:row>
      <xdr:rowOff>173038</xdr:rowOff>
    </xdr:to>
    <xdr:sp macro="" textlink="">
      <xdr:nvSpPr>
        <xdr:cNvPr id="3" name="Rectangle 5">
          <a:extLst>
            <a:ext uri="{FF2B5EF4-FFF2-40B4-BE49-F238E27FC236}">
              <a16:creationId xmlns:a16="http://schemas.microsoft.com/office/drawing/2014/main" id="{00000000-0008-0000-3500-000003000000}"/>
            </a:ext>
          </a:extLst>
        </xdr:cNvPr>
        <xdr:cNvSpPr>
          <a:spLocks noChangeArrowheads="1"/>
        </xdr:cNvSpPr>
      </xdr:nvSpPr>
      <xdr:spPr bwMode="auto">
        <a:xfrm>
          <a:off x="5365750" y="1393825"/>
          <a:ext cx="219075" cy="1065213"/>
        </a:xfrm>
        <a:prstGeom prst="rect">
          <a:avLst/>
        </a:prstGeom>
        <a:solidFill>
          <a:srgbClr val="FFFF00"/>
        </a:solidFill>
        <a:ln>
          <a:noFill/>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9</xdr:col>
      <xdr:colOff>120650</xdr:colOff>
      <xdr:row>0</xdr:row>
      <xdr:rowOff>0</xdr:rowOff>
    </xdr:from>
    <xdr:to>
      <xdr:col>9</xdr:col>
      <xdr:colOff>136525</xdr:colOff>
      <xdr:row>12</xdr:row>
      <xdr:rowOff>157163</xdr:rowOff>
    </xdr:to>
    <xdr:sp macro="" textlink="">
      <xdr:nvSpPr>
        <xdr:cNvPr id="4" name="Line 6">
          <a:extLst>
            <a:ext uri="{FF2B5EF4-FFF2-40B4-BE49-F238E27FC236}">
              <a16:creationId xmlns:a16="http://schemas.microsoft.com/office/drawing/2014/main" id="{00000000-0008-0000-3500-000004000000}"/>
            </a:ext>
          </a:extLst>
        </xdr:cNvPr>
        <xdr:cNvSpPr>
          <a:spLocks noChangeShapeType="1"/>
        </xdr:cNvSpPr>
      </xdr:nvSpPr>
      <xdr:spPr bwMode="auto">
        <a:xfrm rot="5421033" flipH="1">
          <a:off x="4136231" y="1213644"/>
          <a:ext cx="2443163" cy="15875"/>
        </a:xfrm>
        <a:prstGeom prst="line">
          <a:avLst/>
        </a:prstGeom>
        <a:noFill/>
        <a:ln w="2857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8</xdr:col>
      <xdr:colOff>325437</xdr:colOff>
      <xdr:row>7</xdr:row>
      <xdr:rowOff>57151</xdr:rowOff>
    </xdr:from>
    <xdr:to>
      <xdr:col>10</xdr:col>
      <xdr:colOff>533400</xdr:colOff>
      <xdr:row>7</xdr:row>
      <xdr:rowOff>58739</xdr:rowOff>
    </xdr:to>
    <xdr:sp macro="" textlink="">
      <xdr:nvSpPr>
        <xdr:cNvPr id="5" name="Line 7">
          <a:extLst>
            <a:ext uri="{FF2B5EF4-FFF2-40B4-BE49-F238E27FC236}">
              <a16:creationId xmlns:a16="http://schemas.microsoft.com/office/drawing/2014/main" id="{00000000-0008-0000-3500-000005000000}"/>
            </a:ext>
          </a:extLst>
        </xdr:cNvPr>
        <xdr:cNvSpPr>
          <a:spLocks noChangeShapeType="1"/>
        </xdr:cNvSpPr>
      </xdr:nvSpPr>
      <xdr:spPr bwMode="auto">
        <a:xfrm flipV="1">
          <a:off x="4973637" y="1390651"/>
          <a:ext cx="1370013" cy="1588"/>
        </a:xfrm>
        <a:prstGeom prst="line">
          <a:avLst/>
        </a:prstGeom>
        <a:noFill/>
        <a:ln w="28575">
          <a:solidFill>
            <a:schemeClr val="tx1"/>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3</xdr:col>
      <xdr:colOff>336550</xdr:colOff>
      <xdr:row>12</xdr:row>
      <xdr:rowOff>173038</xdr:rowOff>
    </xdr:from>
    <xdr:to>
      <xdr:col>9</xdr:col>
      <xdr:colOff>355600</xdr:colOff>
      <xdr:row>12</xdr:row>
      <xdr:rowOff>173038</xdr:rowOff>
    </xdr:to>
    <xdr:sp macro="" textlink="">
      <xdr:nvSpPr>
        <xdr:cNvPr id="6" name="Line 11">
          <a:extLst>
            <a:ext uri="{FF2B5EF4-FFF2-40B4-BE49-F238E27FC236}">
              <a16:creationId xmlns:a16="http://schemas.microsoft.com/office/drawing/2014/main" id="{00000000-0008-0000-3500-000006000000}"/>
            </a:ext>
          </a:extLst>
        </xdr:cNvPr>
        <xdr:cNvSpPr>
          <a:spLocks noChangeShapeType="1"/>
        </xdr:cNvSpPr>
      </xdr:nvSpPr>
      <xdr:spPr bwMode="auto">
        <a:xfrm>
          <a:off x="2079625" y="2459038"/>
          <a:ext cx="3505200" cy="0"/>
        </a:xfrm>
        <a:prstGeom prst="line">
          <a:avLst/>
        </a:prstGeom>
        <a:noFill/>
        <a:ln w="28575">
          <a:solidFill>
            <a:srgbClr val="FFFF00"/>
          </a:solidFill>
          <a:round/>
          <a:headEnd/>
          <a:tailEnd/>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9</xdr:col>
      <xdr:colOff>352425</xdr:colOff>
      <xdr:row>2</xdr:row>
      <xdr:rowOff>28575</xdr:rowOff>
    </xdr:from>
    <xdr:to>
      <xdr:col>9</xdr:col>
      <xdr:colOff>355600</xdr:colOff>
      <xdr:row>14</xdr:row>
      <xdr:rowOff>82550</xdr:rowOff>
    </xdr:to>
    <xdr:sp macro="" textlink="">
      <xdr:nvSpPr>
        <xdr:cNvPr id="7" name="Line 12">
          <a:extLst>
            <a:ext uri="{FF2B5EF4-FFF2-40B4-BE49-F238E27FC236}">
              <a16:creationId xmlns:a16="http://schemas.microsoft.com/office/drawing/2014/main" id="{00000000-0008-0000-3500-000007000000}"/>
            </a:ext>
          </a:extLst>
        </xdr:cNvPr>
        <xdr:cNvSpPr>
          <a:spLocks noChangeShapeType="1"/>
        </xdr:cNvSpPr>
      </xdr:nvSpPr>
      <xdr:spPr bwMode="auto">
        <a:xfrm rot="5397016">
          <a:off x="4413250" y="1577975"/>
          <a:ext cx="2339975" cy="3175"/>
        </a:xfrm>
        <a:prstGeom prst="line">
          <a:avLst/>
        </a:prstGeom>
        <a:noFill/>
        <a:ln w="14605" cap="sq">
          <a:solidFill>
            <a:schemeClr val="tx1"/>
          </a:solidFill>
          <a:round/>
          <a:headEnd type="none" w="sm" len="sm"/>
          <a:tailEnd type="none" w="sm" len="sm"/>
        </a:ln>
        <a:extLst>
          <a:ext uri="{909E8E84-426E-40DD-AFC4-6F175D3DCCD1}">
            <a14:hiddenFill xmlns:a14="http://schemas.microsoft.com/office/drawing/2010/main">
              <a:noFill/>
            </a14:hiddenFill>
          </a:ext>
        </a:extLst>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p>
      </xdr:txBody>
    </xdr:sp>
    <xdr:clientData/>
  </xdr:twoCellAnchor>
  <xdr:twoCellAnchor>
    <xdr:from>
      <xdr:col>0</xdr:col>
      <xdr:colOff>0</xdr:colOff>
      <xdr:row>32</xdr:row>
      <xdr:rowOff>73025</xdr:rowOff>
    </xdr:from>
    <xdr:to>
      <xdr:col>10</xdr:col>
      <xdr:colOff>536575</xdr:colOff>
      <xdr:row>36</xdr:row>
      <xdr:rowOff>46038</xdr:rowOff>
    </xdr:to>
    <xdr:sp macro="" textlink="">
      <xdr:nvSpPr>
        <xdr:cNvPr id="8" name="Rectangle 2">
          <a:extLst>
            <a:ext uri="{FF2B5EF4-FFF2-40B4-BE49-F238E27FC236}">
              <a16:creationId xmlns:a16="http://schemas.microsoft.com/office/drawing/2014/main" id="{00000000-0008-0000-3500-000008000000}"/>
            </a:ext>
          </a:extLst>
        </xdr:cNvPr>
        <xdr:cNvSpPr>
          <a:spLocks noChangeArrowheads="1"/>
        </xdr:cNvSpPr>
      </xdr:nvSpPr>
      <xdr:spPr bwMode="auto">
        <a:xfrm>
          <a:off x="0" y="5407025"/>
          <a:ext cx="6346825" cy="735013"/>
        </a:xfrm>
        <a:prstGeom prst="rect">
          <a:avLst/>
        </a:prstGeom>
        <a:solidFill>
          <a:srgbClr val="00467A"/>
        </a:solidFill>
        <a:ln w="9525">
          <a:solidFill>
            <a:schemeClr val="bg1"/>
          </a:solidFill>
          <a:miter lim="800000"/>
          <a:headEnd/>
          <a:tailEnd/>
        </a:ln>
      </xdr:spPr>
      <xdr:txBody>
        <a:bodyPr wrap="square" lIns="95537" tIns="47768" rIns="95537" bIns="47768"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endParaRPr lang="pt-PT" altLang="pt-PT" sz="2400"/>
        </a:p>
      </xdr:txBody>
    </xdr:sp>
    <xdr:clientData/>
  </xdr:twoCellAnchor>
  <xdr:twoCellAnchor>
    <xdr:from>
      <xdr:col>0</xdr:col>
      <xdr:colOff>147637</xdr:colOff>
      <xdr:row>31</xdr:row>
      <xdr:rowOff>101600</xdr:rowOff>
    </xdr:from>
    <xdr:to>
      <xdr:col>5</xdr:col>
      <xdr:colOff>547687</xdr:colOff>
      <xdr:row>35</xdr:row>
      <xdr:rowOff>68263</xdr:rowOff>
    </xdr:to>
    <xdr:sp macro="" textlink="">
      <xdr:nvSpPr>
        <xdr:cNvPr id="9" name="Rectangle 3">
          <a:extLst>
            <a:ext uri="{FF2B5EF4-FFF2-40B4-BE49-F238E27FC236}">
              <a16:creationId xmlns:a16="http://schemas.microsoft.com/office/drawing/2014/main" id="{00000000-0008-0000-3500-000009000000}"/>
            </a:ext>
          </a:extLst>
        </xdr:cNvPr>
        <xdr:cNvSpPr>
          <a:spLocks noChangeArrowheads="1"/>
        </xdr:cNvSpPr>
      </xdr:nvSpPr>
      <xdr:spPr bwMode="auto">
        <a:xfrm>
          <a:off x="147637" y="5245100"/>
          <a:ext cx="3305175" cy="728663"/>
        </a:xfrm>
        <a:prstGeom prst="rect">
          <a:avLst/>
        </a:prstGeom>
        <a:solidFill>
          <a:srgbClr val="FFE600"/>
        </a:solidFill>
        <a:ln w="28575" cap="rnd">
          <a:noFill/>
          <a:prstDash val="sysDot"/>
          <a:miter lim="800000"/>
          <a:headEnd/>
          <a:tailEnd/>
        </a:ln>
        <a:effectLst>
          <a:prstShdw prst="shdw18" dist="17961" dir="13500000">
            <a:srgbClr val="DBA9B3">
              <a:gamma/>
              <a:shade val="60000"/>
              <a:invGamma/>
            </a:srgbClr>
          </a:prstShdw>
        </a:effectLst>
      </xdr:spPr>
      <xdr:txBody>
        <a:bodyPr wrap="square" lIns="98749" tIns="49373" rIns="98749" bIns="49373" anchor="ct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defTabSz="988538">
            <a:defRPr/>
          </a:pPr>
          <a:endParaRPr lang="pt-PT" sz="2100" b="1" i="1">
            <a:solidFill>
              <a:schemeClr val="bg1"/>
            </a:solidFill>
            <a:effectLst>
              <a:outerShdw blurRad="38100" dist="38100" dir="2700000" algn="tl">
                <a:srgbClr val="000000"/>
              </a:outerShdw>
            </a:effectLst>
            <a:latin typeface="Arial" charset="0"/>
          </a:endParaRPr>
        </a:p>
      </xdr:txBody>
    </xdr:sp>
    <xdr:clientData/>
  </xdr:twoCellAnchor>
  <xdr:twoCellAnchor>
    <xdr:from>
      <xdr:col>0</xdr:col>
      <xdr:colOff>158750</xdr:colOff>
      <xdr:row>32</xdr:row>
      <xdr:rowOff>147638</xdr:rowOff>
    </xdr:from>
    <xdr:to>
      <xdr:col>4</xdr:col>
      <xdr:colOff>277812</xdr:colOff>
      <xdr:row>34</xdr:row>
      <xdr:rowOff>84321</xdr:rowOff>
    </xdr:to>
    <xdr:sp macro="" textlink="">
      <xdr:nvSpPr>
        <xdr:cNvPr id="10" name="Text Box 10">
          <a:extLst>
            <a:ext uri="{FF2B5EF4-FFF2-40B4-BE49-F238E27FC236}">
              <a16:creationId xmlns:a16="http://schemas.microsoft.com/office/drawing/2014/main" id="{00000000-0008-0000-3500-00000A000000}"/>
            </a:ext>
          </a:extLst>
        </xdr:cNvPr>
        <xdr:cNvSpPr txBox="1">
          <a:spLocks noChangeArrowheads="1"/>
        </xdr:cNvSpPr>
      </xdr:nvSpPr>
      <xdr:spPr bwMode="auto">
        <a:xfrm>
          <a:off x="158750" y="5481638"/>
          <a:ext cx="2443162" cy="317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5537" tIns="47768" rIns="95537" bIns="47768">
          <a:spAutoFit/>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pPr algn="l">
            <a:spcBef>
              <a:spcPct val="50000"/>
            </a:spcBef>
          </a:pPr>
          <a:r>
            <a:rPr lang="en-US" altLang="pt-PT" sz="1500" b="1">
              <a:solidFill>
                <a:srgbClr val="00467A"/>
              </a:solidFill>
              <a:latin typeface="Arial" charset="0"/>
            </a:rPr>
            <a:t>Remunerações</a:t>
          </a:r>
        </a:p>
      </xdr:txBody>
    </xdr:sp>
    <xdr:clientData/>
  </xdr:twoCellAnchor>
  <xdr:twoCellAnchor>
    <xdr:from>
      <xdr:col>10</xdr:col>
      <xdr:colOff>196850</xdr:colOff>
      <xdr:row>33</xdr:row>
      <xdr:rowOff>11113</xdr:rowOff>
    </xdr:from>
    <xdr:to>
      <xdr:col>10</xdr:col>
      <xdr:colOff>307975</xdr:colOff>
      <xdr:row>35</xdr:row>
      <xdr:rowOff>100013</xdr:rowOff>
    </xdr:to>
    <xdr:sp macro="" textlink="">
      <xdr:nvSpPr>
        <xdr:cNvPr id="11" name="WordArt 4">
          <a:extLst>
            <a:ext uri="{FF2B5EF4-FFF2-40B4-BE49-F238E27FC236}">
              <a16:creationId xmlns:a16="http://schemas.microsoft.com/office/drawing/2014/main" id="{00000000-0008-0000-3500-00000B000000}"/>
            </a:ext>
          </a:extLst>
        </xdr:cNvPr>
        <xdr:cNvSpPr>
          <a:spLocks noChangeArrowheads="1" noChangeShapeType="1" noTextEdit="1"/>
        </xdr:cNvSpPr>
      </xdr:nvSpPr>
      <xdr:spPr bwMode="auto">
        <a:xfrm>
          <a:off x="6007100" y="5535613"/>
          <a:ext cx="111125" cy="469900"/>
        </a:xfrm>
        <a:prstGeom prst="rect">
          <a:avLst/>
        </a:prstGeom>
        <a:extLst>
          <a:ext uri="{909E8E84-426E-40DD-AFC4-6F175D3DCCD1}">
            <a14:hiddenFill xmlns:a14="http://schemas.microsoft.com/office/drawing/2010/main">
              <a:solidFill>
                <a:srgbClr val="FFFFFF"/>
              </a:solidFill>
            </a14:hiddenFill>
          </a:ext>
        </a:extLst>
      </xdr:spPr>
      <xdr:txBody>
        <a:bodyPr wrap="square" numCol="1" fromWordArt="1">
          <a:prstTxWarp prst="textPlain">
            <a:avLst>
              <a:gd name="adj" fmla="val 50000"/>
            </a:avLst>
          </a:prstTxWarp>
        </a:bodyPr>
        <a:lstStyle>
          <a:defPPr>
            <a:defRPr lang="en-US"/>
          </a:defPPr>
          <a:lvl1pPr algn="ctr" rtl="0" eaLnBrk="0" fontAlgn="base" hangingPunct="0">
            <a:spcBef>
              <a:spcPct val="0"/>
            </a:spcBef>
            <a:spcAft>
              <a:spcPct val="0"/>
            </a:spcAft>
            <a:defRPr sz="2500" kern="1200">
              <a:solidFill>
                <a:schemeClr val="tx1"/>
              </a:solidFill>
              <a:latin typeface="Times New Roman" pitchFamily="18" charset="0"/>
              <a:ea typeface="+mn-ea"/>
              <a:cs typeface="+mn-cs"/>
            </a:defRPr>
          </a:lvl1pPr>
          <a:lvl2pPr marL="476250" indent="-19050" algn="ctr" rtl="0" eaLnBrk="0" fontAlgn="base" hangingPunct="0">
            <a:spcBef>
              <a:spcPct val="0"/>
            </a:spcBef>
            <a:spcAft>
              <a:spcPct val="0"/>
            </a:spcAft>
            <a:defRPr sz="2500" kern="1200">
              <a:solidFill>
                <a:schemeClr val="tx1"/>
              </a:solidFill>
              <a:latin typeface="Times New Roman" pitchFamily="18" charset="0"/>
              <a:ea typeface="+mn-ea"/>
              <a:cs typeface="+mn-cs"/>
            </a:defRPr>
          </a:lvl2pPr>
          <a:lvl3pPr marL="954088" indent="-39688" algn="ctr" rtl="0" eaLnBrk="0" fontAlgn="base" hangingPunct="0">
            <a:spcBef>
              <a:spcPct val="0"/>
            </a:spcBef>
            <a:spcAft>
              <a:spcPct val="0"/>
            </a:spcAft>
            <a:defRPr sz="2500" kern="1200">
              <a:solidFill>
                <a:schemeClr val="tx1"/>
              </a:solidFill>
              <a:latin typeface="Times New Roman" pitchFamily="18" charset="0"/>
              <a:ea typeface="+mn-ea"/>
              <a:cs typeface="+mn-cs"/>
            </a:defRPr>
          </a:lvl3pPr>
          <a:lvl4pPr marL="1431925" indent="-60325" algn="ctr" rtl="0" eaLnBrk="0" fontAlgn="base" hangingPunct="0">
            <a:spcBef>
              <a:spcPct val="0"/>
            </a:spcBef>
            <a:spcAft>
              <a:spcPct val="0"/>
            </a:spcAft>
            <a:defRPr sz="2500" kern="1200">
              <a:solidFill>
                <a:schemeClr val="tx1"/>
              </a:solidFill>
              <a:latin typeface="Times New Roman" pitchFamily="18" charset="0"/>
              <a:ea typeface="+mn-ea"/>
              <a:cs typeface="+mn-cs"/>
            </a:defRPr>
          </a:lvl4pPr>
          <a:lvl5pPr marL="1909763" indent="-80963" algn="ctr" rtl="0" eaLnBrk="0" fontAlgn="base" hangingPunct="0">
            <a:spcBef>
              <a:spcPct val="0"/>
            </a:spcBef>
            <a:spcAft>
              <a:spcPct val="0"/>
            </a:spcAft>
            <a:defRPr sz="2500" kern="1200">
              <a:solidFill>
                <a:schemeClr val="tx1"/>
              </a:solidFill>
              <a:latin typeface="Times New Roman" pitchFamily="18" charset="0"/>
              <a:ea typeface="+mn-ea"/>
              <a:cs typeface="+mn-cs"/>
            </a:defRPr>
          </a:lvl5pPr>
          <a:lvl6pPr marL="2286000" algn="l" defTabSz="914400" rtl="0" eaLnBrk="1" latinLnBrk="0" hangingPunct="1">
            <a:defRPr sz="2500" kern="1200">
              <a:solidFill>
                <a:schemeClr val="tx1"/>
              </a:solidFill>
              <a:latin typeface="Times New Roman" pitchFamily="18" charset="0"/>
              <a:ea typeface="+mn-ea"/>
              <a:cs typeface="+mn-cs"/>
            </a:defRPr>
          </a:lvl6pPr>
          <a:lvl7pPr marL="2743200" algn="l" defTabSz="914400" rtl="0" eaLnBrk="1" latinLnBrk="0" hangingPunct="1">
            <a:defRPr sz="2500" kern="1200">
              <a:solidFill>
                <a:schemeClr val="tx1"/>
              </a:solidFill>
              <a:latin typeface="Times New Roman" pitchFamily="18" charset="0"/>
              <a:ea typeface="+mn-ea"/>
              <a:cs typeface="+mn-cs"/>
            </a:defRPr>
          </a:lvl7pPr>
          <a:lvl8pPr marL="3200400" algn="l" defTabSz="914400" rtl="0" eaLnBrk="1" latinLnBrk="0" hangingPunct="1">
            <a:defRPr sz="2500" kern="1200">
              <a:solidFill>
                <a:schemeClr val="tx1"/>
              </a:solidFill>
              <a:latin typeface="Times New Roman" pitchFamily="18" charset="0"/>
              <a:ea typeface="+mn-ea"/>
              <a:cs typeface="+mn-cs"/>
            </a:defRPr>
          </a:lvl8pPr>
          <a:lvl9pPr marL="3657600" algn="l" defTabSz="914400" rtl="0" eaLnBrk="1" latinLnBrk="0" hangingPunct="1">
            <a:defRPr sz="2500" kern="1200">
              <a:solidFill>
                <a:schemeClr val="tx1"/>
              </a:solidFill>
              <a:latin typeface="Times New Roman" pitchFamily="18" charset="0"/>
              <a:ea typeface="+mn-ea"/>
              <a:cs typeface="+mn-cs"/>
            </a:defRPr>
          </a:lvl9pPr>
        </a:lstStyle>
        <a:p>
          <a:r>
            <a:rPr lang="pt-PT" sz="1300" b="1" kern="10">
              <a:ln w="9525">
                <a:solidFill>
                  <a:schemeClr val="bg1"/>
                </a:solidFill>
                <a:round/>
                <a:headEnd/>
                <a:tailEnd/>
              </a:ln>
              <a:noFill/>
              <a:latin typeface="Arial Black"/>
            </a:rPr>
            <a:t>I</a:t>
          </a:r>
        </a:p>
      </xdr:txBody>
    </xdr:sp>
    <xdr:clientData/>
  </xdr:twoCellAnchor>
  <xdr:twoCellAnchor>
    <xdr:from>
      <xdr:col>9</xdr:col>
      <xdr:colOff>552450</xdr:colOff>
      <xdr:row>33</xdr:row>
      <xdr:rowOff>0</xdr:rowOff>
    </xdr:from>
    <xdr:to>
      <xdr:col>10</xdr:col>
      <xdr:colOff>83025</xdr:colOff>
      <xdr:row>35</xdr:row>
      <xdr:rowOff>90600</xdr:rowOff>
    </xdr:to>
    <xdr:sp macro="" textlink="">
      <xdr:nvSpPr>
        <xdr:cNvPr id="12" name="Text Box 1">
          <a:extLst>
            <a:ext uri="{FF2B5EF4-FFF2-40B4-BE49-F238E27FC236}">
              <a16:creationId xmlns:a16="http://schemas.microsoft.com/office/drawing/2014/main" id="{00000000-0008-0000-3500-00000C000000}"/>
            </a:ext>
          </a:extLst>
        </xdr:cNvPr>
        <xdr:cNvSpPr txBox="1">
          <a:spLocks noChangeArrowheads="1"/>
        </xdr:cNvSpPr>
      </xdr:nvSpPr>
      <xdr:spPr bwMode="auto">
        <a:xfrm>
          <a:off x="5781675" y="5524500"/>
          <a:ext cx="111600" cy="471600"/>
        </a:xfrm>
        <a:prstGeom prst="rect">
          <a:avLst/>
        </a:prstGeom>
        <a:solidFill>
          <a:srgbClr val="00467A"/>
        </a:solidFill>
        <a:ln w="9525">
          <a:solidFill>
            <a:schemeClr val="bg1"/>
          </a:solidFill>
          <a:miter lim="800000"/>
          <a:headEnd/>
          <a:tailEnd/>
        </a:ln>
      </xdr:spPr>
      <xdr:txBody>
        <a:bodyPr vertOverflow="clip" wrap="square" lIns="27432" tIns="22860" rIns="0" bIns="0" anchor="t" upright="1"/>
        <a:lstStyle/>
        <a:p>
          <a:pPr algn="l" rtl="0">
            <a:defRPr sz="1000"/>
          </a:pPr>
          <a:endParaRPr lang="pt-PT" sz="1000" b="0" i="0" u="none" strike="noStrike" baseline="0">
            <a:solidFill>
              <a:srgbClr val="000000"/>
            </a:solidFill>
            <a:latin typeface="Arial"/>
            <a:cs typeface="Arial"/>
          </a:endParaRPr>
        </a:p>
      </xdr:txBody>
    </xdr:sp>
    <xdr:clientData/>
  </xdr:twoCellAnchor>
  <xdr:twoCellAnchor>
    <xdr:from>
      <xdr:col>9</xdr:col>
      <xdr:colOff>333375</xdr:colOff>
      <xdr:row>33</xdr:row>
      <xdr:rowOff>0</xdr:rowOff>
    </xdr:from>
    <xdr:to>
      <xdr:col>9</xdr:col>
      <xdr:colOff>444975</xdr:colOff>
      <xdr:row>35</xdr:row>
      <xdr:rowOff>90600</xdr:rowOff>
    </xdr:to>
    <xdr:sp macro="" textlink="">
      <xdr:nvSpPr>
        <xdr:cNvPr id="41985" name="Text Box 1">
          <a:extLst>
            <a:ext uri="{FF2B5EF4-FFF2-40B4-BE49-F238E27FC236}">
              <a16:creationId xmlns:a16="http://schemas.microsoft.com/office/drawing/2014/main" id="{00000000-0008-0000-3500-000001A40000}"/>
            </a:ext>
          </a:extLst>
        </xdr:cNvPr>
        <xdr:cNvSpPr txBox="1">
          <a:spLocks noChangeArrowheads="1"/>
        </xdr:cNvSpPr>
      </xdr:nvSpPr>
      <xdr:spPr bwMode="auto">
        <a:xfrm>
          <a:off x="5562600" y="6286500"/>
          <a:ext cx="111600" cy="471600"/>
        </a:xfrm>
        <a:prstGeom prst="rect">
          <a:avLst/>
        </a:prstGeom>
        <a:solidFill>
          <a:srgbClr val="00467A"/>
        </a:solidFill>
        <a:ln w="9525">
          <a:solidFill>
            <a:schemeClr val="bg1"/>
          </a:solidFill>
          <a:miter lim="800000"/>
          <a:headEnd/>
          <a:tailEnd/>
        </a:ln>
      </xdr:spPr>
      <xdr:txBody>
        <a:bodyPr vertOverflow="clip" wrap="square" lIns="27432" tIns="22860" rIns="0" bIns="0" anchor="t" upright="1"/>
        <a:lstStyle/>
        <a:p>
          <a:pPr algn="l" rtl="0">
            <a:defRPr sz="1000"/>
          </a:pPr>
          <a:endParaRPr lang="pt-PT" sz="1000" b="0" i="0" u="none" strike="noStrike" baseline="0">
            <a:solidFill>
              <a:srgbClr val="000000"/>
            </a:solidFill>
            <a:latin typeface="Arial"/>
            <a:cs typeface="Arial"/>
          </a:endParaRPr>
        </a:p>
      </xdr:txBody>
    </xdr:sp>
    <xdr:clientData/>
  </xdr:twoCellAnchor>
</xdr:wsDr>
</file>

<file path=xl/drawings/drawing85.xml><?xml version="1.0" encoding="utf-8"?>
<xdr:wsDr xmlns:xdr="http://schemas.openxmlformats.org/drawingml/2006/spreadsheetDrawing" xmlns:a="http://schemas.openxmlformats.org/drawingml/2006/main">
  <xdr:oneCellAnchor>
    <xdr:from>
      <xdr:col>10</xdr:col>
      <xdr:colOff>152400</xdr:colOff>
      <xdr:row>0</xdr:row>
      <xdr:rowOff>323851</xdr:rowOff>
    </xdr:from>
    <xdr:ext cx="780952" cy="295274"/>
    <xdr:pic>
      <xdr:nvPicPr>
        <xdr:cNvPr id="3" name="Picture 6">
          <a:hlinkClick xmlns:r="http://schemas.openxmlformats.org/officeDocument/2006/relationships" r:id="rId1"/>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305425" y="323851"/>
          <a:ext cx="780952" cy="295274"/>
        </a:xfrm>
        <a:prstGeom prst="rect">
          <a:avLst/>
        </a:prstGeom>
        <a:noFill/>
        <a:ln w="1">
          <a:noFill/>
          <a:miter lim="800000"/>
          <a:headEnd/>
          <a:tailEnd type="none" w="med" len="med"/>
        </a:ln>
        <a:effectLst/>
      </xdr:spPr>
    </xdr:pic>
    <xdr:clientData fPrintsWithSheet="0"/>
  </xdr:oneCellAnchor>
</xdr:wsDr>
</file>

<file path=xl/drawings/drawing86.xml><?xml version="1.0" encoding="utf-8"?>
<xdr:wsDr xmlns:xdr="http://schemas.openxmlformats.org/drawingml/2006/spreadsheetDrawing" xmlns:a="http://schemas.openxmlformats.org/drawingml/2006/main">
  <xdr:twoCellAnchor editAs="absolute">
    <xdr:from>
      <xdr:col>10</xdr:col>
      <xdr:colOff>342900</xdr:colOff>
      <xdr:row>0</xdr:row>
      <xdr:rowOff>247651</xdr:rowOff>
    </xdr:from>
    <xdr:to>
      <xdr:col>12</xdr:col>
      <xdr:colOff>266602</xdr:colOff>
      <xdr:row>1</xdr:row>
      <xdr:rowOff>190463</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838825" y="247651"/>
          <a:ext cx="780952" cy="304762"/>
        </a:xfrm>
        <a:prstGeom prst="rect">
          <a:avLst/>
        </a:prstGeom>
        <a:noFill/>
        <a:ln w="1">
          <a:noFill/>
          <a:miter lim="800000"/>
          <a:headEnd/>
          <a:tailEnd type="none" w="med" len="med"/>
        </a:ln>
        <a:effectLst/>
      </xdr:spPr>
    </xdr:pic>
    <xdr:clientData fPrintsWithSheet="0"/>
  </xdr:twoCellAnchor>
</xdr:wsDr>
</file>

<file path=xl/drawings/drawing87.xml><?xml version="1.0" encoding="utf-8"?>
<xdr:wsDr xmlns:xdr="http://schemas.openxmlformats.org/drawingml/2006/spreadsheetDrawing" xmlns:a="http://schemas.openxmlformats.org/drawingml/2006/main">
  <xdr:twoCellAnchor editAs="absolute">
    <xdr:from>
      <xdr:col>11</xdr:col>
      <xdr:colOff>19050</xdr:colOff>
      <xdr:row>0</xdr:row>
      <xdr:rowOff>238125</xdr:rowOff>
    </xdr:from>
    <xdr:to>
      <xdr:col>12</xdr:col>
      <xdr:colOff>371377</xdr:colOff>
      <xdr:row>1</xdr:row>
      <xdr:rowOff>180937</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38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019675" y="238125"/>
          <a:ext cx="780952" cy="304762"/>
        </a:xfrm>
        <a:prstGeom prst="rect">
          <a:avLst/>
        </a:prstGeom>
        <a:noFill/>
        <a:ln w="1">
          <a:noFill/>
          <a:miter lim="800000"/>
          <a:headEnd/>
          <a:tailEnd type="none" w="med" len="med"/>
        </a:ln>
        <a:effectLst/>
      </xdr:spPr>
    </xdr:pic>
    <xdr:clientData fPrintsWithSheet="0"/>
  </xdr:twoCellAnchor>
</xdr:wsDr>
</file>

<file path=xl/drawings/drawing88.xml><?xml version="1.0" encoding="utf-8"?>
<xdr:wsDr xmlns:xdr="http://schemas.openxmlformats.org/drawingml/2006/spreadsheetDrawing" xmlns:a="http://schemas.openxmlformats.org/drawingml/2006/main">
  <xdr:twoCellAnchor editAs="absolute">
    <xdr:from>
      <xdr:col>10</xdr:col>
      <xdr:colOff>28574</xdr:colOff>
      <xdr:row>0</xdr:row>
      <xdr:rowOff>228600</xdr:rowOff>
    </xdr:from>
    <xdr:to>
      <xdr:col>11</xdr:col>
      <xdr:colOff>390524</xdr:colOff>
      <xdr:row>1</xdr:row>
      <xdr:rowOff>171412</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39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029199" y="228600"/>
          <a:ext cx="790575" cy="304762"/>
        </a:xfrm>
        <a:prstGeom prst="rect">
          <a:avLst/>
        </a:prstGeom>
        <a:noFill/>
        <a:ln w="1">
          <a:noFill/>
          <a:miter lim="800000"/>
          <a:headEnd/>
          <a:tailEnd type="none" w="med" len="med"/>
        </a:ln>
        <a:effectLst/>
      </xdr:spPr>
    </xdr:pic>
    <xdr:clientData fPrintsWithSheet="0"/>
  </xdr:twoCellAnchor>
</xdr:wsDr>
</file>

<file path=xl/drawings/drawing89.xml><?xml version="1.0" encoding="utf-8"?>
<xdr:wsDr xmlns:xdr="http://schemas.openxmlformats.org/drawingml/2006/spreadsheetDrawing" xmlns:a="http://schemas.openxmlformats.org/drawingml/2006/main">
  <xdr:twoCellAnchor editAs="absolute">
    <xdr:from>
      <xdr:col>9</xdr:col>
      <xdr:colOff>384174</xdr:colOff>
      <xdr:row>0</xdr:row>
      <xdr:rowOff>279400</xdr:rowOff>
    </xdr:from>
    <xdr:to>
      <xdr:col>11</xdr:col>
      <xdr:colOff>295274</xdr:colOff>
      <xdr:row>2</xdr:row>
      <xdr:rowOff>31712</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3A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775324" y="279400"/>
          <a:ext cx="812800" cy="304762"/>
        </a:xfrm>
        <a:prstGeom prst="rect">
          <a:avLst/>
        </a:prstGeom>
        <a:noFill/>
        <a:ln w="1">
          <a:noFill/>
          <a:miter lim="800000"/>
          <a:headEnd/>
          <a:tailEnd type="none" w="med" len="med"/>
        </a:ln>
        <a:effectLst/>
      </xdr:spPr>
    </xdr:pic>
    <xdr:clientData fPrintsWithSheet="0"/>
  </xdr:twoCellAnchor>
</xdr:wsDr>
</file>

<file path=xl/drawings/drawing9.xml><?xml version="1.0" encoding="utf-8"?>
<c:userShapes xmlns:c="http://schemas.openxmlformats.org/drawingml/2006/chart">
  <cdr:relSizeAnchor xmlns:cdr="http://schemas.openxmlformats.org/drawingml/2006/chartDrawing">
    <cdr:from>
      <cdr:x>0.7644</cdr:x>
      <cdr:y>0.01741</cdr:y>
    </cdr:from>
    <cdr:to>
      <cdr:x>0.98168</cdr:x>
      <cdr:y>0.10792</cdr:y>
    </cdr:to>
    <cdr:sp macro="" textlink="">
      <cdr:nvSpPr>
        <cdr:cNvPr id="2" name="CaixaDeTexto 1">
          <a:extLst xmlns:a="http://schemas.openxmlformats.org/drawingml/2006/main">
            <a:ext uri="{FF2B5EF4-FFF2-40B4-BE49-F238E27FC236}">
              <a16:creationId xmlns:a16="http://schemas.microsoft.com/office/drawing/2014/main" id="{C1039EE9-AEA0-40B8-AE5B-C8B5A095227E}"/>
            </a:ext>
          </a:extLst>
        </cdr:cNvPr>
        <cdr:cNvSpPr txBox="1"/>
      </cdr:nvSpPr>
      <cdr:spPr>
        <a:xfrm xmlns:a="http://schemas.openxmlformats.org/drawingml/2006/main">
          <a:off x="2781300" y="47625"/>
          <a:ext cx="7905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pt-PT" sz="1100"/>
        </a:p>
        <a:p xmlns:a="http://schemas.openxmlformats.org/drawingml/2006/main">
          <a:endParaRPr lang="pt-PT" sz="1100"/>
        </a:p>
      </cdr:txBody>
    </cdr:sp>
  </cdr:relSizeAnchor>
</c:userShapes>
</file>

<file path=xl/drawings/drawing90.xml><?xml version="1.0" encoding="utf-8"?>
<xdr:wsDr xmlns:xdr="http://schemas.openxmlformats.org/drawingml/2006/spreadsheetDrawing" xmlns:a="http://schemas.openxmlformats.org/drawingml/2006/main">
  <xdr:twoCellAnchor editAs="absolute">
    <xdr:from>
      <xdr:col>11</xdr:col>
      <xdr:colOff>47625</xdr:colOff>
      <xdr:row>0</xdr:row>
      <xdr:rowOff>238125</xdr:rowOff>
    </xdr:from>
    <xdr:to>
      <xdr:col>12</xdr:col>
      <xdr:colOff>399952</xdr:colOff>
      <xdr:row>1</xdr:row>
      <xdr:rowOff>180937</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210175" y="238125"/>
          <a:ext cx="780952" cy="304762"/>
        </a:xfrm>
        <a:prstGeom prst="rect">
          <a:avLst/>
        </a:prstGeom>
        <a:noFill/>
        <a:ln w="1">
          <a:noFill/>
          <a:miter lim="800000"/>
          <a:headEnd/>
          <a:tailEnd type="none" w="med" len="med"/>
        </a:ln>
        <a:effectLst/>
      </xdr:spPr>
    </xdr:pic>
    <xdr:clientData fPrintsWithSheet="0"/>
  </xdr:twoCellAnchor>
</xdr:wsDr>
</file>

<file path=xl/drawings/drawing91.xml><?xml version="1.0" encoding="utf-8"?>
<xdr:wsDr xmlns:xdr="http://schemas.openxmlformats.org/drawingml/2006/spreadsheetDrawing" xmlns:a="http://schemas.openxmlformats.org/drawingml/2006/main">
  <xdr:twoCellAnchor editAs="absolute">
    <xdr:from>
      <xdr:col>10</xdr:col>
      <xdr:colOff>371475</xdr:colOff>
      <xdr:row>0</xdr:row>
      <xdr:rowOff>209550</xdr:rowOff>
    </xdr:from>
    <xdr:to>
      <xdr:col>12</xdr:col>
      <xdr:colOff>295177</xdr:colOff>
      <xdr:row>1</xdr:row>
      <xdr:rowOff>152362</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3C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562600" y="209550"/>
          <a:ext cx="780952" cy="304762"/>
        </a:xfrm>
        <a:prstGeom prst="rect">
          <a:avLst/>
        </a:prstGeom>
        <a:noFill/>
        <a:ln w="1">
          <a:noFill/>
          <a:miter lim="800000"/>
          <a:headEnd/>
          <a:tailEnd type="none" w="med" len="med"/>
        </a:ln>
        <a:effectLst/>
      </xdr:spPr>
    </xdr:pic>
    <xdr:clientData fPrintsWithSheet="0"/>
  </xdr:twoCellAnchor>
</xdr:wsDr>
</file>

<file path=xl/drawings/drawing92.xml><?xml version="1.0" encoding="utf-8"?>
<xdr:wsDr xmlns:xdr="http://schemas.openxmlformats.org/drawingml/2006/spreadsheetDrawing" xmlns:a="http://schemas.openxmlformats.org/drawingml/2006/main">
  <xdr:twoCellAnchor editAs="absolute">
    <xdr:from>
      <xdr:col>10</xdr:col>
      <xdr:colOff>9525</xdr:colOff>
      <xdr:row>0</xdr:row>
      <xdr:rowOff>257175</xdr:rowOff>
    </xdr:from>
    <xdr:to>
      <xdr:col>11</xdr:col>
      <xdr:colOff>371377</xdr:colOff>
      <xdr:row>2</xdr:row>
      <xdr:rowOff>9487</xdr:rowOff>
    </xdr:to>
    <xdr:pic>
      <xdr:nvPicPr>
        <xdr:cNvPr id="2" name="Picture 6">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829300" y="257175"/>
          <a:ext cx="780952" cy="304762"/>
        </a:xfrm>
        <a:prstGeom prst="rect">
          <a:avLst/>
        </a:prstGeom>
        <a:noFill/>
        <a:ln w="1">
          <a:noFill/>
          <a:miter lim="800000"/>
          <a:headEnd/>
          <a:tailEnd type="none" w="med" len="med"/>
        </a:ln>
        <a:effectLst/>
      </xdr:spPr>
    </xdr:pic>
    <xdr:clientData fPrintsWithSheet="0"/>
  </xdr:twoCellAnchor>
</xdr:wsDr>
</file>

<file path=xl/drawings/drawing93.xml><?xml version="1.0" encoding="utf-8"?>
<xdr:wsDr xmlns:xdr="http://schemas.openxmlformats.org/drawingml/2006/spreadsheetDrawing" xmlns:a="http://schemas.openxmlformats.org/drawingml/2006/main">
  <xdr:twoCellAnchor editAs="absolute">
    <xdr:from>
      <xdr:col>10</xdr:col>
      <xdr:colOff>152400</xdr:colOff>
      <xdr:row>0</xdr:row>
      <xdr:rowOff>257175</xdr:rowOff>
    </xdr:from>
    <xdr:to>
      <xdr:col>11</xdr:col>
      <xdr:colOff>466623</xdr:colOff>
      <xdr:row>2</xdr:row>
      <xdr:rowOff>9487</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3E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838825" y="257175"/>
          <a:ext cx="819048" cy="304762"/>
        </a:xfrm>
        <a:prstGeom prst="rect">
          <a:avLst/>
        </a:prstGeom>
        <a:noFill/>
        <a:ln w="1">
          <a:noFill/>
          <a:miter lim="800000"/>
          <a:headEnd/>
          <a:tailEnd type="none" w="med" len="med"/>
        </a:ln>
        <a:effectLst/>
      </xdr:spPr>
    </xdr:pic>
    <xdr:clientData fPrintsWithSheet="0"/>
  </xdr:twoCellAnchor>
</xdr:wsDr>
</file>

<file path=xl/drawings/drawing94.xml><?xml version="1.0" encoding="utf-8"?>
<xdr:wsDr xmlns:xdr="http://schemas.openxmlformats.org/drawingml/2006/spreadsheetDrawing" xmlns:a="http://schemas.openxmlformats.org/drawingml/2006/main">
  <xdr:twoCellAnchor editAs="absolute">
    <xdr:from>
      <xdr:col>10</xdr:col>
      <xdr:colOff>161925</xdr:colOff>
      <xdr:row>0</xdr:row>
      <xdr:rowOff>266699</xdr:rowOff>
    </xdr:from>
    <xdr:to>
      <xdr:col>11</xdr:col>
      <xdr:colOff>476148</xdr:colOff>
      <xdr:row>2</xdr:row>
      <xdr:rowOff>19011</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3F00-000002000000}"/>
            </a:ext>
          </a:extLst>
        </xdr:cNvPr>
        <xdr:cNvPicPr preferRelativeResize="0">
          <a:picLocks noChangeArrowheads="1"/>
        </xdr:cNvPicPr>
      </xdr:nvPicPr>
      <xdr:blipFill>
        <a:blip xmlns:r="http://schemas.openxmlformats.org/officeDocument/2006/relationships" r:embed="rId2" cstate="print"/>
        <a:stretch>
          <a:fillRect/>
        </a:stretch>
      </xdr:blipFill>
      <xdr:spPr bwMode="auto">
        <a:xfrm>
          <a:off x="5848350" y="266699"/>
          <a:ext cx="819048" cy="304762"/>
        </a:xfrm>
        <a:prstGeom prst="rect">
          <a:avLst/>
        </a:prstGeom>
        <a:noFill/>
        <a:ln w="1">
          <a:noFill/>
          <a:miter lim="800000"/>
          <a:headEnd/>
          <a:tailEnd type="none" w="med" len="med"/>
        </a:ln>
        <a:effectLst/>
      </xdr:spPr>
    </xdr:pic>
    <xdr:clientData fPrintsWithSheet="0"/>
  </xdr:twoCellAnchor>
</xdr:wsDr>
</file>

<file path=xl/drawings/drawing95.xml><?xml version="1.0" encoding="utf-8"?>
<xdr:wsDr xmlns:xdr="http://schemas.openxmlformats.org/drawingml/2006/spreadsheetDrawing" xmlns:a="http://schemas.openxmlformats.org/drawingml/2006/main">
  <xdr:twoCellAnchor editAs="absolute">
    <xdr:from>
      <xdr:col>10</xdr:col>
      <xdr:colOff>314325</xdr:colOff>
      <xdr:row>0</xdr:row>
      <xdr:rowOff>209549</xdr:rowOff>
    </xdr:from>
    <xdr:to>
      <xdr:col>12</xdr:col>
      <xdr:colOff>295173</xdr:colOff>
      <xdr:row>1</xdr:row>
      <xdr:rowOff>152361</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40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762625" y="209549"/>
          <a:ext cx="819048" cy="304762"/>
        </a:xfrm>
        <a:prstGeom prst="rect">
          <a:avLst/>
        </a:prstGeom>
        <a:noFill/>
        <a:ln w="1">
          <a:noFill/>
          <a:miter lim="800000"/>
          <a:headEnd/>
          <a:tailEnd type="none" w="med" len="med"/>
        </a:ln>
        <a:effectLst/>
      </xdr:spPr>
    </xdr:pic>
    <xdr:clientData fPrintsWithSheet="0"/>
  </xdr:twoCellAnchor>
</xdr:wsDr>
</file>

<file path=xl/drawings/drawing96.xml><?xml version="1.0" encoding="utf-8"?>
<xdr:wsDr xmlns:xdr="http://schemas.openxmlformats.org/drawingml/2006/spreadsheetDrawing" xmlns:a="http://schemas.openxmlformats.org/drawingml/2006/main">
  <xdr:twoCellAnchor editAs="absolute">
    <xdr:from>
      <xdr:col>10</xdr:col>
      <xdr:colOff>419100</xdr:colOff>
      <xdr:row>0</xdr:row>
      <xdr:rowOff>228599</xdr:rowOff>
    </xdr:from>
    <xdr:to>
      <xdr:col>12</xdr:col>
      <xdr:colOff>380898</xdr:colOff>
      <xdr:row>1</xdr:row>
      <xdr:rowOff>171411</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41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4991100" y="228599"/>
          <a:ext cx="819048" cy="304762"/>
        </a:xfrm>
        <a:prstGeom prst="rect">
          <a:avLst/>
        </a:prstGeom>
        <a:noFill/>
        <a:ln w="1">
          <a:noFill/>
          <a:miter lim="800000"/>
          <a:headEnd/>
          <a:tailEnd type="none" w="med" len="med"/>
        </a:ln>
        <a:effectLst/>
      </xdr:spPr>
    </xdr:pic>
    <xdr:clientData fPrintsWithSheet="0"/>
  </xdr:twoCellAnchor>
</xdr:wsDr>
</file>

<file path=xl/drawings/drawing97.xml><?xml version="1.0" encoding="utf-8"?>
<xdr:wsDr xmlns:xdr="http://schemas.openxmlformats.org/drawingml/2006/spreadsheetDrawing" xmlns:a="http://schemas.openxmlformats.org/drawingml/2006/main">
  <xdr:twoCellAnchor editAs="absolute">
    <xdr:from>
      <xdr:col>9</xdr:col>
      <xdr:colOff>400050</xdr:colOff>
      <xdr:row>0</xdr:row>
      <xdr:rowOff>238124</xdr:rowOff>
    </xdr:from>
    <xdr:to>
      <xdr:col>11</xdr:col>
      <xdr:colOff>361848</xdr:colOff>
      <xdr:row>1</xdr:row>
      <xdr:rowOff>180936</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42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4972050" y="238124"/>
          <a:ext cx="819048" cy="304762"/>
        </a:xfrm>
        <a:prstGeom prst="rect">
          <a:avLst/>
        </a:prstGeom>
        <a:noFill/>
        <a:ln w="1">
          <a:noFill/>
          <a:miter lim="800000"/>
          <a:headEnd/>
          <a:tailEnd type="none" w="med" len="med"/>
        </a:ln>
        <a:effectLst/>
      </xdr:spPr>
    </xdr:pic>
    <xdr:clientData fPrintsWithSheet="0"/>
  </xdr:twoCellAnchor>
</xdr:wsDr>
</file>

<file path=xl/drawings/drawing98.xml><?xml version="1.0" encoding="utf-8"?>
<xdr:wsDr xmlns:xdr="http://schemas.openxmlformats.org/drawingml/2006/spreadsheetDrawing" xmlns:a="http://schemas.openxmlformats.org/drawingml/2006/main">
  <xdr:twoCellAnchor editAs="absolute">
    <xdr:from>
      <xdr:col>9</xdr:col>
      <xdr:colOff>304800</xdr:colOff>
      <xdr:row>0</xdr:row>
      <xdr:rowOff>276224</xdr:rowOff>
    </xdr:from>
    <xdr:to>
      <xdr:col>11</xdr:col>
      <xdr:colOff>266598</xdr:colOff>
      <xdr:row>2</xdr:row>
      <xdr:rowOff>28536</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43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556250" y="276224"/>
          <a:ext cx="863498" cy="304762"/>
        </a:xfrm>
        <a:prstGeom prst="rect">
          <a:avLst/>
        </a:prstGeom>
        <a:noFill/>
        <a:ln w="1">
          <a:noFill/>
          <a:miter lim="800000"/>
          <a:headEnd/>
          <a:tailEnd type="none" w="med" len="med"/>
        </a:ln>
        <a:effectLst/>
      </xdr:spPr>
    </xdr:pic>
    <xdr:clientData fPrintsWithSheet="0"/>
  </xdr:twoCellAnchor>
</xdr:wsDr>
</file>

<file path=xl/drawings/drawing99.xml><?xml version="1.0" encoding="utf-8"?>
<xdr:wsDr xmlns:xdr="http://schemas.openxmlformats.org/drawingml/2006/spreadsheetDrawing" xmlns:a="http://schemas.openxmlformats.org/drawingml/2006/main">
  <xdr:twoCellAnchor editAs="absolute">
    <xdr:from>
      <xdr:col>11</xdr:col>
      <xdr:colOff>0</xdr:colOff>
      <xdr:row>0</xdr:row>
      <xdr:rowOff>257174</xdr:rowOff>
    </xdr:from>
    <xdr:to>
      <xdr:col>12</xdr:col>
      <xdr:colOff>390423</xdr:colOff>
      <xdr:row>1</xdr:row>
      <xdr:rowOff>180975</xdr:rowOff>
    </xdr:to>
    <xdr:pic>
      <xdr:nvPicPr>
        <xdr:cNvPr id="2" name="Picture 2">
          <a:hlinkClick xmlns:r="http://schemas.openxmlformats.org/officeDocument/2006/relationships" r:id="rId1"/>
          <a:extLst>
            <a:ext uri="{FF2B5EF4-FFF2-40B4-BE49-F238E27FC236}">
              <a16:creationId xmlns:a16="http://schemas.microsoft.com/office/drawing/2014/main" id="{00000000-0008-0000-4400-000002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019675" y="257174"/>
          <a:ext cx="819048" cy="285751"/>
        </a:xfrm>
        <a:prstGeom prst="rect">
          <a:avLst/>
        </a:prstGeom>
        <a:noFill/>
        <a:ln w="1">
          <a:noFill/>
          <a:miter lim="800000"/>
          <a:headEnd/>
          <a:tailEnd type="none" w="med" len="med"/>
        </a:ln>
        <a:effectLst/>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sb268bdc\grupos\3_dados\ine\ipc\dashboard-table-scroll_IPC_com%20to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board"/>
      <sheetName val="Data"/>
      <sheetName val="Calculation"/>
      <sheetName val="links"/>
      <sheetName val="Folha2"/>
    </sheetNames>
    <sheetDataSet>
      <sheetData sheetId="0" refreshError="1"/>
      <sheetData sheetId="1" refreshError="1"/>
      <sheetData sheetId="2" refreshError="1">
        <row r="7">
          <cell r="E7">
            <v>4</v>
          </cell>
        </row>
      </sheetData>
      <sheetData sheetId="3" refreshError="1"/>
      <sheetData sheetId="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na.G.Rafael" refreshedDate="45425.711803009261" createdVersion="6" refreshedVersion="6" minRefreshableVersion="3" recordCount="66" xr:uid="{CA833CC0-BFE8-4B0E-A405-F7520E1D78D7}">
  <cacheSource type="worksheet">
    <worksheetSource ref="A4:D70" sheet="q18_q26_Fig"/>
  </cacheSource>
  <cacheFields count="4">
    <cacheField name="Ano" numFmtId="0">
      <sharedItems containsSemiMixedTypes="0" containsString="0" containsNumber="1" containsInteger="1" minValue="2011" maxValue="2022" count="12">
        <n v="2012"/>
        <n v="2013"/>
        <n v="2014"/>
        <n v="2015"/>
        <n v="2016"/>
        <n v="2017"/>
        <n v="2018"/>
        <n v="2019"/>
        <n v="2020"/>
        <n v="2021"/>
        <n v="2022"/>
        <n v="2011" u="1"/>
      </sharedItems>
    </cacheField>
    <cacheField name="Tipo de remuneração" numFmtId="0">
      <sharedItems count="4">
        <s v="Base"/>
        <s v="Ganho"/>
        <s v="Remuneração base" u="1"/>
        <s v="Remuneração ganho" u="1"/>
      </sharedItems>
    </cacheField>
    <cacheField name="Sexo" numFmtId="0">
      <sharedItems count="3">
        <s v="Total"/>
        <s v="Homens"/>
        <s v="Mulheres"/>
      </sharedItems>
    </cacheField>
    <cacheField name="Valor" numFmtId="2">
      <sharedItems containsSemiMixedTypes="0" containsString="0" containsNumber="1" minValue="814.53727639534998" maxValue="1476.20345437132"/>
    </cacheField>
  </cacheFields>
  <extLst>
    <ext xmlns:x14="http://schemas.microsoft.com/office/spreadsheetml/2009/9/main" uri="{725AE2AE-9491-48be-B2B4-4EB974FC3084}">
      <x14:pivotCacheDefinition pivotCacheId="79155654"/>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na.G.Rafael" refreshedDate="45425.711803356484" createdVersion="6" refreshedVersion="6" minRefreshableVersion="3" recordCount="440" xr:uid="{D9C671BF-4E04-4F96-8309-EA1D34AA007F}">
  <cacheSource type="worksheet">
    <worksheetSource ref="A4:E444" sheet="q17_q25_Fig"/>
  </cacheSource>
  <cacheFields count="5">
    <cacheField name="Ano" numFmtId="0">
      <sharedItems containsSemiMixedTypes="0" containsString="0" containsNumber="1" containsInteger="1" minValue="2011" maxValue="2022" count="12">
        <n v="2012"/>
        <n v="2013"/>
        <n v="2014"/>
        <n v="2015"/>
        <n v="2016"/>
        <n v="2017"/>
        <n v="2018"/>
        <n v="2019"/>
        <n v="2020"/>
        <n v="2021"/>
        <n v="2022"/>
        <n v="2011" u="1"/>
      </sharedItems>
    </cacheField>
    <cacheField name="Selecionar CAE" numFmtId="0">
      <sharedItems count="24">
        <s v="A - Agricultura, produção animal, caça, floresta e pesca "/>
        <s v="B - Indústrias extrativas"/>
        <s v="C - Ind. transformadoras"/>
        <s v="D - Eletricidade, gás, vapor, água quente e fria e ar frio"/>
        <s v="E - Captação, trat. e dist. água; saneam., gest. resíduos e desp."/>
        <s v="F - Construção"/>
        <s v="G - Com. por grosso e a ret.; rep. de veíc. autom. e mot."/>
        <s v="H - Transportes e armazenagem"/>
        <s v="I - Alojamento, rest. e sim."/>
        <s v="J - Atividades de informação e de comunicação"/>
        <s v="K - Atividades financeiras e de seguros"/>
        <s v="L - Atividades imobiliárias"/>
        <s v="M - Atividades de consultoria, científicas, técnicas e similares"/>
        <s v="N - Atividades administrativas e dos serviços de apoio"/>
        <s v="O - Administração pública e defesa; segurança social obrigatória"/>
        <s v="P - Educação"/>
        <s v="Q - Ativ. de saúde humana e apoio social"/>
        <s v="R - Atividades artísticas, de espectáculos, desp. e recreativas"/>
        <s v="S - Outras atividades de serviços"/>
        <s v="U - Ativ. org. interna. e outras instituições extra-territoriais"/>
        <s v="C - Indústrias transformadoras" u="1"/>
        <s v="G - Comércio por grosso e a retalho; rep. de veíc. autom. e mot." u="1"/>
        <s v="Q - Atividades de saúde humana e apoio social" u="1"/>
        <s v="I - Alojamento, restauração e similares" u="1"/>
      </sharedItems>
    </cacheField>
    <cacheField name="CAE" numFmtId="0">
      <sharedItems count="20">
        <s v="A"/>
        <s v="B"/>
        <s v="C"/>
        <s v="D"/>
        <s v="E"/>
        <s v="F"/>
        <s v="G"/>
        <s v="H"/>
        <s v="I"/>
        <s v="J"/>
        <s v="K"/>
        <s v="L"/>
        <s v="M"/>
        <s v="N"/>
        <s v="O"/>
        <s v="P"/>
        <s v="Q"/>
        <s v="R"/>
        <s v="S"/>
        <s v="U"/>
      </sharedItems>
    </cacheField>
    <cacheField name="Tipo Remuneração" numFmtId="0">
      <sharedItems count="4">
        <s v="Base"/>
        <s v="Ganho"/>
        <s v="Remuneração Base" u="1"/>
        <s v="Remuneração Ganho" u="1"/>
      </sharedItems>
    </cacheField>
    <cacheField name="Valor" numFmtId="174">
      <sharedItems containsSemiMixedTypes="0" containsString="0" containsNumber="1" minValue="663.49358903478503" maxValue="3245.8867521367501"/>
    </cacheField>
  </cacheFields>
  <extLst>
    <ext xmlns:x14="http://schemas.microsoft.com/office/spreadsheetml/2009/9/main" uri="{725AE2AE-9491-48be-B2B4-4EB974FC3084}">
      <x14:pivotCacheDefinition pivotCacheId="189067913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x v="0"/>
    <x v="0"/>
    <n v="915.01247006081212"/>
  </r>
  <r>
    <x v="0"/>
    <x v="0"/>
    <x v="1"/>
    <n v="999.85354294571812"/>
  </r>
  <r>
    <x v="0"/>
    <x v="0"/>
    <x v="2"/>
    <n v="814.53727639534998"/>
  </r>
  <r>
    <x v="1"/>
    <x v="0"/>
    <x v="0"/>
    <n v="912.18298170177309"/>
  </r>
  <r>
    <x v="1"/>
    <x v="0"/>
    <x v="1"/>
    <n v="993.79266174939096"/>
  </r>
  <r>
    <x v="1"/>
    <x v="0"/>
    <x v="2"/>
    <n v="816.21122210111105"/>
  </r>
  <r>
    <x v="2"/>
    <x v="0"/>
    <x v="0"/>
    <n v="909.49144915721399"/>
  </r>
  <r>
    <x v="2"/>
    <x v="0"/>
    <x v="1"/>
    <n v="985.0215081163841"/>
  </r>
  <r>
    <x v="2"/>
    <x v="0"/>
    <x v="2"/>
    <n v="820.25300466774809"/>
  </r>
  <r>
    <x v="3"/>
    <x v="0"/>
    <x v="0"/>
    <n v="913.92544791377406"/>
  </r>
  <r>
    <x v="3"/>
    <x v="0"/>
    <x v="1"/>
    <n v="990.04668016967901"/>
  </r>
  <r>
    <x v="3"/>
    <x v="0"/>
    <x v="2"/>
    <n v="824.99170229471508"/>
  </r>
  <r>
    <x v="4"/>
    <x v="0"/>
    <x v="0"/>
    <n v="924.9392153090821"/>
  </r>
  <r>
    <x v="4"/>
    <x v="0"/>
    <x v="1"/>
    <n v="997.37861815735698"/>
  </r>
  <r>
    <x v="4"/>
    <x v="0"/>
    <x v="2"/>
    <n v="840.26183463405107"/>
  </r>
  <r>
    <x v="5"/>
    <x v="0"/>
    <x v="0"/>
    <n v="943.00107511786211"/>
  </r>
  <r>
    <x v="5"/>
    <x v="0"/>
    <x v="1"/>
    <n v="1012.2476626665"/>
  </r>
  <r>
    <x v="5"/>
    <x v="0"/>
    <x v="2"/>
    <n v="861.16674363485106"/>
  </r>
  <r>
    <x v="6"/>
    <x v="0"/>
    <x v="0"/>
    <n v="970.41689676342503"/>
  </r>
  <r>
    <x v="6"/>
    <x v="0"/>
    <x v="1"/>
    <n v="1039.08171517903"/>
  </r>
  <r>
    <x v="6"/>
    <x v="0"/>
    <x v="2"/>
    <n v="888.55773746998204"/>
  </r>
  <r>
    <x v="7"/>
    <x v="0"/>
    <x v="0"/>
    <n v="1005.08927925103"/>
  </r>
  <r>
    <x v="7"/>
    <x v="0"/>
    <x v="1"/>
    <n v="1073.8189900697198"/>
  </r>
  <r>
    <x v="7"/>
    <x v="0"/>
    <x v="2"/>
    <n v="922.62610151052809"/>
  </r>
  <r>
    <x v="8"/>
    <x v="0"/>
    <x v="0"/>
    <n v="1041.9948771786001"/>
  </r>
  <r>
    <x v="8"/>
    <x v="0"/>
    <x v="1"/>
    <n v="1109.2123384778902"/>
  </r>
  <r>
    <x v="8"/>
    <x v="0"/>
    <x v="2"/>
    <n v="960.26781704583709"/>
  </r>
  <r>
    <x v="9"/>
    <x v="0"/>
    <x v="0"/>
    <n v="1082.7724697513502"/>
  </r>
  <r>
    <x v="9"/>
    <x v="0"/>
    <x v="1"/>
    <n v="1152.2390834169501"/>
  </r>
  <r>
    <x v="9"/>
    <x v="0"/>
    <x v="2"/>
    <n v="999.32524311817906"/>
  </r>
  <r>
    <x v="10"/>
    <x v="0"/>
    <x v="0"/>
    <n v="1143.44558285689"/>
  </r>
  <r>
    <x v="10"/>
    <x v="0"/>
    <x v="1"/>
    <n v="1217.3282728682302"/>
  </r>
  <r>
    <x v="10"/>
    <x v="0"/>
    <x v="2"/>
    <n v="1054.3618671065601"/>
  </r>
  <r>
    <x v="0"/>
    <x v="1"/>
    <x v="0"/>
    <n v="1095.58619281857"/>
  </r>
  <r>
    <x v="0"/>
    <x v="1"/>
    <x v="1"/>
    <n v="1213.0207353340002"/>
  </r>
  <r>
    <x v="0"/>
    <x v="1"/>
    <x v="2"/>
    <n v="956.51135558425801"/>
  </r>
  <r>
    <x v="1"/>
    <x v="1"/>
    <x v="0"/>
    <n v="1093.8178723953499"/>
  </r>
  <r>
    <x v="1"/>
    <x v="1"/>
    <x v="1"/>
    <n v="1209.2112926836"/>
  </r>
  <r>
    <x v="1"/>
    <x v="1"/>
    <x v="2"/>
    <n v="958.1169410237261"/>
  </r>
  <r>
    <x v="2"/>
    <x v="1"/>
    <x v="0"/>
    <n v="1093.20854089105"/>
  </r>
  <r>
    <x v="2"/>
    <x v="1"/>
    <x v="1"/>
    <n v="1203.3163954215399"/>
  </r>
  <r>
    <x v="2"/>
    <x v="1"/>
    <x v="2"/>
    <n v="963.11657750883012"/>
  </r>
  <r>
    <x v="3"/>
    <x v="1"/>
    <x v="0"/>
    <n v="1096.65734127991"/>
  </r>
  <r>
    <x v="3"/>
    <x v="1"/>
    <x v="1"/>
    <n v="1207.7620848918802"/>
  </r>
  <r>
    <x v="3"/>
    <x v="1"/>
    <x v="2"/>
    <n v="966.85175731037509"/>
  </r>
  <r>
    <x v="4"/>
    <x v="1"/>
    <x v="0"/>
    <n v="1107.85636561875"/>
  </r>
  <r>
    <x v="4"/>
    <x v="1"/>
    <x v="1"/>
    <n v="1215.1073571470499"/>
  </r>
  <r>
    <x v="4"/>
    <x v="1"/>
    <x v="2"/>
    <n v="982.48629518294808"/>
  </r>
  <r>
    <x v="5"/>
    <x v="1"/>
    <x v="0"/>
    <n v="1133.34288689707"/>
  </r>
  <r>
    <x v="5"/>
    <x v="1"/>
    <x v="1"/>
    <n v="1236.8510439336801"/>
  </r>
  <r>
    <x v="5"/>
    <x v="1"/>
    <x v="2"/>
    <n v="1011.0188687181301"/>
  </r>
  <r>
    <x v="6"/>
    <x v="1"/>
    <x v="0"/>
    <n v="1170.2525051678801"/>
  </r>
  <r>
    <x v="6"/>
    <x v="1"/>
    <x v="1"/>
    <n v="1273.9856646448"/>
  </r>
  <r>
    <x v="6"/>
    <x v="1"/>
    <x v="2"/>
    <n v="1046.5864208241201"/>
  </r>
  <r>
    <x v="7"/>
    <x v="1"/>
    <x v="0"/>
    <n v="1209.93900485576"/>
  </r>
  <r>
    <x v="7"/>
    <x v="1"/>
    <x v="1"/>
    <n v="1312.4262476007902"/>
  </r>
  <r>
    <x v="7"/>
    <x v="1"/>
    <x v="2"/>
    <n v="1086.9729161883299"/>
  </r>
  <r>
    <x v="8"/>
    <x v="1"/>
    <x v="0"/>
    <n v="1250.75197084447"/>
  </r>
  <r>
    <x v="8"/>
    <x v="1"/>
    <x v="1"/>
    <n v="1349.3525335819299"/>
  </r>
  <r>
    <x v="8"/>
    <x v="1"/>
    <x v="2"/>
    <n v="1130.8674354246"/>
  </r>
  <r>
    <x v="9"/>
    <x v="1"/>
    <x v="0"/>
    <n v="1294.10894067238"/>
  </r>
  <r>
    <x v="9"/>
    <x v="1"/>
    <x v="1"/>
    <n v="1395.6950744819503"/>
  </r>
  <r>
    <x v="9"/>
    <x v="1"/>
    <x v="2"/>
    <n v="1172.0779291766798"/>
  </r>
  <r>
    <x v="10"/>
    <x v="1"/>
    <x v="0"/>
    <n v="1367.9952489883699"/>
  </r>
  <r>
    <x v="10"/>
    <x v="1"/>
    <x v="1"/>
    <n v="1476.20345437132"/>
  </r>
  <r>
    <x v="10"/>
    <x v="1"/>
    <x v="2"/>
    <n v="1237.5236999867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0">
  <r>
    <x v="0"/>
    <x v="0"/>
    <x v="0"/>
    <x v="0"/>
    <n v="709.31408527707606"/>
  </r>
  <r>
    <x v="0"/>
    <x v="1"/>
    <x v="1"/>
    <x v="0"/>
    <n v="909.41963441491703"/>
  </r>
  <r>
    <x v="0"/>
    <x v="2"/>
    <x v="2"/>
    <x v="0"/>
    <n v="836.46267618588308"/>
  </r>
  <r>
    <x v="0"/>
    <x v="3"/>
    <x v="3"/>
    <x v="0"/>
    <n v="2347.4893993855603"/>
  </r>
  <r>
    <x v="0"/>
    <x v="4"/>
    <x v="4"/>
    <x v="0"/>
    <n v="879.21199829738896"/>
  </r>
  <r>
    <x v="0"/>
    <x v="5"/>
    <x v="5"/>
    <x v="0"/>
    <n v="806.69803934794004"/>
  </r>
  <r>
    <x v="0"/>
    <x v="6"/>
    <x v="6"/>
    <x v="0"/>
    <n v="865.27399656330908"/>
  </r>
  <r>
    <x v="0"/>
    <x v="7"/>
    <x v="7"/>
    <x v="0"/>
    <n v="995.08957381331709"/>
  </r>
  <r>
    <x v="0"/>
    <x v="8"/>
    <x v="8"/>
    <x v="0"/>
    <n v="665.14247539857013"/>
  </r>
  <r>
    <x v="0"/>
    <x v="9"/>
    <x v="9"/>
    <x v="0"/>
    <n v="1523.06483792322"/>
  </r>
  <r>
    <x v="0"/>
    <x v="10"/>
    <x v="10"/>
    <x v="0"/>
    <n v="1580.93139130435"/>
  </r>
  <r>
    <x v="0"/>
    <x v="11"/>
    <x v="11"/>
    <x v="0"/>
    <n v="974.00191556895709"/>
  </r>
  <r>
    <x v="0"/>
    <x v="12"/>
    <x v="12"/>
    <x v="0"/>
    <n v="1203.5435557061401"/>
  </r>
  <r>
    <x v="0"/>
    <x v="13"/>
    <x v="13"/>
    <x v="0"/>
    <n v="778.43652847668909"/>
  </r>
  <r>
    <x v="0"/>
    <x v="14"/>
    <x v="14"/>
    <x v="0"/>
    <n v="898.74943544951009"/>
  </r>
  <r>
    <x v="0"/>
    <x v="15"/>
    <x v="15"/>
    <x v="0"/>
    <n v="1129.3833492752599"/>
  </r>
  <r>
    <x v="0"/>
    <x v="16"/>
    <x v="16"/>
    <x v="0"/>
    <n v="814.83935037014112"/>
  </r>
  <r>
    <x v="0"/>
    <x v="17"/>
    <x v="17"/>
    <x v="0"/>
    <n v="1516.9304159477399"/>
  </r>
  <r>
    <x v="0"/>
    <x v="18"/>
    <x v="18"/>
    <x v="0"/>
    <n v="845.17285477785504"/>
  </r>
  <r>
    <x v="0"/>
    <x v="19"/>
    <x v="19"/>
    <x v="0"/>
    <n v="1975.48822222222"/>
  </r>
  <r>
    <x v="1"/>
    <x v="0"/>
    <x v="0"/>
    <x v="0"/>
    <n v="684.70209934705304"/>
  </r>
  <r>
    <x v="1"/>
    <x v="1"/>
    <x v="1"/>
    <x v="0"/>
    <n v="918.56127009883517"/>
  </r>
  <r>
    <x v="1"/>
    <x v="2"/>
    <x v="2"/>
    <x v="0"/>
    <n v="839.40630322254503"/>
  </r>
  <r>
    <x v="1"/>
    <x v="3"/>
    <x v="3"/>
    <x v="0"/>
    <n v="2395.9176109432201"/>
  </r>
  <r>
    <x v="1"/>
    <x v="4"/>
    <x v="4"/>
    <x v="0"/>
    <n v="880.62721842149199"/>
  </r>
  <r>
    <x v="1"/>
    <x v="5"/>
    <x v="5"/>
    <x v="0"/>
    <n v="805.13499129282297"/>
  </r>
  <r>
    <x v="1"/>
    <x v="6"/>
    <x v="6"/>
    <x v="0"/>
    <n v="861.46923289776305"/>
  </r>
  <r>
    <x v="1"/>
    <x v="7"/>
    <x v="7"/>
    <x v="0"/>
    <n v="990.1964324080991"/>
  </r>
  <r>
    <x v="1"/>
    <x v="8"/>
    <x v="8"/>
    <x v="0"/>
    <n v="663.49358903478503"/>
  </r>
  <r>
    <x v="1"/>
    <x v="9"/>
    <x v="9"/>
    <x v="0"/>
    <n v="1515.3957406658599"/>
  </r>
  <r>
    <x v="1"/>
    <x v="10"/>
    <x v="10"/>
    <x v="0"/>
    <n v="1577.8276242433899"/>
  </r>
  <r>
    <x v="1"/>
    <x v="11"/>
    <x v="11"/>
    <x v="0"/>
    <n v="958.98461345422197"/>
  </r>
  <r>
    <x v="1"/>
    <x v="12"/>
    <x v="12"/>
    <x v="0"/>
    <n v="1193.0417860733301"/>
  </r>
  <r>
    <x v="1"/>
    <x v="13"/>
    <x v="13"/>
    <x v="0"/>
    <n v="767.09408516154303"/>
  </r>
  <r>
    <x v="1"/>
    <x v="14"/>
    <x v="14"/>
    <x v="0"/>
    <n v="874.368605257441"/>
  </r>
  <r>
    <x v="1"/>
    <x v="15"/>
    <x v="15"/>
    <x v="0"/>
    <n v="1137.0320941376101"/>
  </r>
  <r>
    <x v="1"/>
    <x v="16"/>
    <x v="16"/>
    <x v="0"/>
    <n v="820.32154632946106"/>
  </r>
  <r>
    <x v="1"/>
    <x v="17"/>
    <x v="17"/>
    <x v="0"/>
    <n v="1457.94635679315"/>
  </r>
  <r>
    <x v="1"/>
    <x v="18"/>
    <x v="18"/>
    <x v="0"/>
    <n v="843.58706719739598"/>
  </r>
  <r>
    <x v="1"/>
    <x v="19"/>
    <x v="19"/>
    <x v="0"/>
    <n v="1810.3555555555602"/>
  </r>
  <r>
    <x v="2"/>
    <x v="0"/>
    <x v="0"/>
    <x v="0"/>
    <n v="687.92314514818202"/>
  </r>
  <r>
    <x v="2"/>
    <x v="1"/>
    <x v="1"/>
    <x v="0"/>
    <n v="934.73887812263411"/>
  </r>
  <r>
    <x v="2"/>
    <x v="2"/>
    <x v="2"/>
    <x v="0"/>
    <n v="844.00682901366599"/>
  </r>
  <r>
    <x v="2"/>
    <x v="3"/>
    <x v="3"/>
    <x v="0"/>
    <n v="2065.0708853992601"/>
  </r>
  <r>
    <x v="2"/>
    <x v="4"/>
    <x v="4"/>
    <x v="0"/>
    <n v="885.35339179967298"/>
  </r>
  <r>
    <x v="2"/>
    <x v="5"/>
    <x v="5"/>
    <x v="0"/>
    <n v="800.210134121686"/>
  </r>
  <r>
    <x v="2"/>
    <x v="6"/>
    <x v="6"/>
    <x v="0"/>
    <n v="862.67048918128114"/>
  </r>
  <r>
    <x v="2"/>
    <x v="7"/>
    <x v="7"/>
    <x v="0"/>
    <n v="977.21577401380512"/>
  </r>
  <r>
    <x v="2"/>
    <x v="8"/>
    <x v="8"/>
    <x v="0"/>
    <n v="669.99232723917498"/>
  </r>
  <r>
    <x v="2"/>
    <x v="9"/>
    <x v="9"/>
    <x v="0"/>
    <n v="1500.69470452417"/>
  </r>
  <r>
    <x v="2"/>
    <x v="10"/>
    <x v="10"/>
    <x v="0"/>
    <n v="1572.9612425125501"/>
  </r>
  <r>
    <x v="2"/>
    <x v="11"/>
    <x v="11"/>
    <x v="0"/>
    <n v="951.85174810070009"/>
  </r>
  <r>
    <x v="2"/>
    <x v="12"/>
    <x v="12"/>
    <x v="0"/>
    <n v="1170.24744384978"/>
  </r>
  <r>
    <x v="2"/>
    <x v="13"/>
    <x v="13"/>
    <x v="0"/>
    <n v="772.15337029394504"/>
  </r>
  <r>
    <x v="2"/>
    <x v="14"/>
    <x v="14"/>
    <x v="0"/>
    <n v="880.98849613859306"/>
  </r>
  <r>
    <x v="2"/>
    <x v="15"/>
    <x v="15"/>
    <x v="0"/>
    <n v="1119.5386512001601"/>
  </r>
  <r>
    <x v="2"/>
    <x v="16"/>
    <x v="16"/>
    <x v="0"/>
    <n v="821.86181171729697"/>
  </r>
  <r>
    <x v="2"/>
    <x v="17"/>
    <x v="17"/>
    <x v="0"/>
    <n v="1383.3723070947699"/>
  </r>
  <r>
    <x v="2"/>
    <x v="18"/>
    <x v="18"/>
    <x v="0"/>
    <n v="847.60340294025912"/>
  </r>
  <r>
    <x v="2"/>
    <x v="19"/>
    <x v="19"/>
    <x v="0"/>
    <n v="1772.7097435897401"/>
  </r>
  <r>
    <x v="3"/>
    <x v="0"/>
    <x v="0"/>
    <x v="0"/>
    <n v="701.34431736112913"/>
  </r>
  <r>
    <x v="3"/>
    <x v="1"/>
    <x v="1"/>
    <x v="0"/>
    <n v="937.8072592368261"/>
  </r>
  <r>
    <x v="3"/>
    <x v="2"/>
    <x v="2"/>
    <x v="0"/>
    <n v="856.12305859116407"/>
  </r>
  <r>
    <x v="3"/>
    <x v="3"/>
    <x v="3"/>
    <x v="0"/>
    <n v="2091.50311708861"/>
  </r>
  <r>
    <x v="3"/>
    <x v="4"/>
    <x v="4"/>
    <x v="0"/>
    <n v="893.71437909950009"/>
  </r>
  <r>
    <x v="3"/>
    <x v="5"/>
    <x v="5"/>
    <x v="0"/>
    <n v="796.21899502653002"/>
  </r>
  <r>
    <x v="3"/>
    <x v="6"/>
    <x v="6"/>
    <x v="0"/>
    <n v="867.89261905765204"/>
  </r>
  <r>
    <x v="3"/>
    <x v="7"/>
    <x v="7"/>
    <x v="0"/>
    <n v="988.24594925141707"/>
  </r>
  <r>
    <x v="3"/>
    <x v="8"/>
    <x v="8"/>
    <x v="0"/>
    <n v="673.94495034677914"/>
  </r>
  <r>
    <x v="3"/>
    <x v="9"/>
    <x v="9"/>
    <x v="0"/>
    <n v="1488.7321388029702"/>
  </r>
  <r>
    <x v="3"/>
    <x v="10"/>
    <x v="10"/>
    <x v="0"/>
    <n v="1571.1204680148201"/>
  </r>
  <r>
    <x v="3"/>
    <x v="11"/>
    <x v="11"/>
    <x v="0"/>
    <n v="945.13983036707509"/>
  </r>
  <r>
    <x v="3"/>
    <x v="12"/>
    <x v="12"/>
    <x v="0"/>
    <n v="1171.06011686806"/>
  </r>
  <r>
    <x v="3"/>
    <x v="13"/>
    <x v="13"/>
    <x v="0"/>
    <n v="768.27087521479302"/>
  </r>
  <r>
    <x v="3"/>
    <x v="14"/>
    <x v="14"/>
    <x v="0"/>
    <n v="849.19945606252611"/>
  </r>
  <r>
    <x v="3"/>
    <x v="15"/>
    <x v="15"/>
    <x v="0"/>
    <n v="1118.43869186047"/>
  </r>
  <r>
    <x v="3"/>
    <x v="16"/>
    <x v="16"/>
    <x v="0"/>
    <n v="833.43913617824001"/>
  </r>
  <r>
    <x v="3"/>
    <x v="17"/>
    <x v="17"/>
    <x v="0"/>
    <n v="1514.3955796677601"/>
  </r>
  <r>
    <x v="3"/>
    <x v="18"/>
    <x v="18"/>
    <x v="0"/>
    <n v="847.05432379474996"/>
  </r>
  <r>
    <x v="3"/>
    <x v="19"/>
    <x v="19"/>
    <x v="0"/>
    <n v="1910.540375"/>
  </r>
  <r>
    <x v="4"/>
    <x v="0"/>
    <x v="0"/>
    <x v="0"/>
    <n v="726.48589810017302"/>
  </r>
  <r>
    <x v="4"/>
    <x v="1"/>
    <x v="1"/>
    <x v="0"/>
    <n v="958.09868165716898"/>
  </r>
  <r>
    <x v="4"/>
    <x v="2"/>
    <x v="2"/>
    <x v="0"/>
    <n v="870.08486223409204"/>
  </r>
  <r>
    <x v="4"/>
    <x v="3"/>
    <x v="3"/>
    <x v="0"/>
    <n v="2075.6353677801499"/>
  </r>
  <r>
    <x v="4"/>
    <x v="4"/>
    <x v="4"/>
    <x v="0"/>
    <n v="883.84341588340908"/>
  </r>
  <r>
    <x v="4"/>
    <x v="5"/>
    <x v="5"/>
    <x v="0"/>
    <n v="798.871905025052"/>
  </r>
  <r>
    <x v="4"/>
    <x v="6"/>
    <x v="6"/>
    <x v="0"/>
    <n v="881.90021078892607"/>
  </r>
  <r>
    <x v="4"/>
    <x v="7"/>
    <x v="7"/>
    <x v="0"/>
    <n v="994.98019956187204"/>
  </r>
  <r>
    <x v="4"/>
    <x v="8"/>
    <x v="8"/>
    <x v="0"/>
    <n v="690.54060548259508"/>
  </r>
  <r>
    <x v="4"/>
    <x v="9"/>
    <x v="9"/>
    <x v="0"/>
    <n v="1520.0864750285102"/>
  </r>
  <r>
    <x v="4"/>
    <x v="10"/>
    <x v="10"/>
    <x v="0"/>
    <n v="1585.2929752966002"/>
  </r>
  <r>
    <x v="4"/>
    <x v="11"/>
    <x v="11"/>
    <x v="0"/>
    <n v="969.55322791001004"/>
  </r>
  <r>
    <x v="4"/>
    <x v="12"/>
    <x v="12"/>
    <x v="0"/>
    <n v="1183.3937842045102"/>
  </r>
  <r>
    <x v="4"/>
    <x v="13"/>
    <x v="13"/>
    <x v="0"/>
    <n v="772.58567131477002"/>
  </r>
  <r>
    <x v="4"/>
    <x v="14"/>
    <x v="14"/>
    <x v="0"/>
    <n v="848.71251706395014"/>
  </r>
  <r>
    <x v="4"/>
    <x v="15"/>
    <x v="15"/>
    <x v="0"/>
    <n v="1121.57449204406"/>
  </r>
  <r>
    <x v="4"/>
    <x v="16"/>
    <x v="16"/>
    <x v="0"/>
    <n v="851.35971351443413"/>
  </r>
  <r>
    <x v="4"/>
    <x v="17"/>
    <x v="17"/>
    <x v="0"/>
    <n v="1537.2510891254701"/>
  </r>
  <r>
    <x v="4"/>
    <x v="18"/>
    <x v="18"/>
    <x v="0"/>
    <n v="857.44158379820499"/>
  </r>
  <r>
    <x v="4"/>
    <x v="19"/>
    <x v="19"/>
    <x v="0"/>
    <n v="2028.9570967741902"/>
  </r>
  <r>
    <x v="5"/>
    <x v="0"/>
    <x v="0"/>
    <x v="0"/>
    <n v="738.39001875293002"/>
  </r>
  <r>
    <x v="5"/>
    <x v="1"/>
    <x v="1"/>
    <x v="0"/>
    <n v="986.18185247921213"/>
  </r>
  <r>
    <x v="5"/>
    <x v="2"/>
    <x v="2"/>
    <x v="0"/>
    <n v="895.89243994149103"/>
  </r>
  <r>
    <x v="5"/>
    <x v="3"/>
    <x v="3"/>
    <x v="0"/>
    <n v="2070.1446386908601"/>
  </r>
  <r>
    <x v="5"/>
    <x v="4"/>
    <x v="4"/>
    <x v="0"/>
    <n v="891.48590289564402"/>
  </r>
  <r>
    <x v="5"/>
    <x v="5"/>
    <x v="5"/>
    <x v="0"/>
    <n v="808.62405783048507"/>
  </r>
  <r>
    <x v="5"/>
    <x v="6"/>
    <x v="6"/>
    <x v="0"/>
    <n v="900.402191994124"/>
  </r>
  <r>
    <x v="5"/>
    <x v="7"/>
    <x v="7"/>
    <x v="0"/>
    <n v="1002.6356806408501"/>
  </r>
  <r>
    <x v="5"/>
    <x v="8"/>
    <x v="8"/>
    <x v="0"/>
    <n v="713.45454855878506"/>
  </r>
  <r>
    <x v="5"/>
    <x v="9"/>
    <x v="9"/>
    <x v="0"/>
    <n v="1522.7872626272399"/>
  </r>
  <r>
    <x v="5"/>
    <x v="10"/>
    <x v="10"/>
    <x v="0"/>
    <n v="1592.4439893747901"/>
  </r>
  <r>
    <x v="5"/>
    <x v="11"/>
    <x v="11"/>
    <x v="0"/>
    <n v="978.98750000000007"/>
  </r>
  <r>
    <x v="5"/>
    <x v="12"/>
    <x v="12"/>
    <x v="0"/>
    <n v="1225.5762643666399"/>
  </r>
  <r>
    <x v="5"/>
    <x v="13"/>
    <x v="13"/>
    <x v="0"/>
    <n v="787.929825874416"/>
  </r>
  <r>
    <x v="5"/>
    <x v="14"/>
    <x v="14"/>
    <x v="0"/>
    <n v="866.69458366854406"/>
  </r>
  <r>
    <x v="5"/>
    <x v="15"/>
    <x v="15"/>
    <x v="0"/>
    <n v="1136.2709303330901"/>
  </r>
  <r>
    <x v="5"/>
    <x v="16"/>
    <x v="16"/>
    <x v="0"/>
    <n v="871.00278517655204"/>
  </r>
  <r>
    <x v="5"/>
    <x v="17"/>
    <x v="17"/>
    <x v="0"/>
    <n v="1612.8990528532502"/>
  </r>
  <r>
    <x v="5"/>
    <x v="18"/>
    <x v="18"/>
    <x v="0"/>
    <n v="877.33948986960002"/>
  </r>
  <r>
    <x v="5"/>
    <x v="19"/>
    <x v="19"/>
    <x v="0"/>
    <n v="1986.43304878049"/>
  </r>
  <r>
    <x v="6"/>
    <x v="0"/>
    <x v="0"/>
    <x v="0"/>
    <n v="773.21816728332806"/>
  </r>
  <r>
    <x v="6"/>
    <x v="1"/>
    <x v="1"/>
    <x v="0"/>
    <n v="1036.7307164880299"/>
  </r>
  <r>
    <x v="6"/>
    <x v="2"/>
    <x v="2"/>
    <x v="0"/>
    <n v="929.15451693602415"/>
  </r>
  <r>
    <x v="6"/>
    <x v="3"/>
    <x v="3"/>
    <x v="0"/>
    <n v="2080.65154713436"/>
  </r>
  <r>
    <x v="6"/>
    <x v="4"/>
    <x v="4"/>
    <x v="0"/>
    <n v="920.04443925944702"/>
  </r>
  <r>
    <x v="6"/>
    <x v="5"/>
    <x v="5"/>
    <x v="0"/>
    <n v="824.75819202702405"/>
  </r>
  <r>
    <x v="6"/>
    <x v="6"/>
    <x v="6"/>
    <x v="0"/>
    <n v="924.91415517005908"/>
  </r>
  <r>
    <x v="6"/>
    <x v="7"/>
    <x v="7"/>
    <x v="0"/>
    <n v="1033.97434618229"/>
  </r>
  <r>
    <x v="6"/>
    <x v="8"/>
    <x v="8"/>
    <x v="0"/>
    <n v="739.37179505964298"/>
  </r>
  <r>
    <x v="6"/>
    <x v="9"/>
    <x v="9"/>
    <x v="0"/>
    <n v="1562.8561622751499"/>
  </r>
  <r>
    <x v="6"/>
    <x v="10"/>
    <x v="10"/>
    <x v="0"/>
    <n v="1601.1210134726703"/>
  </r>
  <r>
    <x v="6"/>
    <x v="11"/>
    <x v="11"/>
    <x v="0"/>
    <n v="1001.04499947028"/>
  </r>
  <r>
    <x v="6"/>
    <x v="12"/>
    <x v="12"/>
    <x v="0"/>
    <n v="1249.7838320242101"/>
  </r>
  <r>
    <x v="6"/>
    <x v="13"/>
    <x v="13"/>
    <x v="0"/>
    <n v="807.44326051546705"/>
  </r>
  <r>
    <x v="6"/>
    <x v="14"/>
    <x v="14"/>
    <x v="0"/>
    <n v="895.15834533073905"/>
  </r>
  <r>
    <x v="6"/>
    <x v="15"/>
    <x v="15"/>
    <x v="0"/>
    <n v="1161.1423260459401"/>
  </r>
  <r>
    <x v="6"/>
    <x v="16"/>
    <x v="16"/>
    <x v="0"/>
    <n v="891.94092989525302"/>
  </r>
  <r>
    <x v="6"/>
    <x v="17"/>
    <x v="17"/>
    <x v="0"/>
    <n v="1607.9499511987101"/>
  </r>
  <r>
    <x v="6"/>
    <x v="18"/>
    <x v="18"/>
    <x v="0"/>
    <n v="901.61593273478707"/>
  </r>
  <r>
    <x v="6"/>
    <x v="19"/>
    <x v="19"/>
    <x v="0"/>
    <n v="2136.1323333333298"/>
  </r>
  <r>
    <x v="7"/>
    <x v="0"/>
    <x v="0"/>
    <x v="0"/>
    <n v="823.08134849192106"/>
  </r>
  <r>
    <x v="7"/>
    <x v="1"/>
    <x v="1"/>
    <x v="0"/>
    <n v="1083.2395469646601"/>
  </r>
  <r>
    <x v="7"/>
    <x v="2"/>
    <x v="2"/>
    <x v="0"/>
    <n v="964.71261065318311"/>
  </r>
  <r>
    <x v="7"/>
    <x v="3"/>
    <x v="3"/>
    <x v="0"/>
    <n v="2086.9000282131701"/>
  </r>
  <r>
    <x v="7"/>
    <x v="4"/>
    <x v="4"/>
    <x v="0"/>
    <n v="936.66852291208306"/>
  </r>
  <r>
    <x v="7"/>
    <x v="5"/>
    <x v="5"/>
    <x v="0"/>
    <n v="853.91631065988611"/>
  </r>
  <r>
    <x v="7"/>
    <x v="6"/>
    <x v="6"/>
    <x v="0"/>
    <n v="959.33335282434405"/>
  </r>
  <r>
    <x v="7"/>
    <x v="7"/>
    <x v="7"/>
    <x v="0"/>
    <n v="1071.3695109096002"/>
  </r>
  <r>
    <x v="7"/>
    <x v="8"/>
    <x v="8"/>
    <x v="0"/>
    <n v="764.07750352494998"/>
  </r>
  <r>
    <x v="7"/>
    <x v="9"/>
    <x v="9"/>
    <x v="0"/>
    <n v="1614.9740241059401"/>
  </r>
  <r>
    <x v="7"/>
    <x v="10"/>
    <x v="10"/>
    <x v="0"/>
    <n v="1632.2589263661"/>
  </r>
  <r>
    <x v="7"/>
    <x v="11"/>
    <x v="11"/>
    <x v="0"/>
    <n v="1045.9610219236199"/>
  </r>
  <r>
    <x v="7"/>
    <x v="12"/>
    <x v="12"/>
    <x v="0"/>
    <n v="1288.0862269404499"/>
  </r>
  <r>
    <x v="7"/>
    <x v="13"/>
    <x v="13"/>
    <x v="0"/>
    <n v="842.4761816352601"/>
  </r>
  <r>
    <x v="7"/>
    <x v="14"/>
    <x v="14"/>
    <x v="0"/>
    <n v="950.41182258984611"/>
  </r>
  <r>
    <x v="7"/>
    <x v="15"/>
    <x v="15"/>
    <x v="0"/>
    <n v="1219.7930119299501"/>
  </r>
  <r>
    <x v="7"/>
    <x v="16"/>
    <x v="16"/>
    <x v="0"/>
    <n v="923.59450725392105"/>
  </r>
  <r>
    <x v="7"/>
    <x v="17"/>
    <x v="17"/>
    <x v="0"/>
    <n v="1645.6621931894101"/>
  </r>
  <r>
    <x v="7"/>
    <x v="18"/>
    <x v="18"/>
    <x v="0"/>
    <n v="932.374981835178"/>
  </r>
  <r>
    <x v="7"/>
    <x v="19"/>
    <x v="19"/>
    <x v="0"/>
    <n v="2160.3618947368404"/>
  </r>
  <r>
    <x v="8"/>
    <x v="0"/>
    <x v="0"/>
    <x v="0"/>
    <n v="823.11781650322496"/>
  </r>
  <r>
    <x v="8"/>
    <x v="1"/>
    <x v="1"/>
    <x v="0"/>
    <n v="1099.73007606333"/>
  </r>
  <r>
    <x v="8"/>
    <x v="2"/>
    <x v="2"/>
    <x v="0"/>
    <n v="1003.2084417479001"/>
  </r>
  <r>
    <x v="8"/>
    <x v="3"/>
    <x v="3"/>
    <x v="0"/>
    <n v="2128.4663371176298"/>
  </r>
  <r>
    <x v="8"/>
    <x v="4"/>
    <x v="4"/>
    <x v="0"/>
    <n v="970.37218146718101"/>
  </r>
  <r>
    <x v="8"/>
    <x v="5"/>
    <x v="5"/>
    <x v="0"/>
    <n v="880.76837590518107"/>
  </r>
  <r>
    <x v="8"/>
    <x v="6"/>
    <x v="6"/>
    <x v="0"/>
    <n v="989.90563296268704"/>
  </r>
  <r>
    <x v="8"/>
    <x v="7"/>
    <x v="7"/>
    <x v="0"/>
    <n v="1033.2504809453701"/>
  </r>
  <r>
    <x v="8"/>
    <x v="8"/>
    <x v="8"/>
    <x v="0"/>
    <n v="780.14158453833704"/>
  </r>
  <r>
    <x v="8"/>
    <x v="9"/>
    <x v="9"/>
    <x v="0"/>
    <n v="1668.1161779340503"/>
  </r>
  <r>
    <x v="8"/>
    <x v="10"/>
    <x v="10"/>
    <x v="0"/>
    <n v="1651.3015192094701"/>
  </r>
  <r>
    <x v="8"/>
    <x v="11"/>
    <x v="11"/>
    <x v="0"/>
    <n v="1091.6445527877802"/>
  </r>
  <r>
    <x v="8"/>
    <x v="12"/>
    <x v="12"/>
    <x v="0"/>
    <n v="1335.14220475722"/>
  </r>
  <r>
    <x v="8"/>
    <x v="13"/>
    <x v="13"/>
    <x v="0"/>
    <n v="864.18440446708109"/>
  </r>
  <r>
    <x v="8"/>
    <x v="14"/>
    <x v="14"/>
    <x v="0"/>
    <n v="990.79099972459414"/>
  </r>
  <r>
    <x v="8"/>
    <x v="15"/>
    <x v="15"/>
    <x v="0"/>
    <n v="1259.2832209786602"/>
  </r>
  <r>
    <x v="8"/>
    <x v="16"/>
    <x v="16"/>
    <x v="0"/>
    <n v="942.71178632846113"/>
  </r>
  <r>
    <x v="8"/>
    <x v="17"/>
    <x v="17"/>
    <x v="0"/>
    <n v="1838.9745813040101"/>
  </r>
  <r>
    <x v="8"/>
    <x v="18"/>
    <x v="18"/>
    <x v="0"/>
    <n v="987.51096645240398"/>
  </r>
  <r>
    <x v="8"/>
    <x v="19"/>
    <x v="19"/>
    <x v="0"/>
    <n v="1978.9849090909102"/>
  </r>
  <r>
    <x v="9"/>
    <x v="0"/>
    <x v="0"/>
    <x v="0"/>
    <n v="872.68203826163904"/>
  </r>
  <r>
    <x v="9"/>
    <x v="1"/>
    <x v="1"/>
    <x v="0"/>
    <n v="1159.4527605973801"/>
  </r>
  <r>
    <x v="9"/>
    <x v="2"/>
    <x v="2"/>
    <x v="0"/>
    <n v="1031.02559057797"/>
  </r>
  <r>
    <x v="9"/>
    <x v="3"/>
    <x v="3"/>
    <x v="0"/>
    <n v="2156.6853935813501"/>
  </r>
  <r>
    <x v="9"/>
    <x v="4"/>
    <x v="4"/>
    <x v="0"/>
    <n v="989.78848389665507"/>
  </r>
  <r>
    <x v="9"/>
    <x v="5"/>
    <x v="5"/>
    <x v="0"/>
    <n v="934.51280997494007"/>
  </r>
  <r>
    <x v="9"/>
    <x v="6"/>
    <x v="6"/>
    <x v="0"/>
    <n v="1031.8456251120601"/>
  </r>
  <r>
    <x v="9"/>
    <x v="7"/>
    <x v="7"/>
    <x v="0"/>
    <n v="1056.1173564088701"/>
  </r>
  <r>
    <x v="9"/>
    <x v="8"/>
    <x v="8"/>
    <x v="0"/>
    <n v="822.385398330062"/>
  </r>
  <r>
    <x v="9"/>
    <x v="9"/>
    <x v="9"/>
    <x v="0"/>
    <n v="1748.1088944124501"/>
  </r>
  <r>
    <x v="9"/>
    <x v="10"/>
    <x v="10"/>
    <x v="0"/>
    <n v="1674.12368130901"/>
  </r>
  <r>
    <x v="9"/>
    <x v="11"/>
    <x v="11"/>
    <x v="0"/>
    <n v="1129.1853103318101"/>
  </r>
  <r>
    <x v="9"/>
    <x v="12"/>
    <x v="12"/>
    <x v="0"/>
    <n v="1403.13461277088"/>
  </r>
  <r>
    <x v="9"/>
    <x v="13"/>
    <x v="13"/>
    <x v="0"/>
    <n v="916.97032858433511"/>
  </r>
  <r>
    <x v="9"/>
    <x v="14"/>
    <x v="14"/>
    <x v="0"/>
    <n v="1027.5082074060199"/>
  </r>
  <r>
    <x v="9"/>
    <x v="15"/>
    <x v="15"/>
    <x v="0"/>
    <n v="1296.7184035308401"/>
  </r>
  <r>
    <x v="9"/>
    <x v="16"/>
    <x v="16"/>
    <x v="0"/>
    <n v="974.57898527437214"/>
  </r>
  <r>
    <x v="9"/>
    <x v="17"/>
    <x v="17"/>
    <x v="0"/>
    <n v="1780.1012672638201"/>
  </r>
  <r>
    <x v="9"/>
    <x v="18"/>
    <x v="18"/>
    <x v="0"/>
    <n v="1012.5876791584501"/>
  </r>
  <r>
    <x v="9"/>
    <x v="19"/>
    <x v="19"/>
    <x v="0"/>
    <n v="1886.5118749999999"/>
  </r>
  <r>
    <x v="10"/>
    <x v="0"/>
    <x v="0"/>
    <x v="0"/>
    <n v="916.19425957124201"/>
  </r>
  <r>
    <x v="10"/>
    <x v="1"/>
    <x v="1"/>
    <x v="0"/>
    <n v="1221.0700789127602"/>
  </r>
  <r>
    <x v="10"/>
    <x v="2"/>
    <x v="2"/>
    <x v="0"/>
    <n v="1095.17302564704"/>
  </r>
  <r>
    <x v="10"/>
    <x v="3"/>
    <x v="3"/>
    <x v="0"/>
    <n v="2243.08646440129"/>
  </r>
  <r>
    <x v="10"/>
    <x v="4"/>
    <x v="4"/>
    <x v="0"/>
    <n v="1034.7815110133999"/>
  </r>
  <r>
    <x v="10"/>
    <x v="5"/>
    <x v="5"/>
    <x v="0"/>
    <n v="973.22021681295314"/>
  </r>
  <r>
    <x v="10"/>
    <x v="6"/>
    <x v="6"/>
    <x v="0"/>
    <n v="1075.6046225387602"/>
  </r>
  <r>
    <x v="10"/>
    <x v="7"/>
    <x v="7"/>
    <x v="0"/>
    <n v="1184.2369983634701"/>
  </r>
  <r>
    <x v="10"/>
    <x v="8"/>
    <x v="8"/>
    <x v="0"/>
    <n v="872.72265913876606"/>
  </r>
  <r>
    <x v="10"/>
    <x v="9"/>
    <x v="9"/>
    <x v="0"/>
    <n v="1915.45167650083"/>
  </r>
  <r>
    <x v="10"/>
    <x v="10"/>
    <x v="10"/>
    <x v="0"/>
    <n v="1705.2331345150601"/>
  </r>
  <r>
    <x v="10"/>
    <x v="11"/>
    <x v="11"/>
    <x v="0"/>
    <n v="1185.3302392222101"/>
  </r>
  <r>
    <x v="10"/>
    <x v="12"/>
    <x v="12"/>
    <x v="0"/>
    <n v="1491.9657939461799"/>
  </r>
  <r>
    <x v="10"/>
    <x v="13"/>
    <x v="13"/>
    <x v="0"/>
    <n v="970.39278583200996"/>
  </r>
  <r>
    <x v="10"/>
    <x v="14"/>
    <x v="14"/>
    <x v="0"/>
    <n v="1035.50470390484"/>
  </r>
  <r>
    <x v="10"/>
    <x v="15"/>
    <x v="15"/>
    <x v="0"/>
    <n v="1348.7300260772402"/>
  </r>
  <r>
    <x v="10"/>
    <x v="16"/>
    <x v="16"/>
    <x v="0"/>
    <n v="1004.81363273947"/>
  </r>
  <r>
    <x v="10"/>
    <x v="17"/>
    <x v="17"/>
    <x v="0"/>
    <n v="1789.8588604859799"/>
  </r>
  <r>
    <x v="10"/>
    <x v="18"/>
    <x v="18"/>
    <x v="0"/>
    <n v="1053.4306588592303"/>
  </r>
  <r>
    <x v="10"/>
    <x v="19"/>
    <x v="19"/>
    <x v="0"/>
    <n v="3156.8388888888899"/>
  </r>
  <r>
    <x v="0"/>
    <x v="0"/>
    <x v="0"/>
    <x v="1"/>
    <n v="812.90857049472606"/>
  </r>
  <r>
    <x v="0"/>
    <x v="1"/>
    <x v="1"/>
    <x v="1"/>
    <n v="1189.99472764645"/>
  </r>
  <r>
    <x v="0"/>
    <x v="2"/>
    <x v="2"/>
    <x v="1"/>
    <n v="988.75687182708407"/>
  </r>
  <r>
    <x v="0"/>
    <x v="3"/>
    <x v="3"/>
    <x v="1"/>
    <n v="2770.7704915514601"/>
  </r>
  <r>
    <x v="0"/>
    <x v="4"/>
    <x v="4"/>
    <x v="1"/>
    <n v="1089.87289500568"/>
  </r>
  <r>
    <x v="0"/>
    <x v="5"/>
    <x v="5"/>
    <x v="1"/>
    <n v="967.12898726268406"/>
  </r>
  <r>
    <x v="0"/>
    <x v="6"/>
    <x v="6"/>
    <x v="1"/>
    <n v="1015.3315462450399"/>
  </r>
  <r>
    <x v="0"/>
    <x v="7"/>
    <x v="7"/>
    <x v="1"/>
    <n v="1345.0375864594002"/>
  </r>
  <r>
    <x v="0"/>
    <x v="8"/>
    <x v="8"/>
    <x v="1"/>
    <n v="728.49473895673304"/>
  </r>
  <r>
    <x v="0"/>
    <x v="9"/>
    <x v="9"/>
    <x v="1"/>
    <n v="1825.52362045876"/>
  </r>
  <r>
    <x v="0"/>
    <x v="10"/>
    <x v="10"/>
    <x v="1"/>
    <n v="2291.7364249070201"/>
  </r>
  <r>
    <x v="0"/>
    <x v="11"/>
    <x v="11"/>
    <x v="1"/>
    <n v="1107.4774400888698"/>
  </r>
  <r>
    <x v="0"/>
    <x v="12"/>
    <x v="12"/>
    <x v="1"/>
    <n v="1366.9932704897201"/>
  </r>
  <r>
    <x v="0"/>
    <x v="13"/>
    <x v="13"/>
    <x v="1"/>
    <n v="923.59082589062609"/>
  </r>
  <r>
    <x v="0"/>
    <x v="14"/>
    <x v="14"/>
    <x v="1"/>
    <n v="1059.88956753302"/>
  </r>
  <r>
    <x v="0"/>
    <x v="15"/>
    <x v="15"/>
    <x v="1"/>
    <n v="1223.50627841954"/>
  </r>
  <r>
    <x v="0"/>
    <x v="16"/>
    <x v="16"/>
    <x v="1"/>
    <n v="944.07356880845805"/>
  </r>
  <r>
    <x v="0"/>
    <x v="17"/>
    <x v="17"/>
    <x v="1"/>
    <n v="1684.0991619423203"/>
  </r>
  <r>
    <x v="0"/>
    <x v="18"/>
    <x v="18"/>
    <x v="1"/>
    <n v="951.27112535612503"/>
  </r>
  <r>
    <x v="0"/>
    <x v="19"/>
    <x v="19"/>
    <x v="1"/>
    <n v="2095.20644444444"/>
  </r>
  <r>
    <x v="1"/>
    <x v="0"/>
    <x v="0"/>
    <x v="1"/>
    <n v="789.23093644102801"/>
  </r>
  <r>
    <x v="1"/>
    <x v="1"/>
    <x v="1"/>
    <x v="1"/>
    <n v="1216.8668800708101"/>
  </r>
  <r>
    <x v="1"/>
    <x v="2"/>
    <x v="2"/>
    <x v="1"/>
    <n v="996.63412584612513"/>
  </r>
  <r>
    <x v="1"/>
    <x v="3"/>
    <x v="3"/>
    <x v="1"/>
    <n v="2907.09623190711"/>
  </r>
  <r>
    <x v="1"/>
    <x v="4"/>
    <x v="4"/>
    <x v="1"/>
    <n v="1084.1670131820501"/>
  </r>
  <r>
    <x v="1"/>
    <x v="5"/>
    <x v="5"/>
    <x v="1"/>
    <n v="966.06312656998909"/>
  </r>
  <r>
    <x v="1"/>
    <x v="6"/>
    <x v="6"/>
    <x v="1"/>
    <n v="1013.45563816727"/>
  </r>
  <r>
    <x v="1"/>
    <x v="7"/>
    <x v="7"/>
    <x v="1"/>
    <n v="1338.08136636621"/>
  </r>
  <r>
    <x v="1"/>
    <x v="8"/>
    <x v="8"/>
    <x v="1"/>
    <n v="724.30541273132212"/>
  </r>
  <r>
    <x v="1"/>
    <x v="9"/>
    <x v="9"/>
    <x v="1"/>
    <n v="1821.2660136136899"/>
  </r>
  <r>
    <x v="1"/>
    <x v="10"/>
    <x v="10"/>
    <x v="1"/>
    <n v="2302.0398946055002"/>
  </r>
  <r>
    <x v="1"/>
    <x v="11"/>
    <x v="11"/>
    <x v="1"/>
    <n v="1093.47232089371"/>
  </r>
  <r>
    <x v="1"/>
    <x v="12"/>
    <x v="12"/>
    <x v="1"/>
    <n v="1357.6907430869301"/>
  </r>
  <r>
    <x v="1"/>
    <x v="13"/>
    <x v="13"/>
    <x v="1"/>
    <n v="910.68893609215604"/>
  </r>
  <r>
    <x v="1"/>
    <x v="14"/>
    <x v="14"/>
    <x v="1"/>
    <n v="1035.19593200087"/>
  </r>
  <r>
    <x v="1"/>
    <x v="15"/>
    <x v="15"/>
    <x v="1"/>
    <n v="1234.62490528838"/>
  </r>
  <r>
    <x v="1"/>
    <x v="16"/>
    <x v="16"/>
    <x v="1"/>
    <n v="943.7641772179461"/>
  </r>
  <r>
    <x v="1"/>
    <x v="17"/>
    <x v="17"/>
    <x v="1"/>
    <n v="1635.4713886168902"/>
  </r>
  <r>
    <x v="1"/>
    <x v="18"/>
    <x v="18"/>
    <x v="1"/>
    <n v="950.58962862016904"/>
  </r>
  <r>
    <x v="1"/>
    <x v="19"/>
    <x v="19"/>
    <x v="1"/>
    <n v="1896.4293055555599"/>
  </r>
  <r>
    <x v="2"/>
    <x v="0"/>
    <x v="0"/>
    <x v="1"/>
    <n v="794.63238825377903"/>
  </r>
  <r>
    <x v="2"/>
    <x v="1"/>
    <x v="1"/>
    <x v="1"/>
    <n v="1253.1919576078699"/>
  </r>
  <r>
    <x v="2"/>
    <x v="2"/>
    <x v="2"/>
    <x v="1"/>
    <n v="1003.09180358052"/>
  </r>
  <r>
    <x v="2"/>
    <x v="3"/>
    <x v="3"/>
    <x v="1"/>
    <n v="2899.0310958904101"/>
  </r>
  <r>
    <x v="2"/>
    <x v="4"/>
    <x v="4"/>
    <x v="1"/>
    <n v="1091.92070723591"/>
  </r>
  <r>
    <x v="2"/>
    <x v="5"/>
    <x v="5"/>
    <x v="1"/>
    <n v="962.22910860194497"/>
  </r>
  <r>
    <x v="2"/>
    <x v="6"/>
    <x v="6"/>
    <x v="1"/>
    <n v="1014.14490737853"/>
  </r>
  <r>
    <x v="2"/>
    <x v="7"/>
    <x v="7"/>
    <x v="1"/>
    <n v="1335.4530394670901"/>
  </r>
  <r>
    <x v="2"/>
    <x v="8"/>
    <x v="8"/>
    <x v="1"/>
    <n v="734.04489110133898"/>
  </r>
  <r>
    <x v="2"/>
    <x v="9"/>
    <x v="9"/>
    <x v="1"/>
    <n v="1779.8789245002702"/>
  </r>
  <r>
    <x v="2"/>
    <x v="10"/>
    <x v="10"/>
    <x v="1"/>
    <n v="2312.4883290162397"/>
  </r>
  <r>
    <x v="2"/>
    <x v="11"/>
    <x v="11"/>
    <x v="1"/>
    <n v="1087.2775927305202"/>
  </r>
  <r>
    <x v="2"/>
    <x v="12"/>
    <x v="12"/>
    <x v="1"/>
    <n v="1347.8540544699501"/>
  </r>
  <r>
    <x v="2"/>
    <x v="13"/>
    <x v="13"/>
    <x v="1"/>
    <n v="915.76944928420608"/>
  </r>
  <r>
    <x v="2"/>
    <x v="14"/>
    <x v="14"/>
    <x v="1"/>
    <n v="1049.32293258192"/>
  </r>
  <r>
    <x v="2"/>
    <x v="15"/>
    <x v="15"/>
    <x v="1"/>
    <n v="1224.4207155769802"/>
  </r>
  <r>
    <x v="2"/>
    <x v="16"/>
    <x v="16"/>
    <x v="1"/>
    <n v="941.14137819980408"/>
  </r>
  <r>
    <x v="2"/>
    <x v="17"/>
    <x v="17"/>
    <x v="1"/>
    <n v="1556.90374676334"/>
  </r>
  <r>
    <x v="2"/>
    <x v="18"/>
    <x v="18"/>
    <x v="1"/>
    <n v="957.11467633754501"/>
  </r>
  <r>
    <x v="2"/>
    <x v="19"/>
    <x v="19"/>
    <x v="1"/>
    <n v="1860.1865384615401"/>
  </r>
  <r>
    <x v="3"/>
    <x v="0"/>
    <x v="0"/>
    <x v="1"/>
    <n v="802.67954439521611"/>
  </r>
  <r>
    <x v="3"/>
    <x v="1"/>
    <x v="1"/>
    <x v="1"/>
    <n v="1254.1148516050901"/>
  </r>
  <r>
    <x v="3"/>
    <x v="2"/>
    <x v="2"/>
    <x v="1"/>
    <n v="1015.8172835393801"/>
  </r>
  <r>
    <x v="3"/>
    <x v="3"/>
    <x v="3"/>
    <x v="1"/>
    <n v="2923.7819224683499"/>
  </r>
  <r>
    <x v="3"/>
    <x v="4"/>
    <x v="4"/>
    <x v="1"/>
    <n v="1102.67372762646"/>
  </r>
  <r>
    <x v="3"/>
    <x v="5"/>
    <x v="5"/>
    <x v="1"/>
    <n v="958.60538910976402"/>
  </r>
  <r>
    <x v="3"/>
    <x v="6"/>
    <x v="6"/>
    <x v="1"/>
    <n v="1022.0122794384901"/>
  </r>
  <r>
    <x v="3"/>
    <x v="7"/>
    <x v="7"/>
    <x v="1"/>
    <n v="1342.5026202255901"/>
  </r>
  <r>
    <x v="3"/>
    <x v="8"/>
    <x v="8"/>
    <x v="1"/>
    <n v="736.79858403781805"/>
  </r>
  <r>
    <x v="3"/>
    <x v="9"/>
    <x v="9"/>
    <x v="1"/>
    <n v="1770.6816329198703"/>
  </r>
  <r>
    <x v="3"/>
    <x v="10"/>
    <x v="10"/>
    <x v="1"/>
    <n v="2302.1329373065601"/>
  </r>
  <r>
    <x v="3"/>
    <x v="11"/>
    <x v="11"/>
    <x v="1"/>
    <n v="1080.5267512513901"/>
  </r>
  <r>
    <x v="3"/>
    <x v="12"/>
    <x v="12"/>
    <x v="1"/>
    <n v="1352.5572876735901"/>
  </r>
  <r>
    <x v="3"/>
    <x v="13"/>
    <x v="13"/>
    <x v="1"/>
    <n v="909.36321231429008"/>
  </r>
  <r>
    <x v="3"/>
    <x v="14"/>
    <x v="14"/>
    <x v="1"/>
    <n v="1055.0875042247601"/>
  </r>
  <r>
    <x v="3"/>
    <x v="15"/>
    <x v="15"/>
    <x v="1"/>
    <n v="1215.92411337209"/>
  </r>
  <r>
    <x v="3"/>
    <x v="16"/>
    <x v="16"/>
    <x v="1"/>
    <n v="957.94542332007711"/>
  </r>
  <r>
    <x v="3"/>
    <x v="17"/>
    <x v="17"/>
    <x v="1"/>
    <n v="1683.8955504211501"/>
  </r>
  <r>
    <x v="3"/>
    <x v="18"/>
    <x v="18"/>
    <x v="1"/>
    <n v="956.51286606523206"/>
  </r>
  <r>
    <x v="3"/>
    <x v="19"/>
    <x v="19"/>
    <x v="1"/>
    <n v="2012.884"/>
  </r>
  <r>
    <x v="4"/>
    <x v="0"/>
    <x v="0"/>
    <x v="1"/>
    <n v="832.79572922663601"/>
  </r>
  <r>
    <x v="4"/>
    <x v="1"/>
    <x v="1"/>
    <x v="1"/>
    <n v="1286.7811704913001"/>
  </r>
  <r>
    <x v="4"/>
    <x v="2"/>
    <x v="2"/>
    <x v="1"/>
    <n v="1031.59799499223"/>
  </r>
  <r>
    <x v="4"/>
    <x v="3"/>
    <x v="3"/>
    <x v="1"/>
    <n v="2941.59584334376"/>
  </r>
  <r>
    <x v="4"/>
    <x v="4"/>
    <x v="4"/>
    <x v="1"/>
    <n v="1092.50263491393"/>
  </r>
  <r>
    <x v="4"/>
    <x v="5"/>
    <x v="5"/>
    <x v="1"/>
    <n v="955.52471109637509"/>
  </r>
  <r>
    <x v="4"/>
    <x v="6"/>
    <x v="6"/>
    <x v="1"/>
    <n v="1039.55172346421"/>
  </r>
  <r>
    <x v="4"/>
    <x v="7"/>
    <x v="7"/>
    <x v="1"/>
    <n v="1359.02162036048"/>
  </r>
  <r>
    <x v="4"/>
    <x v="8"/>
    <x v="8"/>
    <x v="1"/>
    <n v="758.99435527316302"/>
  </r>
  <r>
    <x v="4"/>
    <x v="9"/>
    <x v="9"/>
    <x v="1"/>
    <n v="1797.9399188126501"/>
  </r>
  <r>
    <x v="4"/>
    <x v="10"/>
    <x v="10"/>
    <x v="1"/>
    <n v="2313.4637807378504"/>
  </r>
  <r>
    <x v="4"/>
    <x v="11"/>
    <x v="11"/>
    <x v="1"/>
    <n v="1101.5687968699101"/>
  </r>
  <r>
    <x v="4"/>
    <x v="12"/>
    <x v="12"/>
    <x v="1"/>
    <n v="1358.5760158632702"/>
  </r>
  <r>
    <x v="4"/>
    <x v="13"/>
    <x v="13"/>
    <x v="1"/>
    <n v="915.80640676465907"/>
  </r>
  <r>
    <x v="4"/>
    <x v="14"/>
    <x v="14"/>
    <x v="1"/>
    <n v="1031.67505197942"/>
  </r>
  <r>
    <x v="4"/>
    <x v="15"/>
    <x v="15"/>
    <x v="1"/>
    <n v="1218.1817671058602"/>
  </r>
  <r>
    <x v="4"/>
    <x v="16"/>
    <x v="16"/>
    <x v="1"/>
    <n v="977.40702239840505"/>
  </r>
  <r>
    <x v="4"/>
    <x v="17"/>
    <x v="17"/>
    <x v="1"/>
    <n v="1710.9559155008103"/>
  </r>
  <r>
    <x v="4"/>
    <x v="18"/>
    <x v="18"/>
    <x v="1"/>
    <n v="964.6995149163231"/>
  </r>
  <r>
    <x v="4"/>
    <x v="19"/>
    <x v="19"/>
    <x v="1"/>
    <n v="2228.1706451612899"/>
  </r>
  <r>
    <x v="5"/>
    <x v="0"/>
    <x v="0"/>
    <x v="1"/>
    <n v="850.3978954524141"/>
  </r>
  <r>
    <x v="5"/>
    <x v="1"/>
    <x v="1"/>
    <x v="1"/>
    <n v="1296.0436664613501"/>
  </r>
  <r>
    <x v="5"/>
    <x v="2"/>
    <x v="2"/>
    <x v="1"/>
    <n v="1068.4328290201402"/>
  </r>
  <r>
    <x v="5"/>
    <x v="3"/>
    <x v="3"/>
    <x v="1"/>
    <n v="2914.6664646792001"/>
  </r>
  <r>
    <x v="5"/>
    <x v="4"/>
    <x v="4"/>
    <x v="1"/>
    <n v="1108.53806974232"/>
  </r>
  <r>
    <x v="5"/>
    <x v="5"/>
    <x v="5"/>
    <x v="1"/>
    <n v="967.03463446110902"/>
  </r>
  <r>
    <x v="5"/>
    <x v="6"/>
    <x v="6"/>
    <x v="1"/>
    <n v="1066.6365917294902"/>
  </r>
  <r>
    <x v="5"/>
    <x v="7"/>
    <x v="7"/>
    <x v="1"/>
    <n v="1384.77090629181"/>
  </r>
  <r>
    <x v="5"/>
    <x v="8"/>
    <x v="8"/>
    <x v="1"/>
    <n v="788.28719674680099"/>
  </r>
  <r>
    <x v="5"/>
    <x v="9"/>
    <x v="9"/>
    <x v="1"/>
    <n v="1808.5689214937399"/>
  </r>
  <r>
    <x v="5"/>
    <x v="10"/>
    <x v="10"/>
    <x v="1"/>
    <n v="2305.2142118672296"/>
  </r>
  <r>
    <x v="5"/>
    <x v="11"/>
    <x v="11"/>
    <x v="1"/>
    <n v="1115.00294096896"/>
  </r>
  <r>
    <x v="5"/>
    <x v="12"/>
    <x v="12"/>
    <x v="1"/>
    <n v="1414.0863794018601"/>
  </r>
  <r>
    <x v="5"/>
    <x v="13"/>
    <x v="13"/>
    <x v="1"/>
    <n v="940.16393722782607"/>
  </r>
  <r>
    <x v="5"/>
    <x v="14"/>
    <x v="14"/>
    <x v="1"/>
    <n v="1056.21944589702"/>
  </r>
  <r>
    <x v="5"/>
    <x v="15"/>
    <x v="15"/>
    <x v="1"/>
    <n v="1243.13067985879"/>
  </r>
  <r>
    <x v="5"/>
    <x v="16"/>
    <x v="16"/>
    <x v="1"/>
    <n v="1008.96832155377"/>
  </r>
  <r>
    <x v="5"/>
    <x v="17"/>
    <x v="17"/>
    <x v="1"/>
    <n v="1798.9739390826401"/>
  </r>
  <r>
    <x v="5"/>
    <x v="18"/>
    <x v="18"/>
    <x v="1"/>
    <n v="994.49167119738411"/>
  </r>
  <r>
    <x v="5"/>
    <x v="19"/>
    <x v="19"/>
    <x v="1"/>
    <n v="2104.8762195122004"/>
  </r>
  <r>
    <x v="6"/>
    <x v="0"/>
    <x v="0"/>
    <x v="1"/>
    <n v="896.43205381769303"/>
  </r>
  <r>
    <x v="6"/>
    <x v="1"/>
    <x v="1"/>
    <x v="1"/>
    <n v="1403.2348597856401"/>
  </r>
  <r>
    <x v="6"/>
    <x v="2"/>
    <x v="2"/>
    <x v="1"/>
    <n v="1110.54337234992"/>
  </r>
  <r>
    <x v="6"/>
    <x v="3"/>
    <x v="3"/>
    <x v="1"/>
    <n v="2948.54863921077"/>
  </r>
  <r>
    <x v="6"/>
    <x v="4"/>
    <x v="4"/>
    <x v="1"/>
    <n v="1150.6816799391302"/>
  </r>
  <r>
    <x v="6"/>
    <x v="5"/>
    <x v="5"/>
    <x v="1"/>
    <n v="993.17572592162708"/>
  </r>
  <r>
    <x v="6"/>
    <x v="6"/>
    <x v="6"/>
    <x v="1"/>
    <n v="1099.0321763469101"/>
  </r>
  <r>
    <x v="6"/>
    <x v="7"/>
    <x v="7"/>
    <x v="1"/>
    <n v="1425.9495335986801"/>
  </r>
  <r>
    <x v="6"/>
    <x v="8"/>
    <x v="8"/>
    <x v="1"/>
    <n v="820.22052121490003"/>
  </r>
  <r>
    <x v="6"/>
    <x v="9"/>
    <x v="9"/>
    <x v="1"/>
    <n v="1867.0555663795303"/>
  </r>
  <r>
    <x v="6"/>
    <x v="10"/>
    <x v="10"/>
    <x v="1"/>
    <n v="2321.4127194346102"/>
  </r>
  <r>
    <x v="6"/>
    <x v="11"/>
    <x v="11"/>
    <x v="1"/>
    <n v="1148.1650423773699"/>
  </r>
  <r>
    <x v="6"/>
    <x v="12"/>
    <x v="12"/>
    <x v="1"/>
    <n v="1446.1765328945501"/>
  </r>
  <r>
    <x v="6"/>
    <x v="13"/>
    <x v="13"/>
    <x v="1"/>
    <n v="974.19436712806203"/>
  </r>
  <r>
    <x v="6"/>
    <x v="14"/>
    <x v="14"/>
    <x v="1"/>
    <n v="1099.6006488326798"/>
  </r>
  <r>
    <x v="6"/>
    <x v="15"/>
    <x v="15"/>
    <x v="1"/>
    <n v="1272.38788658307"/>
  </r>
  <r>
    <x v="6"/>
    <x v="16"/>
    <x v="16"/>
    <x v="1"/>
    <n v="1045.1200221992101"/>
  </r>
  <r>
    <x v="6"/>
    <x v="17"/>
    <x v="17"/>
    <x v="1"/>
    <n v="1800.7592513977104"/>
  </r>
  <r>
    <x v="6"/>
    <x v="18"/>
    <x v="18"/>
    <x v="1"/>
    <n v="1024.0020301716199"/>
  </r>
  <r>
    <x v="6"/>
    <x v="19"/>
    <x v="19"/>
    <x v="1"/>
    <n v="2323.98544444444"/>
  </r>
  <r>
    <x v="7"/>
    <x v="0"/>
    <x v="0"/>
    <x v="1"/>
    <n v="945.56245115689808"/>
  </r>
  <r>
    <x v="7"/>
    <x v="1"/>
    <x v="1"/>
    <x v="1"/>
    <n v="1459.1081470854701"/>
  </r>
  <r>
    <x v="7"/>
    <x v="2"/>
    <x v="2"/>
    <x v="1"/>
    <n v="1154.9381361412102"/>
  </r>
  <r>
    <x v="7"/>
    <x v="3"/>
    <x v="3"/>
    <x v="1"/>
    <n v="2904.2006536050203"/>
  </r>
  <r>
    <x v="7"/>
    <x v="4"/>
    <x v="4"/>
    <x v="1"/>
    <n v="1174.8296254663701"/>
  </r>
  <r>
    <x v="7"/>
    <x v="5"/>
    <x v="5"/>
    <x v="1"/>
    <n v="1024.99794319735"/>
  </r>
  <r>
    <x v="7"/>
    <x v="6"/>
    <x v="6"/>
    <x v="1"/>
    <n v="1140.3182487568401"/>
  </r>
  <r>
    <x v="7"/>
    <x v="7"/>
    <x v="7"/>
    <x v="1"/>
    <n v="1489.52093930565"/>
  </r>
  <r>
    <x v="7"/>
    <x v="8"/>
    <x v="8"/>
    <x v="1"/>
    <n v="851.314164465261"/>
  </r>
  <r>
    <x v="7"/>
    <x v="9"/>
    <x v="9"/>
    <x v="1"/>
    <n v="1919.5712354874802"/>
  </r>
  <r>
    <x v="7"/>
    <x v="10"/>
    <x v="10"/>
    <x v="1"/>
    <n v="2330.3591765705901"/>
  </r>
  <r>
    <x v="7"/>
    <x v="11"/>
    <x v="11"/>
    <x v="1"/>
    <n v="1193.9758254192802"/>
  </r>
  <r>
    <x v="7"/>
    <x v="12"/>
    <x v="12"/>
    <x v="1"/>
    <n v="1498.2458890136202"/>
  </r>
  <r>
    <x v="7"/>
    <x v="13"/>
    <x v="13"/>
    <x v="1"/>
    <n v="1006.82436356175"/>
  </r>
  <r>
    <x v="7"/>
    <x v="14"/>
    <x v="14"/>
    <x v="1"/>
    <n v="1161.4557663053802"/>
  </r>
  <r>
    <x v="7"/>
    <x v="15"/>
    <x v="15"/>
    <x v="1"/>
    <n v="1336.3514178534801"/>
  </r>
  <r>
    <x v="7"/>
    <x v="16"/>
    <x v="16"/>
    <x v="1"/>
    <n v="1088.3376098952101"/>
  </r>
  <r>
    <x v="7"/>
    <x v="17"/>
    <x v="17"/>
    <x v="1"/>
    <n v="1856.5493808146002"/>
  </r>
  <r>
    <x v="7"/>
    <x v="18"/>
    <x v="18"/>
    <x v="1"/>
    <n v="1057.86755720325"/>
  </r>
  <r>
    <x v="7"/>
    <x v="19"/>
    <x v="19"/>
    <x v="1"/>
    <n v="2299.36"/>
  </r>
  <r>
    <x v="8"/>
    <x v="0"/>
    <x v="0"/>
    <x v="1"/>
    <n v="949.68727184380202"/>
  </r>
  <r>
    <x v="8"/>
    <x v="1"/>
    <x v="1"/>
    <x v="1"/>
    <n v="1500.0902219807501"/>
  </r>
  <r>
    <x v="8"/>
    <x v="2"/>
    <x v="2"/>
    <x v="1"/>
    <n v="1198.0430402166501"/>
  </r>
  <r>
    <x v="8"/>
    <x v="3"/>
    <x v="3"/>
    <x v="1"/>
    <n v="2956.0488095238097"/>
  </r>
  <r>
    <x v="8"/>
    <x v="4"/>
    <x v="4"/>
    <x v="1"/>
    <n v="1204.9030087578901"/>
  </r>
  <r>
    <x v="8"/>
    <x v="5"/>
    <x v="5"/>
    <x v="1"/>
    <n v="1042.36946738392"/>
  </r>
  <r>
    <x v="8"/>
    <x v="6"/>
    <x v="6"/>
    <x v="1"/>
    <n v="1176.3256930358502"/>
  </r>
  <r>
    <x v="8"/>
    <x v="7"/>
    <x v="7"/>
    <x v="1"/>
    <n v="1418.67501257139"/>
  </r>
  <r>
    <x v="8"/>
    <x v="8"/>
    <x v="8"/>
    <x v="1"/>
    <n v="858.92963088100407"/>
  </r>
  <r>
    <x v="8"/>
    <x v="9"/>
    <x v="9"/>
    <x v="1"/>
    <n v="1970.0643236907999"/>
  </r>
  <r>
    <x v="8"/>
    <x v="10"/>
    <x v="10"/>
    <x v="1"/>
    <n v="2366.36621362714"/>
  </r>
  <r>
    <x v="8"/>
    <x v="11"/>
    <x v="11"/>
    <x v="1"/>
    <n v="1237.4717715996101"/>
  </r>
  <r>
    <x v="8"/>
    <x v="12"/>
    <x v="12"/>
    <x v="1"/>
    <n v="1543.3495667438001"/>
  </r>
  <r>
    <x v="8"/>
    <x v="13"/>
    <x v="13"/>
    <x v="1"/>
    <n v="1032.8774176774102"/>
  </r>
  <r>
    <x v="8"/>
    <x v="14"/>
    <x v="14"/>
    <x v="1"/>
    <n v="1222.7777967502102"/>
  </r>
  <r>
    <x v="8"/>
    <x v="15"/>
    <x v="15"/>
    <x v="1"/>
    <n v="1375.0805769564502"/>
  </r>
  <r>
    <x v="8"/>
    <x v="16"/>
    <x v="16"/>
    <x v="1"/>
    <n v="1112.4913787528703"/>
  </r>
  <r>
    <x v="8"/>
    <x v="17"/>
    <x v="17"/>
    <x v="1"/>
    <n v="2043.8203294056002"/>
  </r>
  <r>
    <x v="8"/>
    <x v="18"/>
    <x v="18"/>
    <x v="1"/>
    <n v="1115.8772046698602"/>
  </r>
  <r>
    <x v="8"/>
    <x v="19"/>
    <x v="19"/>
    <x v="1"/>
    <n v="2045.6536363636401"/>
  </r>
  <r>
    <x v="9"/>
    <x v="0"/>
    <x v="0"/>
    <x v="1"/>
    <n v="1011.4266887095"/>
  </r>
  <r>
    <x v="9"/>
    <x v="1"/>
    <x v="1"/>
    <x v="1"/>
    <n v="1596.0346130638102"/>
  </r>
  <r>
    <x v="9"/>
    <x v="2"/>
    <x v="2"/>
    <x v="1"/>
    <n v="1224.7920291855"/>
  </r>
  <r>
    <x v="9"/>
    <x v="3"/>
    <x v="3"/>
    <x v="1"/>
    <n v="2965.8420086220704"/>
  </r>
  <r>
    <x v="9"/>
    <x v="4"/>
    <x v="4"/>
    <x v="1"/>
    <n v="1227.2953897540301"/>
  </r>
  <r>
    <x v="9"/>
    <x v="5"/>
    <x v="5"/>
    <x v="1"/>
    <n v="1103.16576996042"/>
  </r>
  <r>
    <x v="9"/>
    <x v="6"/>
    <x v="6"/>
    <x v="1"/>
    <n v="1224.1700947597201"/>
  </r>
  <r>
    <x v="9"/>
    <x v="7"/>
    <x v="7"/>
    <x v="1"/>
    <n v="1463.6713251307001"/>
  </r>
  <r>
    <x v="9"/>
    <x v="8"/>
    <x v="8"/>
    <x v="1"/>
    <n v="913.66424029182906"/>
  </r>
  <r>
    <x v="9"/>
    <x v="9"/>
    <x v="9"/>
    <x v="1"/>
    <n v="2046.0881796504"/>
  </r>
  <r>
    <x v="9"/>
    <x v="10"/>
    <x v="10"/>
    <x v="1"/>
    <n v="2374.4118925576204"/>
  </r>
  <r>
    <x v="9"/>
    <x v="11"/>
    <x v="11"/>
    <x v="1"/>
    <n v="1277.4853188275799"/>
  </r>
  <r>
    <x v="9"/>
    <x v="12"/>
    <x v="12"/>
    <x v="1"/>
    <n v="1612.7733123589501"/>
  </r>
  <r>
    <x v="9"/>
    <x v="13"/>
    <x v="13"/>
    <x v="1"/>
    <n v="1086.1392998818501"/>
  </r>
  <r>
    <x v="9"/>
    <x v="14"/>
    <x v="14"/>
    <x v="1"/>
    <n v="1269.2457733308402"/>
  </r>
  <r>
    <x v="9"/>
    <x v="15"/>
    <x v="15"/>
    <x v="1"/>
    <n v="1415.0812555304901"/>
  </r>
  <r>
    <x v="9"/>
    <x v="16"/>
    <x v="16"/>
    <x v="1"/>
    <n v="1148.8005320596101"/>
  </r>
  <r>
    <x v="9"/>
    <x v="17"/>
    <x v="17"/>
    <x v="1"/>
    <n v="1981.6714508229302"/>
  </r>
  <r>
    <x v="9"/>
    <x v="18"/>
    <x v="18"/>
    <x v="1"/>
    <n v="1140.1985733070298"/>
  </r>
  <r>
    <x v="9"/>
    <x v="19"/>
    <x v="19"/>
    <x v="1"/>
    <n v="1997.503125"/>
  </r>
  <r>
    <x v="10"/>
    <x v="0"/>
    <x v="0"/>
    <x v="1"/>
    <n v="1058.36697089669"/>
  </r>
  <r>
    <x v="10"/>
    <x v="1"/>
    <x v="1"/>
    <x v="1"/>
    <n v="1702.2394534560904"/>
  </r>
  <r>
    <x v="10"/>
    <x v="2"/>
    <x v="2"/>
    <x v="1"/>
    <n v="1302.5883482423701"/>
  </r>
  <r>
    <x v="10"/>
    <x v="3"/>
    <x v="3"/>
    <x v="1"/>
    <n v="3040.8869773462798"/>
  </r>
  <r>
    <x v="10"/>
    <x v="4"/>
    <x v="4"/>
    <x v="1"/>
    <n v="1275.5365974717802"/>
  </r>
  <r>
    <x v="10"/>
    <x v="5"/>
    <x v="5"/>
    <x v="1"/>
    <n v="1149.6124082756401"/>
  </r>
  <r>
    <x v="10"/>
    <x v="6"/>
    <x v="6"/>
    <x v="1"/>
    <n v="1280.54261879503"/>
  </r>
  <r>
    <x v="10"/>
    <x v="7"/>
    <x v="7"/>
    <x v="1"/>
    <n v="1651.3679565502002"/>
  </r>
  <r>
    <x v="10"/>
    <x v="8"/>
    <x v="8"/>
    <x v="1"/>
    <n v="977.82250189513604"/>
  </r>
  <r>
    <x v="10"/>
    <x v="9"/>
    <x v="9"/>
    <x v="1"/>
    <n v="2222.2609296519304"/>
  </r>
  <r>
    <x v="10"/>
    <x v="10"/>
    <x v="10"/>
    <x v="1"/>
    <n v="2429.0182829891"/>
  </r>
  <r>
    <x v="10"/>
    <x v="11"/>
    <x v="11"/>
    <x v="1"/>
    <n v="1343.2863293676198"/>
  </r>
  <r>
    <x v="10"/>
    <x v="12"/>
    <x v="12"/>
    <x v="1"/>
    <n v="1708.7518058268201"/>
  </r>
  <r>
    <x v="10"/>
    <x v="13"/>
    <x v="13"/>
    <x v="1"/>
    <n v="1156.5086238350702"/>
  </r>
  <r>
    <x v="10"/>
    <x v="14"/>
    <x v="14"/>
    <x v="1"/>
    <n v="1293.63158607017"/>
  </r>
  <r>
    <x v="10"/>
    <x v="15"/>
    <x v="15"/>
    <x v="1"/>
    <n v="1477.6246249844801"/>
  </r>
  <r>
    <x v="10"/>
    <x v="16"/>
    <x v="16"/>
    <x v="1"/>
    <n v="1186.79376339175"/>
  </r>
  <r>
    <x v="10"/>
    <x v="17"/>
    <x v="17"/>
    <x v="1"/>
    <n v="2006.93050921396"/>
  </r>
  <r>
    <x v="10"/>
    <x v="18"/>
    <x v="18"/>
    <x v="1"/>
    <n v="1185.85793238305"/>
  </r>
  <r>
    <x v="10"/>
    <x v="19"/>
    <x v="19"/>
    <x v="1"/>
    <n v="3245.88675213675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CDA4C72-4297-463F-896B-DD0EB4166712}" name="Tabela Dinâmica3" cacheId="10"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3">
  <location ref="A80:C93" firstHeaderRow="1" firstDataRow="3" firstDataCol="1"/>
  <pivotFields count="4">
    <pivotField axis="axisRow" showAll="0">
      <items count="13">
        <item m="1" x="11"/>
        <item x="0"/>
        <item x="1"/>
        <item x="2"/>
        <item x="3"/>
        <item x="4"/>
        <item x="5"/>
        <item x="6"/>
        <item x="7"/>
        <item x="8"/>
        <item x="9"/>
        <item x="10"/>
        <item t="default"/>
      </items>
    </pivotField>
    <pivotField axis="axisCol" showAll="0" defaultSubtotal="0">
      <items count="4">
        <item h="1" m="1" x="2"/>
        <item h="1" m="1" x="3"/>
        <item x="0"/>
        <item x="1"/>
      </items>
    </pivotField>
    <pivotField axis="axisCol" showAll="0">
      <items count="4">
        <item x="0"/>
        <item h="1" x="1"/>
        <item h="1" x="2"/>
        <item t="default"/>
      </items>
    </pivotField>
    <pivotField dataField="1" numFmtId="2" showAll="0"/>
  </pivotFields>
  <rowFields count="1">
    <field x="0"/>
  </rowFields>
  <rowItems count="11">
    <i>
      <x v="1"/>
    </i>
    <i>
      <x v="2"/>
    </i>
    <i>
      <x v="3"/>
    </i>
    <i>
      <x v="4"/>
    </i>
    <i>
      <x v="5"/>
    </i>
    <i>
      <x v="6"/>
    </i>
    <i>
      <x v="7"/>
    </i>
    <i>
      <x v="8"/>
    </i>
    <i>
      <x v="9"/>
    </i>
    <i>
      <x v="10"/>
    </i>
    <i>
      <x v="11"/>
    </i>
  </rowItems>
  <colFields count="2">
    <field x="1"/>
    <field x="2"/>
  </colFields>
  <colItems count="2">
    <i>
      <x v="2"/>
      <x/>
    </i>
    <i>
      <x v="3"/>
      <x/>
    </i>
  </colItems>
  <dataFields count="1">
    <dataField name="Soma de Valor" fld="3" baseField="0" baseItem="0"/>
  </dataFields>
  <chartFormats count="11">
    <chartFormat chart="0" format="0" series="1">
      <pivotArea type="data" outline="0" fieldPosition="0">
        <references count="1">
          <reference field="4294967294" count="1" selected="0">
            <x v="0"/>
          </reference>
        </references>
      </pivotArea>
    </chartFormat>
    <chartFormat chart="0" format="11" series="1">
      <pivotArea type="data" outline="0" fieldPosition="0">
        <references count="2">
          <reference field="4294967294" count="1" selected="0">
            <x v="0"/>
          </reference>
          <reference field="1" count="1" selected="0">
            <x v="3"/>
          </reference>
        </references>
      </pivotArea>
    </chartFormat>
    <chartFormat chart="2" format="20" series="1">
      <pivotArea type="data" outline="0" fieldPosition="0">
        <references count="1">
          <reference field="4294967294" count="1" selected="0">
            <x v="0"/>
          </reference>
        </references>
      </pivotArea>
    </chartFormat>
    <chartFormat chart="2" format="21"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22" series="1">
      <pivotArea type="data" outline="0" fieldPosition="0">
        <references count="3">
          <reference field="4294967294" count="1" selected="0">
            <x v="0"/>
          </reference>
          <reference field="1" count="1" selected="0">
            <x v="2"/>
          </reference>
          <reference field="2" count="1" selected="0">
            <x v="2"/>
          </reference>
        </references>
      </pivotArea>
    </chartFormat>
    <chartFormat chart="0" format="12" series="1">
      <pivotArea type="data" outline="0" fieldPosition="0">
        <references count="3">
          <reference field="4294967294" count="1" selected="0">
            <x v="0"/>
          </reference>
          <reference field="1" count="1" selected="0">
            <x v="2"/>
          </reference>
          <reference field="2" count="1" selected="0">
            <x v="1"/>
          </reference>
        </references>
      </pivotArea>
    </chartFormat>
    <chartFormat chart="0" format="13"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23" series="1">
      <pivotArea type="data" outline="0" fieldPosition="0">
        <references count="2">
          <reference field="4294967294" count="1" selected="0">
            <x v="0"/>
          </reference>
          <reference field="1" count="1" selected="0">
            <x v="3"/>
          </reference>
        </references>
      </pivotArea>
    </chartFormat>
    <chartFormat chart="2" format="24" series="1">
      <pivotArea type="data" outline="0" fieldPosition="0">
        <references count="3">
          <reference field="4294967294" count="1" selected="0">
            <x v="0"/>
          </reference>
          <reference field="1" count="1" selected="0">
            <x v="3"/>
          </reference>
          <reference field="2" count="1" selected="0">
            <x v="1"/>
          </reference>
        </references>
      </pivotArea>
    </chartFormat>
    <chartFormat chart="2" format="25" series="1">
      <pivotArea type="data" outline="0" fieldPosition="0">
        <references count="3">
          <reference field="4294967294" count="1" selected="0">
            <x v="0"/>
          </reference>
          <reference field="1" count="1" selected="0">
            <x v="3"/>
          </reference>
          <reference field="2" count="1" selected="0">
            <x v="2"/>
          </reference>
        </references>
      </pivotArea>
    </chartFormat>
    <chartFormat chart="2" format="26" series="1">
      <pivotArea type="data" outline="0" fieldPosition="0">
        <references count="3">
          <reference field="4294967294" count="1" selected="0">
            <x v="0"/>
          </reference>
          <reference field="1" count="1" selected="0">
            <x v="3"/>
          </reference>
          <reference field="2"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602C882-B6BF-4270-9C75-9D76F0D01BD9}" name="Tabela Dinâmica1" cacheId="1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1">
  <location ref="I5:M19" firstHeaderRow="1" firstDataRow="3" firstDataCol="1"/>
  <pivotFields count="5">
    <pivotField axis="axisRow" showAll="0">
      <items count="13">
        <item m="1" x="11"/>
        <item x="0"/>
        <item x="1"/>
        <item x="2"/>
        <item x="3"/>
        <item x="4"/>
        <item x="5"/>
        <item x="6"/>
        <item x="7"/>
        <item x="8"/>
        <item x="9"/>
        <item x="10"/>
        <item t="default"/>
      </items>
    </pivotField>
    <pivotField showAll="0">
      <items count="25">
        <item h="1" x="0"/>
        <item h="1" x="1"/>
        <item x="2"/>
        <item h="1" m="1" x="20"/>
        <item h="1" x="3"/>
        <item h="1" x="4"/>
        <item h="1" x="5"/>
        <item h="1" x="6"/>
        <item h="1" m="1" x="21"/>
        <item h="1" x="7"/>
        <item h="1" x="8"/>
        <item h="1" m="1" x="23"/>
        <item h="1" x="9"/>
        <item h="1" x="10"/>
        <item h="1" x="11"/>
        <item h="1" x="12"/>
        <item h="1" x="13"/>
        <item h="1" x="14"/>
        <item h="1" x="15"/>
        <item h="1" x="16"/>
        <item h="1" m="1" x="22"/>
        <item h="1" x="17"/>
        <item h="1" x="18"/>
        <item h="1" x="19"/>
        <item t="default"/>
      </items>
    </pivotField>
    <pivotField axis="axisCol" showAll="0">
      <items count="21">
        <item x="0"/>
        <item x="1"/>
        <item x="2"/>
        <item x="3"/>
        <item x="4"/>
        <item x="5"/>
        <item x="6"/>
        <item x="7"/>
        <item x="8"/>
        <item x="9"/>
        <item x="10"/>
        <item x="11"/>
        <item x="12"/>
        <item x="13"/>
        <item x="14"/>
        <item x="15"/>
        <item x="16"/>
        <item x="17"/>
        <item x="18"/>
        <item x="19"/>
        <item t="default"/>
      </items>
    </pivotField>
    <pivotField axis="axisCol" showAll="0">
      <items count="5">
        <item h="1" m="1" x="2"/>
        <item h="1" m="1" x="3"/>
        <item x="0"/>
        <item x="1"/>
        <item t="default"/>
      </items>
    </pivotField>
    <pivotField dataField="1" numFmtId="2" showAll="0"/>
  </pivotFields>
  <rowFields count="1">
    <field x="0"/>
  </rowFields>
  <rowItems count="12">
    <i>
      <x v="1"/>
    </i>
    <i>
      <x v="2"/>
    </i>
    <i>
      <x v="3"/>
    </i>
    <i>
      <x v="4"/>
    </i>
    <i>
      <x v="5"/>
    </i>
    <i>
      <x v="6"/>
    </i>
    <i>
      <x v="7"/>
    </i>
    <i>
      <x v="8"/>
    </i>
    <i>
      <x v="9"/>
    </i>
    <i>
      <x v="10"/>
    </i>
    <i>
      <x v="11"/>
    </i>
    <i t="grand">
      <x/>
    </i>
  </rowItems>
  <colFields count="2">
    <field x="2"/>
    <field x="3"/>
  </colFields>
  <colItems count="4">
    <i>
      <x v="2"/>
      <x v="2"/>
    </i>
    <i r="1">
      <x v="3"/>
    </i>
    <i t="default">
      <x v="2"/>
    </i>
    <i t="grand">
      <x/>
    </i>
  </colItems>
  <dataFields count="1">
    <dataField name="Soma de Valor" fld="4" baseField="0" baseItem="0" numFmtId="174"/>
  </dataFields>
  <formats count="1">
    <format dxfId="691">
      <pivotArea outline="0" collapsedLevelsAreSubtotals="1" fieldPosition="0"/>
    </format>
  </formats>
  <chartFormats count="111">
    <chartFormat chart="0" format="22" series="1">
      <pivotArea type="data" outline="0" fieldPosition="0">
        <references count="1">
          <reference field="4294967294" count="1" selected="0">
            <x v="0"/>
          </reference>
        </references>
      </pivotArea>
    </chartFormat>
    <chartFormat chart="8" format="88" series="1">
      <pivotArea type="data" outline="0" fieldPosition="0">
        <references count="2">
          <reference field="4294967294" count="1" selected="0">
            <x v="0"/>
          </reference>
          <reference field="3" count="1" selected="0">
            <x v="2"/>
          </reference>
        </references>
      </pivotArea>
    </chartFormat>
    <chartFormat chart="8" format="89" series="1">
      <pivotArea type="data" outline="0" fieldPosition="0">
        <references count="2">
          <reference field="4294967294" count="1" selected="0">
            <x v="0"/>
          </reference>
          <reference field="3" count="1" selected="0">
            <x v="3"/>
          </reference>
        </references>
      </pivotArea>
    </chartFormat>
    <chartFormat chart="0" format="39" series="1">
      <pivotArea type="data" outline="0" fieldPosition="0">
        <references count="3">
          <reference field="4294967294" count="1" selected="0">
            <x v="0"/>
          </reference>
          <reference field="2" count="1" selected="0">
            <x v="0"/>
          </reference>
          <reference field="3" count="1" selected="0">
            <x v="3"/>
          </reference>
        </references>
      </pivotArea>
    </chartFormat>
    <chartFormat chart="8" format="90" series="1">
      <pivotArea type="data" outline="0" fieldPosition="0">
        <references count="3">
          <reference field="4294967294" count="1" selected="0">
            <x v="0"/>
          </reference>
          <reference field="2" count="1" selected="0">
            <x v="0"/>
          </reference>
          <reference field="3" count="1" selected="0">
            <x v="3"/>
          </reference>
        </references>
      </pivotArea>
    </chartFormat>
    <chartFormat chart="8" format="91" series="1">
      <pivotArea type="data" outline="0" fieldPosition="0">
        <references count="3">
          <reference field="4294967294" count="1" selected="0">
            <x v="0"/>
          </reference>
          <reference field="2" count="1" selected="0">
            <x v="0"/>
          </reference>
          <reference field="3" count="1" selected="0">
            <x v="2"/>
          </reference>
        </references>
      </pivotArea>
    </chartFormat>
    <chartFormat chart="8" format="92" series="1">
      <pivotArea type="data" outline="0" fieldPosition="0">
        <references count="3">
          <reference field="4294967294" count="1" selected="0">
            <x v="0"/>
          </reference>
          <reference field="2" count="1" selected="0">
            <x v="1"/>
          </reference>
          <reference field="3" count="1" selected="0">
            <x v="2"/>
          </reference>
        </references>
      </pivotArea>
    </chartFormat>
    <chartFormat chart="8" format="93" series="1">
      <pivotArea type="data" outline="0" fieldPosition="0">
        <references count="3">
          <reference field="4294967294" count="1" selected="0">
            <x v="0"/>
          </reference>
          <reference field="2" count="1" selected="0">
            <x v="1"/>
          </reference>
          <reference field="3" count="1" selected="0">
            <x v="3"/>
          </reference>
        </references>
      </pivotArea>
    </chartFormat>
    <chartFormat chart="8" format="94" series="1">
      <pivotArea type="data" outline="0" fieldPosition="0">
        <references count="3">
          <reference field="4294967294" count="1" selected="0">
            <x v="0"/>
          </reference>
          <reference field="2" count="1" selected="0">
            <x v="2"/>
          </reference>
          <reference field="3" count="1" selected="0">
            <x v="2"/>
          </reference>
        </references>
      </pivotArea>
    </chartFormat>
    <chartFormat chart="8" format="95" series="1">
      <pivotArea type="data" outline="0" fieldPosition="0">
        <references count="3">
          <reference field="4294967294" count="1" selected="0">
            <x v="0"/>
          </reference>
          <reference field="2" count="1" selected="0">
            <x v="2"/>
          </reference>
          <reference field="3" count="1" selected="0">
            <x v="3"/>
          </reference>
        </references>
      </pivotArea>
    </chartFormat>
    <chartFormat chart="8" format="96" series="1">
      <pivotArea type="data" outline="0" fieldPosition="0">
        <references count="3">
          <reference field="4294967294" count="1" selected="0">
            <x v="0"/>
          </reference>
          <reference field="2" count="1" selected="0">
            <x v="3"/>
          </reference>
          <reference field="3" count="1" selected="0">
            <x v="2"/>
          </reference>
        </references>
      </pivotArea>
    </chartFormat>
    <chartFormat chart="8" format="97" series="1">
      <pivotArea type="data" outline="0" fieldPosition="0">
        <references count="3">
          <reference field="4294967294" count="1" selected="0">
            <x v="0"/>
          </reference>
          <reference field="2" count="1" selected="0">
            <x v="3"/>
          </reference>
          <reference field="3" count="1" selected="0">
            <x v="3"/>
          </reference>
        </references>
      </pivotArea>
    </chartFormat>
    <chartFormat chart="8" format="98" series="1">
      <pivotArea type="data" outline="0" fieldPosition="0">
        <references count="3">
          <reference field="4294967294" count="1" selected="0">
            <x v="0"/>
          </reference>
          <reference field="2" count="1" selected="0">
            <x v="4"/>
          </reference>
          <reference field="3" count="1" selected="0">
            <x v="2"/>
          </reference>
        </references>
      </pivotArea>
    </chartFormat>
    <chartFormat chart="8" format="99" series="1">
      <pivotArea type="data" outline="0" fieldPosition="0">
        <references count="3">
          <reference field="4294967294" count="1" selected="0">
            <x v="0"/>
          </reference>
          <reference field="2" count="1" selected="0">
            <x v="4"/>
          </reference>
          <reference field="3" count="1" selected="0">
            <x v="3"/>
          </reference>
        </references>
      </pivotArea>
    </chartFormat>
    <chartFormat chart="8" format="100" series="1">
      <pivotArea type="data" outline="0" fieldPosition="0">
        <references count="3">
          <reference field="4294967294" count="1" selected="0">
            <x v="0"/>
          </reference>
          <reference field="2" count="1" selected="0">
            <x v="5"/>
          </reference>
          <reference field="3" count="1" selected="0">
            <x v="2"/>
          </reference>
        </references>
      </pivotArea>
    </chartFormat>
    <chartFormat chart="8" format="101" series="1">
      <pivotArea type="data" outline="0" fieldPosition="0">
        <references count="3">
          <reference field="4294967294" count="1" selected="0">
            <x v="0"/>
          </reference>
          <reference field="2" count="1" selected="0">
            <x v="5"/>
          </reference>
          <reference field="3" count="1" selected="0">
            <x v="3"/>
          </reference>
        </references>
      </pivotArea>
    </chartFormat>
    <chartFormat chart="8" format="102" series="1">
      <pivotArea type="data" outline="0" fieldPosition="0">
        <references count="3">
          <reference field="4294967294" count="1" selected="0">
            <x v="0"/>
          </reference>
          <reference field="2" count="1" selected="0">
            <x v="6"/>
          </reference>
          <reference field="3" count="1" selected="0">
            <x v="2"/>
          </reference>
        </references>
      </pivotArea>
    </chartFormat>
    <chartFormat chart="8" format="103" series="1">
      <pivotArea type="data" outline="0" fieldPosition="0">
        <references count="3">
          <reference field="4294967294" count="1" selected="0">
            <x v="0"/>
          </reference>
          <reference field="2" count="1" selected="0">
            <x v="6"/>
          </reference>
          <reference field="3" count="1" selected="0">
            <x v="3"/>
          </reference>
        </references>
      </pivotArea>
    </chartFormat>
    <chartFormat chart="8" format="104" series="1">
      <pivotArea type="data" outline="0" fieldPosition="0">
        <references count="3">
          <reference field="4294967294" count="1" selected="0">
            <x v="0"/>
          </reference>
          <reference field="2" count="1" selected="0">
            <x v="7"/>
          </reference>
          <reference field="3" count="1" selected="0">
            <x v="2"/>
          </reference>
        </references>
      </pivotArea>
    </chartFormat>
    <chartFormat chart="8" format="105" series="1">
      <pivotArea type="data" outline="0" fieldPosition="0">
        <references count="3">
          <reference field="4294967294" count="1" selected="0">
            <x v="0"/>
          </reference>
          <reference field="2" count="1" selected="0">
            <x v="7"/>
          </reference>
          <reference field="3" count="1" selected="0">
            <x v="3"/>
          </reference>
        </references>
      </pivotArea>
    </chartFormat>
    <chartFormat chart="8" format="106" series="1">
      <pivotArea type="data" outline="0" fieldPosition="0">
        <references count="3">
          <reference field="4294967294" count="1" selected="0">
            <x v="0"/>
          </reference>
          <reference field="2" count="1" selected="0">
            <x v="8"/>
          </reference>
          <reference field="3" count="1" selected="0">
            <x v="2"/>
          </reference>
        </references>
      </pivotArea>
    </chartFormat>
    <chartFormat chart="8" format="107" series="1">
      <pivotArea type="data" outline="0" fieldPosition="0">
        <references count="3">
          <reference field="4294967294" count="1" selected="0">
            <x v="0"/>
          </reference>
          <reference field="2" count="1" selected="0">
            <x v="8"/>
          </reference>
          <reference field="3" count="1" selected="0">
            <x v="3"/>
          </reference>
        </references>
      </pivotArea>
    </chartFormat>
    <chartFormat chart="8" format="108" series="1">
      <pivotArea type="data" outline="0" fieldPosition="0">
        <references count="3">
          <reference field="4294967294" count="1" selected="0">
            <x v="0"/>
          </reference>
          <reference field="2" count="1" selected="0">
            <x v="9"/>
          </reference>
          <reference field="3" count="1" selected="0">
            <x v="2"/>
          </reference>
        </references>
      </pivotArea>
    </chartFormat>
    <chartFormat chart="8" format="109" series="1">
      <pivotArea type="data" outline="0" fieldPosition="0">
        <references count="3">
          <reference field="4294967294" count="1" selected="0">
            <x v="0"/>
          </reference>
          <reference field="2" count="1" selected="0">
            <x v="9"/>
          </reference>
          <reference field="3" count="1" selected="0">
            <x v="3"/>
          </reference>
        </references>
      </pivotArea>
    </chartFormat>
    <chartFormat chart="8" format="110" series="1">
      <pivotArea type="data" outline="0" fieldPosition="0">
        <references count="3">
          <reference field="4294967294" count="1" selected="0">
            <x v="0"/>
          </reference>
          <reference field="2" count="1" selected="0">
            <x v="10"/>
          </reference>
          <reference field="3" count="1" selected="0">
            <x v="2"/>
          </reference>
        </references>
      </pivotArea>
    </chartFormat>
    <chartFormat chart="8" format="111" series="1">
      <pivotArea type="data" outline="0" fieldPosition="0">
        <references count="3">
          <reference field="4294967294" count="1" selected="0">
            <x v="0"/>
          </reference>
          <reference field="2" count="1" selected="0">
            <x v="10"/>
          </reference>
          <reference field="3" count="1" selected="0">
            <x v="3"/>
          </reference>
        </references>
      </pivotArea>
    </chartFormat>
    <chartFormat chart="8" format="112" series="1">
      <pivotArea type="data" outline="0" fieldPosition="0">
        <references count="3">
          <reference field="4294967294" count="1" selected="0">
            <x v="0"/>
          </reference>
          <reference field="2" count="1" selected="0">
            <x v="11"/>
          </reference>
          <reference field="3" count="1" selected="0">
            <x v="2"/>
          </reference>
        </references>
      </pivotArea>
    </chartFormat>
    <chartFormat chart="8" format="113" series="1">
      <pivotArea type="data" outline="0" fieldPosition="0">
        <references count="3">
          <reference field="4294967294" count="1" selected="0">
            <x v="0"/>
          </reference>
          <reference field="2" count="1" selected="0">
            <x v="11"/>
          </reference>
          <reference field="3" count="1" selected="0">
            <x v="3"/>
          </reference>
        </references>
      </pivotArea>
    </chartFormat>
    <chartFormat chart="8" format="114" series="1">
      <pivotArea type="data" outline="0" fieldPosition="0">
        <references count="3">
          <reference field="4294967294" count="1" selected="0">
            <x v="0"/>
          </reference>
          <reference field="2" count="1" selected="0">
            <x v="12"/>
          </reference>
          <reference field="3" count="1" selected="0">
            <x v="2"/>
          </reference>
        </references>
      </pivotArea>
    </chartFormat>
    <chartFormat chart="8" format="115" series="1">
      <pivotArea type="data" outline="0" fieldPosition="0">
        <references count="3">
          <reference field="4294967294" count="1" selected="0">
            <x v="0"/>
          </reference>
          <reference field="2" count="1" selected="0">
            <x v="12"/>
          </reference>
          <reference field="3" count="1" selected="0">
            <x v="3"/>
          </reference>
        </references>
      </pivotArea>
    </chartFormat>
    <chartFormat chart="8" format="116" series="1">
      <pivotArea type="data" outline="0" fieldPosition="0">
        <references count="3">
          <reference field="4294967294" count="1" selected="0">
            <x v="0"/>
          </reference>
          <reference field="2" count="1" selected="0">
            <x v="13"/>
          </reference>
          <reference field="3" count="1" selected="0">
            <x v="2"/>
          </reference>
        </references>
      </pivotArea>
    </chartFormat>
    <chartFormat chart="8" format="117" series="1">
      <pivotArea type="data" outline="0" fieldPosition="0">
        <references count="3">
          <reference field="4294967294" count="1" selected="0">
            <x v="0"/>
          </reference>
          <reference field="2" count="1" selected="0">
            <x v="13"/>
          </reference>
          <reference field="3" count="1" selected="0">
            <x v="3"/>
          </reference>
        </references>
      </pivotArea>
    </chartFormat>
    <chartFormat chart="8" format="118" series="1">
      <pivotArea type="data" outline="0" fieldPosition="0">
        <references count="3">
          <reference field="4294967294" count="1" selected="0">
            <x v="0"/>
          </reference>
          <reference field="2" count="1" selected="0">
            <x v="14"/>
          </reference>
          <reference field="3" count="1" selected="0">
            <x v="2"/>
          </reference>
        </references>
      </pivotArea>
    </chartFormat>
    <chartFormat chart="8" format="119" series="1">
      <pivotArea type="data" outline="0" fieldPosition="0">
        <references count="3">
          <reference field="4294967294" count="1" selected="0">
            <x v="0"/>
          </reference>
          <reference field="2" count="1" selected="0">
            <x v="14"/>
          </reference>
          <reference field="3" count="1" selected="0">
            <x v="3"/>
          </reference>
        </references>
      </pivotArea>
    </chartFormat>
    <chartFormat chart="8" format="120" series="1">
      <pivotArea type="data" outline="0" fieldPosition="0">
        <references count="3">
          <reference field="4294967294" count="1" selected="0">
            <x v="0"/>
          </reference>
          <reference field="2" count="1" selected="0">
            <x v="15"/>
          </reference>
          <reference field="3" count="1" selected="0">
            <x v="2"/>
          </reference>
        </references>
      </pivotArea>
    </chartFormat>
    <chartFormat chart="8" format="121" series="1">
      <pivotArea type="data" outline="0" fieldPosition="0">
        <references count="3">
          <reference field="4294967294" count="1" selected="0">
            <x v="0"/>
          </reference>
          <reference field="2" count="1" selected="0">
            <x v="15"/>
          </reference>
          <reference field="3" count="1" selected="0">
            <x v="3"/>
          </reference>
        </references>
      </pivotArea>
    </chartFormat>
    <chartFormat chart="8" format="122" series="1">
      <pivotArea type="data" outline="0" fieldPosition="0">
        <references count="3">
          <reference field="4294967294" count="1" selected="0">
            <x v="0"/>
          </reference>
          <reference field="2" count="1" selected="0">
            <x v="16"/>
          </reference>
          <reference field="3" count="1" selected="0">
            <x v="2"/>
          </reference>
        </references>
      </pivotArea>
    </chartFormat>
    <chartFormat chart="8" format="123" series="1">
      <pivotArea type="data" outline="0" fieldPosition="0">
        <references count="3">
          <reference field="4294967294" count="1" selected="0">
            <x v="0"/>
          </reference>
          <reference field="2" count="1" selected="0">
            <x v="16"/>
          </reference>
          <reference field="3" count="1" selected="0">
            <x v="3"/>
          </reference>
        </references>
      </pivotArea>
    </chartFormat>
    <chartFormat chart="8" format="124" series="1">
      <pivotArea type="data" outline="0" fieldPosition="0">
        <references count="3">
          <reference field="4294967294" count="1" selected="0">
            <x v="0"/>
          </reference>
          <reference field="2" count="1" selected="0">
            <x v="17"/>
          </reference>
          <reference field="3" count="1" selected="0">
            <x v="2"/>
          </reference>
        </references>
      </pivotArea>
    </chartFormat>
    <chartFormat chart="8" format="125" series="1">
      <pivotArea type="data" outline="0" fieldPosition="0">
        <references count="3">
          <reference field="4294967294" count="1" selected="0">
            <x v="0"/>
          </reference>
          <reference field="2" count="1" selected="0">
            <x v="17"/>
          </reference>
          <reference field="3" count="1" selected="0">
            <x v="3"/>
          </reference>
        </references>
      </pivotArea>
    </chartFormat>
    <chartFormat chart="8" format="126" series="1">
      <pivotArea type="data" outline="0" fieldPosition="0">
        <references count="3">
          <reference field="4294967294" count="1" selected="0">
            <x v="0"/>
          </reference>
          <reference field="2" count="1" selected="0">
            <x v="18"/>
          </reference>
          <reference field="3" count="1" selected="0">
            <x v="2"/>
          </reference>
        </references>
      </pivotArea>
    </chartFormat>
    <chartFormat chart="8" format="127" series="1">
      <pivotArea type="data" outline="0" fieldPosition="0">
        <references count="3">
          <reference field="4294967294" count="1" selected="0">
            <x v="0"/>
          </reference>
          <reference field="2" count="1" selected="0">
            <x v="18"/>
          </reference>
          <reference field="3" count="1" selected="0">
            <x v="3"/>
          </reference>
        </references>
      </pivotArea>
    </chartFormat>
    <chartFormat chart="8" format="128" series="1">
      <pivotArea type="data" outline="0" fieldPosition="0">
        <references count="3">
          <reference field="4294967294" count="1" selected="0">
            <x v="0"/>
          </reference>
          <reference field="2" count="1" selected="0">
            <x v="19"/>
          </reference>
          <reference field="3" count="1" selected="0">
            <x v="2"/>
          </reference>
        </references>
      </pivotArea>
    </chartFormat>
    <chartFormat chart="8" format="129" series="1">
      <pivotArea type="data" outline="0" fieldPosition="0">
        <references count="3">
          <reference field="4294967294" count="1" selected="0">
            <x v="0"/>
          </reference>
          <reference field="2" count="1" selected="0">
            <x v="19"/>
          </reference>
          <reference field="3" count="1" selected="0">
            <x v="3"/>
          </reference>
        </references>
      </pivotArea>
    </chartFormat>
    <chartFormat chart="0" format="40" series="1">
      <pivotArea type="data" outline="0" fieldPosition="0">
        <references count="3">
          <reference field="4294967294" count="1" selected="0">
            <x v="0"/>
          </reference>
          <reference field="2" count="1" selected="0">
            <x v="1"/>
          </reference>
          <reference field="3" count="1" selected="0">
            <x v="3"/>
          </reference>
        </references>
      </pivotArea>
    </chartFormat>
    <chartFormat chart="0" format="41" series="1">
      <pivotArea type="data" outline="0" fieldPosition="0">
        <references count="3">
          <reference field="4294967294" count="1" selected="0">
            <x v="0"/>
          </reference>
          <reference field="2" count="1" selected="0">
            <x v="2"/>
          </reference>
          <reference field="3" count="1" selected="0">
            <x v="3"/>
          </reference>
        </references>
      </pivotArea>
    </chartFormat>
    <chartFormat chart="0" format="42" series="1">
      <pivotArea type="data" outline="0" fieldPosition="0">
        <references count="3">
          <reference field="4294967294" count="1" selected="0">
            <x v="0"/>
          </reference>
          <reference field="2" count="1" selected="0">
            <x v="3"/>
          </reference>
          <reference field="3" count="1" selected="0">
            <x v="3"/>
          </reference>
        </references>
      </pivotArea>
    </chartFormat>
    <chartFormat chart="0" format="43" series="1">
      <pivotArea type="data" outline="0" fieldPosition="0">
        <references count="3">
          <reference field="4294967294" count="1" selected="0">
            <x v="0"/>
          </reference>
          <reference field="2" count="1" selected="0">
            <x v="4"/>
          </reference>
          <reference field="3" count="1" selected="0">
            <x v="3"/>
          </reference>
        </references>
      </pivotArea>
    </chartFormat>
    <chartFormat chart="0" format="44" series="1">
      <pivotArea type="data" outline="0" fieldPosition="0">
        <references count="3">
          <reference field="4294967294" count="1" selected="0">
            <x v="0"/>
          </reference>
          <reference field="2" count="1" selected="0">
            <x v="3"/>
          </reference>
          <reference field="3" count="1" selected="0">
            <x v="2"/>
          </reference>
        </references>
      </pivotArea>
    </chartFormat>
    <chartFormat chart="0" format="45" series="1">
      <pivotArea type="data" outline="0" fieldPosition="0">
        <references count="3">
          <reference field="4294967294" count="1" selected="0">
            <x v="0"/>
          </reference>
          <reference field="2" count="1" selected="0">
            <x v="4"/>
          </reference>
          <reference field="3" count="1" selected="0">
            <x v="2"/>
          </reference>
        </references>
      </pivotArea>
    </chartFormat>
    <chartFormat chart="0" format="46" series="1">
      <pivotArea type="data" outline="0" fieldPosition="0">
        <references count="3">
          <reference field="4294967294" count="1" selected="0">
            <x v="0"/>
          </reference>
          <reference field="2" count="1" selected="0">
            <x v="5"/>
          </reference>
          <reference field="3" count="1" selected="0">
            <x v="2"/>
          </reference>
        </references>
      </pivotArea>
    </chartFormat>
    <chartFormat chart="0" format="47" series="1">
      <pivotArea type="data" outline="0" fieldPosition="0">
        <references count="3">
          <reference field="4294967294" count="1" selected="0">
            <x v="0"/>
          </reference>
          <reference field="2" count="1" selected="0">
            <x v="6"/>
          </reference>
          <reference field="3" count="1" selected="0">
            <x v="2"/>
          </reference>
        </references>
      </pivotArea>
    </chartFormat>
    <chartFormat chart="0" format="48" series="1">
      <pivotArea type="data" outline="0" fieldPosition="0">
        <references count="3">
          <reference field="4294967294" count="1" selected="0">
            <x v="0"/>
          </reference>
          <reference field="2" count="1" selected="0">
            <x v="7"/>
          </reference>
          <reference field="3" count="1" selected="0">
            <x v="2"/>
          </reference>
        </references>
      </pivotArea>
    </chartFormat>
    <chartFormat chart="0" format="49" series="1">
      <pivotArea type="data" outline="0" fieldPosition="0">
        <references count="3">
          <reference field="4294967294" count="1" selected="0">
            <x v="0"/>
          </reference>
          <reference field="2" count="1" selected="0">
            <x v="8"/>
          </reference>
          <reference field="3" count="1" selected="0">
            <x v="2"/>
          </reference>
        </references>
      </pivotArea>
    </chartFormat>
    <chartFormat chart="0" format="50" series="1">
      <pivotArea type="data" outline="0" fieldPosition="0">
        <references count="3">
          <reference field="4294967294" count="1" selected="0">
            <x v="0"/>
          </reference>
          <reference field="2" count="1" selected="0">
            <x v="9"/>
          </reference>
          <reference field="3" count="1" selected="0">
            <x v="2"/>
          </reference>
        </references>
      </pivotArea>
    </chartFormat>
    <chartFormat chart="0" format="51" series="1">
      <pivotArea type="data" outline="0" fieldPosition="0">
        <references count="3">
          <reference field="4294967294" count="1" selected="0">
            <x v="0"/>
          </reference>
          <reference field="2" count="1" selected="0">
            <x v="10"/>
          </reference>
          <reference field="3" count="1" selected="0">
            <x v="2"/>
          </reference>
        </references>
      </pivotArea>
    </chartFormat>
    <chartFormat chart="0" format="52" series="1">
      <pivotArea type="data" outline="0" fieldPosition="0">
        <references count="3">
          <reference field="4294967294" count="1" selected="0">
            <x v="0"/>
          </reference>
          <reference field="2" count="1" selected="0">
            <x v="11"/>
          </reference>
          <reference field="3" count="1" selected="0">
            <x v="2"/>
          </reference>
        </references>
      </pivotArea>
    </chartFormat>
    <chartFormat chart="0" format="53" series="1">
      <pivotArea type="data" outline="0" fieldPosition="0">
        <references count="3">
          <reference field="4294967294" count="1" selected="0">
            <x v="0"/>
          </reference>
          <reference field="2" count="1" selected="0">
            <x v="12"/>
          </reference>
          <reference field="3" count="1" selected="0">
            <x v="2"/>
          </reference>
        </references>
      </pivotArea>
    </chartFormat>
    <chartFormat chart="0" format="54" series="1">
      <pivotArea type="data" outline="0" fieldPosition="0">
        <references count="3">
          <reference field="4294967294" count="1" selected="0">
            <x v="0"/>
          </reference>
          <reference field="2" count="1" selected="0">
            <x v="13"/>
          </reference>
          <reference field="3" count="1" selected="0">
            <x v="2"/>
          </reference>
        </references>
      </pivotArea>
    </chartFormat>
    <chartFormat chart="0" format="55" series="1">
      <pivotArea type="data" outline="0" fieldPosition="0">
        <references count="3">
          <reference field="4294967294" count="1" selected="0">
            <x v="0"/>
          </reference>
          <reference field="2" count="1" selected="0">
            <x v="14"/>
          </reference>
          <reference field="3" count="1" selected="0">
            <x v="2"/>
          </reference>
        </references>
      </pivotArea>
    </chartFormat>
    <chartFormat chart="0" format="56" series="1">
      <pivotArea type="data" outline="0" fieldPosition="0">
        <references count="3">
          <reference field="4294967294" count="1" selected="0">
            <x v="0"/>
          </reference>
          <reference field="2" count="1" selected="0">
            <x v="15"/>
          </reference>
          <reference field="3" count="1" selected="0">
            <x v="2"/>
          </reference>
        </references>
      </pivotArea>
    </chartFormat>
    <chartFormat chart="0" format="57" series="1">
      <pivotArea type="data" outline="0" fieldPosition="0">
        <references count="3">
          <reference field="4294967294" count="1" selected="0">
            <x v="0"/>
          </reference>
          <reference field="2" count="1" selected="0">
            <x v="16"/>
          </reference>
          <reference field="3" count="1" selected="0">
            <x v="2"/>
          </reference>
        </references>
      </pivotArea>
    </chartFormat>
    <chartFormat chart="0" format="58" series="1">
      <pivotArea type="data" outline="0" fieldPosition="0">
        <references count="3">
          <reference field="4294967294" count="1" selected="0">
            <x v="0"/>
          </reference>
          <reference field="2" count="1" selected="0">
            <x v="17"/>
          </reference>
          <reference field="3" count="1" selected="0">
            <x v="2"/>
          </reference>
        </references>
      </pivotArea>
    </chartFormat>
    <chartFormat chart="0" format="59" series="1">
      <pivotArea type="data" outline="0" fieldPosition="0">
        <references count="3">
          <reference field="4294967294" count="1" selected="0">
            <x v="0"/>
          </reference>
          <reference field="2" count="1" selected="0">
            <x v="18"/>
          </reference>
          <reference field="3" count="1" selected="0">
            <x v="2"/>
          </reference>
        </references>
      </pivotArea>
    </chartFormat>
    <chartFormat chart="0" format="60" series="1">
      <pivotArea type="data" outline="0" fieldPosition="0">
        <references count="3">
          <reference field="4294967294" count="1" selected="0">
            <x v="0"/>
          </reference>
          <reference field="2" count="1" selected="0">
            <x v="19"/>
          </reference>
          <reference field="3" count="1" selected="0">
            <x v="2"/>
          </reference>
        </references>
      </pivotArea>
    </chartFormat>
    <chartFormat chart="0" format="61" series="1">
      <pivotArea type="data" outline="0" fieldPosition="0">
        <references count="3">
          <reference field="4294967294" count="1" selected="0">
            <x v="0"/>
          </reference>
          <reference field="2" count="1" selected="0">
            <x v="1"/>
          </reference>
          <reference field="3" count="1" selected="0">
            <x v="2"/>
          </reference>
        </references>
      </pivotArea>
    </chartFormat>
    <chartFormat chart="0" format="62" series="1">
      <pivotArea type="data" outline="0" fieldPosition="0">
        <references count="3">
          <reference field="4294967294" count="1" selected="0">
            <x v="0"/>
          </reference>
          <reference field="2" count="1" selected="0">
            <x v="2"/>
          </reference>
          <reference field="3" count="1" selected="0">
            <x v="2"/>
          </reference>
        </references>
      </pivotArea>
    </chartFormat>
    <chartFormat chart="0" format="63" series="1">
      <pivotArea type="data" outline="0" fieldPosition="0">
        <references count="3">
          <reference field="4294967294" count="1" selected="0">
            <x v="0"/>
          </reference>
          <reference field="2" count="1" selected="0">
            <x v="8"/>
          </reference>
          <reference field="3" count="1" selected="0">
            <x v="3"/>
          </reference>
        </references>
      </pivotArea>
    </chartFormat>
    <chartFormat chart="0" format="64" series="1">
      <pivotArea type="data" outline="0" fieldPosition="0">
        <references count="3">
          <reference field="4294967294" count="1" selected="0">
            <x v="0"/>
          </reference>
          <reference field="2" count="1" selected="0">
            <x v="5"/>
          </reference>
          <reference field="3" count="1" selected="0">
            <x v="3"/>
          </reference>
        </references>
      </pivotArea>
    </chartFormat>
    <chartFormat chart="10" format="134" series="1">
      <pivotArea type="data" outline="0" fieldPosition="0">
        <references count="3">
          <reference field="4294967294" count="1" selected="0">
            <x v="0"/>
          </reference>
          <reference field="2" count="1" selected="0">
            <x v="0"/>
          </reference>
          <reference field="3" count="1" selected="0">
            <x v="2"/>
          </reference>
        </references>
      </pivotArea>
    </chartFormat>
    <chartFormat chart="10" format="135" series="1">
      <pivotArea type="data" outline="0" fieldPosition="0">
        <references count="3">
          <reference field="4294967294" count="1" selected="0">
            <x v="0"/>
          </reference>
          <reference field="2" count="1" selected="0">
            <x v="0"/>
          </reference>
          <reference field="3" count="1" selected="0">
            <x v="3"/>
          </reference>
        </references>
      </pivotArea>
    </chartFormat>
    <chartFormat chart="10" format="136" series="1">
      <pivotArea type="data" outline="0" fieldPosition="0">
        <references count="3">
          <reference field="4294967294" count="1" selected="0">
            <x v="0"/>
          </reference>
          <reference field="2" count="1" selected="0">
            <x v="1"/>
          </reference>
          <reference field="3" count="1" selected="0">
            <x v="2"/>
          </reference>
        </references>
      </pivotArea>
    </chartFormat>
    <chartFormat chart="10" format="137" series="1">
      <pivotArea type="data" outline="0" fieldPosition="0">
        <references count="3">
          <reference field="4294967294" count="1" selected="0">
            <x v="0"/>
          </reference>
          <reference field="2" count="1" selected="0">
            <x v="1"/>
          </reference>
          <reference field="3" count="1" selected="0">
            <x v="3"/>
          </reference>
        </references>
      </pivotArea>
    </chartFormat>
    <chartFormat chart="10" format="138" series="1">
      <pivotArea type="data" outline="0" fieldPosition="0">
        <references count="3">
          <reference field="4294967294" count="1" selected="0">
            <x v="0"/>
          </reference>
          <reference field="2" count="1" selected="0">
            <x v="2"/>
          </reference>
          <reference field="3" count="1" selected="0">
            <x v="2"/>
          </reference>
        </references>
      </pivotArea>
    </chartFormat>
    <chartFormat chart="10" format="139" series="1">
      <pivotArea type="data" outline="0" fieldPosition="0">
        <references count="3">
          <reference field="4294967294" count="1" selected="0">
            <x v="0"/>
          </reference>
          <reference field="2" count="1" selected="0">
            <x v="2"/>
          </reference>
          <reference field="3" count="1" selected="0">
            <x v="3"/>
          </reference>
        </references>
      </pivotArea>
    </chartFormat>
    <chartFormat chart="10" format="140" series="1">
      <pivotArea type="data" outline="0" fieldPosition="0">
        <references count="3">
          <reference field="4294967294" count="1" selected="0">
            <x v="0"/>
          </reference>
          <reference field="2" count="1" selected="0">
            <x v="3"/>
          </reference>
          <reference field="3" count="1" selected="0">
            <x v="2"/>
          </reference>
        </references>
      </pivotArea>
    </chartFormat>
    <chartFormat chart="10" format="141" series="1">
      <pivotArea type="data" outline="0" fieldPosition="0">
        <references count="3">
          <reference field="4294967294" count="1" selected="0">
            <x v="0"/>
          </reference>
          <reference field="2" count="1" selected="0">
            <x v="3"/>
          </reference>
          <reference field="3" count="1" selected="0">
            <x v="3"/>
          </reference>
        </references>
      </pivotArea>
    </chartFormat>
    <chartFormat chart="10" format="142" series="1">
      <pivotArea type="data" outline="0" fieldPosition="0">
        <references count="3">
          <reference field="4294967294" count="1" selected="0">
            <x v="0"/>
          </reference>
          <reference field="2" count="1" selected="0">
            <x v="4"/>
          </reference>
          <reference field="3" count="1" selected="0">
            <x v="2"/>
          </reference>
        </references>
      </pivotArea>
    </chartFormat>
    <chartFormat chart="10" format="143" series="1">
      <pivotArea type="data" outline="0" fieldPosition="0">
        <references count="3">
          <reference field="4294967294" count="1" selected="0">
            <x v="0"/>
          </reference>
          <reference field="2" count="1" selected="0">
            <x v="4"/>
          </reference>
          <reference field="3" count="1" selected="0">
            <x v="3"/>
          </reference>
        </references>
      </pivotArea>
    </chartFormat>
    <chartFormat chart="10" format="144" series="1">
      <pivotArea type="data" outline="0" fieldPosition="0">
        <references count="3">
          <reference field="4294967294" count="1" selected="0">
            <x v="0"/>
          </reference>
          <reference field="2" count="1" selected="0">
            <x v="5"/>
          </reference>
          <reference field="3" count="1" selected="0">
            <x v="2"/>
          </reference>
        </references>
      </pivotArea>
    </chartFormat>
    <chartFormat chart="10" format="145" series="1">
      <pivotArea type="data" outline="0" fieldPosition="0">
        <references count="3">
          <reference field="4294967294" count="1" selected="0">
            <x v="0"/>
          </reference>
          <reference field="2" count="1" selected="0">
            <x v="5"/>
          </reference>
          <reference field="3" count="1" selected="0">
            <x v="3"/>
          </reference>
        </references>
      </pivotArea>
    </chartFormat>
    <chartFormat chart="10" format="146" series="1">
      <pivotArea type="data" outline="0" fieldPosition="0">
        <references count="3">
          <reference field="4294967294" count="1" selected="0">
            <x v="0"/>
          </reference>
          <reference field="2" count="1" selected="0">
            <x v="7"/>
          </reference>
          <reference field="3" count="1" selected="0">
            <x v="2"/>
          </reference>
        </references>
      </pivotArea>
    </chartFormat>
    <chartFormat chart="10" format="147" series="1">
      <pivotArea type="data" outline="0" fieldPosition="0">
        <references count="3">
          <reference field="4294967294" count="1" selected="0">
            <x v="0"/>
          </reference>
          <reference field="2" count="1" selected="0">
            <x v="7"/>
          </reference>
          <reference field="3" count="1" selected="0">
            <x v="3"/>
          </reference>
        </references>
      </pivotArea>
    </chartFormat>
    <chartFormat chart="10" format="148" series="1">
      <pivotArea type="data" outline="0" fieldPosition="0">
        <references count="3">
          <reference field="4294967294" count="1" selected="0">
            <x v="0"/>
          </reference>
          <reference field="2" count="1" selected="0">
            <x v="8"/>
          </reference>
          <reference field="3" count="1" selected="0">
            <x v="2"/>
          </reference>
        </references>
      </pivotArea>
    </chartFormat>
    <chartFormat chart="10" format="149" series="1">
      <pivotArea type="data" outline="0" fieldPosition="0">
        <references count="3">
          <reference field="4294967294" count="1" selected="0">
            <x v="0"/>
          </reference>
          <reference field="2" count="1" selected="0">
            <x v="8"/>
          </reference>
          <reference field="3" count="1" selected="0">
            <x v="3"/>
          </reference>
        </references>
      </pivotArea>
    </chartFormat>
    <chartFormat chart="10" format="150" series="1">
      <pivotArea type="data" outline="0" fieldPosition="0">
        <references count="3">
          <reference field="4294967294" count="1" selected="0">
            <x v="0"/>
          </reference>
          <reference field="2" count="1" selected="0">
            <x v="9"/>
          </reference>
          <reference field="3" count="1" selected="0">
            <x v="2"/>
          </reference>
        </references>
      </pivotArea>
    </chartFormat>
    <chartFormat chart="10" format="151" series="1">
      <pivotArea type="data" outline="0" fieldPosition="0">
        <references count="3">
          <reference field="4294967294" count="1" selected="0">
            <x v="0"/>
          </reference>
          <reference field="2" count="1" selected="0">
            <x v="9"/>
          </reference>
          <reference field="3" count="1" selected="0">
            <x v="3"/>
          </reference>
        </references>
      </pivotArea>
    </chartFormat>
    <chartFormat chart="10" format="152" series="1">
      <pivotArea type="data" outline="0" fieldPosition="0">
        <references count="3">
          <reference field="4294967294" count="1" selected="0">
            <x v="0"/>
          </reference>
          <reference field="2" count="1" selected="0">
            <x v="10"/>
          </reference>
          <reference field="3" count="1" selected="0">
            <x v="2"/>
          </reference>
        </references>
      </pivotArea>
    </chartFormat>
    <chartFormat chart="10" format="153" series="1">
      <pivotArea type="data" outline="0" fieldPosition="0">
        <references count="3">
          <reference field="4294967294" count="1" selected="0">
            <x v="0"/>
          </reference>
          <reference field="2" count="1" selected="0">
            <x v="10"/>
          </reference>
          <reference field="3" count="1" selected="0">
            <x v="3"/>
          </reference>
        </references>
      </pivotArea>
    </chartFormat>
    <chartFormat chart="10" format="154" series="1">
      <pivotArea type="data" outline="0" fieldPosition="0">
        <references count="3">
          <reference field="4294967294" count="1" selected="0">
            <x v="0"/>
          </reference>
          <reference field="2" count="1" selected="0">
            <x v="11"/>
          </reference>
          <reference field="3" count="1" selected="0">
            <x v="2"/>
          </reference>
        </references>
      </pivotArea>
    </chartFormat>
    <chartFormat chart="10" format="155" series="1">
      <pivotArea type="data" outline="0" fieldPosition="0">
        <references count="3">
          <reference field="4294967294" count="1" selected="0">
            <x v="0"/>
          </reference>
          <reference field="2" count="1" selected="0">
            <x v="11"/>
          </reference>
          <reference field="3" count="1" selected="0">
            <x v="3"/>
          </reference>
        </references>
      </pivotArea>
    </chartFormat>
    <chartFormat chart="10" format="156" series="1">
      <pivotArea type="data" outline="0" fieldPosition="0">
        <references count="3">
          <reference field="4294967294" count="1" selected="0">
            <x v="0"/>
          </reference>
          <reference field="2" count="1" selected="0">
            <x v="12"/>
          </reference>
          <reference field="3" count="1" selected="0">
            <x v="2"/>
          </reference>
        </references>
      </pivotArea>
    </chartFormat>
    <chartFormat chart="10" format="157" series="1">
      <pivotArea type="data" outline="0" fieldPosition="0">
        <references count="3">
          <reference field="4294967294" count="1" selected="0">
            <x v="0"/>
          </reference>
          <reference field="2" count="1" selected="0">
            <x v="12"/>
          </reference>
          <reference field="3" count="1" selected="0">
            <x v="3"/>
          </reference>
        </references>
      </pivotArea>
    </chartFormat>
    <chartFormat chart="10" format="158" series="1">
      <pivotArea type="data" outline="0" fieldPosition="0">
        <references count="3">
          <reference field="4294967294" count="1" selected="0">
            <x v="0"/>
          </reference>
          <reference field="2" count="1" selected="0">
            <x v="13"/>
          </reference>
          <reference field="3" count="1" selected="0">
            <x v="2"/>
          </reference>
        </references>
      </pivotArea>
    </chartFormat>
    <chartFormat chart="10" format="159" series="1">
      <pivotArea type="data" outline="0" fieldPosition="0">
        <references count="3">
          <reference field="4294967294" count="1" selected="0">
            <x v="0"/>
          </reference>
          <reference field="2" count="1" selected="0">
            <x v="13"/>
          </reference>
          <reference field="3" count="1" selected="0">
            <x v="3"/>
          </reference>
        </references>
      </pivotArea>
    </chartFormat>
    <chartFormat chart="10" format="160" series="1">
      <pivotArea type="data" outline="0" fieldPosition="0">
        <references count="3">
          <reference field="4294967294" count="1" selected="0">
            <x v="0"/>
          </reference>
          <reference field="2" count="1" selected="0">
            <x v="15"/>
          </reference>
          <reference field="3" count="1" selected="0">
            <x v="2"/>
          </reference>
        </references>
      </pivotArea>
    </chartFormat>
    <chartFormat chart="10" format="161" series="1">
      <pivotArea type="data" outline="0" fieldPosition="0">
        <references count="3">
          <reference field="4294967294" count="1" selected="0">
            <x v="0"/>
          </reference>
          <reference field="2" count="1" selected="0">
            <x v="15"/>
          </reference>
          <reference field="3" count="1" selected="0">
            <x v="3"/>
          </reference>
        </references>
      </pivotArea>
    </chartFormat>
    <chartFormat chart="10" format="162" series="1">
      <pivotArea type="data" outline="0" fieldPosition="0">
        <references count="3">
          <reference field="4294967294" count="1" selected="0">
            <x v="0"/>
          </reference>
          <reference field="2" count="1" selected="0">
            <x v="6"/>
          </reference>
          <reference field="3" count="1" selected="0">
            <x v="2"/>
          </reference>
        </references>
      </pivotArea>
    </chartFormat>
    <chartFormat chart="10" format="163" series="1">
      <pivotArea type="data" outline="0" fieldPosition="0">
        <references count="3">
          <reference field="4294967294" count="1" selected="0">
            <x v="0"/>
          </reference>
          <reference field="2" count="1" selected="0">
            <x v="6"/>
          </reference>
          <reference field="3" count="1" selected="0">
            <x v="3"/>
          </reference>
        </references>
      </pivotArea>
    </chartFormat>
    <chartFormat chart="10" format="164" series="1">
      <pivotArea type="data" outline="0" fieldPosition="0">
        <references count="3">
          <reference field="4294967294" count="1" selected="0">
            <x v="0"/>
          </reference>
          <reference field="2" count="1" selected="0">
            <x v="14"/>
          </reference>
          <reference field="3" count="1" selected="0">
            <x v="2"/>
          </reference>
        </references>
      </pivotArea>
    </chartFormat>
    <chartFormat chart="10" format="165" series="1">
      <pivotArea type="data" outline="0" fieldPosition="0">
        <references count="3">
          <reference field="4294967294" count="1" selected="0">
            <x v="0"/>
          </reference>
          <reference field="2" count="1" selected="0">
            <x v="14"/>
          </reference>
          <reference field="3" count="1" selected="0">
            <x v="3"/>
          </reference>
        </references>
      </pivotArea>
    </chartFormat>
    <chartFormat chart="10" format="166" series="1">
      <pivotArea type="data" outline="0" fieldPosition="0">
        <references count="3">
          <reference field="4294967294" count="1" selected="0">
            <x v="0"/>
          </reference>
          <reference field="2" count="1" selected="0">
            <x v="16"/>
          </reference>
          <reference field="3" count="1" selected="0">
            <x v="2"/>
          </reference>
        </references>
      </pivotArea>
    </chartFormat>
    <chartFormat chart="10" format="167" series="1">
      <pivotArea type="data" outline="0" fieldPosition="0">
        <references count="3">
          <reference field="4294967294" count="1" selected="0">
            <x v="0"/>
          </reference>
          <reference field="2" count="1" selected="0">
            <x v="16"/>
          </reference>
          <reference field="3" count="1" selected="0">
            <x v="3"/>
          </reference>
        </references>
      </pivotArea>
    </chartFormat>
    <chartFormat chart="10" format="168" series="1">
      <pivotArea type="data" outline="0" fieldPosition="0">
        <references count="3">
          <reference field="4294967294" count="1" selected="0">
            <x v="0"/>
          </reference>
          <reference field="2" count="1" selected="0">
            <x v="17"/>
          </reference>
          <reference field="3" count="1" selected="0">
            <x v="2"/>
          </reference>
        </references>
      </pivotArea>
    </chartFormat>
    <chartFormat chart="10" format="169" series="1">
      <pivotArea type="data" outline="0" fieldPosition="0">
        <references count="3">
          <reference field="4294967294" count="1" selected="0">
            <x v="0"/>
          </reference>
          <reference field="2" count="1" selected="0">
            <x v="17"/>
          </reference>
          <reference field="3" count="1" selected="0">
            <x v="3"/>
          </reference>
        </references>
      </pivotArea>
    </chartFormat>
    <chartFormat chart="10" format="170" series="1">
      <pivotArea type="data" outline="0" fieldPosition="0">
        <references count="3">
          <reference field="4294967294" count="1" selected="0">
            <x v="0"/>
          </reference>
          <reference field="2" count="1" selected="0">
            <x v="18"/>
          </reference>
          <reference field="3" count="1" selected="0">
            <x v="2"/>
          </reference>
        </references>
      </pivotArea>
    </chartFormat>
    <chartFormat chart="10" format="171" series="1">
      <pivotArea type="data" outline="0" fieldPosition="0">
        <references count="3">
          <reference field="4294967294" count="1" selected="0">
            <x v="0"/>
          </reference>
          <reference field="2" count="1" selected="0">
            <x v="18"/>
          </reference>
          <reference field="3" count="1" selected="0">
            <x v="3"/>
          </reference>
        </references>
      </pivotArea>
    </chartFormat>
    <chartFormat chart="10" format="172" series="1">
      <pivotArea type="data" outline="0" fieldPosition="0">
        <references count="3">
          <reference field="4294967294" count="1" selected="0">
            <x v="0"/>
          </reference>
          <reference field="2" count="1" selected="0">
            <x v="19"/>
          </reference>
          <reference field="3" count="1" selected="0">
            <x v="2"/>
          </reference>
        </references>
      </pivotArea>
    </chartFormat>
    <chartFormat chart="10" format="173" series="1">
      <pivotArea type="data" outline="0" fieldPosition="0">
        <references count="3">
          <reference field="4294967294" count="1" selected="0">
            <x v="0"/>
          </reference>
          <reference field="2" count="1" selected="0">
            <x v="19"/>
          </reference>
          <reference field="3" count="1" selected="0">
            <x v="3"/>
          </reference>
        </references>
      </pivotArea>
    </chartFormat>
    <chartFormat chart="10" format="174" series="1">
      <pivotArea type="data" outline="0" fieldPosition="0">
        <references count="1">
          <reference field="4294967294" count="1" selected="0">
            <x v="0"/>
          </reference>
        </references>
      </pivotArea>
    </chartFormat>
    <chartFormat chart="8" format="13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3164702-5D32-4DB9-9B3F-CA3C56B225B0}" name="Tabela Dinâmica3" cacheId="11"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location ref="I43:J44" firstHeaderRow="1" firstDataRow="2" firstDataCol="1" rowPageCount="1" colPageCount="1"/>
  <pivotFields count="5">
    <pivotField axis="axisRow" showAll="0">
      <items count="13">
        <item m="1" x="11"/>
        <item x="0"/>
        <item x="1"/>
        <item x="2"/>
        <item x="3"/>
        <item x="4"/>
        <item x="5"/>
        <item x="6"/>
        <item x="7"/>
        <item x="8"/>
        <item x="9"/>
        <item x="10"/>
        <item t="default"/>
      </items>
    </pivotField>
    <pivotField axis="axisPage" multipleItemSelectionAllowed="1" showAll="0">
      <items count="25">
        <item h="1" x="0"/>
        <item h="1" x="1"/>
        <item h="1" m="1" x="20"/>
        <item h="1" x="3"/>
        <item h="1" x="4"/>
        <item h="1" x="5"/>
        <item h="1" m="1" x="21"/>
        <item h="1" x="7"/>
        <item h="1" m="1" x="23"/>
        <item h="1" x="9"/>
        <item h="1" x="10"/>
        <item h="1" x="11"/>
        <item h="1" x="12"/>
        <item h="1" x="13"/>
        <item h="1" x="14"/>
        <item h="1" x="15"/>
        <item h="1" m="1" x="22"/>
        <item h="1" x="17"/>
        <item h="1" x="18"/>
        <item h="1" x="19"/>
        <item x="2"/>
        <item h="1" x="6"/>
        <item h="1" x="8"/>
        <item h="1" x="16"/>
        <item t="default"/>
      </items>
    </pivotField>
    <pivotField showAll="0"/>
    <pivotField axis="axisCol" showAll="0">
      <items count="5">
        <item m="1" x="2"/>
        <item h="1" m="1" x="3"/>
        <item h="1" x="0"/>
        <item h="1" x="1"/>
        <item t="default"/>
      </items>
    </pivotField>
    <pivotField dataField="1" numFmtId="2" showAll="0"/>
  </pivotFields>
  <rowFields count="1">
    <field x="0"/>
  </rowFields>
  <colFields count="1">
    <field x="3"/>
  </colFields>
  <pageFields count="1">
    <pageField fld="1" hier="-1"/>
  </pageFields>
  <dataFields count="1">
    <dataField name="Soma de Valor"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77EC59C-56DD-455A-B45F-43776BC81909}" name="Tabela Dinâmica4" cacheId="1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I104:L117" firstHeaderRow="1" firstDataRow="2" firstDataCol="1" rowPageCount="1" colPageCount="1"/>
  <pivotFields count="5">
    <pivotField axis="axisRow" showAll="0">
      <items count="13">
        <item m="1" x="11"/>
        <item x="0"/>
        <item x="1"/>
        <item x="2"/>
        <item x="3"/>
        <item x="4"/>
        <item x="5"/>
        <item x="6"/>
        <item x="7"/>
        <item x="8"/>
        <item x="9"/>
        <item x="10"/>
        <item t="default"/>
      </items>
    </pivotField>
    <pivotField axis="axisPage" multipleItemSelectionAllowed="1" showAll="0">
      <items count="25">
        <item x="0"/>
        <item x="1"/>
        <item h="1" m="1" x="20"/>
        <item h="1" x="3"/>
        <item h="1" x="4"/>
        <item h="1" x="5"/>
        <item h="1" m="1" x="21"/>
        <item h="1" x="7"/>
        <item h="1" m="1" x="23"/>
        <item h="1" x="9"/>
        <item h="1" x="10"/>
        <item h="1" x="11"/>
        <item h="1" x="12"/>
        <item h="1" x="13"/>
        <item h="1" x="14"/>
        <item h="1" x="15"/>
        <item h="1" m="1" x="22"/>
        <item h="1" x="17"/>
        <item h="1" x="18"/>
        <item h="1" x="19"/>
        <item h="1" x="2"/>
        <item h="1" x="6"/>
        <item h="1" x="8"/>
        <item h="1" x="16"/>
        <item t="default"/>
      </items>
    </pivotField>
    <pivotField axis="axisCol" showAll="0">
      <items count="21">
        <item x="0"/>
        <item x="1"/>
        <item x="2"/>
        <item x="3"/>
        <item x="4"/>
        <item x="5"/>
        <item x="6"/>
        <item x="7"/>
        <item x="8"/>
        <item x="9"/>
        <item x="10"/>
        <item x="11"/>
        <item x="12"/>
        <item x="13"/>
        <item x="14"/>
        <item x="15"/>
        <item x="16"/>
        <item x="17"/>
        <item x="18"/>
        <item x="19"/>
        <item t="default"/>
      </items>
    </pivotField>
    <pivotField showAll="0"/>
    <pivotField dataField="1" numFmtId="174" showAll="0"/>
  </pivotFields>
  <rowFields count="1">
    <field x="0"/>
  </rowFields>
  <rowItems count="12">
    <i>
      <x v="1"/>
    </i>
    <i>
      <x v="2"/>
    </i>
    <i>
      <x v="3"/>
    </i>
    <i>
      <x v="4"/>
    </i>
    <i>
      <x v="5"/>
    </i>
    <i>
      <x v="6"/>
    </i>
    <i>
      <x v="7"/>
    </i>
    <i>
      <x v="8"/>
    </i>
    <i>
      <x v="9"/>
    </i>
    <i>
      <x v="10"/>
    </i>
    <i>
      <x v="11"/>
    </i>
    <i t="grand">
      <x/>
    </i>
  </rowItems>
  <colFields count="1">
    <field x="2"/>
  </colFields>
  <colItems count="3">
    <i>
      <x/>
    </i>
    <i>
      <x v="1"/>
    </i>
    <i t="grand">
      <x/>
    </i>
  </colItems>
  <pageFields count="1">
    <pageField fld="1" hier="-1"/>
  </pageFields>
  <dataFields count="1">
    <dataField name="Soma de Valor"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6B772A9-BDCC-452F-8B3C-7F0E843040CC}" name="Tabela Dinâmica2" cacheId="1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I25:L38" firstHeaderRow="1" firstDataRow="2" firstDataCol="1"/>
  <pivotFields count="5">
    <pivotField axis="axisRow" showAll="0">
      <items count="13">
        <item m="1" x="11"/>
        <item x="0"/>
        <item x="1"/>
        <item x="2"/>
        <item x="3"/>
        <item x="4"/>
        <item x="5"/>
        <item x="6"/>
        <item x="7"/>
        <item x="8"/>
        <item x="9"/>
        <item x="10"/>
        <item t="default"/>
      </items>
    </pivotField>
    <pivotField showAll="0">
      <items count="25">
        <item h="1" x="0"/>
        <item h="1" x="1"/>
        <item x="2"/>
        <item h="1" m="1" x="20"/>
        <item h="1" x="3"/>
        <item h="1" x="4"/>
        <item h="1" x="5"/>
        <item h="1" x="6"/>
        <item h="1" m="1" x="21"/>
        <item h="1" x="7"/>
        <item h="1" x="8"/>
        <item h="1" m="1" x="23"/>
        <item h="1" x="9"/>
        <item h="1" x="10"/>
        <item h="1" x="11"/>
        <item h="1" x="12"/>
        <item h="1" x="13"/>
        <item h="1" x="14"/>
        <item h="1" x="15"/>
        <item h="1" x="16"/>
        <item h="1" m="1" x="22"/>
        <item h="1" x="17"/>
        <item h="1" x="18"/>
        <item h="1" x="19"/>
        <item t="default"/>
      </items>
    </pivotField>
    <pivotField showAll="0"/>
    <pivotField axis="axisCol" showAll="0">
      <items count="5">
        <item h="1" m="1" x="2"/>
        <item h="1" m="1" x="3"/>
        <item x="0"/>
        <item x="1"/>
        <item t="default"/>
      </items>
    </pivotField>
    <pivotField dataField="1" numFmtId="2" showAll="0"/>
  </pivotFields>
  <rowFields count="1">
    <field x="0"/>
  </rowFields>
  <rowItems count="12">
    <i>
      <x v="1"/>
    </i>
    <i>
      <x v="2"/>
    </i>
    <i>
      <x v="3"/>
    </i>
    <i>
      <x v="4"/>
    </i>
    <i>
      <x v="5"/>
    </i>
    <i>
      <x v="6"/>
    </i>
    <i>
      <x v="7"/>
    </i>
    <i>
      <x v="8"/>
    </i>
    <i>
      <x v="9"/>
    </i>
    <i>
      <x v="10"/>
    </i>
    <i>
      <x v="11"/>
    </i>
    <i t="grand">
      <x/>
    </i>
  </rowItems>
  <colFields count="1">
    <field x="3"/>
  </colFields>
  <colItems count="3">
    <i>
      <x v="2"/>
    </i>
    <i>
      <x v="3"/>
    </i>
    <i t="grand">
      <x/>
    </i>
  </colItems>
  <dataFields count="1">
    <dataField name="Soma de Valor" fld="4" baseField="0" baseItem="0" numFmtId="174"/>
  </dataFields>
  <formats count="1">
    <format dxfId="69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Tipo_Remuneração" xr10:uid="{B54A5E8C-3993-4B8C-96EE-57C7A7A6A0E9}" sourceName="Tipo Remuneração">
  <pivotTables>
    <pivotTable tabId="76" name="Tabela Dinâmica1"/>
    <pivotTable tabId="76" name="Tabela Dinâmica2"/>
  </pivotTables>
  <data>
    <tabular pivotCacheId="1890679138">
      <items count="4">
        <i x="0" s="1"/>
        <i x="1" s="1"/>
        <i x="2" nd="1"/>
        <i x="3"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Selecionar_CAE" xr10:uid="{5DB5979A-D90E-461B-9788-A322AA913F37}" sourceName="Selecionar CAE">
  <pivotTables>
    <pivotTable tabId="76" name="Tabela Dinâmica1"/>
    <pivotTable tabId="76" name="Tabela Dinâmica2"/>
    <pivotTable tabId="76" name="Tabela Dinâmica3"/>
  </pivotTables>
  <data>
    <tabular pivotCacheId="1890679138">
      <items count="24">
        <i x="0"/>
        <i x="1"/>
        <i x="2" s="1"/>
        <i x="3"/>
        <i x="4"/>
        <i x="5"/>
        <i x="6"/>
        <i x="7"/>
        <i x="8"/>
        <i x="9"/>
        <i x="10"/>
        <i x="11"/>
        <i x="12"/>
        <i x="13"/>
        <i x="14"/>
        <i x="15"/>
        <i x="16"/>
        <i x="17"/>
        <i x="18"/>
        <i x="19"/>
        <i x="20" nd="1"/>
        <i x="21" nd="1"/>
        <i x="23" nd="1"/>
        <i x="22"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Tipo_de_remuneração" xr10:uid="{9F214FDF-443B-4912-8BDA-E016D4546DFA}" sourceName="Tipo de remuneração">
  <pivotTables>
    <pivotTable tabId="88" name="Tabela Dinâmica3"/>
  </pivotTables>
  <data>
    <tabular pivotCacheId="79155654">
      <items count="4">
        <i x="0" s="1"/>
        <i x="1" s="1"/>
        <i x="2" nd="1"/>
        <i x="3"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Sexo" xr10:uid="{3EAA3409-B6DC-432D-9630-32DCEC914845}" sourceName="Sexo">
  <pivotTables>
    <pivotTable tabId="88" name="Tabela Dinâmica3"/>
  </pivotTables>
  <data>
    <tabular pivotCacheId="79155654" sortOrder="descending">
      <items count="3">
        <i x="0" s="1"/>
        <i x="2"/>
        <i x="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po Remuneração 4" xr10:uid="{C5DF73B9-5883-4D91-8F3F-FF60DBD69D77}" cache="SegmentaçãoDeDados_Tipo_Remuneração" caption="Tipo de remuneração" style="Ano 2" rowHeight="220133"/>
  <slicer name="Selecionar CAE 2" xr10:uid="{7280B40D-9375-482C-921C-AD53388E38CC}" cache="SegmentaçãoDeDados_Selecionar_CAE" caption="Secção de Atividade Económica" columnCount="2" style="Ano 2" rowHeight="220133"/>
  <slicer name="Tipo de remuneração 1" xr10:uid="{0B86D85E-E4CE-416B-8355-3757DA4AA503}" cache="SegmentaçãoDeDados_Tipo_de_remuneração" caption="Tipo de remuneração" style="Ano 2" rowHeight="225425"/>
  <slicer name="Sexo 2" xr10:uid="{33BFF653-D4F3-4C4B-BE6F-13F2A0FDB8B5}" cache="SegmentaçãoDeDados_Sexo" caption="Sexo" style="Ano 2" rowHeight="22542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po de remuneração" xr10:uid="{4894B942-C4E9-4E1F-9780-AA6815F90037}" cache="SegmentaçãoDeDados_Tipo_de_remuneração" caption="Tipo de remuneração" style="Ano 2" rowHeight="225425"/>
  <slicer name="Sexo" xr10:uid="{3DCD9EEA-E947-4D5C-856B-23FAA40A5163}" cache="SegmentaçãoDeDados_Sexo" caption="Sexo" style="Ano 2" rowHeight="22542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po Remuneração" xr10:uid="{8AA8D2C9-921C-4DD5-AFDB-35562F2B4512}" cache="SegmentaçãoDeDados_Tipo_Remuneração" caption="Tipo de remuneração" style="Ano 2" rowHeight="220133"/>
  <slicer name="Selecionar CAE" xr10:uid="{AE1C31D8-7317-4FD7-8731-5C252A08DEF1}" cache="SegmentaçãoDeDados_Selecionar_CAE" caption="Selecionar Secção de Atividade Económica" style="Ano 2" rowHeight="220133"/>
</slicers>
</file>

<file path=xl/theme/theme1.xml><?xml version="1.0" encoding="utf-8"?>
<a:theme xmlns:a="http://schemas.openxmlformats.org/drawingml/2006/main" name="Tema do Office">
  <a:themeElements>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separad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7.xml"/><Relationship Id="rId2" Type="http://schemas.openxmlformats.org/officeDocument/2006/relationships/drawing" Target="../drawings/drawing15.xml"/><Relationship Id="rId1" Type="http://schemas.openxmlformats.org/officeDocument/2006/relationships/printerSettings" Target="../printerSettings/printerSettings10.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1.xml"/><Relationship Id="rId2" Type="http://schemas.openxmlformats.org/officeDocument/2006/relationships/drawing" Target="../drawings/drawing19.xml"/><Relationship Id="rId1" Type="http://schemas.openxmlformats.org/officeDocument/2006/relationships/printerSettings" Target="../printerSettings/printerSettings11.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3.xml"/><Relationship Id="rId1" Type="http://schemas.openxmlformats.org/officeDocument/2006/relationships/printerSettings" Target="../printerSettings/printerSettings12.bin"/><Relationship Id="rId4" Type="http://schemas.openxmlformats.org/officeDocument/2006/relationships/ctrlProp" Target="../ctrlProps/ctrlProp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9.xml"/><Relationship Id="rId1" Type="http://schemas.openxmlformats.org/officeDocument/2006/relationships/printerSettings" Target="../printerSettings/printerSettings14.bin"/><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2.xml"/><Relationship Id="rId1" Type="http://schemas.openxmlformats.org/officeDocument/2006/relationships/printerSettings" Target="../printerSettings/printerSettings15.bin"/><Relationship Id="rId4" Type="http://schemas.openxmlformats.org/officeDocument/2006/relationships/ctrlProp" Target="../ctrlProps/ctrlProp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5.xml"/><Relationship Id="rId1" Type="http://schemas.openxmlformats.org/officeDocument/2006/relationships/printerSettings" Target="../printerSettings/printerSettings16.bin"/><Relationship Id="rId4" Type="http://schemas.openxmlformats.org/officeDocument/2006/relationships/ctrlProp" Target="../ctrlProps/ctrlProp15.xml"/></Relationships>
</file>

<file path=xl/worksheets/_rels/sheet17.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8.xml"/><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4.xml"/><Relationship Id="rId7" Type="http://schemas.microsoft.com/office/2007/relationships/slicer" Target="../slicers/slicer3.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drawing" Target="../drawings/drawing39.xml"/><Relationship Id="rId5" Type="http://schemas.openxmlformats.org/officeDocument/2006/relationships/printerSettings" Target="../printerSettings/printerSettings17.bin"/><Relationship Id="rId4" Type="http://schemas.openxmlformats.org/officeDocument/2006/relationships/pivotTable" Target="../pivotTables/pivotTable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2.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vmlDrawing" Target="../drawings/vmlDrawing12.vml"/><Relationship Id="rId7" Type="http://schemas.openxmlformats.org/officeDocument/2006/relationships/ctrlProp" Target="../ctrlProps/ctrlProp19.xml"/><Relationship Id="rId2" Type="http://schemas.openxmlformats.org/officeDocument/2006/relationships/drawing" Target="../drawings/drawing43.xml"/><Relationship Id="rId1" Type="http://schemas.openxmlformats.org/officeDocument/2006/relationships/printerSettings" Target="../printerSettings/printerSettings21.bin"/><Relationship Id="rId6" Type="http://schemas.openxmlformats.org/officeDocument/2006/relationships/ctrlProp" Target="../ctrlProps/ctrlProp18.xml"/><Relationship Id="rId5" Type="http://schemas.openxmlformats.org/officeDocument/2006/relationships/ctrlProp" Target="../ctrlProps/ctrlProp1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26.xml"/><Relationship Id="rId2" Type="http://schemas.openxmlformats.org/officeDocument/2006/relationships/drawing" Target="../drawings/drawing47.xml"/><Relationship Id="rId1" Type="http://schemas.openxmlformats.org/officeDocument/2006/relationships/printerSettings" Target="../printerSettings/printerSettings22.bin"/><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creativecommons.org/publicdomain/zero/1.0/deed.en" TargetMode="External"/><Relationship Id="rId1" Type="http://schemas.openxmlformats.org/officeDocument/2006/relationships/hyperlink" Target="https://creativecommons.org/publicdomain/zero/1.0/deed.en" TargetMode="External"/><Relationship Id="rId4" Type="http://schemas.openxmlformats.org/officeDocument/2006/relationships/drawing" Target="../drawings/drawing5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52.xml"/><Relationship Id="rId1" Type="http://schemas.openxmlformats.org/officeDocument/2006/relationships/printerSettings" Target="../printerSettings/printerSettings24.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57.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58.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59.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youtube.com/watch?v=t-xdWIF9j7c" TargetMode="External"/><Relationship Id="rId2" Type="http://schemas.openxmlformats.org/officeDocument/2006/relationships/hyperlink" Target="https://ninjadoexcel.com.br/como-habilitar-a-guia-desenvolvedor-no-excel/" TargetMode="External"/><Relationship Id="rId1" Type="http://schemas.openxmlformats.org/officeDocument/2006/relationships/hyperlink" Target="https://ninjadoexcel.com.br/grafico-com-caixa-de-combinacao-no-excel/" TargetMode="External"/><Relationship Id="rId4" Type="http://schemas.openxmlformats.org/officeDocument/2006/relationships/drawing" Target="../drawings/drawing6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64.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65.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66.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67.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6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6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70.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71.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73.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74.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75.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76.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77.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78.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79.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80.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81.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82.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83.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85.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86.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87.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88.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89.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90.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91.x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92.x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93.x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94.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95.xml"/><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96.x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97.xml"/><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98.x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99.x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100.xml"/><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101.x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102.x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104.x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105.x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106.xml"/><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9.bin"/><Relationship Id="rId5" Type="http://schemas.microsoft.com/office/2007/relationships/slicer" Target="../slicers/slicer1.xml"/><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2">
    <tabColor rgb="FF0070C0"/>
  </sheetPr>
  <dimension ref="A1:L53"/>
  <sheetViews>
    <sheetView showGridLines="0" zoomScaleNormal="100" workbookViewId="0">
      <selection activeCell="O9" sqref="O9"/>
    </sheetView>
  </sheetViews>
  <sheetFormatPr defaultColWidth="8.7109375" defaultRowHeight="15"/>
  <cols>
    <col min="1" max="11" width="8.7109375" style="329"/>
    <col min="12" max="12" width="11.7109375" style="329" customWidth="1"/>
    <col min="13" max="16384" width="8.7109375" style="329"/>
  </cols>
  <sheetData>
    <row r="1" spans="1:12">
      <c r="A1" s="328"/>
      <c r="B1" s="328"/>
      <c r="C1" s="328"/>
      <c r="D1" s="328"/>
      <c r="E1" s="328"/>
      <c r="F1" s="328"/>
      <c r="G1" s="328"/>
      <c r="H1" s="328"/>
      <c r="I1" s="328"/>
      <c r="J1" s="328"/>
      <c r="K1" s="328"/>
      <c r="L1" s="328"/>
    </row>
    <row r="2" spans="1:12">
      <c r="A2" s="328"/>
      <c r="B2" s="328"/>
      <c r="C2" s="328"/>
      <c r="D2" s="328"/>
      <c r="E2" s="328"/>
      <c r="F2" s="328"/>
      <c r="G2" s="328"/>
      <c r="H2" s="328"/>
      <c r="I2" s="328"/>
      <c r="J2" s="328"/>
      <c r="K2" s="328"/>
      <c r="L2" s="328"/>
    </row>
    <row r="3" spans="1:12">
      <c r="A3" s="328"/>
      <c r="B3" s="328"/>
      <c r="C3" s="328"/>
      <c r="D3" s="328"/>
      <c r="E3" s="328"/>
      <c r="F3" s="328"/>
      <c r="G3" s="328"/>
      <c r="H3" s="328"/>
      <c r="I3" s="328"/>
      <c r="J3" s="328"/>
      <c r="K3" s="328"/>
      <c r="L3" s="328"/>
    </row>
    <row r="4" spans="1:12">
      <c r="A4" s="328"/>
      <c r="B4" s="328"/>
      <c r="C4" s="328"/>
      <c r="D4" s="328"/>
      <c r="E4" s="328"/>
      <c r="F4" s="328"/>
      <c r="G4" s="328"/>
      <c r="H4" s="328"/>
      <c r="I4" s="328"/>
      <c r="J4" s="328"/>
      <c r="K4" s="328"/>
      <c r="L4" s="328"/>
    </row>
    <row r="5" spans="1:12">
      <c r="A5" s="328"/>
      <c r="B5" s="328"/>
      <c r="C5" s="328"/>
      <c r="D5" s="328"/>
      <c r="E5" s="328"/>
      <c r="F5" s="328"/>
      <c r="G5" s="328"/>
      <c r="H5" s="328"/>
      <c r="I5" s="328"/>
      <c r="J5" s="328"/>
      <c r="K5" s="328"/>
      <c r="L5" s="328"/>
    </row>
    <row r="6" spans="1:12">
      <c r="A6" s="328"/>
      <c r="B6" s="328"/>
      <c r="C6" s="328"/>
      <c r="D6" s="328"/>
      <c r="E6" s="328"/>
      <c r="F6" s="328"/>
      <c r="G6" s="328"/>
      <c r="H6" s="328"/>
      <c r="I6" s="328"/>
      <c r="J6" s="328"/>
      <c r="K6" s="328"/>
      <c r="L6" s="328"/>
    </row>
    <row r="7" spans="1:12">
      <c r="A7" s="328"/>
      <c r="B7" s="328"/>
      <c r="C7" s="328"/>
      <c r="D7" s="328"/>
      <c r="E7" s="328"/>
      <c r="F7" s="328"/>
      <c r="G7" s="328"/>
      <c r="H7" s="328"/>
      <c r="I7" s="328"/>
      <c r="J7" s="328"/>
      <c r="K7" s="328"/>
      <c r="L7" s="328"/>
    </row>
    <row r="8" spans="1:12">
      <c r="A8" s="328"/>
      <c r="B8" s="328"/>
      <c r="C8" s="328"/>
      <c r="D8" s="328"/>
      <c r="E8" s="328"/>
      <c r="F8" s="328"/>
      <c r="G8" s="328"/>
      <c r="H8" s="328"/>
      <c r="I8" s="328"/>
      <c r="J8" s="328"/>
      <c r="K8" s="328"/>
      <c r="L8" s="328"/>
    </row>
    <row r="9" spans="1:12">
      <c r="A9" s="328"/>
      <c r="B9" s="328"/>
      <c r="C9" s="328"/>
      <c r="D9" s="328"/>
      <c r="E9" s="328"/>
      <c r="F9" s="328"/>
      <c r="G9" s="328"/>
      <c r="H9" s="328"/>
      <c r="I9" s="328"/>
      <c r="J9" s="328"/>
      <c r="K9" s="328"/>
      <c r="L9" s="328"/>
    </row>
    <row r="10" spans="1:12">
      <c r="A10" s="328"/>
      <c r="B10" s="328"/>
      <c r="C10" s="328"/>
      <c r="D10" s="328"/>
      <c r="E10" s="328"/>
      <c r="F10" s="328"/>
      <c r="G10" s="328"/>
      <c r="H10" s="328"/>
      <c r="I10" s="328"/>
      <c r="J10" s="328"/>
      <c r="K10" s="328"/>
      <c r="L10" s="328"/>
    </row>
    <row r="11" spans="1:12">
      <c r="A11" s="328"/>
      <c r="B11" s="328"/>
      <c r="C11" s="328"/>
      <c r="D11" s="328"/>
      <c r="E11" s="328"/>
      <c r="F11" s="328"/>
      <c r="G11" s="328"/>
      <c r="H11" s="328"/>
      <c r="I11" s="328"/>
      <c r="J11" s="328"/>
      <c r="K11" s="328"/>
      <c r="L11" s="328"/>
    </row>
    <row r="12" spans="1:12">
      <c r="A12" s="328"/>
      <c r="B12" s="328"/>
      <c r="C12" s="328"/>
      <c r="D12" s="328"/>
      <c r="E12" s="328"/>
      <c r="F12" s="328"/>
      <c r="G12" s="328"/>
      <c r="H12" s="328"/>
      <c r="I12" s="328"/>
      <c r="J12" s="328"/>
      <c r="K12" s="328"/>
      <c r="L12" s="328"/>
    </row>
    <row r="13" spans="1:12">
      <c r="A13" s="328"/>
      <c r="B13" s="328"/>
      <c r="C13" s="328"/>
      <c r="D13" s="328"/>
      <c r="E13" s="328"/>
      <c r="F13" s="328"/>
      <c r="G13" s="328"/>
      <c r="H13" s="328"/>
      <c r="I13" s="328"/>
      <c r="J13" s="328"/>
      <c r="K13" s="328"/>
      <c r="L13" s="328"/>
    </row>
    <row r="14" spans="1:12">
      <c r="A14" s="328"/>
      <c r="B14" s="328"/>
      <c r="C14" s="328"/>
      <c r="D14" s="328"/>
      <c r="E14" s="328"/>
      <c r="F14" s="328"/>
      <c r="G14" s="328"/>
      <c r="H14" s="328"/>
      <c r="I14" s="328"/>
      <c r="J14" s="328"/>
      <c r="K14" s="328"/>
      <c r="L14" s="328"/>
    </row>
    <row r="15" spans="1:12">
      <c r="A15" s="328"/>
      <c r="B15" s="328"/>
      <c r="C15" s="328"/>
      <c r="D15" s="328"/>
      <c r="E15" s="328"/>
      <c r="F15" s="328"/>
      <c r="G15" s="328"/>
      <c r="H15" s="328"/>
      <c r="I15" s="328"/>
      <c r="J15" s="328"/>
      <c r="K15" s="328"/>
      <c r="L15" s="328"/>
    </row>
    <row r="16" spans="1:12">
      <c r="A16" s="328"/>
      <c r="B16" s="328"/>
      <c r="C16" s="328"/>
      <c r="D16" s="328"/>
      <c r="E16" s="328"/>
      <c r="F16" s="328"/>
      <c r="G16" s="328"/>
      <c r="H16" s="328"/>
      <c r="I16" s="328"/>
      <c r="J16" s="328"/>
      <c r="K16" s="328"/>
      <c r="L16" s="328"/>
    </row>
    <row r="17" spans="1:12">
      <c r="A17" s="328"/>
      <c r="B17" s="328"/>
      <c r="C17" s="328"/>
      <c r="D17" s="328"/>
      <c r="E17" s="328"/>
      <c r="F17" s="328"/>
      <c r="G17" s="328"/>
      <c r="H17" s="328"/>
      <c r="I17" s="328"/>
      <c r="J17" s="328"/>
      <c r="K17" s="328"/>
      <c r="L17" s="328"/>
    </row>
    <row r="18" spans="1:12">
      <c r="A18" s="328"/>
      <c r="B18" s="328"/>
      <c r="C18" s="328"/>
      <c r="D18" s="328"/>
      <c r="E18" s="328"/>
      <c r="F18" s="328"/>
      <c r="G18" s="328"/>
      <c r="H18" s="328"/>
      <c r="I18" s="328"/>
      <c r="J18" s="328"/>
      <c r="K18" s="328"/>
      <c r="L18" s="328"/>
    </row>
    <row r="19" spans="1:12">
      <c r="A19" s="328"/>
      <c r="B19" s="328"/>
      <c r="C19" s="328"/>
      <c r="D19" s="328"/>
      <c r="E19" s="328"/>
      <c r="F19" s="328"/>
      <c r="G19" s="328"/>
      <c r="H19" s="328"/>
      <c r="I19" s="328"/>
      <c r="J19" s="328"/>
      <c r="K19" s="328"/>
      <c r="L19" s="328"/>
    </row>
    <row r="20" spans="1:12">
      <c r="A20" s="328"/>
      <c r="B20" s="328"/>
      <c r="C20" s="328"/>
      <c r="D20" s="328"/>
      <c r="E20" s="328"/>
      <c r="F20" s="328"/>
      <c r="G20" s="328"/>
      <c r="H20" s="328"/>
      <c r="I20" s="328"/>
      <c r="J20" s="328"/>
      <c r="K20" s="328"/>
      <c r="L20" s="328"/>
    </row>
    <row r="21" spans="1:12">
      <c r="A21" s="328"/>
      <c r="B21" s="328"/>
      <c r="C21" s="328"/>
      <c r="D21" s="328"/>
      <c r="E21" s="328"/>
      <c r="F21" s="328"/>
      <c r="G21" s="328"/>
      <c r="H21" s="328"/>
      <c r="I21" s="328"/>
      <c r="J21" s="328"/>
      <c r="K21" s="328"/>
      <c r="L21" s="328"/>
    </row>
    <row r="22" spans="1:12">
      <c r="A22" s="328"/>
      <c r="B22" s="328"/>
      <c r="C22" s="328"/>
      <c r="D22" s="328"/>
      <c r="E22" s="328"/>
      <c r="F22" s="328"/>
      <c r="G22" s="328"/>
      <c r="H22" s="328"/>
      <c r="I22" s="328"/>
      <c r="J22" s="328"/>
      <c r="K22" s="328"/>
      <c r="L22" s="328"/>
    </row>
    <row r="23" spans="1:12">
      <c r="A23" s="328"/>
      <c r="B23" s="328"/>
      <c r="C23" s="328"/>
      <c r="D23" s="328"/>
      <c r="E23" s="328"/>
      <c r="F23" s="328"/>
      <c r="G23" s="328"/>
      <c r="H23" s="328"/>
      <c r="I23" s="328"/>
      <c r="J23" s="328"/>
      <c r="K23" s="328"/>
      <c r="L23" s="328"/>
    </row>
    <row r="24" spans="1:12">
      <c r="A24" s="328"/>
      <c r="B24" s="328"/>
      <c r="C24" s="328"/>
      <c r="D24" s="328"/>
      <c r="E24" s="328"/>
      <c r="F24" s="328"/>
      <c r="G24" s="328"/>
      <c r="H24" s="328"/>
      <c r="I24" s="328"/>
      <c r="J24" s="328"/>
      <c r="K24" s="328"/>
      <c r="L24" s="328"/>
    </row>
    <row r="25" spans="1:12">
      <c r="A25" s="328"/>
      <c r="B25" s="328"/>
      <c r="C25" s="328"/>
      <c r="D25" s="328"/>
      <c r="E25" s="328"/>
      <c r="F25" s="328"/>
      <c r="G25" s="328"/>
      <c r="H25" s="328"/>
      <c r="I25" s="328"/>
      <c r="J25" s="328"/>
      <c r="K25" s="328"/>
      <c r="L25" s="328"/>
    </row>
    <row r="26" spans="1:12">
      <c r="A26" s="328"/>
      <c r="B26" s="328"/>
      <c r="C26" s="328"/>
      <c r="D26" s="328"/>
      <c r="E26" s="328"/>
      <c r="F26" s="328"/>
      <c r="G26" s="328"/>
      <c r="H26" s="328"/>
      <c r="I26" s="328"/>
      <c r="J26" s="328"/>
      <c r="K26" s="328"/>
      <c r="L26" s="328"/>
    </row>
    <row r="27" spans="1:12">
      <c r="A27" s="328"/>
      <c r="B27" s="328"/>
      <c r="C27" s="328"/>
      <c r="D27" s="328"/>
      <c r="E27" s="328"/>
      <c r="F27" s="328"/>
      <c r="G27" s="328"/>
      <c r="H27" s="328"/>
      <c r="I27" s="328"/>
      <c r="J27" s="328"/>
      <c r="K27" s="328"/>
      <c r="L27" s="328"/>
    </row>
    <row r="28" spans="1:12">
      <c r="A28" s="328"/>
      <c r="B28" s="328"/>
      <c r="C28" s="328"/>
      <c r="D28" s="328"/>
      <c r="E28" s="328"/>
      <c r="F28" s="328"/>
      <c r="G28" s="328"/>
      <c r="H28" s="328"/>
      <c r="I28" s="328"/>
      <c r="J28" s="328"/>
      <c r="K28" s="328"/>
      <c r="L28" s="328"/>
    </row>
    <row r="29" spans="1:12">
      <c r="A29" s="328"/>
      <c r="B29" s="328"/>
      <c r="C29" s="328"/>
      <c r="D29" s="328"/>
      <c r="E29" s="328"/>
      <c r="F29" s="328"/>
      <c r="G29" s="328"/>
      <c r="H29" s="328"/>
      <c r="I29" s="328"/>
      <c r="J29" s="328"/>
      <c r="K29" s="328"/>
      <c r="L29" s="328"/>
    </row>
    <row r="30" spans="1:12">
      <c r="A30" s="328"/>
      <c r="B30" s="328"/>
      <c r="C30" s="328"/>
      <c r="D30" s="328"/>
      <c r="E30" s="328"/>
      <c r="F30" s="328"/>
      <c r="G30" s="328"/>
      <c r="H30" s="328"/>
      <c r="I30" s="328"/>
      <c r="J30" s="328"/>
      <c r="K30" s="328"/>
      <c r="L30" s="328"/>
    </row>
    <row r="31" spans="1:12">
      <c r="A31" s="328"/>
      <c r="B31" s="328"/>
      <c r="C31" s="328"/>
      <c r="D31" s="328"/>
      <c r="E31" s="328"/>
      <c r="F31" s="328"/>
      <c r="G31" s="328"/>
      <c r="H31" s="328"/>
      <c r="I31" s="328"/>
      <c r="J31" s="328"/>
      <c r="K31" s="328"/>
      <c r="L31" s="328"/>
    </row>
    <row r="32" spans="1:12">
      <c r="A32" s="328"/>
      <c r="B32" s="328"/>
      <c r="C32" s="328"/>
      <c r="D32" s="328"/>
      <c r="E32" s="328"/>
      <c r="F32" s="328"/>
      <c r="G32" s="328"/>
      <c r="H32" s="328"/>
      <c r="I32" s="328"/>
      <c r="J32" s="328"/>
      <c r="K32" s="328"/>
      <c r="L32" s="328"/>
    </row>
    <row r="33" spans="1:12">
      <c r="A33" s="328"/>
      <c r="B33" s="328"/>
      <c r="C33" s="328"/>
      <c r="D33" s="328"/>
      <c r="E33" s="328"/>
      <c r="F33" s="328"/>
      <c r="G33" s="328"/>
      <c r="H33" s="328"/>
      <c r="I33" s="328"/>
      <c r="J33" s="328"/>
      <c r="K33" s="328"/>
      <c r="L33" s="328"/>
    </row>
    <row r="34" spans="1:12">
      <c r="A34" s="328"/>
      <c r="B34" s="328"/>
      <c r="C34" s="328"/>
      <c r="D34" s="328"/>
      <c r="E34" s="328"/>
      <c r="F34" s="328"/>
      <c r="G34" s="328"/>
      <c r="H34" s="328"/>
      <c r="I34" s="328"/>
      <c r="J34" s="328"/>
      <c r="K34" s="328"/>
      <c r="L34" s="328"/>
    </row>
    <row r="35" spans="1:12">
      <c r="A35" s="328"/>
      <c r="B35" s="328"/>
      <c r="C35" s="328"/>
      <c r="D35" s="328"/>
      <c r="E35" s="328"/>
      <c r="F35" s="328"/>
      <c r="G35" s="328"/>
      <c r="H35" s="328"/>
      <c r="I35" s="328"/>
      <c r="J35" s="328"/>
      <c r="K35" s="328"/>
      <c r="L35" s="328"/>
    </row>
    <row r="36" spans="1:12">
      <c r="A36" s="328"/>
      <c r="B36" s="328"/>
      <c r="C36" s="328"/>
      <c r="D36" s="328"/>
      <c r="E36" s="328"/>
      <c r="F36" s="328"/>
      <c r="G36" s="328"/>
      <c r="H36" s="328"/>
      <c r="I36" s="328"/>
      <c r="J36" s="328"/>
      <c r="K36" s="328"/>
      <c r="L36" s="328"/>
    </row>
    <row r="37" spans="1:12">
      <c r="A37" s="328"/>
      <c r="B37" s="328"/>
      <c r="C37" s="328"/>
      <c r="D37" s="328"/>
      <c r="E37" s="328"/>
      <c r="F37" s="328"/>
      <c r="G37" s="328"/>
      <c r="H37" s="328"/>
      <c r="I37" s="328"/>
      <c r="J37" s="328"/>
      <c r="K37" s="328"/>
      <c r="L37" s="328"/>
    </row>
    <row r="38" spans="1:12">
      <c r="A38" s="328"/>
      <c r="B38" s="328"/>
      <c r="C38" s="328"/>
      <c r="D38" s="328"/>
      <c r="E38" s="328"/>
      <c r="F38" s="328"/>
      <c r="G38" s="328"/>
      <c r="H38" s="328"/>
      <c r="I38" s="328"/>
      <c r="J38" s="328"/>
      <c r="K38" s="328"/>
      <c r="L38" s="328"/>
    </row>
    <row r="39" spans="1:12">
      <c r="A39" s="328"/>
      <c r="B39" s="328"/>
      <c r="C39" s="328"/>
      <c r="D39" s="328"/>
      <c r="E39" s="328"/>
      <c r="F39" s="328"/>
      <c r="G39" s="328"/>
      <c r="H39" s="328"/>
      <c r="I39" s="328"/>
      <c r="J39" s="328"/>
      <c r="K39" s="328"/>
      <c r="L39" s="328"/>
    </row>
    <row r="40" spans="1:12">
      <c r="A40" s="328"/>
      <c r="B40" s="328"/>
      <c r="C40" s="328"/>
      <c r="D40" s="328"/>
      <c r="E40" s="328"/>
      <c r="F40" s="328"/>
      <c r="G40" s="328"/>
      <c r="H40" s="328"/>
      <c r="I40" s="328"/>
      <c r="J40" s="328"/>
      <c r="K40" s="328"/>
      <c r="L40" s="328"/>
    </row>
    <row r="41" spans="1:12">
      <c r="A41" s="328"/>
      <c r="B41" s="328"/>
      <c r="C41" s="328"/>
      <c r="D41" s="328"/>
      <c r="E41" s="328"/>
      <c r="F41" s="328"/>
      <c r="G41" s="328"/>
      <c r="H41" s="328"/>
      <c r="I41" s="328"/>
      <c r="J41" s="328"/>
      <c r="K41" s="328"/>
      <c r="L41" s="328"/>
    </row>
    <row r="42" spans="1:12">
      <c r="A42" s="328"/>
      <c r="B42" s="328"/>
      <c r="C42" s="328"/>
      <c r="D42" s="328"/>
      <c r="E42" s="328"/>
      <c r="F42" s="328"/>
      <c r="G42" s="328"/>
      <c r="H42" s="328"/>
      <c r="I42" s="328"/>
      <c r="J42" s="328"/>
      <c r="K42" s="328"/>
      <c r="L42" s="328"/>
    </row>
    <row r="43" spans="1:12">
      <c r="A43" s="328"/>
      <c r="B43" s="328"/>
      <c r="C43" s="328"/>
      <c r="D43" s="328"/>
      <c r="E43" s="328"/>
      <c r="F43" s="328"/>
      <c r="G43" s="328"/>
      <c r="H43" s="328"/>
      <c r="I43" s="328"/>
      <c r="J43" s="328"/>
      <c r="K43" s="328"/>
      <c r="L43" s="328"/>
    </row>
    <row r="44" spans="1:12">
      <c r="A44" s="328"/>
      <c r="B44" s="328"/>
      <c r="C44" s="328"/>
      <c r="D44" s="328"/>
      <c r="E44" s="328"/>
      <c r="F44" s="328"/>
      <c r="G44" s="328"/>
      <c r="H44" s="328"/>
      <c r="I44" s="328"/>
      <c r="J44" s="328"/>
      <c r="K44" s="328"/>
      <c r="L44" s="328"/>
    </row>
    <row r="45" spans="1:12">
      <c r="A45" s="328"/>
      <c r="B45" s="328"/>
      <c r="C45" s="328"/>
      <c r="D45" s="328"/>
      <c r="E45" s="328"/>
      <c r="F45" s="328"/>
      <c r="G45" s="328"/>
      <c r="H45" s="328"/>
      <c r="I45" s="328"/>
      <c r="J45" s="328"/>
      <c r="K45" s="328"/>
      <c r="L45" s="328"/>
    </row>
    <row r="46" spans="1:12">
      <c r="A46" s="328"/>
      <c r="B46" s="328"/>
      <c r="C46" s="328"/>
      <c r="D46" s="328"/>
      <c r="E46" s="328"/>
      <c r="F46" s="328"/>
      <c r="G46" s="328"/>
      <c r="H46" s="328"/>
      <c r="I46" s="328"/>
      <c r="J46" s="328"/>
      <c r="K46" s="328"/>
      <c r="L46" s="328"/>
    </row>
    <row r="47" spans="1:12">
      <c r="A47" s="328"/>
      <c r="B47" s="328"/>
      <c r="C47" s="328"/>
      <c r="D47" s="328"/>
      <c r="E47" s="328"/>
      <c r="F47" s="328"/>
      <c r="G47" s="328"/>
      <c r="H47" s="328"/>
      <c r="I47" s="328"/>
      <c r="J47" s="328"/>
      <c r="K47" s="328"/>
      <c r="L47" s="328"/>
    </row>
    <row r="48" spans="1:12">
      <c r="A48" s="328"/>
      <c r="B48" s="328"/>
      <c r="C48" s="328"/>
      <c r="D48" s="328"/>
      <c r="E48" s="328"/>
      <c r="F48" s="328"/>
      <c r="G48" s="328"/>
      <c r="H48" s="328"/>
      <c r="I48" s="328"/>
      <c r="J48" s="328"/>
      <c r="K48" s="328"/>
      <c r="L48" s="328"/>
    </row>
    <row r="49" spans="1:12">
      <c r="A49" s="328"/>
      <c r="B49" s="328"/>
      <c r="C49" s="328"/>
      <c r="D49" s="328"/>
      <c r="E49" s="328"/>
      <c r="F49" s="328"/>
      <c r="G49" s="328"/>
      <c r="H49" s="328"/>
      <c r="I49" s="328"/>
      <c r="J49" s="328"/>
      <c r="K49" s="328"/>
      <c r="L49" s="328"/>
    </row>
    <row r="50" spans="1:12">
      <c r="A50" s="328"/>
      <c r="B50" s="328"/>
      <c r="C50" s="328"/>
      <c r="D50" s="328"/>
      <c r="E50" s="328"/>
      <c r="F50" s="328"/>
      <c r="G50" s="328"/>
      <c r="H50" s="328"/>
      <c r="I50" s="328"/>
      <c r="J50" s="328"/>
      <c r="K50" s="328"/>
      <c r="L50" s="328"/>
    </row>
    <row r="51" spans="1:12">
      <c r="A51" s="328"/>
      <c r="B51" s="328"/>
      <c r="C51" s="328"/>
      <c r="D51" s="328"/>
      <c r="E51" s="328"/>
      <c r="F51" s="328"/>
      <c r="G51" s="328"/>
      <c r="H51" s="328"/>
      <c r="I51" s="328"/>
      <c r="J51" s="328"/>
      <c r="K51" s="328"/>
      <c r="L51" s="328"/>
    </row>
    <row r="52" spans="1:12">
      <c r="A52" s="328"/>
      <c r="B52" s="328"/>
      <c r="C52" s="328"/>
      <c r="D52" s="328"/>
      <c r="E52" s="328"/>
      <c r="F52" s="328"/>
      <c r="G52" s="328"/>
      <c r="H52" s="328"/>
      <c r="I52" s="328"/>
      <c r="J52" s="328"/>
      <c r="K52" s="328"/>
      <c r="L52" s="328"/>
    </row>
    <row r="53" spans="1:12" ht="75.75" customHeight="1">
      <c r="A53" s="328"/>
      <c r="B53" s="328"/>
      <c r="C53" s="328"/>
      <c r="D53" s="328"/>
      <c r="E53" s="328"/>
      <c r="F53" s="328"/>
      <c r="G53" s="328"/>
      <c r="H53" s="328"/>
      <c r="I53" s="328"/>
      <c r="J53" s="328"/>
      <c r="K53" s="328"/>
      <c r="L53" s="328"/>
    </row>
  </sheetData>
  <printOptions horizontalCentered="1" verticalCentered="1"/>
  <pageMargins left="0" right="0" top="0" bottom="0" header="0" footer="0"/>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91436-4C8E-482A-BE5E-9CCB7C607029}">
  <sheetPr codeName="Folha5">
    <tabColor rgb="FFFFFF00"/>
  </sheetPr>
  <dimension ref="A1:AB57"/>
  <sheetViews>
    <sheetView showGridLines="0" showRowColHeaders="0" zoomScaleNormal="100" zoomScaleSheetLayoutView="90" workbookViewId="0"/>
  </sheetViews>
  <sheetFormatPr defaultColWidth="8.7109375" defaultRowHeight="15"/>
  <cols>
    <col min="1" max="11" width="8.42578125" style="542" customWidth="1"/>
    <col min="12" max="12" width="7" style="542" customWidth="1"/>
    <col min="13" max="16384" width="8.7109375" style="542"/>
  </cols>
  <sheetData>
    <row r="1" spans="1:28">
      <c r="A1" s="558"/>
      <c r="B1" s="558"/>
      <c r="C1" s="558"/>
      <c r="D1" s="558"/>
      <c r="E1" s="558"/>
      <c r="F1" s="558"/>
      <c r="G1" s="558"/>
      <c r="H1" s="558"/>
      <c r="I1" s="558"/>
      <c r="J1" s="558"/>
      <c r="K1" s="558"/>
      <c r="L1" s="558"/>
      <c r="M1" s="558"/>
      <c r="N1" s="558"/>
      <c r="O1" s="558"/>
      <c r="P1" s="558"/>
      <c r="Q1" s="558"/>
      <c r="R1" s="558"/>
      <c r="S1" s="558"/>
      <c r="T1" s="558"/>
      <c r="U1" s="558"/>
      <c r="V1" s="558"/>
      <c r="W1" s="558"/>
    </row>
    <row r="2" spans="1:28" ht="18.75" customHeight="1">
      <c r="A2" s="558"/>
      <c r="B2" s="558"/>
      <c r="C2" s="558"/>
      <c r="D2" s="558"/>
      <c r="E2" s="558"/>
      <c r="F2" s="558"/>
      <c r="G2" s="558"/>
      <c r="H2" s="558"/>
      <c r="I2" s="558"/>
      <c r="J2" s="558"/>
      <c r="K2" s="558"/>
      <c r="L2" s="558"/>
      <c r="M2" s="558"/>
      <c r="N2" s="558"/>
      <c r="O2" s="558"/>
      <c r="P2" s="558"/>
      <c r="Q2" s="558"/>
      <c r="R2" s="558"/>
      <c r="S2" s="558"/>
      <c r="T2" s="558"/>
      <c r="U2" s="558"/>
      <c r="V2" s="558"/>
      <c r="W2" s="558"/>
    </row>
    <row r="3" spans="1:28">
      <c r="A3" s="558"/>
      <c r="B3" s="558"/>
      <c r="C3" s="558"/>
      <c r="D3" s="558"/>
      <c r="E3" s="558"/>
      <c r="F3" s="558"/>
      <c r="G3" s="558"/>
      <c r="H3" s="558"/>
      <c r="I3" s="558"/>
      <c r="J3" s="558"/>
      <c r="K3" s="558"/>
      <c r="L3" s="558"/>
      <c r="M3" s="558"/>
      <c r="N3" s="558"/>
      <c r="O3" s="558"/>
      <c r="P3" s="558"/>
      <c r="Q3" s="558"/>
      <c r="R3" s="558"/>
      <c r="S3" s="558"/>
      <c r="T3" s="558"/>
      <c r="U3" s="558"/>
      <c r="V3" s="558"/>
      <c r="W3" s="558"/>
    </row>
    <row r="4" spans="1:28">
      <c r="A4" s="558"/>
      <c r="B4" s="558"/>
      <c r="C4" s="558"/>
      <c r="D4" s="558"/>
      <c r="E4" s="558"/>
      <c r="F4" s="558"/>
      <c r="G4" s="558"/>
      <c r="H4" s="558"/>
      <c r="I4" s="558"/>
      <c r="J4" s="558"/>
      <c r="K4" s="558"/>
      <c r="L4" s="558"/>
      <c r="M4" s="558"/>
      <c r="N4" s="558"/>
      <c r="O4" s="558"/>
      <c r="P4" s="558"/>
      <c r="Q4" s="558"/>
      <c r="R4" s="558"/>
      <c r="S4" s="558"/>
      <c r="T4" s="558"/>
      <c r="U4" s="558"/>
      <c r="V4" s="558"/>
      <c r="W4" s="558"/>
    </row>
    <row r="5" spans="1:28">
      <c r="A5" s="558"/>
      <c r="B5" s="558"/>
      <c r="C5" s="558"/>
      <c r="D5" s="558"/>
      <c r="E5" s="558"/>
      <c r="F5" s="558"/>
      <c r="G5" s="558"/>
      <c r="H5" s="558"/>
      <c r="I5" s="558"/>
      <c r="J5" s="558"/>
      <c r="K5" s="558"/>
      <c r="L5" s="558"/>
      <c r="M5" s="558"/>
      <c r="N5" s="558"/>
      <c r="O5" s="558"/>
      <c r="P5" s="558"/>
      <c r="Q5" s="558"/>
      <c r="R5" s="558"/>
      <c r="S5" s="558"/>
      <c r="T5" s="558"/>
      <c r="U5" s="558"/>
      <c r="V5" s="558"/>
      <c r="W5" s="558"/>
    </row>
    <row r="6" spans="1:28">
      <c r="A6" s="558"/>
      <c r="B6" s="558"/>
      <c r="C6" s="558"/>
      <c r="D6" s="558"/>
      <c r="E6" s="558"/>
      <c r="F6" s="558"/>
      <c r="G6" s="559"/>
      <c r="H6" s="558"/>
      <c r="I6" s="558"/>
      <c r="J6" s="558"/>
      <c r="K6" s="558"/>
      <c r="L6" s="574"/>
      <c r="M6" s="574"/>
      <c r="N6" s="574"/>
      <c r="O6" s="574"/>
      <c r="P6" s="574"/>
      <c r="Q6" s="574"/>
      <c r="R6" s="558"/>
      <c r="S6" s="558"/>
      <c r="T6" s="558"/>
      <c r="U6" s="558"/>
      <c r="V6" s="558"/>
      <c r="W6" s="558"/>
    </row>
    <row r="7" spans="1:28">
      <c r="A7" s="561"/>
      <c r="B7" s="561"/>
      <c r="C7" s="561"/>
      <c r="D7" s="561"/>
      <c r="E7" s="561"/>
      <c r="F7" s="561"/>
      <c r="G7" s="558"/>
      <c r="H7" s="558"/>
      <c r="I7" s="558"/>
      <c r="J7" s="558"/>
      <c r="K7" s="558"/>
      <c r="L7" s="558"/>
      <c r="M7" s="558"/>
      <c r="N7" s="558"/>
      <c r="O7" s="558"/>
      <c r="P7" s="558"/>
      <c r="Q7" s="558"/>
      <c r="R7" s="558"/>
      <c r="S7" s="558"/>
      <c r="T7" s="558"/>
      <c r="U7" s="558"/>
      <c r="V7" s="558"/>
      <c r="W7" s="558"/>
    </row>
    <row r="8" spans="1:28">
      <c r="A8" s="568"/>
      <c r="B8" s="568"/>
      <c r="C8" s="568"/>
      <c r="D8" s="568"/>
      <c r="E8" s="568"/>
      <c r="F8" s="568"/>
      <c r="G8" s="558"/>
      <c r="H8" s="558"/>
      <c r="I8" s="558"/>
      <c r="J8" s="558"/>
      <c r="K8" s="558"/>
      <c r="L8" s="558"/>
      <c r="M8" s="558"/>
      <c r="N8" s="558"/>
      <c r="O8" s="558"/>
      <c r="P8" s="558"/>
      <c r="Q8" s="558"/>
      <c r="R8" s="558"/>
      <c r="S8" s="558"/>
      <c r="T8" s="558"/>
      <c r="U8" s="558"/>
      <c r="V8" s="558"/>
      <c r="W8" s="558"/>
    </row>
    <row r="9" spans="1:28" ht="15" customHeight="1">
      <c r="A9" s="558"/>
      <c r="B9" s="558"/>
      <c r="C9" s="558"/>
      <c r="D9" s="558"/>
      <c r="E9" s="558"/>
      <c r="F9" s="558"/>
      <c r="G9" s="558"/>
      <c r="H9" s="558"/>
      <c r="I9" s="558"/>
      <c r="J9" s="558"/>
      <c r="K9" s="558"/>
      <c r="L9" s="558"/>
      <c r="M9" s="558"/>
      <c r="N9" s="558"/>
      <c r="O9" s="558"/>
      <c r="P9" s="558"/>
      <c r="Q9" s="558"/>
      <c r="R9" s="558"/>
      <c r="S9" s="558"/>
      <c r="T9" s="558"/>
      <c r="U9" s="558"/>
      <c r="V9" s="558"/>
      <c r="W9" s="558"/>
    </row>
    <row r="10" spans="1:28" ht="15" customHeight="1">
      <c r="A10" s="558"/>
      <c r="B10" s="558"/>
      <c r="C10" s="558"/>
      <c r="D10" s="558"/>
      <c r="E10" s="558"/>
      <c r="F10" s="558"/>
      <c r="G10" s="558"/>
      <c r="H10" s="558"/>
      <c r="I10" s="558"/>
      <c r="J10" s="558"/>
      <c r="K10" s="558"/>
      <c r="L10" s="558"/>
      <c r="M10" s="558"/>
      <c r="N10" s="558"/>
      <c r="O10" s="558"/>
      <c r="P10" s="558"/>
      <c r="Q10" s="558"/>
      <c r="R10" s="558"/>
      <c r="S10" s="558"/>
      <c r="T10" s="558"/>
      <c r="U10" s="558"/>
      <c r="V10" s="558"/>
      <c r="W10" s="558"/>
    </row>
    <row r="11" spans="1:28">
      <c r="A11" s="558"/>
      <c r="B11" s="558"/>
      <c r="C11" s="558"/>
      <c r="D11" s="558"/>
      <c r="E11" s="558"/>
      <c r="F11" s="558"/>
      <c r="G11" s="558"/>
      <c r="H11" s="558"/>
      <c r="I11" s="558"/>
      <c r="J11" s="558"/>
      <c r="K11" s="558"/>
      <c r="L11" s="558"/>
      <c r="M11" s="558"/>
      <c r="N11" s="558"/>
      <c r="O11" s="558"/>
      <c r="P11" s="558"/>
      <c r="Q11" s="558"/>
      <c r="R11" s="558"/>
      <c r="S11" s="558"/>
      <c r="T11" s="558"/>
      <c r="U11" s="558"/>
      <c r="V11" s="558"/>
      <c r="W11" s="558"/>
    </row>
    <row r="12" spans="1:28" ht="15" customHeight="1">
      <c r="A12" s="558"/>
      <c r="B12" s="558"/>
      <c r="C12" s="558"/>
      <c r="D12" s="558"/>
      <c r="E12" s="558"/>
      <c r="F12" s="558"/>
      <c r="G12" s="558"/>
      <c r="H12" s="558"/>
      <c r="I12" s="558"/>
      <c r="J12" s="558"/>
      <c r="K12" s="558"/>
      <c r="L12" s="558"/>
      <c r="M12" s="558"/>
      <c r="N12" s="558"/>
      <c r="O12" s="558"/>
      <c r="P12" s="558"/>
      <c r="Q12" s="558"/>
      <c r="R12" s="558"/>
      <c r="S12" s="558"/>
      <c r="T12" s="558"/>
      <c r="U12" s="558"/>
      <c r="V12" s="558"/>
      <c r="W12" s="558"/>
      <c r="AB12" s="548"/>
    </row>
    <row r="13" spans="1:28" ht="15" customHeight="1">
      <c r="A13" s="558"/>
      <c r="B13" s="558"/>
      <c r="C13" s="558"/>
      <c r="D13" s="558"/>
      <c r="E13" s="558"/>
      <c r="F13" s="558"/>
      <c r="G13" s="558"/>
      <c r="H13" s="558"/>
      <c r="I13" s="558"/>
      <c r="J13" s="558"/>
      <c r="K13" s="558"/>
      <c r="L13" s="558"/>
      <c r="M13" s="558"/>
      <c r="N13" s="558"/>
      <c r="O13" s="558"/>
      <c r="P13" s="558"/>
      <c r="Q13" s="558"/>
      <c r="R13" s="558"/>
      <c r="S13" s="558"/>
      <c r="T13" s="558"/>
      <c r="U13" s="558"/>
      <c r="V13" s="558"/>
      <c r="W13" s="558"/>
    </row>
    <row r="14" spans="1:28">
      <c r="A14" s="558"/>
      <c r="B14" s="558"/>
      <c r="C14" s="558"/>
      <c r="D14" s="558"/>
      <c r="E14" s="558"/>
      <c r="F14" s="558"/>
      <c r="G14" s="558"/>
      <c r="H14" s="558"/>
      <c r="I14" s="558"/>
      <c r="J14" s="558"/>
      <c r="K14" s="558"/>
      <c r="L14" s="558"/>
      <c r="M14" s="558"/>
      <c r="N14" s="558"/>
      <c r="O14" s="558"/>
      <c r="P14" s="558"/>
      <c r="Q14" s="558"/>
      <c r="R14" s="558"/>
      <c r="S14" s="558"/>
      <c r="T14" s="558"/>
      <c r="U14" s="558"/>
      <c r="V14" s="558"/>
      <c r="W14" s="558"/>
    </row>
    <row r="15" spans="1:28">
      <c r="A15" s="558"/>
      <c r="B15" s="558"/>
      <c r="C15" s="558"/>
      <c r="D15" s="558"/>
      <c r="E15" s="558"/>
      <c r="F15" s="558"/>
      <c r="G15" s="558"/>
      <c r="H15" s="558"/>
      <c r="I15" s="558"/>
      <c r="J15" s="558"/>
      <c r="K15" s="558"/>
      <c r="L15" s="558"/>
      <c r="M15" s="558"/>
      <c r="N15" s="558"/>
      <c r="O15" s="558"/>
      <c r="P15" s="558"/>
      <c r="Q15" s="558"/>
      <c r="R15" s="558"/>
      <c r="S15" s="558"/>
      <c r="T15" s="558"/>
      <c r="U15" s="558"/>
      <c r="V15" s="558"/>
      <c r="W15" s="558"/>
    </row>
    <row r="16" spans="1:28">
      <c r="A16" s="558"/>
      <c r="B16" s="558"/>
      <c r="C16" s="558"/>
      <c r="D16" s="558"/>
      <c r="E16" s="558"/>
      <c r="F16" s="558"/>
      <c r="G16" s="558"/>
      <c r="H16" s="558"/>
      <c r="I16" s="558"/>
      <c r="J16" s="558"/>
      <c r="K16" s="558"/>
      <c r="L16" s="558"/>
      <c r="M16" s="558"/>
      <c r="N16" s="558"/>
      <c r="O16" s="558"/>
      <c r="P16" s="558"/>
      <c r="Q16" s="558"/>
      <c r="R16" s="558"/>
      <c r="S16" s="558"/>
      <c r="T16" s="558"/>
      <c r="U16" s="558"/>
      <c r="V16" s="558"/>
      <c r="W16" s="558"/>
    </row>
    <row r="17" spans="1:25">
      <c r="A17" s="558"/>
      <c r="B17" s="558"/>
      <c r="C17" s="558"/>
      <c r="D17" s="558"/>
      <c r="E17" s="558"/>
      <c r="F17" s="558"/>
      <c r="G17" s="558"/>
      <c r="H17" s="558"/>
      <c r="I17" s="558"/>
      <c r="J17" s="558"/>
      <c r="K17" s="558"/>
      <c r="L17" s="558"/>
      <c r="M17" s="558"/>
      <c r="N17" s="558"/>
      <c r="O17" s="558"/>
      <c r="P17" s="558"/>
      <c r="Q17" s="558"/>
      <c r="R17" s="558"/>
      <c r="S17" s="558"/>
      <c r="T17" s="558"/>
      <c r="U17" s="558"/>
      <c r="V17" s="558"/>
      <c r="W17" s="558"/>
    </row>
    <row r="18" spans="1:25">
      <c r="A18" s="558"/>
      <c r="B18" s="558"/>
      <c r="C18" s="558"/>
      <c r="D18" s="558"/>
      <c r="E18" s="558"/>
      <c r="F18" s="558"/>
      <c r="G18" s="558"/>
      <c r="H18" s="558"/>
      <c r="I18" s="558"/>
      <c r="J18" s="558"/>
      <c r="K18" s="558"/>
      <c r="L18" s="558"/>
      <c r="M18" s="558"/>
      <c r="N18" s="558"/>
      <c r="O18" s="558"/>
      <c r="P18" s="558"/>
      <c r="Q18" s="558"/>
      <c r="R18" s="558"/>
      <c r="S18" s="558"/>
      <c r="T18" s="558"/>
      <c r="U18" s="558"/>
      <c r="V18" s="558"/>
      <c r="W18" s="558"/>
    </row>
    <row r="19" spans="1:25">
      <c r="A19" s="558"/>
      <c r="B19" s="558"/>
      <c r="C19" s="558"/>
      <c r="D19" s="558"/>
      <c r="E19" s="558"/>
      <c r="F19" s="558"/>
      <c r="G19" s="558"/>
      <c r="H19" s="558"/>
      <c r="I19" s="558"/>
      <c r="J19" s="558"/>
      <c r="K19" s="558"/>
      <c r="L19" s="558"/>
      <c r="M19" s="558"/>
      <c r="N19" s="558"/>
      <c r="O19" s="558"/>
      <c r="P19" s="558"/>
      <c r="Q19" s="558"/>
      <c r="R19" s="558"/>
      <c r="S19" s="558"/>
      <c r="T19" s="558"/>
      <c r="U19" s="558"/>
      <c r="V19" s="558"/>
      <c r="W19" s="558"/>
    </row>
    <row r="20" spans="1:25">
      <c r="A20" s="558"/>
      <c r="B20" s="558"/>
      <c r="C20" s="558"/>
      <c r="D20" s="558"/>
      <c r="E20" s="558"/>
      <c r="F20" s="558"/>
      <c r="G20" s="558"/>
      <c r="H20" s="558"/>
      <c r="I20" s="558"/>
      <c r="J20" s="558"/>
      <c r="K20" s="558"/>
      <c r="L20" s="558"/>
      <c r="M20" s="558"/>
      <c r="N20" s="558"/>
      <c r="O20" s="558"/>
      <c r="P20" s="558"/>
      <c r="Q20" s="558"/>
      <c r="R20" s="558"/>
      <c r="S20" s="558"/>
      <c r="T20" s="558"/>
      <c r="U20" s="558"/>
      <c r="V20" s="558"/>
      <c r="W20" s="558"/>
    </row>
    <row r="21" spans="1:25">
      <c r="A21" s="558"/>
      <c r="B21" s="558"/>
      <c r="C21" s="558"/>
      <c r="D21" s="558"/>
      <c r="E21" s="558"/>
      <c r="F21" s="558"/>
      <c r="G21" s="558"/>
      <c r="H21" s="558"/>
      <c r="I21" s="558"/>
      <c r="J21" s="558"/>
      <c r="K21" s="558"/>
      <c r="L21" s="558"/>
      <c r="M21" s="558"/>
      <c r="N21" s="558"/>
      <c r="O21" s="558"/>
      <c r="P21" s="558"/>
      <c r="Q21" s="558"/>
      <c r="R21" s="558"/>
      <c r="S21" s="558"/>
      <c r="T21" s="558"/>
      <c r="U21" s="558"/>
      <c r="V21" s="558"/>
      <c r="W21" s="558"/>
    </row>
    <row r="22" spans="1:25">
      <c r="A22" s="558"/>
      <c r="B22" s="558"/>
      <c r="C22" s="558"/>
      <c r="D22" s="558"/>
      <c r="E22" s="558"/>
      <c r="F22" s="558"/>
      <c r="G22" s="558"/>
      <c r="H22" s="558"/>
      <c r="I22" s="558"/>
      <c r="J22" s="558"/>
      <c r="K22" s="558"/>
      <c r="L22" s="558"/>
      <c r="M22" s="558"/>
      <c r="N22" s="558"/>
      <c r="O22" s="558"/>
      <c r="P22" s="558"/>
      <c r="Q22" s="558"/>
      <c r="R22" s="558"/>
      <c r="S22" s="558"/>
      <c r="T22" s="558"/>
      <c r="U22" s="558"/>
      <c r="V22" s="558"/>
      <c r="W22" s="558"/>
    </row>
    <row r="23" spans="1:25">
      <c r="A23" s="558"/>
      <c r="B23" s="558"/>
      <c r="C23" s="558"/>
      <c r="D23" s="558"/>
      <c r="E23" s="558"/>
      <c r="F23" s="558"/>
      <c r="G23" s="558"/>
      <c r="H23" s="558"/>
      <c r="I23" s="558"/>
      <c r="J23" s="558"/>
      <c r="K23" s="558"/>
      <c r="L23" s="558"/>
      <c r="M23" s="558"/>
      <c r="N23" s="558"/>
      <c r="O23" s="558"/>
      <c r="P23" s="558"/>
      <c r="Q23" s="558"/>
      <c r="R23" s="558"/>
      <c r="S23" s="558"/>
      <c r="T23" s="558"/>
      <c r="U23" s="558"/>
      <c r="V23" s="558"/>
      <c r="W23" s="558"/>
    </row>
    <row r="24" spans="1:25">
      <c r="A24" s="558"/>
      <c r="B24" s="558"/>
      <c r="C24" s="558"/>
      <c r="D24" s="558"/>
      <c r="E24" s="558"/>
      <c r="F24" s="558"/>
      <c r="G24" s="558"/>
      <c r="H24" s="558"/>
      <c r="I24" s="558"/>
      <c r="J24" s="558"/>
      <c r="K24" s="558"/>
      <c r="L24" s="558"/>
      <c r="M24" s="558"/>
      <c r="N24" s="558"/>
      <c r="O24" s="558"/>
      <c r="P24" s="558"/>
      <c r="Q24" s="558"/>
      <c r="R24" s="558"/>
      <c r="S24" s="558"/>
      <c r="T24" s="558"/>
      <c r="U24" s="558"/>
      <c r="V24" s="558"/>
      <c r="W24" s="558"/>
    </row>
    <row r="25" spans="1:25">
      <c r="A25" s="558"/>
      <c r="B25" s="558"/>
      <c r="C25" s="558"/>
      <c r="D25" s="558"/>
      <c r="E25" s="558"/>
      <c r="F25" s="558"/>
      <c r="G25" s="558"/>
      <c r="H25" s="558"/>
      <c r="I25" s="558"/>
      <c r="J25" s="558"/>
      <c r="K25" s="558"/>
      <c r="L25" s="558"/>
      <c r="M25" s="558"/>
      <c r="N25" s="558"/>
      <c r="O25" s="558"/>
      <c r="P25" s="558"/>
      <c r="Q25" s="558"/>
      <c r="R25" s="558"/>
      <c r="S25" s="558"/>
      <c r="T25" s="558"/>
      <c r="U25" s="558"/>
      <c r="V25" s="558"/>
      <c r="W25" s="558"/>
    </row>
    <row r="26" spans="1:25">
      <c r="A26" s="558"/>
      <c r="B26" s="558"/>
      <c r="C26" s="558"/>
      <c r="D26" s="558"/>
      <c r="E26" s="558"/>
      <c r="F26" s="558"/>
      <c r="G26" s="558"/>
      <c r="H26" s="558"/>
      <c r="I26" s="558"/>
      <c r="J26" s="558"/>
      <c r="K26" s="558"/>
      <c r="L26" s="558"/>
      <c r="M26" s="558"/>
      <c r="N26" s="558"/>
      <c r="O26" s="558"/>
      <c r="P26" s="558"/>
      <c r="Q26" s="558"/>
      <c r="R26" s="558"/>
      <c r="S26" s="558"/>
      <c r="T26" s="558"/>
      <c r="U26" s="558"/>
      <c r="V26" s="558"/>
      <c r="W26" s="558"/>
    </row>
    <row r="27" spans="1:25">
      <c r="A27" s="558"/>
      <c r="B27" s="558"/>
      <c r="C27" s="558"/>
      <c r="D27" s="558"/>
      <c r="E27" s="558"/>
      <c r="F27" s="558"/>
      <c r="G27" s="558"/>
      <c r="H27" s="558"/>
      <c r="I27" s="558"/>
      <c r="J27" s="558"/>
      <c r="K27" s="558"/>
      <c r="L27" s="558"/>
      <c r="M27" s="558"/>
      <c r="N27" s="558"/>
      <c r="O27" s="558"/>
      <c r="P27" s="558"/>
      <c r="Q27" s="558"/>
      <c r="R27" s="558"/>
      <c r="S27" s="558"/>
      <c r="T27" s="558"/>
      <c r="U27" s="558"/>
      <c r="V27" s="558"/>
      <c r="W27" s="558"/>
    </row>
    <row r="28" spans="1:25">
      <c r="A28" s="558"/>
      <c r="B28" s="558"/>
      <c r="C28" s="558"/>
      <c r="D28" s="558"/>
      <c r="E28" s="558"/>
      <c r="F28" s="558"/>
      <c r="G28" s="558"/>
      <c r="H28" s="558"/>
      <c r="I28" s="558"/>
      <c r="J28" s="558"/>
      <c r="K28" s="558"/>
      <c r="L28" s="558"/>
      <c r="M28" s="558"/>
      <c r="N28" s="558"/>
      <c r="O28" s="558"/>
      <c r="P28" s="558"/>
      <c r="Q28" s="558"/>
      <c r="R28" s="558"/>
      <c r="S28" s="558"/>
      <c r="T28" s="558"/>
      <c r="U28" s="558"/>
      <c r="V28" s="558"/>
      <c r="W28" s="558"/>
    </row>
    <row r="29" spans="1:25">
      <c r="A29" s="558"/>
      <c r="B29" s="558"/>
      <c r="C29" s="558"/>
      <c r="D29" s="558"/>
      <c r="E29" s="558"/>
      <c r="F29" s="558"/>
      <c r="G29" s="558"/>
      <c r="H29" s="558"/>
      <c r="I29" s="558"/>
      <c r="J29" s="558"/>
      <c r="K29" s="558"/>
      <c r="L29" s="558"/>
      <c r="M29" s="558"/>
      <c r="N29" s="558"/>
      <c r="O29" s="558"/>
      <c r="P29" s="558"/>
      <c r="Q29" s="558"/>
      <c r="R29" s="558"/>
      <c r="S29" s="558"/>
      <c r="T29" s="558"/>
      <c r="U29" s="558"/>
      <c r="V29" s="558"/>
      <c r="W29" s="558"/>
    </row>
    <row r="30" spans="1:25">
      <c r="A30" s="558"/>
      <c r="B30" s="558"/>
      <c r="C30" s="558"/>
      <c r="D30" s="558"/>
      <c r="E30" s="558"/>
      <c r="F30" s="558"/>
      <c r="G30" s="558"/>
      <c r="H30" s="558"/>
      <c r="I30" s="558"/>
      <c r="J30" s="558"/>
      <c r="K30" s="558"/>
      <c r="L30" s="558"/>
      <c r="M30" s="558"/>
      <c r="N30" s="558"/>
      <c r="O30" s="558"/>
      <c r="P30" s="558"/>
      <c r="Q30" s="558"/>
      <c r="R30" s="558"/>
      <c r="S30" s="558"/>
      <c r="T30" s="558"/>
      <c r="U30" s="558"/>
      <c r="V30" s="558"/>
      <c r="W30" s="558"/>
    </row>
    <row r="31" spans="1:25">
      <c r="A31" s="558"/>
      <c r="B31" s="558"/>
      <c r="C31" s="558"/>
      <c r="D31" s="558"/>
      <c r="E31" s="558"/>
      <c r="F31" s="558"/>
      <c r="G31" s="558"/>
      <c r="H31" s="558"/>
      <c r="I31" s="558"/>
      <c r="J31" s="558"/>
      <c r="K31" s="558"/>
      <c r="L31" s="558"/>
      <c r="M31" s="558"/>
      <c r="N31" s="558"/>
      <c r="O31" s="558"/>
      <c r="P31" s="558"/>
      <c r="Q31" s="558"/>
      <c r="R31" s="558"/>
      <c r="S31" s="558"/>
      <c r="T31" s="558"/>
      <c r="U31" s="558"/>
      <c r="V31" s="558"/>
      <c r="W31" s="558"/>
    </row>
    <row r="32" spans="1:25">
      <c r="A32" s="558"/>
      <c r="B32" s="558"/>
      <c r="C32" s="558"/>
      <c r="D32" s="558"/>
      <c r="E32" s="558"/>
      <c r="F32" s="558"/>
      <c r="G32" s="558"/>
      <c r="H32" s="558"/>
      <c r="I32" s="558"/>
      <c r="J32" s="558"/>
      <c r="K32" s="558"/>
      <c r="L32" s="558"/>
      <c r="M32" s="558"/>
      <c r="N32" s="558"/>
      <c r="O32" s="558"/>
      <c r="P32" s="562"/>
      <c r="Q32" s="562"/>
      <c r="R32" s="562"/>
      <c r="S32" s="562"/>
      <c r="T32" s="562"/>
      <c r="U32" s="562"/>
      <c r="V32" s="562"/>
      <c r="W32" s="562"/>
      <c r="X32" s="543"/>
      <c r="Y32" s="543"/>
    </row>
    <row r="33" spans="1:25">
      <c r="A33" s="558"/>
      <c r="B33" s="558"/>
      <c r="C33" s="558"/>
      <c r="D33" s="558"/>
      <c r="E33" s="558"/>
      <c r="F33" s="558"/>
      <c r="G33" s="558"/>
      <c r="H33" s="558"/>
      <c r="I33" s="558"/>
      <c r="J33" s="558"/>
      <c r="K33" s="558"/>
      <c r="L33" s="558"/>
      <c r="M33" s="558"/>
      <c r="N33" s="558"/>
      <c r="O33" s="558"/>
      <c r="P33" s="563"/>
      <c r="Q33" s="563"/>
      <c r="R33" s="563"/>
      <c r="S33" s="563"/>
      <c r="T33" s="563"/>
      <c r="U33" s="563"/>
      <c r="V33" s="558"/>
      <c r="W33" s="564"/>
      <c r="X33" s="544"/>
      <c r="Y33" s="544"/>
    </row>
    <row r="34" spans="1:25">
      <c r="A34" s="558"/>
      <c r="B34" s="558"/>
      <c r="C34" s="558"/>
      <c r="D34" s="558"/>
      <c r="E34" s="558"/>
      <c r="F34" s="558"/>
      <c r="G34" s="558"/>
      <c r="H34" s="558"/>
      <c r="I34" s="558"/>
      <c r="J34" s="558"/>
      <c r="K34" s="558"/>
      <c r="L34" s="558"/>
      <c r="M34" s="558"/>
      <c r="N34" s="558"/>
      <c r="O34" s="558"/>
      <c r="P34" s="558"/>
      <c r="Q34" s="558"/>
      <c r="R34" s="558"/>
      <c r="S34" s="558"/>
      <c r="T34" s="558"/>
      <c r="U34" s="558"/>
      <c r="V34" s="558"/>
      <c r="W34" s="558"/>
    </row>
    <row r="35" spans="1:25">
      <c r="A35" s="558"/>
      <c r="B35" s="558"/>
      <c r="C35" s="558"/>
      <c r="D35" s="558"/>
      <c r="E35" s="558"/>
      <c r="F35" s="558"/>
      <c r="G35" s="558"/>
      <c r="H35" s="569"/>
      <c r="I35" s="558"/>
      <c r="J35" s="558"/>
      <c r="K35" s="558"/>
      <c r="L35" s="558"/>
      <c r="M35" s="558"/>
      <c r="N35" s="558"/>
      <c r="O35" s="558"/>
      <c r="P35" s="565"/>
      <c r="Q35" s="558"/>
      <c r="R35" s="558"/>
      <c r="S35" s="558"/>
      <c r="T35" s="558"/>
      <c r="U35" s="558"/>
      <c r="V35" s="558"/>
      <c r="W35" s="558"/>
    </row>
    <row r="36" spans="1:25">
      <c r="A36" s="558"/>
      <c r="B36" s="558"/>
      <c r="C36" s="558"/>
      <c r="D36" s="558"/>
      <c r="E36" s="558"/>
      <c r="F36" s="558"/>
      <c r="G36" s="558"/>
      <c r="H36" s="558"/>
      <c r="I36" s="558"/>
      <c r="J36" s="558"/>
      <c r="K36" s="558"/>
      <c r="L36" s="558"/>
      <c r="M36" s="558"/>
      <c r="N36" s="558"/>
      <c r="O36" s="558"/>
      <c r="P36" s="564"/>
      <c r="Q36" s="558"/>
      <c r="R36" s="558"/>
      <c r="S36" s="558"/>
      <c r="T36" s="558"/>
      <c r="U36" s="558"/>
      <c r="V36" s="558"/>
      <c r="W36" s="558"/>
    </row>
    <row r="37" spans="1:25">
      <c r="A37" s="558"/>
      <c r="B37" s="558"/>
      <c r="C37" s="558"/>
      <c r="D37" s="558"/>
      <c r="E37" s="558"/>
      <c r="F37" s="558"/>
      <c r="G37" s="558"/>
      <c r="H37" s="558"/>
      <c r="I37" s="558"/>
      <c r="J37" s="558"/>
      <c r="K37" s="558"/>
      <c r="L37" s="558"/>
      <c r="M37" s="558"/>
      <c r="N37" s="558"/>
      <c r="O37" s="558"/>
      <c r="P37" s="564"/>
      <c r="Q37" s="558"/>
      <c r="R37" s="558"/>
      <c r="S37" s="558"/>
      <c r="T37" s="558"/>
      <c r="U37" s="558"/>
      <c r="V37" s="558"/>
      <c r="W37" s="558"/>
    </row>
    <row r="38" spans="1:25">
      <c r="A38" s="558"/>
      <c r="B38" s="558"/>
      <c r="C38" s="558"/>
      <c r="D38" s="558"/>
      <c r="E38" s="558"/>
      <c r="F38" s="558"/>
      <c r="G38" s="558"/>
      <c r="H38" s="558"/>
      <c r="I38" s="558"/>
      <c r="J38" s="558"/>
      <c r="K38" s="558"/>
      <c r="L38" s="558"/>
      <c r="M38" s="558"/>
      <c r="N38" s="558"/>
      <c r="O38" s="558"/>
      <c r="P38" s="564"/>
      <c r="Q38" s="558"/>
      <c r="R38" s="558"/>
      <c r="S38" s="558"/>
      <c r="T38" s="558"/>
      <c r="U38" s="558"/>
      <c r="V38" s="558"/>
      <c r="W38" s="558"/>
    </row>
    <row r="39" spans="1:25">
      <c r="A39" s="558"/>
      <c r="B39" s="558"/>
      <c r="C39" s="558"/>
      <c r="D39" s="558"/>
      <c r="E39" s="558"/>
      <c r="F39" s="558"/>
      <c r="G39" s="558"/>
      <c r="H39" s="566"/>
      <c r="I39" s="558"/>
      <c r="J39" s="565"/>
      <c r="K39" s="558"/>
      <c r="L39" s="558"/>
      <c r="M39" s="564"/>
      <c r="N39" s="564"/>
      <c r="O39" s="564"/>
      <c r="P39" s="564"/>
      <c r="Q39" s="558"/>
      <c r="R39" s="558"/>
      <c r="S39" s="558"/>
      <c r="T39" s="558"/>
      <c r="U39" s="558"/>
      <c r="V39" s="558"/>
      <c r="W39" s="558"/>
    </row>
    <row r="40" spans="1:25">
      <c r="A40" s="558"/>
      <c r="B40" s="558"/>
      <c r="C40" s="558"/>
      <c r="D40" s="558"/>
      <c r="E40" s="558"/>
      <c r="F40" s="558"/>
      <c r="G40" s="558"/>
      <c r="H40" s="566"/>
      <c r="I40" s="558"/>
      <c r="J40" s="565"/>
      <c r="K40" s="558"/>
      <c r="L40" s="558"/>
      <c r="M40" s="564"/>
      <c r="N40" s="564"/>
      <c r="O40" s="564"/>
      <c r="P40" s="564"/>
      <c r="Q40" s="558"/>
      <c r="R40" s="558"/>
      <c r="S40" s="558"/>
      <c r="T40" s="558"/>
      <c r="U40" s="558"/>
      <c r="V40" s="558"/>
      <c r="W40" s="558"/>
    </row>
    <row r="41" spans="1:25">
      <c r="A41" s="558"/>
      <c r="B41" s="558"/>
      <c r="C41" s="558"/>
      <c r="D41" s="558"/>
      <c r="E41" s="558"/>
      <c r="F41" s="558"/>
      <c r="G41" s="558"/>
      <c r="H41" s="558"/>
      <c r="I41" s="558"/>
      <c r="J41" s="565"/>
      <c r="K41" s="558"/>
      <c r="L41" s="558"/>
      <c r="M41" s="567"/>
      <c r="N41" s="566"/>
      <c r="O41" s="564"/>
      <c r="P41" s="564"/>
      <c r="Q41" s="558"/>
      <c r="R41" s="558"/>
      <c r="S41" s="558"/>
      <c r="T41" s="558"/>
      <c r="U41" s="558"/>
      <c r="V41" s="558"/>
      <c r="W41" s="558"/>
    </row>
    <row r="42" spans="1:25">
      <c r="A42" s="558"/>
      <c r="B42" s="558"/>
      <c r="C42" s="558"/>
      <c r="D42" s="558"/>
      <c r="E42" s="558"/>
      <c r="F42" s="558"/>
      <c r="G42" s="558"/>
      <c r="H42" s="566"/>
      <c r="I42" s="558"/>
      <c r="J42" s="565"/>
      <c r="K42" s="558"/>
      <c r="L42" s="558"/>
      <c r="M42" s="564"/>
      <c r="N42" s="564"/>
      <c r="O42" s="564"/>
      <c r="P42" s="564"/>
      <c r="Q42" s="558"/>
      <c r="R42" s="558"/>
      <c r="S42" s="558"/>
      <c r="T42" s="558"/>
      <c r="U42" s="558"/>
      <c r="V42" s="558"/>
      <c r="W42" s="558"/>
    </row>
    <row r="43" spans="1:25">
      <c r="A43" s="558"/>
      <c r="B43" s="558"/>
      <c r="C43" s="558"/>
      <c r="D43" s="558"/>
      <c r="E43" s="558"/>
      <c r="F43" s="558"/>
      <c r="G43" s="558"/>
      <c r="H43" s="565"/>
      <c r="I43" s="565"/>
      <c r="J43" s="565"/>
      <c r="K43" s="558"/>
      <c r="L43" s="564"/>
      <c r="M43" s="564"/>
      <c r="N43" s="564"/>
      <c r="O43" s="564"/>
      <c r="P43" s="564"/>
      <c r="Q43" s="558"/>
      <c r="R43" s="558"/>
      <c r="S43" s="558"/>
      <c r="T43" s="558"/>
      <c r="U43" s="558"/>
      <c r="V43" s="558"/>
      <c r="W43" s="558"/>
    </row>
    <row r="44" spans="1:25">
      <c r="A44" s="558"/>
      <c r="B44" s="558"/>
      <c r="C44" s="558"/>
      <c r="D44" s="558"/>
      <c r="E44" s="558"/>
      <c r="F44" s="558"/>
      <c r="G44" s="564"/>
      <c r="H44" s="564"/>
      <c r="I44" s="564"/>
      <c r="J44" s="564"/>
      <c r="K44" s="564"/>
      <c r="L44" s="564"/>
      <c r="M44" s="564"/>
      <c r="N44" s="564"/>
      <c r="O44" s="564"/>
      <c r="P44" s="564"/>
      <c r="Q44" s="558"/>
      <c r="R44" s="558"/>
      <c r="S44" s="558"/>
      <c r="T44" s="558"/>
      <c r="U44" s="558"/>
      <c r="V44" s="558"/>
      <c r="W44" s="558"/>
    </row>
    <row r="45" spans="1:25">
      <c r="A45" s="558"/>
      <c r="B45" s="558"/>
      <c r="C45" s="558"/>
      <c r="D45" s="558"/>
      <c r="E45" s="558"/>
      <c r="F45" s="558"/>
      <c r="G45" s="564"/>
      <c r="H45" s="564"/>
      <c r="I45" s="564"/>
      <c r="J45" s="564"/>
      <c r="K45" s="564"/>
      <c r="L45" s="564"/>
      <c r="M45" s="564"/>
      <c r="N45" s="564"/>
      <c r="O45" s="564"/>
      <c r="P45" s="564"/>
      <c r="Q45" s="558"/>
      <c r="R45" s="558"/>
      <c r="S45" s="558"/>
      <c r="T45" s="558"/>
      <c r="U45" s="558"/>
      <c r="V45" s="558"/>
      <c r="W45" s="558"/>
    </row>
    <row r="46" spans="1:25">
      <c r="A46" s="558"/>
      <c r="B46" s="558"/>
      <c r="C46" s="558"/>
      <c r="D46" s="558"/>
      <c r="E46" s="558"/>
      <c r="F46" s="558"/>
      <c r="G46" s="564"/>
      <c r="H46" s="564"/>
      <c r="I46" s="564"/>
      <c r="J46" s="564"/>
      <c r="K46" s="564"/>
      <c r="L46" s="564"/>
      <c r="M46" s="564"/>
      <c r="N46" s="564"/>
      <c r="O46" s="564"/>
      <c r="P46" s="564"/>
      <c r="Q46" s="558"/>
      <c r="R46" s="558"/>
      <c r="S46" s="558"/>
      <c r="T46" s="558"/>
      <c r="U46" s="558"/>
      <c r="V46" s="558"/>
      <c r="W46" s="558"/>
    </row>
    <row r="47" spans="1:25">
      <c r="A47" s="558"/>
      <c r="B47" s="558"/>
      <c r="C47" s="558"/>
      <c r="D47" s="558"/>
      <c r="E47" s="558"/>
      <c r="F47" s="558"/>
      <c r="G47" s="564"/>
      <c r="H47" s="564"/>
      <c r="I47" s="564"/>
      <c r="J47" s="564"/>
      <c r="K47" s="564"/>
      <c r="L47" s="564"/>
      <c r="M47" s="564"/>
      <c r="N47" s="564"/>
      <c r="O47" s="564"/>
      <c r="P47" s="564"/>
      <c r="Q47" s="558"/>
      <c r="R47" s="558"/>
      <c r="S47" s="558"/>
      <c r="T47" s="558"/>
      <c r="U47" s="558"/>
      <c r="V47" s="558"/>
      <c r="W47" s="558"/>
    </row>
    <row r="48" spans="1:25">
      <c r="A48" s="558"/>
      <c r="B48" s="558"/>
      <c r="C48" s="558"/>
      <c r="D48" s="558"/>
      <c r="E48" s="558"/>
      <c r="F48" s="558"/>
      <c r="G48" s="564"/>
      <c r="H48" s="564"/>
      <c r="I48" s="564"/>
      <c r="J48" s="564"/>
      <c r="K48" s="564"/>
      <c r="L48" s="564"/>
      <c r="M48" s="564"/>
      <c r="N48" s="564"/>
      <c r="O48" s="564"/>
      <c r="P48" s="564"/>
      <c r="Q48" s="558"/>
      <c r="R48" s="558"/>
      <c r="S48" s="558"/>
      <c r="T48" s="558"/>
      <c r="U48" s="558"/>
      <c r="V48" s="558"/>
      <c r="W48" s="558"/>
    </row>
    <row r="49" spans="1:25">
      <c r="A49" s="558"/>
      <c r="B49" s="558"/>
      <c r="C49" s="558"/>
      <c r="D49" s="558"/>
      <c r="E49" s="558"/>
      <c r="F49" s="558"/>
      <c r="G49" s="564"/>
      <c r="H49" s="564"/>
      <c r="I49" s="564"/>
      <c r="J49" s="564"/>
      <c r="K49" s="564"/>
      <c r="L49" s="564"/>
      <c r="M49" s="564"/>
      <c r="N49" s="564"/>
      <c r="O49" s="564"/>
      <c r="P49" s="564"/>
      <c r="Q49" s="564"/>
      <c r="R49" s="558"/>
      <c r="S49" s="558"/>
      <c r="T49" s="558"/>
      <c r="U49" s="558"/>
      <c r="V49" s="558"/>
      <c r="W49" s="558"/>
    </row>
    <row r="50" spans="1:25">
      <c r="A50" s="558"/>
      <c r="B50" s="558"/>
      <c r="C50" s="558"/>
      <c r="D50" s="558"/>
      <c r="E50" s="558"/>
      <c r="F50" s="558"/>
      <c r="G50" s="564"/>
      <c r="H50" s="564"/>
      <c r="I50" s="564"/>
      <c r="J50" s="564"/>
      <c r="K50" s="564"/>
      <c r="L50" s="564"/>
      <c r="M50" s="564"/>
      <c r="N50" s="564"/>
      <c r="O50" s="564"/>
      <c r="P50" s="564"/>
      <c r="Q50" s="558"/>
      <c r="R50" s="558"/>
      <c r="S50" s="558"/>
      <c r="T50" s="558"/>
      <c r="U50" s="558"/>
      <c r="V50" s="558"/>
      <c r="W50" s="558"/>
    </row>
    <row r="51" spans="1:25">
      <c r="A51" s="558"/>
      <c r="B51" s="558"/>
      <c r="C51" s="558"/>
      <c r="D51" s="558"/>
      <c r="E51" s="558"/>
      <c r="F51" s="558"/>
      <c r="G51" s="564"/>
      <c r="H51" s="564"/>
      <c r="I51" s="564"/>
      <c r="J51" s="564"/>
      <c r="K51" s="564"/>
      <c r="L51" s="564"/>
      <c r="M51" s="564"/>
      <c r="N51" s="564"/>
      <c r="O51" s="564"/>
      <c r="P51" s="564"/>
      <c r="Q51" s="558"/>
      <c r="R51" s="558"/>
      <c r="S51" s="558"/>
      <c r="T51" s="558"/>
      <c r="U51" s="558"/>
      <c r="V51" s="558"/>
      <c r="W51" s="558"/>
    </row>
    <row r="52" spans="1:25">
      <c r="A52" s="558"/>
      <c r="B52" s="558"/>
      <c r="C52" s="558"/>
      <c r="D52" s="558"/>
      <c r="E52" s="558"/>
      <c r="F52" s="558"/>
      <c r="G52" s="564"/>
      <c r="H52" s="564"/>
      <c r="I52" s="564"/>
      <c r="J52" s="564"/>
      <c r="K52" s="564"/>
      <c r="L52" s="564"/>
      <c r="M52" s="564"/>
      <c r="N52" s="564"/>
      <c r="O52" s="564"/>
      <c r="P52" s="564"/>
      <c r="Q52" s="558"/>
      <c r="R52" s="558"/>
      <c r="S52" s="558"/>
      <c r="T52" s="558"/>
      <c r="U52" s="558"/>
      <c r="V52" s="558"/>
      <c r="W52" s="558"/>
    </row>
    <row r="53" spans="1:25">
      <c r="A53" s="558"/>
      <c r="B53" s="558"/>
      <c r="C53" s="558"/>
      <c r="D53" s="558"/>
      <c r="E53" s="558"/>
      <c r="F53" s="558"/>
      <c r="G53" s="564"/>
      <c r="H53" s="564"/>
      <c r="I53" s="564"/>
      <c r="J53" s="564"/>
      <c r="K53" s="564"/>
      <c r="L53" s="558"/>
      <c r="M53" s="558"/>
      <c r="N53" s="558"/>
      <c r="O53" s="558"/>
      <c r="P53" s="564"/>
      <c r="Q53" s="564"/>
      <c r="R53" s="564"/>
      <c r="S53" s="564"/>
      <c r="T53" s="564"/>
      <c r="U53" s="564"/>
      <c r="V53" s="564"/>
      <c r="W53" s="564"/>
      <c r="X53" s="544"/>
      <c r="Y53" s="544"/>
    </row>
    <row r="54" spans="1:25">
      <c r="A54" s="558"/>
      <c r="B54" s="558"/>
      <c r="C54" s="558"/>
      <c r="D54" s="558"/>
      <c r="E54" s="558"/>
      <c r="F54" s="558"/>
      <c r="G54" s="564"/>
      <c r="H54" s="564"/>
      <c r="I54" s="564"/>
      <c r="J54" s="564"/>
      <c r="K54" s="564"/>
      <c r="L54" s="564"/>
      <c r="M54" s="564"/>
      <c r="N54" s="564"/>
      <c r="O54" s="564"/>
      <c r="P54" s="564"/>
      <c r="Q54" s="564"/>
      <c r="R54" s="564"/>
      <c r="S54" s="564"/>
      <c r="T54" s="564"/>
      <c r="U54" s="564"/>
      <c r="V54" s="564"/>
      <c r="W54" s="564"/>
      <c r="X54" s="544"/>
      <c r="Y54" s="544"/>
    </row>
    <row r="55" spans="1:25">
      <c r="A55" s="558"/>
      <c r="B55" s="558"/>
      <c r="C55" s="558"/>
      <c r="D55" s="558"/>
      <c r="E55" s="558"/>
      <c r="F55" s="558"/>
      <c r="G55" s="564"/>
      <c r="H55" s="564"/>
      <c r="I55" s="564"/>
      <c r="J55" s="564"/>
      <c r="K55" s="564"/>
      <c r="L55" s="564"/>
      <c r="M55" s="564"/>
      <c r="N55" s="564"/>
      <c r="O55" s="564"/>
      <c r="P55" s="558"/>
      <c r="Q55" s="558"/>
      <c r="R55" s="558"/>
      <c r="S55" s="558"/>
      <c r="T55" s="558"/>
      <c r="U55" s="558"/>
      <c r="V55" s="558"/>
      <c r="W55" s="558"/>
    </row>
    <row r="56" spans="1:25">
      <c r="A56" s="558"/>
      <c r="B56" s="558"/>
      <c r="C56" s="558"/>
      <c r="D56" s="558"/>
      <c r="E56" s="558"/>
      <c r="F56" s="558"/>
      <c r="G56" s="558"/>
      <c r="H56" s="558"/>
      <c r="I56" s="558"/>
      <c r="J56" s="558"/>
      <c r="K56" s="558"/>
      <c r="L56" s="558"/>
      <c r="M56" s="558"/>
      <c r="N56" s="558"/>
      <c r="O56" s="558"/>
      <c r="P56" s="558"/>
      <c r="Q56" s="558"/>
      <c r="R56" s="558"/>
      <c r="S56" s="558"/>
      <c r="T56" s="558"/>
      <c r="U56" s="558"/>
      <c r="V56" s="558"/>
      <c r="W56" s="558"/>
    </row>
    <row r="57" spans="1:25">
      <c r="A57" s="558"/>
      <c r="B57" s="558"/>
      <c r="C57" s="558"/>
      <c r="D57" s="558"/>
      <c r="E57" s="558"/>
      <c r="F57" s="558"/>
      <c r="G57" s="558"/>
      <c r="H57" s="558"/>
      <c r="I57" s="558"/>
      <c r="J57" s="558"/>
      <c r="K57" s="558"/>
      <c r="L57" s="558"/>
      <c r="M57" s="558"/>
      <c r="N57" s="558"/>
      <c r="O57" s="558"/>
      <c r="P57" s="558"/>
      <c r="Q57" s="558"/>
      <c r="R57" s="558"/>
      <c r="S57" s="558"/>
      <c r="T57" s="558"/>
      <c r="U57" s="558"/>
      <c r="V57" s="558"/>
      <c r="W57" s="558"/>
    </row>
  </sheetData>
  <sheetProtection algorithmName="SHA-512" hashValue="EwzqVbv2yPar96sQSmifsSgRBOxKvbtisjSmITFG8tepegBVa0xDFiSpDwxWGsVmMbzo5CdT/OkqwDmX0dS0Og==" saltValue="YkLj3g3iUd/sV/EXl8vL9Q==" spinCount="100000" sheet="1" objects="1" scenarios="1"/>
  <mergeCells count="1">
    <mergeCell ref="L6:Q6"/>
  </mergeCells>
  <printOptions horizontalCentered="1" verticalCentered="1"/>
  <pageMargins left="0.19685039370078741" right="0.19685039370078741" top="0.19685039370078741" bottom="0.19685039370078741" header="0.19685039370078741" footer="0.19685039370078741"/>
  <pageSetup paperSize="9" scale="67"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32100" r:id="rId4" name="Drop Down 4">
              <controlPr defaultSize="0" autoLine="0" autoPict="0">
                <anchor moveWithCells="1">
                  <from>
                    <xdr:col>2</xdr:col>
                    <xdr:colOff>428625</xdr:colOff>
                    <xdr:row>2</xdr:row>
                    <xdr:rowOff>161925</xdr:rowOff>
                  </from>
                  <to>
                    <xdr:col>4</xdr:col>
                    <xdr:colOff>381000</xdr:colOff>
                    <xdr:row>3</xdr:row>
                    <xdr:rowOff>171450</xdr:rowOff>
                  </to>
                </anchor>
              </controlPr>
            </control>
          </mc:Choice>
        </mc:AlternateContent>
        <mc:AlternateContent xmlns:mc="http://schemas.openxmlformats.org/markup-compatibility/2006">
          <mc:Choice Requires="x14">
            <control shapeId="132106" r:id="rId5" name="Drop Down 10">
              <controlPr defaultSize="0" autoLine="0" autoPict="0">
                <anchor moveWithCells="1">
                  <from>
                    <xdr:col>3</xdr:col>
                    <xdr:colOff>9525</xdr:colOff>
                    <xdr:row>26</xdr:row>
                    <xdr:rowOff>9525</xdr:rowOff>
                  </from>
                  <to>
                    <xdr:col>4</xdr:col>
                    <xdr:colOff>190500</xdr:colOff>
                    <xdr:row>27</xdr:row>
                    <xdr:rowOff>38100</xdr:rowOff>
                  </to>
                </anchor>
              </controlPr>
            </control>
          </mc:Choice>
        </mc:AlternateContent>
        <mc:AlternateContent xmlns:mc="http://schemas.openxmlformats.org/markup-compatibility/2006">
          <mc:Choice Requires="x14">
            <control shapeId="132107" r:id="rId6" name="Drop Down 11">
              <controlPr defaultSize="0" autoLine="0" autoPict="0">
                <anchor moveWithCells="1">
                  <from>
                    <xdr:col>10</xdr:col>
                    <xdr:colOff>504825</xdr:colOff>
                    <xdr:row>25</xdr:row>
                    <xdr:rowOff>180975</xdr:rowOff>
                  </from>
                  <to>
                    <xdr:col>12</xdr:col>
                    <xdr:colOff>219075</xdr:colOff>
                    <xdr:row>27</xdr:row>
                    <xdr:rowOff>19050</xdr:rowOff>
                  </to>
                </anchor>
              </controlPr>
            </control>
          </mc:Choice>
        </mc:AlternateContent>
        <mc:AlternateContent xmlns:mc="http://schemas.openxmlformats.org/markup-compatibility/2006">
          <mc:Choice Requires="x14">
            <control shapeId="132108" r:id="rId7" name="Drop Down 12">
              <controlPr defaultSize="0" autoLine="0" autoPict="0">
                <anchor moveWithCells="1">
                  <from>
                    <xdr:col>18</xdr:col>
                    <xdr:colOff>466725</xdr:colOff>
                    <xdr:row>25</xdr:row>
                    <xdr:rowOff>171450</xdr:rowOff>
                  </from>
                  <to>
                    <xdr:col>20</xdr:col>
                    <xdr:colOff>47625</xdr:colOff>
                    <xdr:row>27</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0F7DE-CB1B-4362-A205-00D067EA43C0}">
  <sheetPr>
    <tabColor rgb="FFFFFF00"/>
  </sheetPr>
  <dimension ref="A1:AB57"/>
  <sheetViews>
    <sheetView showGridLines="0" showRowColHeaders="0" zoomScaleNormal="100" zoomScaleSheetLayoutView="100" workbookViewId="0"/>
  </sheetViews>
  <sheetFormatPr defaultColWidth="8.7109375" defaultRowHeight="15"/>
  <cols>
    <col min="1" max="11" width="8.42578125" style="542" customWidth="1"/>
    <col min="12" max="12" width="7" style="542" customWidth="1"/>
    <col min="13" max="16384" width="8.7109375" style="542"/>
  </cols>
  <sheetData>
    <row r="1" spans="1:28">
      <c r="A1" s="558"/>
      <c r="B1" s="558"/>
      <c r="C1" s="558"/>
      <c r="D1" s="558"/>
      <c r="E1" s="558"/>
      <c r="F1" s="558"/>
      <c r="G1" s="558"/>
      <c r="H1" s="558"/>
      <c r="I1" s="558"/>
      <c r="J1" s="558"/>
      <c r="K1" s="558"/>
      <c r="L1" s="558"/>
      <c r="M1" s="558"/>
      <c r="N1" s="558"/>
      <c r="O1" s="558"/>
      <c r="P1" s="558"/>
      <c r="Q1" s="558"/>
      <c r="R1" s="558"/>
      <c r="S1" s="558"/>
      <c r="T1" s="558"/>
      <c r="U1" s="558"/>
      <c r="V1" s="558"/>
      <c r="W1" s="558"/>
    </row>
    <row r="2" spans="1:28" ht="18.75" customHeight="1">
      <c r="A2" s="558"/>
      <c r="B2" s="558"/>
      <c r="C2" s="558"/>
      <c r="D2" s="558"/>
      <c r="E2" s="558"/>
      <c r="F2" s="558"/>
      <c r="G2" s="558"/>
      <c r="H2" s="558"/>
      <c r="I2" s="558"/>
      <c r="J2" s="558"/>
      <c r="K2" s="558"/>
      <c r="L2" s="558"/>
      <c r="M2" s="558"/>
      <c r="N2" s="558"/>
      <c r="O2" s="558"/>
      <c r="P2" s="558"/>
      <c r="Q2" s="558"/>
      <c r="R2" s="558"/>
      <c r="S2" s="558"/>
      <c r="T2" s="558"/>
      <c r="U2" s="558"/>
      <c r="V2" s="558"/>
      <c r="W2" s="558"/>
    </row>
    <row r="3" spans="1:28">
      <c r="A3" s="558"/>
      <c r="B3" s="558"/>
      <c r="C3" s="558"/>
      <c r="D3" s="558"/>
      <c r="E3" s="558"/>
      <c r="F3" s="558"/>
      <c r="G3" s="558"/>
      <c r="H3" s="558"/>
      <c r="I3" s="558"/>
      <c r="J3" s="558"/>
      <c r="K3" s="558"/>
      <c r="L3" s="558"/>
      <c r="M3" s="558"/>
      <c r="N3" s="558"/>
      <c r="O3" s="558"/>
      <c r="P3" s="558"/>
      <c r="Q3" s="558"/>
      <c r="R3" s="558"/>
      <c r="S3" s="558"/>
      <c r="T3" s="558"/>
      <c r="U3" s="558"/>
      <c r="V3" s="558"/>
      <c r="W3" s="558"/>
    </row>
    <row r="4" spans="1:28">
      <c r="A4" s="558"/>
      <c r="B4" s="558"/>
      <c r="C4" s="558"/>
      <c r="D4" s="558"/>
      <c r="E4" s="558"/>
      <c r="F4" s="558"/>
      <c r="G4" s="558"/>
      <c r="H4" s="558"/>
      <c r="I4" s="558"/>
      <c r="J4" s="558"/>
      <c r="K4" s="558"/>
      <c r="L4" s="558"/>
      <c r="M4" s="558"/>
      <c r="N4" s="558"/>
      <c r="O4" s="558"/>
      <c r="P4" s="558"/>
      <c r="Q4" s="558"/>
      <c r="R4" s="558"/>
      <c r="S4" s="558"/>
      <c r="T4" s="558"/>
      <c r="U4" s="558"/>
      <c r="V4" s="558"/>
      <c r="W4" s="558"/>
    </row>
    <row r="5" spans="1:28">
      <c r="A5" s="558"/>
      <c r="B5" s="558"/>
      <c r="C5" s="558"/>
      <c r="D5" s="558"/>
      <c r="E5" s="558"/>
      <c r="F5" s="558"/>
      <c r="G5" s="558"/>
      <c r="H5" s="558"/>
      <c r="I5" s="558"/>
      <c r="J5" s="558"/>
      <c r="K5" s="558"/>
      <c r="L5" s="558"/>
      <c r="M5" s="558"/>
      <c r="N5" s="558"/>
      <c r="O5" s="558"/>
      <c r="P5" s="558"/>
      <c r="Q5" s="558"/>
      <c r="R5" s="558"/>
      <c r="S5" s="558"/>
      <c r="T5" s="558"/>
      <c r="U5" s="558"/>
      <c r="V5" s="558"/>
      <c r="W5" s="558"/>
    </row>
    <row r="6" spans="1:28">
      <c r="A6" s="558"/>
      <c r="B6" s="558"/>
      <c r="C6" s="558"/>
      <c r="D6" s="558"/>
      <c r="E6" s="558"/>
      <c r="F6" s="558"/>
      <c r="G6" s="559"/>
      <c r="H6" s="558"/>
      <c r="I6" s="558"/>
      <c r="J6" s="558"/>
      <c r="K6" s="558"/>
      <c r="L6" s="574"/>
      <c r="M6" s="574"/>
      <c r="N6" s="574"/>
      <c r="O6" s="574"/>
      <c r="P6" s="574"/>
      <c r="Q6" s="574"/>
      <c r="R6" s="558"/>
      <c r="S6" s="558"/>
      <c r="T6" s="558"/>
      <c r="U6" s="558"/>
      <c r="V6" s="558"/>
      <c r="W6" s="558"/>
    </row>
    <row r="7" spans="1:28">
      <c r="A7" s="561"/>
      <c r="B7" s="561"/>
      <c r="C7" s="561"/>
      <c r="D7" s="561"/>
      <c r="E7" s="561"/>
      <c r="F7" s="561"/>
      <c r="G7" s="558"/>
      <c r="H7" s="558"/>
      <c r="I7" s="558"/>
      <c r="J7" s="558"/>
      <c r="K7" s="558"/>
      <c r="L7" s="558"/>
      <c r="M7" s="558"/>
      <c r="N7" s="558"/>
      <c r="O7" s="558"/>
      <c r="P7" s="558"/>
      <c r="Q7" s="558"/>
      <c r="R7" s="558"/>
      <c r="S7" s="558"/>
      <c r="T7" s="558"/>
      <c r="U7" s="558"/>
      <c r="V7" s="558"/>
      <c r="W7" s="558"/>
    </row>
    <row r="8" spans="1:28">
      <c r="A8" s="568"/>
      <c r="B8" s="568"/>
      <c r="C8" s="568"/>
      <c r="D8" s="568"/>
      <c r="E8" s="568"/>
      <c r="F8" s="568"/>
      <c r="G8" s="558"/>
      <c r="H8" s="558"/>
      <c r="I8" s="558"/>
      <c r="J8" s="558"/>
      <c r="K8" s="558"/>
      <c r="L8" s="558"/>
      <c r="M8" s="558"/>
      <c r="N8" s="558"/>
      <c r="O8" s="558"/>
      <c r="P8" s="558"/>
      <c r="Q8" s="558"/>
      <c r="R8" s="558"/>
      <c r="S8" s="558"/>
      <c r="T8" s="558"/>
      <c r="U8" s="558"/>
      <c r="V8" s="558"/>
      <c r="W8" s="558"/>
    </row>
    <row r="9" spans="1:28" ht="15" customHeight="1">
      <c r="A9" s="558"/>
      <c r="B9" s="558"/>
      <c r="C9" s="558"/>
      <c r="D9" s="558"/>
      <c r="E9" s="558"/>
      <c r="F9" s="558"/>
      <c r="G9" s="558"/>
      <c r="H9" s="558"/>
      <c r="I9" s="558"/>
      <c r="J9" s="558"/>
      <c r="K9" s="558"/>
      <c r="L9" s="558"/>
      <c r="M9" s="558"/>
      <c r="N9" s="558"/>
      <c r="O9" s="558"/>
      <c r="P9" s="558"/>
      <c r="Q9" s="558"/>
      <c r="R9" s="558"/>
      <c r="S9" s="558"/>
      <c r="T9" s="558"/>
      <c r="U9" s="558"/>
      <c r="V9" s="558"/>
      <c r="W9" s="558"/>
    </row>
    <row r="10" spans="1:28" ht="15" customHeight="1">
      <c r="A10" s="558"/>
      <c r="B10" s="558"/>
      <c r="C10" s="558"/>
      <c r="D10" s="558"/>
      <c r="E10" s="558"/>
      <c r="F10" s="558"/>
      <c r="G10" s="558"/>
      <c r="H10" s="558"/>
      <c r="I10" s="558"/>
      <c r="J10" s="558"/>
      <c r="K10" s="558"/>
      <c r="L10" s="558"/>
      <c r="M10" s="558"/>
      <c r="N10" s="558"/>
      <c r="O10" s="558"/>
      <c r="P10" s="558"/>
      <c r="Q10" s="558"/>
      <c r="R10" s="558"/>
      <c r="S10" s="558"/>
      <c r="T10" s="558"/>
      <c r="U10" s="558"/>
      <c r="V10" s="558"/>
      <c r="W10" s="558"/>
    </row>
    <row r="11" spans="1:28">
      <c r="A11" s="558"/>
      <c r="B11" s="558"/>
      <c r="C11" s="558"/>
      <c r="D11" s="558"/>
      <c r="E11" s="558"/>
      <c r="F11" s="558"/>
      <c r="G11" s="558"/>
      <c r="H11" s="558"/>
      <c r="I11" s="558"/>
      <c r="J11" s="558"/>
      <c r="K11" s="558"/>
      <c r="L11" s="558"/>
      <c r="M11" s="558"/>
      <c r="N11" s="558"/>
      <c r="O11" s="558"/>
      <c r="P11" s="558"/>
      <c r="Q11" s="558"/>
      <c r="R11" s="558"/>
      <c r="S11" s="558"/>
      <c r="T11" s="558"/>
      <c r="U11" s="558"/>
      <c r="V11" s="558"/>
      <c r="W11" s="558"/>
    </row>
    <row r="12" spans="1:28" ht="15" customHeight="1">
      <c r="A12" s="558"/>
      <c r="B12" s="558"/>
      <c r="C12" s="558"/>
      <c r="D12" s="558"/>
      <c r="E12" s="558"/>
      <c r="F12" s="558"/>
      <c r="G12" s="558"/>
      <c r="H12" s="558"/>
      <c r="I12" s="558"/>
      <c r="J12" s="558"/>
      <c r="K12" s="558"/>
      <c r="L12" s="558"/>
      <c r="M12" s="558"/>
      <c r="N12" s="558"/>
      <c r="O12" s="558"/>
      <c r="P12" s="558"/>
      <c r="Q12" s="558"/>
      <c r="R12" s="558"/>
      <c r="S12" s="558"/>
      <c r="T12" s="558"/>
      <c r="U12" s="558"/>
      <c r="V12" s="558"/>
      <c r="W12" s="558"/>
      <c r="AB12" s="548"/>
    </row>
    <row r="13" spans="1:28" ht="15" customHeight="1">
      <c r="A13" s="558"/>
      <c r="B13" s="558"/>
      <c r="C13" s="558"/>
      <c r="D13" s="558"/>
      <c r="E13" s="558"/>
      <c r="F13" s="558"/>
      <c r="G13" s="558"/>
      <c r="H13" s="558"/>
      <c r="I13" s="558"/>
      <c r="J13" s="558"/>
      <c r="K13" s="558"/>
      <c r="L13" s="558"/>
      <c r="M13" s="558"/>
      <c r="N13" s="558"/>
      <c r="O13" s="558"/>
      <c r="P13" s="558"/>
      <c r="Q13" s="558"/>
      <c r="R13" s="558"/>
      <c r="S13" s="558"/>
      <c r="T13" s="558"/>
      <c r="U13" s="558"/>
      <c r="V13" s="558"/>
      <c r="W13" s="558"/>
    </row>
    <row r="14" spans="1:28">
      <c r="A14" s="558"/>
      <c r="B14" s="558"/>
      <c r="C14" s="558"/>
      <c r="D14" s="558"/>
      <c r="E14" s="558"/>
      <c r="F14" s="558"/>
      <c r="G14" s="558"/>
      <c r="H14" s="558"/>
      <c r="I14" s="558"/>
      <c r="J14" s="558"/>
      <c r="K14" s="558"/>
      <c r="L14" s="558"/>
      <c r="M14" s="558"/>
      <c r="N14" s="558"/>
      <c r="O14" s="558"/>
      <c r="P14" s="558"/>
      <c r="Q14" s="558"/>
      <c r="R14" s="558"/>
      <c r="S14" s="558"/>
      <c r="T14" s="558"/>
      <c r="U14" s="558"/>
      <c r="V14" s="558"/>
      <c r="W14" s="558"/>
    </row>
    <row r="15" spans="1:28">
      <c r="A15" s="558"/>
      <c r="B15" s="558"/>
      <c r="C15" s="558"/>
      <c r="D15" s="558"/>
      <c r="E15" s="558"/>
      <c r="F15" s="558"/>
      <c r="G15" s="558"/>
      <c r="H15" s="558"/>
      <c r="I15" s="558"/>
      <c r="J15" s="558"/>
      <c r="K15" s="558"/>
      <c r="L15" s="558"/>
      <c r="M15" s="558"/>
      <c r="N15" s="558"/>
      <c r="O15" s="558"/>
      <c r="P15" s="558"/>
      <c r="Q15" s="558"/>
      <c r="R15" s="558"/>
      <c r="S15" s="558"/>
      <c r="T15" s="558"/>
      <c r="U15" s="558"/>
      <c r="V15" s="558"/>
      <c r="W15" s="558"/>
    </row>
    <row r="16" spans="1:28">
      <c r="A16" s="558"/>
      <c r="B16" s="558"/>
      <c r="C16" s="558"/>
      <c r="D16" s="558"/>
      <c r="E16" s="558"/>
      <c r="F16" s="558"/>
      <c r="G16" s="558"/>
      <c r="H16" s="558"/>
      <c r="I16" s="558"/>
      <c r="J16" s="558"/>
      <c r="K16" s="558"/>
      <c r="L16" s="558"/>
      <c r="M16" s="558"/>
      <c r="N16" s="558"/>
      <c r="O16" s="558"/>
      <c r="P16" s="558"/>
      <c r="Q16" s="558"/>
      <c r="R16" s="558"/>
      <c r="S16" s="558"/>
      <c r="T16" s="558"/>
      <c r="U16" s="558"/>
      <c r="V16" s="558"/>
      <c r="W16" s="558"/>
    </row>
    <row r="17" spans="1:25">
      <c r="A17" s="558"/>
      <c r="B17" s="558"/>
      <c r="C17" s="558"/>
      <c r="D17" s="558"/>
      <c r="E17" s="558"/>
      <c r="F17" s="558"/>
      <c r="G17" s="558"/>
      <c r="H17" s="558"/>
      <c r="I17" s="558"/>
      <c r="J17" s="558"/>
      <c r="K17" s="558"/>
      <c r="L17" s="558"/>
      <c r="M17" s="558"/>
      <c r="N17" s="558"/>
      <c r="O17" s="558"/>
      <c r="P17" s="558"/>
      <c r="Q17" s="558"/>
      <c r="R17" s="558"/>
      <c r="S17" s="558"/>
      <c r="T17" s="558"/>
      <c r="U17" s="558"/>
      <c r="V17" s="558"/>
      <c r="W17" s="558"/>
    </row>
    <row r="18" spans="1:25">
      <c r="A18" s="558"/>
      <c r="B18" s="558"/>
      <c r="C18" s="558"/>
      <c r="D18" s="558"/>
      <c r="E18" s="558"/>
      <c r="F18" s="558"/>
      <c r="G18" s="558"/>
      <c r="H18" s="558"/>
      <c r="I18" s="558"/>
      <c r="J18" s="558"/>
      <c r="K18" s="558"/>
      <c r="L18" s="558"/>
      <c r="M18" s="558"/>
      <c r="N18" s="558"/>
      <c r="O18" s="558"/>
      <c r="P18" s="558"/>
      <c r="Q18" s="558"/>
      <c r="R18" s="558"/>
      <c r="S18" s="558"/>
      <c r="T18" s="558"/>
      <c r="U18" s="558"/>
      <c r="V18" s="558"/>
      <c r="W18" s="558"/>
    </row>
    <row r="19" spans="1:25">
      <c r="A19" s="558"/>
      <c r="B19" s="558"/>
      <c r="C19" s="558"/>
      <c r="D19" s="558"/>
      <c r="E19" s="558"/>
      <c r="F19" s="558"/>
      <c r="G19" s="558"/>
      <c r="H19" s="558"/>
      <c r="I19" s="558"/>
      <c r="J19" s="558"/>
      <c r="K19" s="558"/>
      <c r="L19" s="558"/>
      <c r="M19" s="558"/>
      <c r="N19" s="558"/>
      <c r="O19" s="558"/>
      <c r="P19" s="558"/>
      <c r="Q19" s="558"/>
      <c r="R19" s="558"/>
      <c r="S19" s="558"/>
      <c r="T19" s="558"/>
      <c r="U19" s="558"/>
      <c r="V19" s="558"/>
      <c r="W19" s="558"/>
    </row>
    <row r="20" spans="1:25">
      <c r="A20" s="558"/>
      <c r="B20" s="558"/>
      <c r="C20" s="558"/>
      <c r="D20" s="558"/>
      <c r="E20" s="558"/>
      <c r="F20" s="558"/>
      <c r="G20" s="558"/>
      <c r="H20" s="558"/>
      <c r="I20" s="558"/>
      <c r="J20" s="558"/>
      <c r="K20" s="558"/>
      <c r="L20" s="558"/>
      <c r="M20" s="558"/>
      <c r="N20" s="558"/>
      <c r="O20" s="558"/>
      <c r="P20" s="558"/>
      <c r="Q20" s="558"/>
      <c r="R20" s="558"/>
      <c r="S20" s="558"/>
      <c r="T20" s="558"/>
      <c r="U20" s="558"/>
      <c r="V20" s="558"/>
      <c r="W20" s="558"/>
    </row>
    <row r="21" spans="1:25">
      <c r="A21" s="558"/>
      <c r="B21" s="558"/>
      <c r="C21" s="558"/>
      <c r="D21" s="558"/>
      <c r="E21" s="558"/>
      <c r="F21" s="558"/>
      <c r="G21" s="558"/>
      <c r="H21" s="558"/>
      <c r="I21" s="558"/>
      <c r="J21" s="558"/>
      <c r="K21" s="558"/>
      <c r="L21" s="558"/>
      <c r="M21" s="558"/>
      <c r="N21" s="558"/>
      <c r="O21" s="558"/>
      <c r="P21" s="558"/>
      <c r="Q21" s="558"/>
      <c r="R21" s="558"/>
      <c r="S21" s="558"/>
      <c r="T21" s="558"/>
      <c r="U21" s="558"/>
      <c r="V21" s="558"/>
      <c r="W21" s="558"/>
    </row>
    <row r="22" spans="1:25">
      <c r="A22" s="558"/>
      <c r="B22" s="558"/>
      <c r="C22" s="558"/>
      <c r="D22" s="558"/>
      <c r="E22" s="558"/>
      <c r="F22" s="558"/>
      <c r="G22" s="558"/>
      <c r="H22" s="558"/>
      <c r="I22" s="558"/>
      <c r="J22" s="558"/>
      <c r="K22" s="558"/>
      <c r="L22" s="558"/>
      <c r="M22" s="558"/>
      <c r="N22" s="558"/>
      <c r="O22" s="558"/>
      <c r="P22" s="558"/>
      <c r="Q22" s="558"/>
      <c r="R22" s="558"/>
      <c r="S22" s="558"/>
      <c r="T22" s="558"/>
      <c r="U22" s="558"/>
      <c r="V22" s="558"/>
      <c r="W22" s="558"/>
    </row>
    <row r="23" spans="1:25">
      <c r="A23" s="558"/>
      <c r="B23" s="558"/>
      <c r="C23" s="558"/>
      <c r="D23" s="558"/>
      <c r="E23" s="558"/>
      <c r="F23" s="558"/>
      <c r="G23" s="558"/>
      <c r="H23" s="558"/>
      <c r="I23" s="558"/>
      <c r="J23" s="558"/>
      <c r="K23" s="558"/>
      <c r="L23" s="558"/>
      <c r="M23" s="558"/>
      <c r="N23" s="558"/>
      <c r="O23" s="558"/>
      <c r="P23" s="558"/>
      <c r="Q23" s="558"/>
      <c r="R23" s="558"/>
      <c r="S23" s="558"/>
      <c r="T23" s="558"/>
      <c r="U23" s="558"/>
      <c r="V23" s="558"/>
      <c r="W23" s="558"/>
    </row>
    <row r="24" spans="1:25">
      <c r="A24" s="558"/>
      <c r="B24" s="558"/>
      <c r="C24" s="558"/>
      <c r="D24" s="558"/>
      <c r="E24" s="558"/>
      <c r="F24" s="558"/>
      <c r="G24" s="558"/>
      <c r="H24" s="558"/>
      <c r="I24" s="558"/>
      <c r="J24" s="558"/>
      <c r="K24" s="558"/>
      <c r="L24" s="558"/>
      <c r="M24" s="558"/>
      <c r="N24" s="558"/>
      <c r="O24" s="558"/>
      <c r="P24" s="558"/>
      <c r="Q24" s="558"/>
      <c r="R24" s="558"/>
      <c r="S24" s="558"/>
      <c r="T24" s="558"/>
      <c r="U24" s="558"/>
      <c r="V24" s="558"/>
      <c r="W24" s="558"/>
    </row>
    <row r="25" spans="1:25">
      <c r="A25" s="558"/>
      <c r="B25" s="558"/>
      <c r="C25" s="558"/>
      <c r="D25" s="558"/>
      <c r="E25" s="558"/>
      <c r="F25" s="558"/>
      <c r="G25" s="558"/>
      <c r="H25" s="558"/>
      <c r="I25" s="558"/>
      <c r="J25" s="558"/>
      <c r="K25" s="558"/>
      <c r="L25" s="558"/>
      <c r="M25" s="558"/>
      <c r="N25" s="558"/>
      <c r="O25" s="558"/>
      <c r="P25" s="558"/>
      <c r="Q25" s="558"/>
      <c r="R25" s="558"/>
      <c r="S25" s="558"/>
      <c r="T25" s="558"/>
      <c r="U25" s="558"/>
      <c r="V25" s="558"/>
      <c r="W25" s="558"/>
    </row>
    <row r="26" spans="1:25">
      <c r="A26" s="558"/>
      <c r="B26" s="558"/>
      <c r="C26" s="558"/>
      <c r="D26" s="558"/>
      <c r="E26" s="558"/>
      <c r="F26" s="558"/>
      <c r="G26" s="558"/>
      <c r="H26" s="558"/>
      <c r="I26" s="558"/>
      <c r="J26" s="558"/>
      <c r="K26" s="558"/>
      <c r="L26" s="558"/>
      <c r="M26" s="558"/>
      <c r="N26" s="558"/>
      <c r="O26" s="558"/>
      <c r="P26" s="558"/>
      <c r="Q26" s="558"/>
      <c r="R26" s="558"/>
      <c r="S26" s="558"/>
      <c r="T26" s="558"/>
      <c r="U26" s="558"/>
      <c r="V26" s="558"/>
      <c r="W26" s="558"/>
    </row>
    <row r="27" spans="1:25">
      <c r="A27" s="558"/>
      <c r="B27" s="558"/>
      <c r="C27" s="558"/>
      <c r="D27" s="558"/>
      <c r="E27" s="558"/>
      <c r="F27" s="558"/>
      <c r="G27" s="558"/>
      <c r="H27" s="558"/>
      <c r="I27" s="558"/>
      <c r="J27" s="558"/>
      <c r="K27" s="558"/>
      <c r="L27" s="558"/>
      <c r="M27" s="558"/>
      <c r="N27" s="558"/>
      <c r="O27" s="558"/>
      <c r="P27" s="558"/>
      <c r="Q27" s="558"/>
      <c r="R27" s="558"/>
      <c r="S27" s="558"/>
      <c r="T27" s="558"/>
      <c r="U27" s="558"/>
      <c r="V27" s="558"/>
      <c r="W27" s="558"/>
    </row>
    <row r="28" spans="1:25">
      <c r="A28" s="558"/>
      <c r="B28" s="558"/>
      <c r="C28" s="558"/>
      <c r="D28" s="558"/>
      <c r="E28" s="558"/>
      <c r="F28" s="558"/>
      <c r="G28" s="558"/>
      <c r="H28" s="558"/>
      <c r="I28" s="558"/>
      <c r="J28" s="558"/>
      <c r="K28" s="558"/>
      <c r="L28" s="558"/>
      <c r="M28" s="558"/>
      <c r="N28" s="558"/>
      <c r="O28" s="558"/>
      <c r="P28" s="558"/>
      <c r="Q28" s="558"/>
      <c r="R28" s="558"/>
      <c r="S28" s="558"/>
      <c r="T28" s="558"/>
      <c r="U28" s="558"/>
      <c r="V28" s="558"/>
      <c r="W28" s="558"/>
    </row>
    <row r="29" spans="1:25">
      <c r="A29" s="558"/>
      <c r="B29" s="558"/>
      <c r="C29" s="558"/>
      <c r="D29" s="558"/>
      <c r="E29" s="558"/>
      <c r="F29" s="558"/>
      <c r="G29" s="558"/>
      <c r="H29" s="558"/>
      <c r="I29" s="558"/>
      <c r="J29" s="558"/>
      <c r="K29" s="558"/>
      <c r="L29" s="558"/>
      <c r="M29" s="558"/>
      <c r="N29" s="558"/>
      <c r="O29" s="558"/>
      <c r="P29" s="558"/>
      <c r="Q29" s="558"/>
      <c r="R29" s="558"/>
      <c r="S29" s="558"/>
      <c r="T29" s="558"/>
      <c r="U29" s="558"/>
      <c r="V29" s="558"/>
      <c r="W29" s="558"/>
    </row>
    <row r="30" spans="1:25">
      <c r="A30" s="558"/>
      <c r="B30" s="558"/>
      <c r="C30" s="558"/>
      <c r="D30" s="558"/>
      <c r="E30" s="558"/>
      <c r="F30" s="558"/>
      <c r="G30" s="558"/>
      <c r="H30" s="558"/>
      <c r="I30" s="558"/>
      <c r="J30" s="558"/>
      <c r="K30" s="558"/>
      <c r="L30" s="558"/>
      <c r="M30" s="558"/>
      <c r="N30" s="558"/>
      <c r="O30" s="558"/>
      <c r="P30" s="558"/>
      <c r="Q30" s="558"/>
      <c r="R30" s="558"/>
      <c r="S30" s="558"/>
      <c r="T30" s="558"/>
      <c r="U30" s="558"/>
      <c r="V30" s="558"/>
      <c r="W30" s="558"/>
    </row>
    <row r="31" spans="1:25">
      <c r="A31" s="558"/>
      <c r="B31" s="558"/>
      <c r="C31" s="558"/>
      <c r="D31" s="558"/>
      <c r="E31" s="558"/>
      <c r="F31" s="558"/>
      <c r="G31" s="558"/>
      <c r="H31" s="558"/>
      <c r="I31" s="558"/>
      <c r="J31" s="558"/>
      <c r="K31" s="558"/>
      <c r="L31" s="558"/>
      <c r="M31" s="558"/>
      <c r="N31" s="558"/>
      <c r="O31" s="558"/>
      <c r="P31" s="558"/>
      <c r="Q31" s="558"/>
      <c r="R31" s="558"/>
      <c r="S31" s="558"/>
      <c r="T31" s="558"/>
      <c r="U31" s="558"/>
      <c r="V31" s="558"/>
      <c r="W31" s="558"/>
    </row>
    <row r="32" spans="1:25">
      <c r="A32" s="558"/>
      <c r="B32" s="558"/>
      <c r="C32" s="558"/>
      <c r="D32" s="558"/>
      <c r="E32" s="558"/>
      <c r="F32" s="558"/>
      <c r="G32" s="558"/>
      <c r="H32" s="558"/>
      <c r="I32" s="558"/>
      <c r="J32" s="558"/>
      <c r="K32" s="558"/>
      <c r="L32" s="558"/>
      <c r="M32" s="558"/>
      <c r="N32" s="558"/>
      <c r="O32" s="558"/>
      <c r="P32" s="562"/>
      <c r="Q32" s="562"/>
      <c r="R32" s="562"/>
      <c r="S32" s="562"/>
      <c r="T32" s="562"/>
      <c r="U32" s="562"/>
      <c r="V32" s="562"/>
      <c r="W32" s="562"/>
      <c r="X32" s="543"/>
      <c r="Y32" s="543"/>
    </row>
    <row r="33" spans="1:25">
      <c r="A33" s="558"/>
      <c r="B33" s="558"/>
      <c r="C33" s="558"/>
      <c r="D33" s="558"/>
      <c r="E33" s="558"/>
      <c r="F33" s="558"/>
      <c r="G33" s="558"/>
      <c r="H33" s="558"/>
      <c r="I33" s="558"/>
      <c r="J33" s="558"/>
      <c r="K33" s="558"/>
      <c r="L33" s="558"/>
      <c r="M33" s="558"/>
      <c r="N33" s="558"/>
      <c r="O33" s="558"/>
      <c r="P33" s="563"/>
      <c r="Q33" s="563"/>
      <c r="R33" s="563"/>
      <c r="S33" s="563"/>
      <c r="T33" s="563"/>
      <c r="U33" s="563"/>
      <c r="V33" s="558"/>
      <c r="W33" s="564"/>
      <c r="X33" s="544"/>
      <c r="Y33" s="544"/>
    </row>
    <row r="34" spans="1:25">
      <c r="A34" s="558"/>
      <c r="B34" s="558"/>
      <c r="C34" s="558"/>
      <c r="D34" s="558"/>
      <c r="E34" s="558"/>
      <c r="F34" s="558"/>
      <c r="G34" s="558"/>
      <c r="H34" s="558"/>
      <c r="I34" s="558"/>
      <c r="J34" s="558"/>
      <c r="K34" s="558"/>
      <c r="L34" s="558"/>
      <c r="M34" s="558"/>
      <c r="N34" s="558"/>
      <c r="O34" s="558"/>
      <c r="P34" s="558"/>
      <c r="Q34" s="558"/>
      <c r="R34" s="558"/>
      <c r="S34" s="558"/>
      <c r="T34" s="558"/>
      <c r="U34" s="558"/>
      <c r="V34" s="558"/>
      <c r="W34" s="558"/>
    </row>
    <row r="35" spans="1:25">
      <c r="A35" s="558"/>
      <c r="B35" s="558"/>
      <c r="C35" s="558"/>
      <c r="D35" s="558"/>
      <c r="E35" s="558"/>
      <c r="F35" s="558"/>
      <c r="G35" s="558"/>
      <c r="H35" s="569"/>
      <c r="I35" s="558"/>
      <c r="J35" s="558"/>
      <c r="K35" s="558"/>
      <c r="L35" s="558"/>
      <c r="M35" s="558"/>
      <c r="N35" s="558"/>
      <c r="O35" s="558"/>
      <c r="P35" s="565"/>
      <c r="Q35" s="558"/>
      <c r="R35" s="558"/>
      <c r="S35" s="558"/>
      <c r="T35" s="558"/>
      <c r="U35" s="558"/>
      <c r="V35" s="558"/>
      <c r="W35" s="558"/>
    </row>
    <row r="36" spans="1:25">
      <c r="A36" s="558"/>
      <c r="B36" s="558"/>
      <c r="C36" s="558"/>
      <c r="D36" s="558"/>
      <c r="E36" s="558"/>
      <c r="F36" s="558"/>
      <c r="G36" s="558"/>
      <c r="H36" s="558"/>
      <c r="I36" s="558"/>
      <c r="J36" s="558"/>
      <c r="K36" s="558"/>
      <c r="L36" s="558"/>
      <c r="M36" s="558"/>
      <c r="N36" s="558"/>
      <c r="O36" s="558"/>
      <c r="P36" s="564"/>
      <c r="Q36" s="558"/>
      <c r="R36" s="558"/>
      <c r="S36" s="558"/>
      <c r="T36" s="558"/>
      <c r="U36" s="558"/>
      <c r="V36" s="558"/>
      <c r="W36" s="558"/>
    </row>
    <row r="37" spans="1:25">
      <c r="A37" s="558"/>
      <c r="B37" s="558"/>
      <c r="C37" s="558"/>
      <c r="D37" s="558"/>
      <c r="E37" s="558"/>
      <c r="F37" s="558"/>
      <c r="G37" s="558"/>
      <c r="H37" s="558"/>
      <c r="I37" s="558"/>
      <c r="J37" s="558"/>
      <c r="K37" s="558"/>
      <c r="L37" s="558"/>
      <c r="M37" s="558"/>
      <c r="N37" s="558"/>
      <c r="O37" s="558"/>
      <c r="P37" s="564"/>
      <c r="Q37" s="558"/>
      <c r="R37" s="558"/>
      <c r="S37" s="558"/>
      <c r="T37" s="558"/>
      <c r="U37" s="558"/>
      <c r="V37" s="558"/>
      <c r="W37" s="558"/>
    </row>
    <row r="38" spans="1:25">
      <c r="A38" s="558"/>
      <c r="B38" s="558"/>
      <c r="C38" s="558"/>
      <c r="D38" s="558"/>
      <c r="E38" s="558"/>
      <c r="F38" s="558"/>
      <c r="G38" s="558"/>
      <c r="H38" s="558"/>
      <c r="I38" s="558"/>
      <c r="J38" s="558"/>
      <c r="K38" s="558"/>
      <c r="L38" s="558"/>
      <c r="M38" s="558"/>
      <c r="N38" s="558"/>
      <c r="O38" s="558"/>
      <c r="P38" s="564"/>
      <c r="Q38" s="558"/>
      <c r="R38" s="558"/>
      <c r="S38" s="558"/>
      <c r="T38" s="558"/>
      <c r="U38" s="558"/>
      <c r="V38" s="558"/>
      <c r="W38" s="558"/>
    </row>
    <row r="39" spans="1:25">
      <c r="A39" s="558"/>
      <c r="B39" s="558"/>
      <c r="C39" s="558"/>
      <c r="D39" s="558"/>
      <c r="E39" s="558"/>
      <c r="F39" s="558"/>
      <c r="G39" s="558"/>
      <c r="H39" s="566"/>
      <c r="I39" s="558"/>
      <c r="J39" s="565"/>
      <c r="K39" s="558"/>
      <c r="L39" s="558"/>
      <c r="M39" s="564"/>
      <c r="N39" s="564"/>
      <c r="O39" s="564"/>
      <c r="P39" s="564"/>
      <c r="Q39" s="558"/>
      <c r="R39" s="558"/>
      <c r="S39" s="558"/>
      <c r="T39" s="558"/>
      <c r="U39" s="558"/>
      <c r="V39" s="558"/>
      <c r="W39" s="558"/>
    </row>
    <row r="40" spans="1:25">
      <c r="A40" s="558"/>
      <c r="B40" s="558"/>
      <c r="C40" s="558"/>
      <c r="D40" s="558"/>
      <c r="E40" s="558"/>
      <c r="F40" s="558"/>
      <c r="G40" s="558"/>
      <c r="H40" s="566"/>
      <c r="I40" s="558"/>
      <c r="J40" s="565"/>
      <c r="K40" s="558"/>
      <c r="L40" s="558"/>
      <c r="M40" s="564"/>
      <c r="N40" s="564"/>
      <c r="O40" s="564"/>
      <c r="P40" s="564"/>
      <c r="Q40" s="558"/>
      <c r="R40" s="558"/>
      <c r="S40" s="558"/>
      <c r="T40" s="558"/>
      <c r="U40" s="558"/>
      <c r="V40" s="558"/>
      <c r="W40" s="558"/>
    </row>
    <row r="41" spans="1:25">
      <c r="A41" s="558"/>
      <c r="B41" s="558"/>
      <c r="C41" s="558"/>
      <c r="D41" s="558"/>
      <c r="E41" s="558"/>
      <c r="F41" s="558"/>
      <c r="G41" s="558"/>
      <c r="H41" s="558"/>
      <c r="I41" s="558"/>
      <c r="J41" s="565"/>
      <c r="K41" s="558"/>
      <c r="L41" s="558"/>
      <c r="M41" s="567"/>
      <c r="N41" s="566"/>
      <c r="O41" s="564"/>
      <c r="P41" s="564"/>
      <c r="Q41" s="558"/>
      <c r="R41" s="558"/>
      <c r="S41" s="558"/>
      <c r="T41" s="558"/>
      <c r="U41" s="558"/>
      <c r="V41" s="558"/>
      <c r="W41" s="558"/>
    </row>
    <row r="42" spans="1:25">
      <c r="A42" s="558"/>
      <c r="B42" s="558"/>
      <c r="C42" s="558"/>
      <c r="D42" s="558"/>
      <c r="E42" s="558"/>
      <c r="F42" s="558"/>
      <c r="G42" s="558"/>
      <c r="H42" s="566"/>
      <c r="I42" s="558"/>
      <c r="J42" s="565"/>
      <c r="K42" s="558"/>
      <c r="L42" s="558"/>
      <c r="M42" s="564"/>
      <c r="N42" s="564"/>
      <c r="O42" s="564"/>
      <c r="P42" s="564"/>
      <c r="Q42" s="558"/>
      <c r="R42" s="558"/>
      <c r="S42" s="558"/>
      <c r="T42" s="558"/>
      <c r="U42" s="558"/>
      <c r="V42" s="558"/>
      <c r="W42" s="558"/>
    </row>
    <row r="43" spans="1:25">
      <c r="A43" s="558"/>
      <c r="B43" s="558"/>
      <c r="C43" s="558"/>
      <c r="D43" s="558"/>
      <c r="E43" s="558"/>
      <c r="F43" s="558"/>
      <c r="G43" s="558"/>
      <c r="H43" s="565"/>
      <c r="I43" s="565"/>
      <c r="J43" s="565"/>
      <c r="K43" s="558"/>
      <c r="L43" s="564"/>
      <c r="M43" s="564"/>
      <c r="N43" s="564"/>
      <c r="O43" s="564"/>
      <c r="P43" s="564"/>
      <c r="Q43" s="558"/>
      <c r="R43" s="558"/>
      <c r="S43" s="558"/>
      <c r="T43" s="558"/>
      <c r="U43" s="558"/>
      <c r="V43" s="558"/>
      <c r="W43" s="558"/>
    </row>
    <row r="44" spans="1:25">
      <c r="A44" s="558"/>
      <c r="B44" s="558"/>
      <c r="C44" s="558"/>
      <c r="D44" s="558"/>
      <c r="E44" s="558"/>
      <c r="F44" s="558"/>
      <c r="G44" s="564"/>
      <c r="H44" s="564"/>
      <c r="I44" s="564"/>
      <c r="J44" s="564"/>
      <c r="K44" s="564"/>
      <c r="L44" s="564"/>
      <c r="M44" s="564"/>
      <c r="N44" s="564"/>
      <c r="O44" s="564"/>
      <c r="P44" s="564"/>
      <c r="Q44" s="558"/>
      <c r="R44" s="558"/>
      <c r="S44" s="558"/>
      <c r="T44" s="558"/>
      <c r="U44" s="558"/>
      <c r="V44" s="558"/>
      <c r="W44" s="558"/>
    </row>
    <row r="45" spans="1:25">
      <c r="A45" s="558"/>
      <c r="B45" s="558"/>
      <c r="C45" s="558"/>
      <c r="D45" s="558"/>
      <c r="E45" s="558"/>
      <c r="F45" s="558"/>
      <c r="G45" s="564"/>
      <c r="H45" s="564"/>
      <c r="I45" s="564"/>
      <c r="J45" s="564"/>
      <c r="K45" s="564"/>
      <c r="L45" s="564"/>
      <c r="M45" s="564"/>
      <c r="N45" s="564"/>
      <c r="O45" s="564"/>
      <c r="P45" s="564"/>
      <c r="Q45" s="558"/>
      <c r="R45" s="558"/>
      <c r="S45" s="558"/>
      <c r="T45" s="558"/>
      <c r="U45" s="558"/>
      <c r="V45" s="558"/>
      <c r="W45" s="558"/>
    </row>
    <row r="46" spans="1:25">
      <c r="A46" s="558"/>
      <c r="B46" s="558"/>
      <c r="C46" s="558"/>
      <c r="D46" s="558"/>
      <c r="E46" s="558"/>
      <c r="F46" s="558"/>
      <c r="G46" s="564"/>
      <c r="H46" s="564"/>
      <c r="I46" s="564"/>
      <c r="J46" s="564"/>
      <c r="K46" s="564"/>
      <c r="L46" s="564"/>
      <c r="M46" s="564"/>
      <c r="N46" s="564"/>
      <c r="O46" s="564"/>
      <c r="P46" s="564"/>
      <c r="Q46" s="558"/>
      <c r="R46" s="558"/>
      <c r="S46" s="558"/>
      <c r="T46" s="558"/>
      <c r="U46" s="558"/>
      <c r="V46" s="558"/>
      <c r="W46" s="558"/>
    </row>
    <row r="47" spans="1:25">
      <c r="A47" s="558"/>
      <c r="B47" s="558"/>
      <c r="C47" s="558"/>
      <c r="D47" s="558"/>
      <c r="E47" s="558"/>
      <c r="F47" s="558"/>
      <c r="G47" s="564"/>
      <c r="H47" s="564"/>
      <c r="I47" s="564"/>
      <c r="J47" s="564"/>
      <c r="K47" s="564"/>
      <c r="L47" s="564"/>
      <c r="M47" s="564"/>
      <c r="N47" s="564"/>
      <c r="O47" s="564"/>
      <c r="P47" s="564"/>
      <c r="Q47" s="558"/>
      <c r="R47" s="558"/>
      <c r="S47" s="558"/>
      <c r="T47" s="558"/>
      <c r="U47" s="558"/>
      <c r="V47" s="558"/>
      <c r="W47" s="558"/>
    </row>
    <row r="48" spans="1:25">
      <c r="A48" s="558"/>
      <c r="B48" s="558"/>
      <c r="C48" s="558"/>
      <c r="D48" s="558"/>
      <c r="E48" s="558"/>
      <c r="F48" s="558"/>
      <c r="G48" s="564"/>
      <c r="H48" s="564"/>
      <c r="I48" s="564"/>
      <c r="J48" s="564"/>
      <c r="K48" s="564"/>
      <c r="L48" s="564"/>
      <c r="M48" s="564"/>
      <c r="N48" s="564"/>
      <c r="O48" s="564"/>
      <c r="P48" s="564"/>
      <c r="Q48" s="558"/>
      <c r="R48" s="558"/>
      <c r="S48" s="558"/>
      <c r="T48" s="558"/>
      <c r="U48" s="558"/>
      <c r="V48" s="558"/>
      <c r="W48" s="558"/>
    </row>
    <row r="49" spans="1:25">
      <c r="A49" s="558"/>
      <c r="B49" s="558"/>
      <c r="C49" s="558"/>
      <c r="D49" s="558"/>
      <c r="E49" s="558"/>
      <c r="F49" s="558"/>
      <c r="G49" s="564"/>
      <c r="H49" s="564"/>
      <c r="I49" s="564"/>
      <c r="J49" s="564"/>
      <c r="K49" s="564"/>
      <c r="L49" s="564"/>
      <c r="M49" s="564"/>
      <c r="N49" s="564"/>
      <c r="O49" s="564"/>
      <c r="P49" s="564"/>
      <c r="Q49" s="564"/>
      <c r="R49" s="558"/>
      <c r="S49" s="558"/>
      <c r="T49" s="558"/>
      <c r="U49" s="558"/>
      <c r="V49" s="558"/>
      <c r="W49" s="558"/>
    </row>
    <row r="50" spans="1:25">
      <c r="A50" s="558"/>
      <c r="B50" s="558"/>
      <c r="C50" s="558"/>
      <c r="D50" s="558"/>
      <c r="E50" s="558"/>
      <c r="F50" s="558"/>
      <c r="G50" s="564"/>
      <c r="H50" s="564"/>
      <c r="I50" s="564"/>
      <c r="J50" s="564"/>
      <c r="K50" s="564"/>
      <c r="L50" s="564"/>
      <c r="M50" s="564"/>
      <c r="N50" s="564"/>
      <c r="O50" s="564"/>
      <c r="P50" s="564"/>
      <c r="Q50" s="558"/>
      <c r="R50" s="558"/>
      <c r="S50" s="558"/>
      <c r="T50" s="558"/>
      <c r="U50" s="558"/>
      <c r="V50" s="558"/>
      <c r="W50" s="558"/>
    </row>
    <row r="51" spans="1:25">
      <c r="A51" s="558"/>
      <c r="B51" s="558"/>
      <c r="C51" s="558"/>
      <c r="D51" s="558"/>
      <c r="E51" s="558"/>
      <c r="F51" s="558"/>
      <c r="G51" s="564"/>
      <c r="H51" s="564"/>
      <c r="I51" s="564"/>
      <c r="J51" s="564"/>
      <c r="K51" s="564"/>
      <c r="L51" s="564"/>
      <c r="M51" s="564"/>
      <c r="N51" s="564"/>
      <c r="O51" s="564"/>
      <c r="P51" s="564"/>
      <c r="Q51" s="558"/>
      <c r="R51" s="558"/>
      <c r="S51" s="558"/>
      <c r="T51" s="558"/>
      <c r="U51" s="558"/>
      <c r="V51" s="558"/>
      <c r="W51" s="558"/>
    </row>
    <row r="52" spans="1:25">
      <c r="A52" s="558"/>
      <c r="B52" s="558"/>
      <c r="C52" s="558"/>
      <c r="D52" s="558"/>
      <c r="E52" s="558"/>
      <c r="F52" s="558"/>
      <c r="G52" s="564"/>
      <c r="H52" s="564"/>
      <c r="I52" s="564"/>
      <c r="J52" s="564"/>
      <c r="K52" s="564"/>
      <c r="L52" s="564"/>
      <c r="M52" s="564"/>
      <c r="N52" s="564"/>
      <c r="O52" s="564"/>
      <c r="P52" s="564"/>
      <c r="Q52" s="558"/>
      <c r="R52" s="558"/>
      <c r="S52" s="558"/>
      <c r="T52" s="558"/>
      <c r="U52" s="558"/>
      <c r="V52" s="558"/>
      <c r="W52" s="558"/>
    </row>
    <row r="53" spans="1:25">
      <c r="A53" s="558"/>
      <c r="B53" s="558"/>
      <c r="C53" s="558"/>
      <c r="D53" s="558"/>
      <c r="E53" s="558"/>
      <c r="F53" s="558"/>
      <c r="G53" s="564"/>
      <c r="H53" s="564"/>
      <c r="I53" s="564"/>
      <c r="J53" s="564"/>
      <c r="K53" s="564"/>
      <c r="L53" s="558"/>
      <c r="M53" s="558"/>
      <c r="N53" s="558"/>
      <c r="O53" s="558"/>
      <c r="P53" s="564"/>
      <c r="Q53" s="564"/>
      <c r="R53" s="564"/>
      <c r="S53" s="564"/>
      <c r="T53" s="564"/>
      <c r="U53" s="564"/>
      <c r="V53" s="564"/>
      <c r="W53" s="564"/>
      <c r="X53" s="544"/>
      <c r="Y53" s="544"/>
    </row>
    <row r="54" spans="1:25">
      <c r="A54" s="558"/>
      <c r="B54" s="558"/>
      <c r="C54" s="558"/>
      <c r="D54" s="558"/>
      <c r="E54" s="558"/>
      <c r="F54" s="558"/>
      <c r="G54" s="564"/>
      <c r="H54" s="564"/>
      <c r="I54" s="564"/>
      <c r="J54" s="564"/>
      <c r="K54" s="564"/>
      <c r="L54" s="564"/>
      <c r="M54" s="564"/>
      <c r="N54" s="564"/>
      <c r="O54" s="564"/>
      <c r="P54" s="564"/>
      <c r="Q54" s="564"/>
      <c r="R54" s="564"/>
      <c r="S54" s="564"/>
      <c r="T54" s="564"/>
      <c r="U54" s="564"/>
      <c r="V54" s="564"/>
      <c r="W54" s="564"/>
      <c r="X54" s="544"/>
      <c r="Y54" s="544"/>
    </row>
    <row r="55" spans="1:25">
      <c r="A55" s="558"/>
      <c r="B55" s="558"/>
      <c r="C55" s="558"/>
      <c r="D55" s="558"/>
      <c r="E55" s="558"/>
      <c r="F55" s="558"/>
      <c r="G55" s="564"/>
      <c r="H55" s="564"/>
      <c r="I55" s="564"/>
      <c r="J55" s="564"/>
      <c r="K55" s="564"/>
      <c r="L55" s="564"/>
      <c r="M55" s="564"/>
      <c r="N55" s="564"/>
      <c r="O55" s="564"/>
      <c r="P55" s="558"/>
      <c r="Q55" s="558"/>
      <c r="R55" s="558"/>
      <c r="S55" s="558"/>
      <c r="T55" s="558"/>
      <c r="U55" s="558"/>
      <c r="V55" s="558"/>
      <c r="W55" s="558"/>
    </row>
    <row r="56" spans="1:25">
      <c r="A56" s="558"/>
      <c r="B56" s="558"/>
      <c r="C56" s="558"/>
      <c r="D56" s="558"/>
      <c r="E56" s="558"/>
      <c r="F56" s="558"/>
      <c r="G56" s="558"/>
      <c r="H56" s="558"/>
      <c r="I56" s="558"/>
      <c r="J56" s="558"/>
      <c r="K56" s="558"/>
      <c r="L56" s="558"/>
      <c r="M56" s="558"/>
      <c r="N56" s="558"/>
      <c r="O56" s="558"/>
      <c r="P56" s="558"/>
      <c r="Q56" s="558"/>
      <c r="R56" s="558"/>
      <c r="S56" s="558"/>
      <c r="T56" s="558"/>
      <c r="U56" s="558"/>
      <c r="V56" s="558"/>
      <c r="W56" s="558"/>
    </row>
    <row r="57" spans="1:25">
      <c r="A57" s="558"/>
      <c r="B57" s="558"/>
      <c r="C57" s="558"/>
      <c r="D57" s="558"/>
      <c r="E57" s="558"/>
      <c r="F57" s="558"/>
      <c r="G57" s="558"/>
      <c r="H57" s="558"/>
      <c r="I57" s="558"/>
      <c r="J57" s="558"/>
      <c r="K57" s="558"/>
      <c r="L57" s="558"/>
      <c r="M57" s="558"/>
      <c r="N57" s="558"/>
      <c r="O57" s="558"/>
      <c r="P57" s="558"/>
      <c r="Q57" s="558"/>
      <c r="R57" s="558"/>
      <c r="S57" s="558"/>
      <c r="T57" s="558"/>
      <c r="U57" s="558"/>
      <c r="V57" s="558"/>
      <c r="W57" s="558"/>
    </row>
  </sheetData>
  <sheetProtection algorithmName="SHA-512" hashValue="29Jvy1+0EPKTVrY9vF3Tog2tw7Yj9nqLD+zaT4uIAVQG9j2+Pv4ZmjKfn1IF838/6PyE4xfAe4B+8ncq4/iHZA==" saltValue="O8fvlCxff3OG/xUhU8r6hg==" spinCount="100000" sheet="1" objects="1" scenarios="1"/>
  <mergeCells count="1">
    <mergeCell ref="L6:Q6"/>
  </mergeCells>
  <printOptions horizontalCentered="1" verticalCentered="1"/>
  <pageMargins left="0.19685039370078741" right="0.19685039370078741" top="0.19685039370078741" bottom="0.19685039370078741" header="0.19685039370078741" footer="0.19685039370078741"/>
  <pageSetup paperSize="9" scale="67"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288769" r:id="rId4" name="Drop Down 1">
              <controlPr defaultSize="0" autoLine="0" autoPict="0">
                <anchor moveWithCells="1">
                  <from>
                    <xdr:col>3</xdr:col>
                    <xdr:colOff>9525</xdr:colOff>
                    <xdr:row>26</xdr:row>
                    <xdr:rowOff>9525</xdr:rowOff>
                  </from>
                  <to>
                    <xdr:col>4</xdr:col>
                    <xdr:colOff>190500</xdr:colOff>
                    <xdr:row>27</xdr:row>
                    <xdr:rowOff>38100</xdr:rowOff>
                  </to>
                </anchor>
              </controlPr>
            </control>
          </mc:Choice>
        </mc:AlternateContent>
        <mc:AlternateContent xmlns:mc="http://schemas.openxmlformats.org/markup-compatibility/2006">
          <mc:Choice Requires="x14">
            <control shapeId="288770" r:id="rId5" name="Drop Down 2">
              <controlPr defaultSize="0" autoLine="0" autoPict="0">
                <anchor moveWithCells="1">
                  <from>
                    <xdr:col>11</xdr:col>
                    <xdr:colOff>28575</xdr:colOff>
                    <xdr:row>26</xdr:row>
                    <xdr:rowOff>9525</xdr:rowOff>
                  </from>
                  <to>
                    <xdr:col>12</xdr:col>
                    <xdr:colOff>295275</xdr:colOff>
                    <xdr:row>27</xdr:row>
                    <xdr:rowOff>28575</xdr:rowOff>
                  </to>
                </anchor>
              </controlPr>
            </control>
          </mc:Choice>
        </mc:AlternateContent>
        <mc:AlternateContent xmlns:mc="http://schemas.openxmlformats.org/markup-compatibility/2006">
          <mc:Choice Requires="x14">
            <control shapeId="288771" r:id="rId6" name="Drop Down 3">
              <controlPr defaultSize="0" autoLine="0" autoPict="0">
                <anchor moveWithCells="1">
                  <from>
                    <xdr:col>19</xdr:col>
                    <xdr:colOff>28575</xdr:colOff>
                    <xdr:row>26</xdr:row>
                    <xdr:rowOff>19050</xdr:rowOff>
                  </from>
                  <to>
                    <xdr:col>20</xdr:col>
                    <xdr:colOff>180975</xdr:colOff>
                    <xdr:row>27</xdr:row>
                    <xdr:rowOff>47625</xdr:rowOff>
                  </to>
                </anchor>
              </controlPr>
            </control>
          </mc:Choice>
        </mc:AlternateContent>
        <mc:AlternateContent xmlns:mc="http://schemas.openxmlformats.org/markup-compatibility/2006">
          <mc:Choice Requires="x14">
            <control shapeId="288772" r:id="rId7" name="Drop Down 4">
              <controlPr defaultSize="0" autoLine="0" autoPict="0">
                <anchor moveWithCells="1">
                  <from>
                    <xdr:col>3</xdr:col>
                    <xdr:colOff>295275</xdr:colOff>
                    <xdr:row>2</xdr:row>
                    <xdr:rowOff>171450</xdr:rowOff>
                  </from>
                  <to>
                    <xdr:col>5</xdr:col>
                    <xdr:colOff>495300</xdr:colOff>
                    <xdr:row>3</xdr:row>
                    <xdr:rowOff>180975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2E853-8DCC-449D-8F5D-C411D32A74EF}">
  <sheetPr>
    <tabColor rgb="FFFFFF00"/>
  </sheetPr>
  <dimension ref="A1:AB96"/>
  <sheetViews>
    <sheetView showGridLines="0" showRowColHeaders="0" zoomScaleNormal="100" zoomScaleSheetLayoutView="100" workbookViewId="0"/>
  </sheetViews>
  <sheetFormatPr defaultColWidth="8.7109375" defaultRowHeight="15"/>
  <cols>
    <col min="1" max="11" width="8.42578125" style="542" customWidth="1"/>
    <col min="12" max="12" width="7" style="542" customWidth="1"/>
    <col min="13" max="27" width="8.7109375" style="542"/>
    <col min="28" max="28" width="11.28515625" style="542" bestFit="1" customWidth="1"/>
    <col min="29" max="16384" width="8.7109375" style="542"/>
  </cols>
  <sheetData>
    <row r="1" spans="1:28">
      <c r="A1" s="558"/>
      <c r="B1" s="558"/>
      <c r="C1" s="558"/>
      <c r="D1" s="558"/>
      <c r="E1" s="558"/>
      <c r="F1" s="558"/>
      <c r="G1" s="558"/>
      <c r="H1" s="558"/>
      <c r="I1" s="558"/>
      <c r="J1" s="558"/>
      <c r="K1" s="558"/>
      <c r="L1" s="558"/>
      <c r="M1" s="558"/>
      <c r="N1" s="558"/>
      <c r="O1" s="558"/>
      <c r="P1" s="558"/>
      <c r="Q1" s="558"/>
      <c r="R1" s="558"/>
      <c r="S1" s="558"/>
      <c r="T1" s="558"/>
      <c r="U1" s="558"/>
      <c r="V1" s="558"/>
      <c r="W1" s="558"/>
    </row>
    <row r="2" spans="1:28">
      <c r="A2" s="558"/>
      <c r="B2" s="558"/>
      <c r="C2" s="558"/>
      <c r="D2" s="558"/>
      <c r="E2" s="558"/>
      <c r="F2" s="558"/>
      <c r="G2" s="558"/>
      <c r="H2" s="558"/>
      <c r="I2" s="558"/>
      <c r="J2" s="558"/>
      <c r="K2" s="558"/>
      <c r="L2" s="558"/>
      <c r="M2" s="558"/>
      <c r="N2" s="558"/>
      <c r="O2" s="558"/>
      <c r="P2" s="558"/>
      <c r="Q2" s="558"/>
      <c r="R2" s="558"/>
      <c r="S2" s="558"/>
      <c r="T2" s="558"/>
      <c r="U2" s="558"/>
      <c r="V2" s="558"/>
      <c r="W2" s="558"/>
    </row>
    <row r="3" spans="1:28">
      <c r="A3" s="558"/>
      <c r="B3" s="558"/>
      <c r="C3" s="558"/>
      <c r="D3" s="558"/>
      <c r="E3" s="558"/>
      <c r="F3" s="558"/>
      <c r="G3" s="558"/>
      <c r="H3" s="558"/>
      <c r="I3" s="558"/>
      <c r="J3" s="558"/>
      <c r="K3" s="558"/>
      <c r="L3" s="558"/>
      <c r="M3" s="558"/>
      <c r="N3" s="558"/>
      <c r="O3" s="558"/>
      <c r="P3" s="558"/>
      <c r="Q3" s="558"/>
      <c r="R3" s="558"/>
      <c r="S3" s="558"/>
      <c r="T3" s="558"/>
      <c r="U3" s="558"/>
      <c r="V3" s="558"/>
      <c r="W3" s="558"/>
    </row>
    <row r="4" spans="1:28">
      <c r="A4" s="558"/>
      <c r="B4" s="558"/>
      <c r="C4" s="558"/>
      <c r="D4" s="558"/>
      <c r="E4" s="558"/>
      <c r="F4" s="558"/>
      <c r="G4" s="558"/>
      <c r="H4" s="558"/>
      <c r="I4" s="558"/>
      <c r="J4" s="558"/>
      <c r="K4" s="558"/>
      <c r="L4" s="558"/>
      <c r="M4" s="558"/>
      <c r="N4" s="558"/>
      <c r="O4" s="558"/>
      <c r="P4" s="558"/>
      <c r="Q4" s="558"/>
      <c r="R4" s="558"/>
      <c r="S4" s="558"/>
      <c r="T4" s="558"/>
      <c r="U4" s="558"/>
      <c r="V4" s="558"/>
      <c r="W4" s="558"/>
    </row>
    <row r="5" spans="1:28">
      <c r="A5" s="558"/>
      <c r="B5" s="558"/>
      <c r="C5" s="558"/>
      <c r="D5" s="558"/>
      <c r="E5" s="558"/>
      <c r="F5" s="558"/>
      <c r="G5" s="558"/>
      <c r="H5" s="558"/>
      <c r="I5" s="558"/>
      <c r="J5" s="558"/>
      <c r="K5" s="558"/>
      <c r="L5" s="558"/>
      <c r="M5" s="558"/>
      <c r="N5" s="558"/>
      <c r="O5" s="558"/>
      <c r="P5" s="558"/>
      <c r="Q5" s="558"/>
      <c r="R5" s="558"/>
      <c r="S5" s="558"/>
      <c r="T5" s="558"/>
      <c r="U5" s="558"/>
      <c r="V5" s="558"/>
      <c r="W5" s="558"/>
      <c r="Z5" s="550"/>
    </row>
    <row r="6" spans="1:28">
      <c r="A6" s="558"/>
      <c r="B6" s="558"/>
      <c r="C6" s="558"/>
      <c r="D6" s="558"/>
      <c r="E6" s="558"/>
      <c r="F6" s="558"/>
      <c r="G6" s="559"/>
      <c r="H6" s="558"/>
      <c r="I6" s="558"/>
      <c r="J6" s="558"/>
      <c r="K6" s="558"/>
      <c r="L6" s="574"/>
      <c r="M6" s="574"/>
      <c r="N6" s="574"/>
      <c r="O6" s="574"/>
      <c r="P6" s="574"/>
      <c r="Q6" s="574"/>
      <c r="R6" s="558"/>
      <c r="S6" s="558"/>
      <c r="T6" s="558"/>
      <c r="U6" s="558"/>
      <c r="V6" s="558"/>
      <c r="W6" s="558"/>
    </row>
    <row r="7" spans="1:28">
      <c r="A7" s="575"/>
      <c r="B7" s="575"/>
      <c r="C7" s="575"/>
      <c r="D7" s="575"/>
      <c r="E7" s="575"/>
      <c r="F7" s="575"/>
      <c r="G7" s="558"/>
      <c r="H7" s="558"/>
      <c r="I7" s="558"/>
      <c r="J7" s="558"/>
      <c r="K7" s="558"/>
      <c r="L7" s="558"/>
      <c r="M7" s="558"/>
      <c r="N7" s="558"/>
      <c r="O7" s="558"/>
      <c r="P7" s="558"/>
      <c r="Q7" s="558"/>
      <c r="R7" s="558"/>
      <c r="S7" s="558"/>
      <c r="T7" s="558"/>
      <c r="U7" s="558"/>
      <c r="V7" s="558"/>
      <c r="W7" s="558"/>
    </row>
    <row r="8" spans="1:28" ht="15" customHeight="1">
      <c r="A8" s="558"/>
      <c r="B8" s="558"/>
      <c r="C8" s="558"/>
      <c r="D8" s="558"/>
      <c r="E8" s="558"/>
      <c r="F8" s="558"/>
      <c r="G8" s="558"/>
      <c r="H8" s="558"/>
      <c r="I8" s="558"/>
      <c r="J8" s="558"/>
      <c r="K8" s="558"/>
      <c r="L8" s="558"/>
      <c r="M8" s="558"/>
      <c r="N8" s="558"/>
      <c r="O8" s="558"/>
      <c r="P8" s="558"/>
      <c r="Q8" s="558"/>
      <c r="R8" s="558"/>
      <c r="S8" s="558"/>
      <c r="T8" s="558"/>
      <c r="U8" s="558"/>
      <c r="V8" s="558"/>
      <c r="W8" s="558"/>
    </row>
    <row r="9" spans="1:28" ht="15" customHeight="1">
      <c r="A9" s="558"/>
      <c r="B9" s="558"/>
      <c r="C9" s="558"/>
      <c r="D9" s="558"/>
      <c r="E9" s="558"/>
      <c r="F9" s="558"/>
      <c r="G9" s="558"/>
      <c r="H9" s="558"/>
      <c r="I9" s="558"/>
      <c r="J9" s="558"/>
      <c r="K9" s="558"/>
      <c r="L9" s="558"/>
      <c r="M9" s="558"/>
      <c r="N9" s="558"/>
      <c r="O9" s="558"/>
      <c r="P9" s="558"/>
      <c r="Q9" s="558"/>
      <c r="R9" s="558"/>
      <c r="S9" s="558"/>
      <c r="T9" s="558"/>
      <c r="U9" s="558"/>
      <c r="V9" s="558"/>
      <c r="W9" s="558"/>
    </row>
    <row r="10" spans="1:28">
      <c r="A10" s="558"/>
      <c r="B10" s="558"/>
      <c r="C10" s="558"/>
      <c r="D10" s="558"/>
      <c r="E10" s="558"/>
      <c r="F10" s="558"/>
      <c r="G10" s="558"/>
      <c r="H10" s="558"/>
      <c r="I10" s="558"/>
      <c r="J10" s="558"/>
      <c r="K10" s="558"/>
      <c r="L10" s="558"/>
      <c r="M10" s="558"/>
      <c r="N10" s="558"/>
      <c r="O10" s="558"/>
      <c r="P10" s="558"/>
      <c r="Q10" s="558"/>
      <c r="R10" s="558"/>
      <c r="S10" s="558"/>
      <c r="T10" s="558"/>
      <c r="U10" s="558"/>
      <c r="V10" s="558"/>
      <c r="W10" s="558"/>
      <c r="AB10" s="551"/>
    </row>
    <row r="11" spans="1:28" ht="15" customHeight="1">
      <c r="A11" s="558"/>
      <c r="B11" s="558"/>
      <c r="C11" s="558"/>
      <c r="D11" s="558"/>
      <c r="E11" s="558"/>
      <c r="F11" s="558"/>
      <c r="G11" s="558"/>
      <c r="H11" s="558"/>
      <c r="I11" s="558"/>
      <c r="J11" s="558"/>
      <c r="K11" s="558"/>
      <c r="L11" s="558"/>
      <c r="M11" s="558"/>
      <c r="N11" s="558"/>
      <c r="O11" s="558"/>
      <c r="P11" s="558"/>
      <c r="Q11" s="558"/>
      <c r="R11" s="558"/>
      <c r="S11" s="558"/>
      <c r="T11" s="558"/>
      <c r="U11" s="558"/>
      <c r="V11" s="558"/>
      <c r="W11" s="558"/>
    </row>
    <row r="12" spans="1:28" ht="15" customHeight="1">
      <c r="A12" s="558"/>
      <c r="B12" s="558"/>
      <c r="C12" s="558"/>
      <c r="D12" s="558"/>
      <c r="E12" s="558"/>
      <c r="F12" s="558"/>
      <c r="G12" s="558"/>
      <c r="H12" s="558"/>
      <c r="I12" s="558"/>
      <c r="J12" s="558"/>
      <c r="K12" s="558"/>
      <c r="L12" s="558"/>
      <c r="M12" s="558"/>
      <c r="N12" s="558"/>
      <c r="O12" s="558"/>
      <c r="P12" s="558"/>
      <c r="Q12" s="558"/>
      <c r="R12" s="558"/>
      <c r="S12" s="558"/>
      <c r="T12" s="558"/>
      <c r="U12" s="558"/>
      <c r="V12" s="558"/>
      <c r="W12" s="558"/>
    </row>
    <row r="13" spans="1:28">
      <c r="A13" s="558"/>
      <c r="B13" s="558"/>
      <c r="C13" s="558"/>
      <c r="D13" s="558"/>
      <c r="E13" s="558"/>
      <c r="F13" s="558"/>
      <c r="G13" s="558"/>
      <c r="H13" s="558"/>
      <c r="I13" s="558"/>
      <c r="J13" s="558"/>
      <c r="K13" s="558"/>
      <c r="L13" s="558"/>
      <c r="M13" s="558"/>
      <c r="N13" s="558"/>
      <c r="O13" s="558"/>
      <c r="P13" s="558"/>
      <c r="Q13" s="558"/>
      <c r="R13" s="558"/>
      <c r="S13" s="558"/>
      <c r="T13" s="558"/>
      <c r="U13" s="558"/>
      <c r="V13" s="558"/>
      <c r="W13" s="558"/>
    </row>
    <row r="14" spans="1:28">
      <c r="A14" s="558"/>
      <c r="B14" s="558"/>
      <c r="C14" s="558"/>
      <c r="D14" s="558"/>
      <c r="E14" s="558"/>
      <c r="F14" s="558"/>
      <c r="G14" s="558"/>
      <c r="H14" s="558"/>
      <c r="I14" s="558"/>
      <c r="J14" s="558"/>
      <c r="K14" s="558"/>
      <c r="L14" s="558"/>
      <c r="M14" s="558"/>
      <c r="N14" s="558"/>
      <c r="O14" s="558"/>
      <c r="P14" s="558"/>
      <c r="Q14" s="558"/>
      <c r="R14" s="558"/>
      <c r="S14" s="558"/>
      <c r="T14" s="558"/>
      <c r="U14" s="558"/>
      <c r="V14" s="558"/>
      <c r="W14" s="558"/>
    </row>
    <row r="15" spans="1:28">
      <c r="A15" s="558"/>
      <c r="B15" s="558"/>
      <c r="C15" s="558"/>
      <c r="D15" s="558"/>
      <c r="E15" s="558"/>
      <c r="F15" s="558"/>
      <c r="G15" s="558"/>
      <c r="H15" s="558"/>
      <c r="I15" s="558"/>
      <c r="J15" s="558"/>
      <c r="K15" s="558"/>
      <c r="L15" s="558"/>
      <c r="M15" s="558"/>
      <c r="N15" s="558"/>
      <c r="O15" s="558"/>
      <c r="P15" s="558"/>
      <c r="Q15" s="558"/>
      <c r="R15" s="558"/>
      <c r="S15" s="558"/>
      <c r="T15" s="558"/>
      <c r="U15" s="558"/>
      <c r="V15" s="558"/>
      <c r="W15" s="558"/>
    </row>
    <row r="16" spans="1:28">
      <c r="A16" s="558"/>
      <c r="B16" s="558"/>
      <c r="C16" s="558"/>
      <c r="D16" s="558"/>
      <c r="E16" s="558"/>
      <c r="F16" s="558"/>
      <c r="G16" s="558"/>
      <c r="H16" s="558"/>
      <c r="I16" s="558"/>
      <c r="J16" s="558"/>
      <c r="K16" s="558"/>
      <c r="L16" s="558"/>
      <c r="M16" s="558"/>
      <c r="N16" s="558"/>
      <c r="O16" s="558"/>
      <c r="P16" s="558"/>
      <c r="Q16" s="558"/>
      <c r="R16" s="558"/>
      <c r="S16" s="558"/>
      <c r="T16" s="558"/>
      <c r="U16" s="558"/>
      <c r="V16" s="558"/>
      <c r="W16" s="558"/>
    </row>
    <row r="17" spans="1:28">
      <c r="A17" s="558"/>
      <c r="B17" s="558"/>
      <c r="C17" s="558"/>
      <c r="D17" s="558"/>
      <c r="E17" s="558"/>
      <c r="F17" s="558"/>
      <c r="G17" s="558"/>
      <c r="H17" s="558"/>
      <c r="I17" s="558"/>
      <c r="J17" s="558"/>
      <c r="K17" s="558"/>
      <c r="L17" s="558"/>
      <c r="M17" s="558"/>
      <c r="N17" s="558"/>
      <c r="O17" s="558"/>
      <c r="P17" s="558"/>
      <c r="Q17" s="558"/>
      <c r="R17" s="558"/>
      <c r="S17" s="558"/>
      <c r="T17" s="558"/>
      <c r="U17" s="558"/>
      <c r="V17" s="558"/>
      <c r="W17" s="558"/>
    </row>
    <row r="18" spans="1:28">
      <c r="A18" s="558"/>
      <c r="B18" s="558"/>
      <c r="C18" s="558"/>
      <c r="D18" s="558"/>
      <c r="E18" s="558"/>
      <c r="F18" s="558"/>
      <c r="G18" s="558"/>
      <c r="H18" s="558"/>
      <c r="I18" s="558"/>
      <c r="J18" s="558"/>
      <c r="K18" s="558"/>
      <c r="L18" s="558"/>
      <c r="M18" s="558"/>
      <c r="N18" s="558"/>
      <c r="O18" s="558"/>
      <c r="P18" s="558"/>
      <c r="Q18" s="558"/>
      <c r="R18" s="558"/>
      <c r="S18" s="558"/>
      <c r="T18" s="558"/>
      <c r="U18" s="558"/>
      <c r="V18" s="558"/>
      <c r="W18" s="558"/>
    </row>
    <row r="19" spans="1:28">
      <c r="A19" s="558"/>
      <c r="B19" s="558"/>
      <c r="C19" s="558"/>
      <c r="D19" s="558"/>
      <c r="E19" s="558"/>
      <c r="F19" s="558"/>
      <c r="G19" s="558"/>
      <c r="H19" s="558"/>
      <c r="I19" s="558"/>
      <c r="J19" s="558"/>
      <c r="K19" s="558"/>
      <c r="L19" s="558"/>
      <c r="M19" s="558"/>
      <c r="N19" s="558"/>
      <c r="O19" s="558"/>
      <c r="P19" s="558"/>
      <c r="Q19" s="558"/>
      <c r="R19" s="558"/>
      <c r="S19" s="558"/>
      <c r="T19" s="558"/>
      <c r="U19" s="558"/>
      <c r="V19" s="558"/>
      <c r="W19" s="558"/>
      <c r="AB19" s="552"/>
    </row>
    <row r="20" spans="1:28">
      <c r="A20" s="558"/>
      <c r="B20" s="558"/>
      <c r="C20" s="558"/>
      <c r="D20" s="558"/>
      <c r="E20" s="558"/>
      <c r="F20" s="558"/>
      <c r="G20" s="558"/>
      <c r="H20" s="558"/>
      <c r="I20" s="558"/>
      <c r="J20" s="558"/>
      <c r="K20" s="558"/>
      <c r="L20" s="558"/>
      <c r="M20" s="558"/>
      <c r="N20" s="558"/>
      <c r="O20" s="558"/>
      <c r="P20" s="558"/>
      <c r="Q20" s="558"/>
      <c r="R20" s="558"/>
      <c r="S20" s="558"/>
      <c r="T20" s="558"/>
      <c r="U20" s="558"/>
      <c r="V20" s="558"/>
      <c r="W20" s="558"/>
      <c r="AB20" s="552"/>
    </row>
    <row r="21" spans="1:28">
      <c r="A21" s="558"/>
      <c r="B21" s="558"/>
      <c r="C21" s="558"/>
      <c r="D21" s="558"/>
      <c r="E21" s="558"/>
      <c r="F21" s="558"/>
      <c r="G21" s="558"/>
      <c r="H21" s="558"/>
      <c r="I21" s="558"/>
      <c r="J21" s="558"/>
      <c r="K21" s="558"/>
      <c r="L21" s="558"/>
      <c r="M21" s="558"/>
      <c r="N21" s="558"/>
      <c r="O21" s="558"/>
      <c r="P21" s="558"/>
      <c r="Q21" s="558"/>
      <c r="R21" s="558"/>
      <c r="S21" s="558"/>
      <c r="T21" s="558"/>
      <c r="U21" s="558"/>
      <c r="V21" s="558"/>
      <c r="W21" s="558"/>
      <c r="AB21" s="553"/>
    </row>
    <row r="22" spans="1:28">
      <c r="A22" s="558"/>
      <c r="B22" s="558"/>
      <c r="C22" s="558"/>
      <c r="D22" s="558"/>
      <c r="E22" s="558"/>
      <c r="F22" s="558"/>
      <c r="G22" s="558"/>
      <c r="H22" s="558"/>
      <c r="I22" s="558"/>
      <c r="J22" s="558"/>
      <c r="K22" s="558"/>
      <c r="L22" s="558"/>
      <c r="M22" s="558"/>
      <c r="N22" s="558"/>
      <c r="O22" s="558"/>
      <c r="P22" s="558"/>
      <c r="Q22" s="558"/>
      <c r="R22" s="558"/>
      <c r="S22" s="558"/>
      <c r="T22" s="558"/>
      <c r="U22" s="558"/>
      <c r="V22" s="558"/>
      <c r="W22" s="558"/>
    </row>
    <row r="23" spans="1:28">
      <c r="A23" s="558"/>
      <c r="B23" s="558"/>
      <c r="C23" s="558"/>
      <c r="D23" s="558"/>
      <c r="E23" s="558"/>
      <c r="F23" s="558"/>
      <c r="G23" s="558"/>
      <c r="H23" s="558"/>
      <c r="I23" s="558"/>
      <c r="J23" s="558"/>
      <c r="K23" s="558"/>
      <c r="L23" s="558"/>
      <c r="M23" s="558"/>
      <c r="N23" s="558"/>
      <c r="O23" s="558"/>
      <c r="P23" s="558"/>
      <c r="Q23" s="558"/>
      <c r="R23" s="558"/>
      <c r="S23" s="558"/>
      <c r="T23" s="558"/>
      <c r="U23" s="558"/>
      <c r="V23" s="558"/>
      <c r="W23" s="558"/>
    </row>
    <row r="24" spans="1:28">
      <c r="A24" s="558"/>
      <c r="B24" s="558"/>
      <c r="C24" s="558"/>
      <c r="D24" s="558"/>
      <c r="E24" s="558"/>
      <c r="F24" s="558"/>
      <c r="G24" s="558"/>
      <c r="H24" s="558"/>
      <c r="I24" s="558"/>
      <c r="J24" s="558"/>
      <c r="K24" s="558"/>
      <c r="L24" s="558"/>
      <c r="M24" s="558"/>
      <c r="N24" s="558"/>
      <c r="O24" s="558"/>
      <c r="P24" s="558"/>
      <c r="Q24" s="558"/>
      <c r="R24" s="558"/>
      <c r="S24" s="558"/>
      <c r="T24" s="558"/>
      <c r="U24" s="558"/>
      <c r="V24" s="558"/>
      <c r="W24" s="558"/>
    </row>
    <row r="25" spans="1:28">
      <c r="A25" s="558"/>
      <c r="B25" s="558"/>
      <c r="C25" s="558"/>
      <c r="D25" s="558"/>
      <c r="E25" s="558"/>
      <c r="F25" s="558"/>
      <c r="G25" s="558"/>
      <c r="H25" s="558"/>
      <c r="I25" s="558"/>
      <c r="J25" s="558"/>
      <c r="K25" s="558"/>
      <c r="L25" s="558"/>
      <c r="M25" s="558"/>
      <c r="N25" s="558"/>
      <c r="O25" s="558"/>
      <c r="P25" s="558"/>
      <c r="Q25" s="558"/>
      <c r="R25" s="558"/>
      <c r="S25" s="558"/>
      <c r="T25" s="558"/>
      <c r="U25" s="558"/>
      <c r="V25" s="558"/>
      <c r="W25" s="558"/>
    </row>
    <row r="26" spans="1:28">
      <c r="A26" s="558"/>
      <c r="B26" s="558"/>
      <c r="C26" s="558"/>
      <c r="D26" s="558"/>
      <c r="E26" s="558"/>
      <c r="F26" s="558"/>
      <c r="G26" s="558"/>
      <c r="H26" s="558"/>
      <c r="I26" s="558"/>
      <c r="J26" s="558"/>
      <c r="K26" s="558"/>
      <c r="L26" s="558"/>
      <c r="M26" s="558"/>
      <c r="N26" s="558"/>
      <c r="O26" s="558"/>
      <c r="P26" s="558"/>
      <c r="Q26" s="558"/>
      <c r="R26" s="558"/>
      <c r="S26" s="558"/>
      <c r="T26" s="558"/>
      <c r="U26" s="558"/>
      <c r="V26" s="558"/>
      <c r="W26" s="558"/>
    </row>
    <row r="27" spans="1:28">
      <c r="A27" s="558"/>
      <c r="B27" s="558"/>
      <c r="C27" s="558"/>
      <c r="D27" s="558"/>
      <c r="E27" s="558"/>
      <c r="F27" s="558"/>
      <c r="G27" s="558"/>
      <c r="H27" s="558"/>
      <c r="I27" s="558"/>
      <c r="J27" s="558"/>
      <c r="K27" s="558"/>
      <c r="L27" s="558"/>
      <c r="M27" s="558"/>
      <c r="N27" s="558"/>
      <c r="O27" s="558"/>
      <c r="P27" s="558"/>
      <c r="Q27" s="558"/>
      <c r="R27" s="558"/>
      <c r="S27" s="558"/>
      <c r="T27" s="558"/>
      <c r="U27" s="558"/>
      <c r="V27" s="558"/>
      <c r="W27" s="558"/>
    </row>
    <row r="28" spans="1:28">
      <c r="A28" s="558"/>
      <c r="B28" s="558"/>
      <c r="C28" s="558"/>
      <c r="D28" s="558"/>
      <c r="E28" s="558"/>
      <c r="F28" s="558"/>
      <c r="G28" s="558"/>
      <c r="H28" s="558"/>
      <c r="I28" s="558"/>
      <c r="J28" s="558"/>
      <c r="K28" s="558"/>
      <c r="L28" s="558"/>
      <c r="M28" s="558"/>
      <c r="N28" s="558"/>
      <c r="O28" s="558"/>
      <c r="P28" s="562"/>
      <c r="Q28" s="562"/>
      <c r="R28" s="562"/>
      <c r="S28" s="562"/>
      <c r="T28" s="562"/>
      <c r="U28" s="562"/>
      <c r="V28" s="562"/>
      <c r="W28" s="562"/>
      <c r="X28" s="543"/>
      <c r="Y28" s="543"/>
    </row>
    <row r="29" spans="1:28">
      <c r="A29" s="558"/>
      <c r="B29" s="558"/>
      <c r="C29" s="558"/>
      <c r="D29" s="558"/>
      <c r="E29" s="558"/>
      <c r="F29" s="558"/>
      <c r="G29" s="558"/>
      <c r="H29" s="558"/>
      <c r="I29" s="558"/>
      <c r="J29" s="558"/>
      <c r="K29" s="558"/>
      <c r="L29" s="558"/>
      <c r="M29" s="558"/>
      <c r="N29" s="558"/>
      <c r="O29" s="558"/>
      <c r="P29" s="563"/>
      <c r="Q29" s="563"/>
      <c r="R29" s="563"/>
      <c r="S29" s="563"/>
      <c r="T29" s="563"/>
      <c r="U29" s="563"/>
      <c r="V29" s="558"/>
      <c r="W29" s="564"/>
      <c r="X29" s="544"/>
      <c r="Y29" s="554"/>
    </row>
    <row r="30" spans="1:28">
      <c r="A30" s="558"/>
      <c r="B30" s="558"/>
      <c r="C30" s="558"/>
      <c r="D30" s="558"/>
      <c r="E30" s="558"/>
      <c r="F30" s="558"/>
      <c r="G30" s="558"/>
      <c r="H30" s="558"/>
      <c r="I30" s="558"/>
      <c r="J30" s="558"/>
      <c r="K30" s="558"/>
      <c r="L30" s="558"/>
      <c r="M30" s="558"/>
      <c r="N30" s="558"/>
      <c r="O30" s="558"/>
      <c r="P30" s="558"/>
      <c r="Q30" s="558"/>
      <c r="R30" s="558"/>
      <c r="S30" s="558"/>
      <c r="T30" s="558"/>
      <c r="U30" s="558"/>
      <c r="V30" s="558"/>
      <c r="W30" s="558"/>
    </row>
    <row r="31" spans="1:28">
      <c r="A31" s="558"/>
      <c r="B31" s="558"/>
      <c r="C31" s="558"/>
      <c r="D31" s="558"/>
      <c r="E31" s="558"/>
      <c r="F31" s="558"/>
      <c r="G31" s="558"/>
      <c r="H31" s="558"/>
      <c r="I31" s="558"/>
      <c r="J31" s="558"/>
      <c r="K31" s="558"/>
      <c r="L31" s="558"/>
      <c r="M31" s="558"/>
      <c r="N31" s="558"/>
      <c r="O31" s="558"/>
      <c r="P31" s="565"/>
      <c r="Q31" s="558"/>
      <c r="R31" s="558"/>
      <c r="S31" s="558"/>
      <c r="T31" s="558"/>
      <c r="U31" s="558"/>
      <c r="V31" s="558"/>
      <c r="W31" s="558"/>
    </row>
    <row r="32" spans="1:28">
      <c r="A32" s="558"/>
      <c r="B32" s="558"/>
      <c r="C32" s="558"/>
      <c r="D32" s="558"/>
      <c r="E32" s="558"/>
      <c r="F32" s="558"/>
      <c r="G32" s="558"/>
      <c r="H32" s="558"/>
      <c r="I32" s="558"/>
      <c r="J32" s="558"/>
      <c r="K32" s="558"/>
      <c r="L32" s="558"/>
      <c r="M32" s="558"/>
      <c r="N32" s="558"/>
      <c r="O32" s="558"/>
      <c r="P32" s="564"/>
      <c r="Q32" s="558"/>
      <c r="R32" s="558"/>
      <c r="S32" s="558"/>
      <c r="T32" s="558"/>
      <c r="U32" s="558"/>
      <c r="V32" s="558"/>
      <c r="W32" s="558"/>
    </row>
    <row r="33" spans="1:25">
      <c r="A33" s="558"/>
      <c r="B33" s="558"/>
      <c r="C33" s="558"/>
      <c r="D33" s="558"/>
      <c r="E33" s="558"/>
      <c r="F33" s="558"/>
      <c r="G33" s="558"/>
      <c r="H33" s="558"/>
      <c r="I33" s="558"/>
      <c r="J33" s="558"/>
      <c r="K33" s="558"/>
      <c r="L33" s="558"/>
      <c r="M33" s="558"/>
      <c r="N33" s="558"/>
      <c r="O33" s="558"/>
      <c r="P33" s="564"/>
      <c r="Q33" s="558"/>
      <c r="R33" s="558"/>
      <c r="S33" s="558"/>
      <c r="T33" s="558"/>
      <c r="U33" s="558"/>
      <c r="V33" s="558"/>
      <c r="W33" s="558"/>
      <c r="Y33" s="548"/>
    </row>
    <row r="34" spans="1:25">
      <c r="A34" s="558"/>
      <c r="B34" s="558"/>
      <c r="C34" s="558"/>
      <c r="D34" s="558"/>
      <c r="E34" s="558"/>
      <c r="F34" s="558"/>
      <c r="G34" s="558"/>
      <c r="H34" s="558"/>
      <c r="I34" s="558"/>
      <c r="J34" s="558"/>
      <c r="K34" s="558"/>
      <c r="L34" s="558"/>
      <c r="M34" s="558"/>
      <c r="N34" s="558"/>
      <c r="O34" s="558"/>
      <c r="P34" s="564"/>
      <c r="Q34" s="558"/>
      <c r="R34" s="558"/>
      <c r="S34" s="558"/>
      <c r="T34" s="558"/>
      <c r="U34" s="558"/>
      <c r="V34" s="558"/>
      <c r="W34" s="558"/>
    </row>
    <row r="35" spans="1:25">
      <c r="A35" s="570"/>
      <c r="B35" s="558"/>
      <c r="C35" s="558"/>
      <c r="D35" s="558"/>
      <c r="E35" s="558"/>
      <c r="F35" s="558"/>
      <c r="G35" s="558"/>
      <c r="H35" s="566"/>
      <c r="I35" s="558"/>
      <c r="J35" s="565"/>
      <c r="K35" s="558"/>
      <c r="L35" s="558"/>
      <c r="M35" s="564"/>
      <c r="N35" s="564"/>
      <c r="O35" s="564"/>
      <c r="P35" s="564"/>
      <c r="Q35" s="558"/>
      <c r="R35" s="558"/>
      <c r="S35" s="558"/>
      <c r="T35" s="558"/>
      <c r="U35" s="558"/>
      <c r="V35" s="558"/>
      <c r="W35" s="558"/>
    </row>
    <row r="36" spans="1:25">
      <c r="A36" s="570"/>
      <c r="B36" s="558"/>
      <c r="C36" s="558"/>
      <c r="D36" s="558"/>
      <c r="E36" s="558"/>
      <c r="F36" s="558"/>
      <c r="G36" s="558"/>
      <c r="H36" s="566"/>
      <c r="I36" s="558"/>
      <c r="J36" s="565"/>
      <c r="K36" s="558"/>
      <c r="L36" s="558"/>
      <c r="M36" s="564"/>
      <c r="N36" s="564"/>
      <c r="O36" s="564"/>
      <c r="P36" s="564"/>
      <c r="Q36" s="558"/>
      <c r="R36" s="558"/>
      <c r="S36" s="558"/>
      <c r="T36" s="558"/>
      <c r="U36" s="558"/>
      <c r="V36" s="558"/>
      <c r="W36" s="558"/>
    </row>
    <row r="37" spans="1:25">
      <c r="A37" s="570"/>
      <c r="B37" s="558"/>
      <c r="C37" s="558"/>
      <c r="D37" s="558"/>
      <c r="E37" s="558"/>
      <c r="F37" s="558"/>
      <c r="G37" s="558"/>
      <c r="H37" s="558"/>
      <c r="I37" s="558"/>
      <c r="J37" s="565"/>
      <c r="K37" s="558"/>
      <c r="L37" s="558"/>
      <c r="M37" s="567"/>
      <c r="N37" s="566"/>
      <c r="O37" s="564"/>
      <c r="P37" s="564"/>
      <c r="Q37" s="571"/>
      <c r="R37" s="558"/>
      <c r="S37" s="558"/>
      <c r="T37" s="558"/>
      <c r="U37" s="558"/>
      <c r="V37" s="558"/>
      <c r="W37" s="558"/>
    </row>
    <row r="38" spans="1:25">
      <c r="A38" s="570"/>
      <c r="B38" s="558"/>
      <c r="C38" s="558"/>
      <c r="D38" s="558"/>
      <c r="E38" s="558"/>
      <c r="F38" s="558"/>
      <c r="G38" s="558"/>
      <c r="H38" s="566"/>
      <c r="I38" s="558"/>
      <c r="J38" s="565"/>
      <c r="K38" s="558"/>
      <c r="L38" s="558"/>
      <c r="M38" s="564"/>
      <c r="N38" s="564"/>
      <c r="O38" s="564"/>
      <c r="P38" s="564"/>
      <c r="Q38" s="558"/>
      <c r="R38" s="558"/>
      <c r="S38" s="558"/>
      <c r="T38" s="558"/>
      <c r="U38" s="558"/>
      <c r="V38" s="558"/>
      <c r="W38" s="558"/>
    </row>
    <row r="39" spans="1:25">
      <c r="A39" s="570"/>
      <c r="B39" s="558"/>
      <c r="C39" s="558"/>
      <c r="D39" s="558"/>
      <c r="E39" s="558"/>
      <c r="F39" s="558"/>
      <c r="G39" s="558"/>
      <c r="H39" s="565"/>
      <c r="I39" s="565"/>
      <c r="J39" s="565"/>
      <c r="K39" s="558"/>
      <c r="L39" s="564"/>
      <c r="M39" s="564"/>
      <c r="N39" s="564"/>
      <c r="O39" s="564"/>
      <c r="P39" s="564"/>
      <c r="Q39" s="558"/>
      <c r="R39" s="558"/>
      <c r="S39" s="558"/>
      <c r="T39" s="558"/>
      <c r="U39" s="558"/>
      <c r="V39" s="558"/>
      <c r="W39" s="558"/>
    </row>
    <row r="40" spans="1:25">
      <c r="A40" s="558"/>
      <c r="B40" s="558"/>
      <c r="C40" s="558"/>
      <c r="D40" s="558"/>
      <c r="E40" s="558"/>
      <c r="F40" s="558"/>
      <c r="G40" s="564"/>
      <c r="H40" s="564"/>
      <c r="I40" s="564"/>
      <c r="J40" s="564"/>
      <c r="K40" s="564"/>
      <c r="L40" s="564"/>
      <c r="M40" s="564"/>
      <c r="N40" s="564"/>
      <c r="O40" s="564"/>
      <c r="P40" s="564"/>
      <c r="Q40" s="558"/>
      <c r="R40" s="558"/>
      <c r="S40" s="558"/>
      <c r="T40" s="558"/>
      <c r="U40" s="558"/>
      <c r="V40" s="558"/>
      <c r="W40" s="558"/>
    </row>
    <row r="41" spans="1:25">
      <c r="A41" s="558"/>
      <c r="B41" s="558"/>
      <c r="C41" s="558"/>
      <c r="D41" s="558"/>
      <c r="E41" s="558"/>
      <c r="F41" s="558"/>
      <c r="G41" s="564"/>
      <c r="H41" s="564"/>
      <c r="I41" s="564"/>
      <c r="J41" s="564"/>
      <c r="K41" s="564"/>
      <c r="L41" s="564"/>
      <c r="M41" s="564"/>
      <c r="N41" s="564"/>
      <c r="O41" s="564"/>
      <c r="P41" s="564"/>
      <c r="Q41" s="558"/>
      <c r="R41" s="558"/>
      <c r="S41" s="558"/>
      <c r="T41" s="558"/>
      <c r="U41" s="558"/>
      <c r="V41" s="558"/>
      <c r="W41" s="558"/>
    </row>
    <row r="42" spans="1:25">
      <c r="A42" s="558"/>
      <c r="B42" s="558"/>
      <c r="C42" s="558"/>
      <c r="D42" s="558"/>
      <c r="E42" s="558"/>
      <c r="F42" s="558"/>
      <c r="G42" s="564"/>
      <c r="H42" s="564"/>
      <c r="I42" s="564"/>
      <c r="J42" s="564"/>
      <c r="K42" s="564"/>
      <c r="L42" s="564"/>
      <c r="M42" s="564"/>
      <c r="N42" s="564"/>
      <c r="O42" s="564"/>
      <c r="P42" s="564"/>
      <c r="Q42" s="558"/>
      <c r="R42" s="558"/>
      <c r="S42" s="558"/>
      <c r="T42" s="558"/>
      <c r="U42" s="558"/>
      <c r="V42" s="558"/>
      <c r="W42" s="558"/>
    </row>
    <row r="43" spans="1:25">
      <c r="A43" s="558"/>
      <c r="B43" s="558"/>
      <c r="C43" s="558"/>
      <c r="D43" s="558"/>
      <c r="E43" s="558"/>
      <c r="F43" s="558"/>
      <c r="G43" s="564"/>
      <c r="H43" s="564"/>
      <c r="I43" s="564"/>
      <c r="J43" s="564"/>
      <c r="K43" s="564"/>
      <c r="L43" s="564"/>
      <c r="M43" s="564"/>
      <c r="N43" s="564"/>
      <c r="O43" s="564"/>
      <c r="P43" s="564"/>
      <c r="Q43" s="558"/>
      <c r="R43" s="558"/>
      <c r="S43" s="558"/>
      <c r="T43" s="558"/>
      <c r="U43" s="558"/>
      <c r="V43" s="558"/>
      <c r="W43" s="558"/>
    </row>
    <row r="44" spans="1:25">
      <c r="A44" s="558"/>
      <c r="B44" s="558"/>
      <c r="C44" s="558"/>
      <c r="D44" s="558"/>
      <c r="E44" s="558"/>
      <c r="F44" s="558"/>
      <c r="G44" s="564"/>
      <c r="H44" s="564"/>
      <c r="I44" s="564"/>
      <c r="J44" s="564"/>
      <c r="K44" s="564"/>
      <c r="L44" s="564"/>
      <c r="M44" s="564"/>
      <c r="N44" s="564"/>
      <c r="O44" s="564"/>
      <c r="P44" s="564"/>
      <c r="Q44" s="558"/>
      <c r="R44" s="558"/>
      <c r="S44" s="558"/>
      <c r="T44" s="558"/>
      <c r="U44" s="558"/>
      <c r="V44" s="558"/>
      <c r="W44" s="558"/>
    </row>
    <row r="45" spans="1:25">
      <c r="A45" s="558"/>
      <c r="B45" s="558"/>
      <c r="C45" s="558"/>
      <c r="D45" s="558"/>
      <c r="E45" s="558"/>
      <c r="F45" s="558"/>
      <c r="G45" s="564"/>
      <c r="H45" s="564"/>
      <c r="I45" s="564"/>
      <c r="J45" s="564"/>
      <c r="K45" s="564"/>
      <c r="L45" s="564"/>
      <c r="M45" s="564"/>
      <c r="N45" s="564"/>
      <c r="O45" s="564"/>
      <c r="P45" s="564"/>
      <c r="Q45" s="564"/>
      <c r="R45" s="558"/>
      <c r="S45" s="558"/>
      <c r="T45" s="558"/>
      <c r="U45" s="558"/>
      <c r="V45" s="558"/>
      <c r="W45" s="558"/>
    </row>
    <row r="46" spans="1:25">
      <c r="A46" s="558"/>
      <c r="B46" s="558"/>
      <c r="C46" s="558"/>
      <c r="D46" s="558"/>
      <c r="E46" s="558"/>
      <c r="F46" s="558"/>
      <c r="G46" s="564"/>
      <c r="H46" s="564"/>
      <c r="I46" s="564"/>
      <c r="J46" s="564"/>
      <c r="K46" s="564"/>
      <c r="L46" s="564"/>
      <c r="M46" s="564"/>
      <c r="N46" s="564"/>
      <c r="O46" s="564"/>
      <c r="P46" s="564"/>
      <c r="Q46" s="558"/>
      <c r="R46" s="558"/>
      <c r="S46" s="558"/>
      <c r="T46" s="558"/>
      <c r="U46" s="558"/>
      <c r="V46" s="558"/>
      <c r="W46" s="558"/>
    </row>
    <row r="47" spans="1:25">
      <c r="A47" s="558"/>
      <c r="B47" s="558"/>
      <c r="C47" s="558"/>
      <c r="D47" s="558"/>
      <c r="E47" s="558"/>
      <c r="F47" s="558"/>
      <c r="G47" s="564"/>
      <c r="H47" s="564"/>
      <c r="I47" s="564"/>
      <c r="J47" s="564"/>
      <c r="K47" s="564"/>
      <c r="L47" s="564"/>
      <c r="M47" s="564"/>
      <c r="N47" s="564"/>
      <c r="O47" s="564"/>
      <c r="P47" s="564"/>
      <c r="Q47" s="558"/>
      <c r="R47" s="558"/>
      <c r="S47" s="558"/>
      <c r="T47" s="558"/>
      <c r="U47" s="558"/>
      <c r="V47" s="558"/>
      <c r="W47" s="558"/>
    </row>
    <row r="48" spans="1:25">
      <c r="A48" s="558"/>
      <c r="B48" s="558"/>
      <c r="C48" s="558"/>
      <c r="D48" s="558"/>
      <c r="E48" s="558"/>
      <c r="F48" s="558"/>
      <c r="G48" s="564"/>
      <c r="H48" s="564"/>
      <c r="I48" s="564"/>
      <c r="J48" s="564"/>
      <c r="K48" s="564"/>
      <c r="L48" s="564"/>
      <c r="M48" s="564"/>
      <c r="N48" s="564"/>
      <c r="O48" s="564"/>
      <c r="P48" s="564"/>
      <c r="Q48" s="558"/>
      <c r="R48" s="558"/>
      <c r="S48" s="558"/>
      <c r="T48" s="558"/>
      <c r="U48" s="558"/>
      <c r="V48" s="558"/>
      <c r="W48" s="558"/>
    </row>
    <row r="49" spans="1:28">
      <c r="A49" s="558"/>
      <c r="B49" s="558"/>
      <c r="C49" s="558"/>
      <c r="D49" s="558"/>
      <c r="E49" s="558"/>
      <c r="F49" s="558"/>
      <c r="G49" s="564"/>
      <c r="H49" s="564"/>
      <c r="I49" s="564"/>
      <c r="J49" s="564"/>
      <c r="K49" s="564"/>
      <c r="L49" s="558"/>
      <c r="M49" s="558"/>
      <c r="N49" s="558"/>
      <c r="O49" s="558"/>
      <c r="P49" s="564"/>
      <c r="Q49" s="564"/>
      <c r="R49" s="564"/>
      <c r="S49" s="564"/>
      <c r="T49" s="564"/>
      <c r="U49" s="564"/>
      <c r="V49" s="564"/>
      <c r="W49" s="564"/>
      <c r="X49" s="544"/>
      <c r="Y49" s="544"/>
    </row>
    <row r="50" spans="1:28">
      <c r="A50" s="558"/>
      <c r="B50" s="558"/>
      <c r="C50" s="558"/>
      <c r="D50" s="558"/>
      <c r="E50" s="558"/>
      <c r="F50" s="558"/>
      <c r="G50" s="564"/>
      <c r="H50" s="564"/>
      <c r="I50" s="564"/>
      <c r="J50" s="564"/>
      <c r="K50" s="564"/>
      <c r="L50" s="564"/>
      <c r="M50" s="564"/>
      <c r="N50" s="564"/>
      <c r="O50" s="564"/>
      <c r="P50" s="564"/>
      <c r="Q50" s="564"/>
      <c r="R50" s="564"/>
      <c r="S50" s="564"/>
      <c r="T50" s="564"/>
      <c r="U50" s="564"/>
      <c r="V50" s="564"/>
      <c r="W50" s="564"/>
      <c r="X50" s="544"/>
      <c r="Y50" s="544"/>
    </row>
    <row r="51" spans="1:28">
      <c r="A51" s="558"/>
      <c r="B51" s="558"/>
      <c r="C51" s="558"/>
      <c r="D51" s="558"/>
      <c r="E51" s="558"/>
      <c r="F51" s="558"/>
      <c r="G51" s="564"/>
      <c r="H51" s="564"/>
      <c r="I51" s="564"/>
      <c r="J51" s="564"/>
      <c r="K51" s="564"/>
      <c r="L51" s="564"/>
      <c r="M51" s="564"/>
      <c r="N51" s="564"/>
      <c r="O51" s="564"/>
      <c r="P51" s="558"/>
      <c r="Q51" s="558"/>
      <c r="R51" s="558"/>
      <c r="S51" s="558"/>
      <c r="T51" s="558"/>
      <c r="U51" s="558"/>
      <c r="V51" s="558"/>
      <c r="W51" s="558"/>
    </row>
    <row r="52" spans="1:28">
      <c r="A52" s="558"/>
      <c r="B52" s="558"/>
      <c r="C52" s="558"/>
      <c r="D52" s="558"/>
      <c r="E52" s="558"/>
      <c r="F52" s="558"/>
      <c r="G52" s="558"/>
      <c r="H52" s="558"/>
      <c r="I52" s="558"/>
      <c r="J52" s="558"/>
      <c r="K52" s="558"/>
      <c r="L52" s="558"/>
      <c r="M52" s="558"/>
      <c r="N52" s="558"/>
      <c r="O52" s="558"/>
      <c r="P52" s="558"/>
      <c r="Q52" s="558"/>
      <c r="R52" s="558"/>
      <c r="S52" s="558"/>
      <c r="T52" s="558"/>
      <c r="U52" s="558"/>
      <c r="V52" s="558"/>
      <c r="W52" s="558"/>
    </row>
    <row r="53" spans="1:28">
      <c r="A53" s="558"/>
      <c r="B53" s="558"/>
      <c r="C53" s="558"/>
      <c r="D53" s="558"/>
      <c r="E53" s="558"/>
      <c r="F53" s="558"/>
      <c r="G53" s="558"/>
      <c r="H53" s="558"/>
      <c r="I53" s="558"/>
      <c r="J53" s="558"/>
      <c r="K53" s="558"/>
      <c r="L53" s="558"/>
      <c r="M53" s="558"/>
      <c r="N53" s="558"/>
      <c r="O53" s="558"/>
      <c r="P53" s="558"/>
      <c r="Q53" s="558"/>
      <c r="R53" s="558"/>
      <c r="S53" s="558"/>
      <c r="T53" s="558"/>
      <c r="U53" s="558"/>
      <c r="V53" s="558"/>
      <c r="W53" s="558"/>
    </row>
    <row r="54" spans="1:28">
      <c r="A54" s="558"/>
      <c r="B54" s="558"/>
      <c r="C54" s="558"/>
      <c r="D54" s="558"/>
      <c r="E54" s="558"/>
      <c r="F54" s="558"/>
      <c r="G54" s="558"/>
      <c r="H54" s="558"/>
      <c r="I54" s="558"/>
      <c r="J54" s="558"/>
      <c r="K54" s="558"/>
      <c r="L54" s="558"/>
      <c r="M54" s="558"/>
      <c r="N54" s="558"/>
      <c r="O54" s="558"/>
      <c r="P54" s="558"/>
      <c r="Q54" s="558"/>
      <c r="R54" s="558"/>
      <c r="S54" s="558"/>
      <c r="T54" s="558"/>
      <c r="U54" s="558"/>
      <c r="V54" s="558"/>
      <c r="W54" s="558"/>
    </row>
    <row r="55" spans="1:28">
      <c r="B55" s="546"/>
      <c r="J55" s="547"/>
      <c r="R55" s="547"/>
    </row>
    <row r="56" spans="1:28">
      <c r="R56" s="547"/>
      <c r="AB56" s="549"/>
    </row>
    <row r="57" spans="1:28">
      <c r="C57" s="549"/>
      <c r="O57" s="549"/>
      <c r="AB57" s="549"/>
    </row>
    <row r="58" spans="1:28">
      <c r="AB58" s="549"/>
    </row>
    <row r="60" spans="1:28">
      <c r="AB60" s="545"/>
    </row>
    <row r="61" spans="1:28">
      <c r="AB61" s="545"/>
    </row>
    <row r="92" spans="2:2">
      <c r="B92" s="545"/>
    </row>
    <row r="93" spans="2:2">
      <c r="B93" s="545"/>
    </row>
    <row r="94" spans="2:2">
      <c r="B94" s="545"/>
    </row>
    <row r="95" spans="2:2">
      <c r="B95" s="545"/>
    </row>
    <row r="96" spans="2:2">
      <c r="B96" s="545"/>
    </row>
  </sheetData>
  <sheetProtection algorithmName="SHA-512" hashValue="UTBrZRAZy3KrR8G521i362Lkr2ydYnXtsreZf0z/lPoIGiVTYo54F2Gl2RXYRlfcM9/iuXcFO99K72XiTTPl5w==" saltValue="05e/gISd4EAJQ8OdQRclvA==" spinCount="100000" sheet="1" objects="1" scenarios="1"/>
  <mergeCells count="2">
    <mergeCell ref="L6:Q6"/>
    <mergeCell ref="A7:F7"/>
  </mergeCells>
  <printOptions horizontalCentered="1" verticalCentered="1"/>
  <pageMargins left="0.19685039370078741" right="0.19685039370078741" top="0.19685039370078741" bottom="0.19685039370078741" header="0.19685039370078741" footer="0.19685039370078741"/>
  <pageSetup paperSize="9" scale="68"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221187" r:id="rId4" name="Drop Down 3">
              <controlPr defaultSize="0" autoLine="0" autoPict="0">
                <anchor moveWithCells="1">
                  <from>
                    <xdr:col>12</xdr:col>
                    <xdr:colOff>523875</xdr:colOff>
                    <xdr:row>2</xdr:row>
                    <xdr:rowOff>152400</xdr:rowOff>
                  </from>
                  <to>
                    <xdr:col>14</xdr:col>
                    <xdr:colOff>76200</xdr:colOff>
                    <xdr:row>3</xdr:row>
                    <xdr:rowOff>161925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4EEEF-B6C6-4A03-B6D1-DABDFC8F1C03}">
  <sheetPr>
    <tabColor rgb="FFFFFF00"/>
  </sheetPr>
  <dimension ref="A1:AB96"/>
  <sheetViews>
    <sheetView showGridLines="0" showRowColHeaders="0" zoomScaleNormal="100" zoomScaleSheetLayoutView="100" workbookViewId="0">
      <selection sqref="A1:XFD1048576"/>
    </sheetView>
  </sheetViews>
  <sheetFormatPr defaultColWidth="8.7109375" defaultRowHeight="15"/>
  <cols>
    <col min="1" max="11" width="8.42578125" style="542" customWidth="1"/>
    <col min="12" max="12" width="7" style="542" customWidth="1"/>
    <col min="13" max="16384" width="8.7109375" style="542"/>
  </cols>
  <sheetData>
    <row r="1" spans="1:23">
      <c r="A1" s="558"/>
      <c r="B1" s="558"/>
      <c r="C1" s="558"/>
      <c r="D1" s="558"/>
      <c r="E1" s="558"/>
      <c r="F1" s="558"/>
      <c r="G1" s="558"/>
      <c r="H1" s="558"/>
      <c r="I1" s="558"/>
      <c r="J1" s="558"/>
      <c r="K1" s="558"/>
      <c r="L1" s="558"/>
      <c r="M1" s="558"/>
      <c r="N1" s="558"/>
      <c r="O1" s="558"/>
      <c r="P1" s="558"/>
      <c r="Q1" s="558"/>
      <c r="R1" s="558"/>
      <c r="S1" s="558"/>
      <c r="T1" s="558"/>
      <c r="U1" s="558"/>
      <c r="V1" s="558"/>
      <c r="W1" s="558"/>
    </row>
    <row r="2" spans="1:23">
      <c r="A2" s="558"/>
      <c r="B2" s="558"/>
      <c r="C2" s="558"/>
      <c r="D2" s="558"/>
      <c r="E2" s="558"/>
      <c r="F2" s="558"/>
      <c r="G2" s="558"/>
      <c r="H2" s="558"/>
      <c r="I2" s="558"/>
      <c r="J2" s="558"/>
      <c r="K2" s="558"/>
      <c r="L2" s="558"/>
      <c r="M2" s="558"/>
      <c r="N2" s="558"/>
      <c r="O2" s="558"/>
      <c r="P2" s="558"/>
      <c r="Q2" s="558"/>
      <c r="R2" s="558"/>
      <c r="S2" s="558"/>
      <c r="T2" s="558"/>
      <c r="U2" s="558"/>
      <c r="V2" s="558"/>
      <c r="W2" s="558"/>
    </row>
    <row r="3" spans="1:23">
      <c r="A3" s="558"/>
      <c r="B3" s="558"/>
      <c r="C3" s="558"/>
      <c r="D3" s="558"/>
      <c r="E3" s="558"/>
      <c r="F3" s="558"/>
      <c r="G3" s="558"/>
      <c r="H3" s="558"/>
      <c r="I3" s="558"/>
      <c r="J3" s="558"/>
      <c r="K3" s="558"/>
      <c r="L3" s="558"/>
      <c r="M3" s="558"/>
      <c r="N3" s="558"/>
      <c r="O3" s="558"/>
      <c r="P3" s="558"/>
      <c r="Q3" s="558"/>
      <c r="R3" s="558"/>
      <c r="S3" s="558"/>
      <c r="T3" s="558"/>
      <c r="U3" s="558"/>
      <c r="V3" s="558"/>
      <c r="W3" s="558"/>
    </row>
    <row r="4" spans="1:23">
      <c r="A4" s="558"/>
      <c r="B4" s="558"/>
      <c r="C4" s="558"/>
      <c r="D4" s="558"/>
      <c r="E4" s="558"/>
      <c r="F4" s="558"/>
      <c r="G4" s="558"/>
      <c r="H4" s="558"/>
      <c r="I4" s="558"/>
      <c r="J4" s="558"/>
      <c r="K4" s="558"/>
      <c r="L4" s="558"/>
      <c r="M4" s="558"/>
      <c r="N4" s="558"/>
      <c r="O4" s="558"/>
      <c r="P4" s="558"/>
      <c r="Q4" s="558"/>
      <c r="R4" s="558"/>
      <c r="S4" s="558"/>
      <c r="T4" s="558"/>
      <c r="U4" s="558"/>
      <c r="V4" s="558"/>
      <c r="W4" s="558"/>
    </row>
    <row r="5" spans="1:23">
      <c r="A5" s="558"/>
      <c r="B5" s="558"/>
      <c r="C5" s="558"/>
      <c r="D5" s="558"/>
      <c r="E5" s="558"/>
      <c r="F5" s="558"/>
      <c r="G5" s="558"/>
      <c r="H5" s="558"/>
      <c r="I5" s="558"/>
      <c r="J5" s="558"/>
      <c r="K5" s="558"/>
      <c r="L5" s="558"/>
      <c r="M5" s="558"/>
      <c r="N5" s="558"/>
      <c r="O5" s="558"/>
      <c r="P5" s="558"/>
      <c r="Q5" s="558"/>
      <c r="R5" s="558"/>
      <c r="S5" s="558"/>
      <c r="T5" s="558"/>
      <c r="U5" s="558"/>
      <c r="V5" s="558"/>
      <c r="W5" s="558"/>
    </row>
    <row r="6" spans="1:23">
      <c r="A6" s="558"/>
      <c r="B6" s="558"/>
      <c r="C6" s="558"/>
      <c r="D6" s="558"/>
      <c r="E6" s="558"/>
      <c r="F6" s="558"/>
      <c r="G6" s="559"/>
      <c r="H6" s="558"/>
      <c r="I6" s="558"/>
      <c r="J6" s="558"/>
      <c r="K6" s="558"/>
      <c r="L6" s="574"/>
      <c r="M6" s="574"/>
      <c r="N6" s="574"/>
      <c r="O6" s="574"/>
      <c r="P6" s="574"/>
      <c r="Q6" s="574"/>
      <c r="R6" s="558"/>
      <c r="S6" s="558"/>
      <c r="T6" s="558"/>
      <c r="U6" s="558"/>
      <c r="V6" s="558"/>
      <c r="W6" s="558"/>
    </row>
    <row r="7" spans="1:23">
      <c r="A7" s="575"/>
      <c r="B7" s="575"/>
      <c r="C7" s="575"/>
      <c r="D7" s="575"/>
      <c r="E7" s="575"/>
      <c r="F7" s="575"/>
      <c r="G7" s="558"/>
      <c r="H7" s="558"/>
      <c r="I7" s="558"/>
      <c r="J7" s="558"/>
      <c r="K7" s="558"/>
      <c r="L7" s="558"/>
      <c r="M7" s="558"/>
      <c r="N7" s="558"/>
      <c r="O7" s="558"/>
      <c r="P7" s="558"/>
      <c r="Q7" s="558"/>
      <c r="R7" s="558"/>
      <c r="S7" s="558"/>
      <c r="T7" s="558"/>
      <c r="U7" s="558"/>
      <c r="V7" s="558"/>
      <c r="W7" s="558"/>
    </row>
    <row r="8" spans="1:23" ht="15" customHeight="1">
      <c r="A8" s="558"/>
      <c r="B8" s="558"/>
      <c r="C8" s="558"/>
      <c r="D8" s="558"/>
      <c r="E8" s="558"/>
      <c r="F8" s="558"/>
      <c r="G8" s="558"/>
      <c r="H8" s="558"/>
      <c r="I8" s="558"/>
      <c r="J8" s="558"/>
      <c r="K8" s="558"/>
      <c r="L8" s="558"/>
      <c r="M8" s="558"/>
      <c r="N8" s="558"/>
      <c r="O8" s="558"/>
      <c r="P8" s="558"/>
      <c r="Q8" s="558"/>
      <c r="R8" s="558"/>
      <c r="S8" s="558"/>
      <c r="T8" s="558"/>
      <c r="U8" s="558"/>
      <c r="V8" s="558"/>
      <c r="W8" s="558"/>
    </row>
    <row r="9" spans="1:23" ht="15" customHeight="1">
      <c r="A9" s="558"/>
      <c r="B9" s="558"/>
      <c r="C9" s="558"/>
      <c r="D9" s="558"/>
      <c r="E9" s="558"/>
      <c r="F9" s="558"/>
      <c r="G9" s="558"/>
      <c r="H9" s="558"/>
      <c r="I9" s="558"/>
      <c r="J9" s="558"/>
      <c r="K9" s="558"/>
      <c r="L9" s="558"/>
      <c r="M9" s="558"/>
      <c r="N9" s="558"/>
      <c r="O9" s="558"/>
      <c r="P9" s="558"/>
      <c r="Q9" s="558"/>
      <c r="R9" s="558"/>
      <c r="S9" s="558"/>
      <c r="T9" s="558"/>
      <c r="U9" s="558"/>
      <c r="V9" s="558"/>
      <c r="W9" s="558"/>
    </row>
    <row r="10" spans="1:23">
      <c r="A10" s="558"/>
      <c r="B10" s="558"/>
      <c r="C10" s="558"/>
      <c r="D10" s="558"/>
      <c r="E10" s="558"/>
      <c r="F10" s="558"/>
      <c r="G10" s="558"/>
      <c r="H10" s="558"/>
      <c r="I10" s="558"/>
      <c r="J10" s="558"/>
      <c r="K10" s="558"/>
      <c r="L10" s="558"/>
      <c r="M10" s="558"/>
      <c r="N10" s="558"/>
      <c r="O10" s="558"/>
      <c r="P10" s="558"/>
      <c r="Q10" s="558"/>
      <c r="R10" s="558"/>
      <c r="S10" s="558"/>
      <c r="T10" s="558"/>
      <c r="U10" s="558"/>
      <c r="V10" s="558"/>
      <c r="W10" s="558"/>
    </row>
    <row r="11" spans="1:23" ht="15" customHeight="1">
      <c r="A11" s="558"/>
      <c r="B11" s="558"/>
      <c r="C11" s="558"/>
      <c r="D11" s="558"/>
      <c r="E11" s="558"/>
      <c r="F11" s="558"/>
      <c r="G11" s="558"/>
      <c r="H11" s="558"/>
      <c r="I11" s="558"/>
      <c r="J11" s="558"/>
      <c r="K11" s="558"/>
      <c r="L11" s="558"/>
      <c r="M11" s="558"/>
      <c r="N11" s="558"/>
      <c r="O11" s="558"/>
      <c r="P11" s="558"/>
      <c r="Q11" s="558"/>
      <c r="R11" s="558"/>
      <c r="S11" s="558"/>
      <c r="T11" s="558"/>
      <c r="U11" s="558"/>
      <c r="V11" s="558"/>
      <c r="W11" s="558"/>
    </row>
    <row r="12" spans="1:23" ht="15" customHeight="1">
      <c r="A12" s="558"/>
      <c r="B12" s="558"/>
      <c r="C12" s="558"/>
      <c r="D12" s="558"/>
      <c r="E12" s="558"/>
      <c r="F12" s="558"/>
      <c r="G12" s="558"/>
      <c r="H12" s="558"/>
      <c r="I12" s="558"/>
      <c r="J12" s="558"/>
      <c r="K12" s="558"/>
      <c r="L12" s="558"/>
      <c r="M12" s="558"/>
      <c r="N12" s="558"/>
      <c r="O12" s="558"/>
      <c r="P12" s="558"/>
      <c r="Q12" s="558"/>
      <c r="R12" s="558"/>
      <c r="S12" s="558"/>
      <c r="T12" s="558"/>
      <c r="U12" s="558"/>
      <c r="V12" s="558"/>
      <c r="W12" s="558"/>
    </row>
    <row r="13" spans="1:23">
      <c r="A13" s="558"/>
      <c r="B13" s="558"/>
      <c r="C13" s="558"/>
      <c r="D13" s="558"/>
      <c r="E13" s="558"/>
      <c r="F13" s="558"/>
      <c r="G13" s="558"/>
      <c r="H13" s="558"/>
      <c r="I13" s="558"/>
      <c r="J13" s="558"/>
      <c r="K13" s="558"/>
      <c r="L13" s="558"/>
      <c r="M13" s="558"/>
      <c r="N13" s="558"/>
      <c r="O13" s="558"/>
      <c r="P13" s="558"/>
      <c r="Q13" s="558"/>
      <c r="R13" s="558"/>
      <c r="S13" s="558"/>
      <c r="T13" s="558"/>
      <c r="U13" s="558"/>
      <c r="V13" s="558"/>
      <c r="W13" s="558"/>
    </row>
    <row r="14" spans="1:23">
      <c r="A14" s="558"/>
      <c r="B14" s="558"/>
      <c r="C14" s="558"/>
      <c r="D14" s="558"/>
      <c r="E14" s="558"/>
      <c r="F14" s="558"/>
      <c r="G14" s="558"/>
      <c r="H14" s="558"/>
      <c r="I14" s="558"/>
      <c r="J14" s="558"/>
      <c r="K14" s="558"/>
      <c r="L14" s="558"/>
      <c r="M14" s="558"/>
      <c r="N14" s="558"/>
      <c r="O14" s="558"/>
      <c r="P14" s="558"/>
      <c r="Q14" s="558"/>
      <c r="R14" s="558"/>
      <c r="S14" s="558"/>
      <c r="T14" s="558"/>
      <c r="U14" s="558"/>
      <c r="V14" s="558"/>
      <c r="W14" s="558"/>
    </row>
    <row r="15" spans="1:23">
      <c r="A15" s="558"/>
      <c r="B15" s="558"/>
      <c r="C15" s="558"/>
      <c r="D15" s="558"/>
      <c r="E15" s="558"/>
      <c r="F15" s="558"/>
      <c r="G15" s="558"/>
      <c r="H15" s="558"/>
      <c r="I15" s="558"/>
      <c r="J15" s="558"/>
      <c r="K15" s="558"/>
      <c r="L15" s="558"/>
      <c r="M15" s="558"/>
      <c r="N15" s="558"/>
      <c r="O15" s="558"/>
      <c r="P15" s="558"/>
      <c r="Q15" s="558"/>
      <c r="R15" s="558"/>
      <c r="S15" s="558"/>
      <c r="T15" s="558"/>
      <c r="U15" s="558"/>
      <c r="V15" s="558"/>
      <c r="W15" s="558"/>
    </row>
    <row r="16" spans="1:23">
      <c r="A16" s="558"/>
      <c r="B16" s="558"/>
      <c r="C16" s="558"/>
      <c r="D16" s="558"/>
      <c r="E16" s="558"/>
      <c r="F16" s="558"/>
      <c r="G16" s="558"/>
      <c r="H16" s="558"/>
      <c r="I16" s="558"/>
      <c r="J16" s="558"/>
      <c r="K16" s="558"/>
      <c r="L16" s="558"/>
      <c r="M16" s="558"/>
      <c r="N16" s="558"/>
      <c r="O16" s="558"/>
      <c r="P16" s="558"/>
      <c r="Q16" s="558"/>
      <c r="R16" s="558"/>
      <c r="S16" s="558"/>
      <c r="T16" s="558"/>
      <c r="U16" s="558"/>
      <c r="V16" s="558"/>
      <c r="W16" s="558"/>
    </row>
    <row r="17" spans="1:25">
      <c r="A17" s="558"/>
      <c r="B17" s="558"/>
      <c r="C17" s="558"/>
      <c r="D17" s="558"/>
      <c r="E17" s="558"/>
      <c r="F17" s="558"/>
      <c r="G17" s="558"/>
      <c r="H17" s="558"/>
      <c r="I17" s="558"/>
      <c r="J17" s="558"/>
      <c r="K17" s="558"/>
      <c r="L17" s="558"/>
      <c r="M17" s="558"/>
      <c r="N17" s="558"/>
      <c r="O17" s="558"/>
      <c r="P17" s="558"/>
      <c r="Q17" s="558"/>
      <c r="R17" s="558"/>
      <c r="S17" s="558"/>
      <c r="T17" s="558"/>
      <c r="U17" s="558"/>
      <c r="V17" s="558"/>
      <c r="W17" s="558"/>
    </row>
    <row r="18" spans="1:25">
      <c r="A18" s="558"/>
      <c r="B18" s="558"/>
      <c r="C18" s="558"/>
      <c r="D18" s="558"/>
      <c r="E18" s="558"/>
      <c r="F18" s="558"/>
      <c r="G18" s="558"/>
      <c r="H18" s="558"/>
      <c r="I18" s="558"/>
      <c r="J18" s="558"/>
      <c r="K18" s="558"/>
      <c r="L18" s="558"/>
      <c r="M18" s="558"/>
      <c r="N18" s="558"/>
      <c r="O18" s="558"/>
      <c r="P18" s="558"/>
      <c r="Q18" s="558"/>
      <c r="R18" s="558"/>
      <c r="S18" s="558"/>
      <c r="T18" s="558"/>
      <c r="U18" s="558"/>
      <c r="V18" s="558"/>
      <c r="W18" s="558"/>
    </row>
    <row r="19" spans="1:25">
      <c r="A19" s="558"/>
      <c r="B19" s="558"/>
      <c r="C19" s="558"/>
      <c r="D19" s="558"/>
      <c r="E19" s="558"/>
      <c r="F19" s="558"/>
      <c r="G19" s="558"/>
      <c r="H19" s="558"/>
      <c r="I19" s="558"/>
      <c r="J19" s="558"/>
      <c r="K19" s="558"/>
      <c r="L19" s="558"/>
      <c r="M19" s="558"/>
      <c r="N19" s="558"/>
      <c r="O19" s="558"/>
      <c r="P19" s="558"/>
      <c r="Q19" s="558"/>
      <c r="R19" s="558"/>
      <c r="S19" s="558"/>
      <c r="T19" s="558"/>
      <c r="U19" s="558"/>
      <c r="V19" s="558"/>
      <c r="W19" s="558"/>
    </row>
    <row r="20" spans="1:25">
      <c r="A20" s="558"/>
      <c r="B20" s="558"/>
      <c r="C20" s="558"/>
      <c r="D20" s="558"/>
      <c r="E20" s="558"/>
      <c r="F20" s="558"/>
      <c r="G20" s="558"/>
      <c r="H20" s="558"/>
      <c r="I20" s="558"/>
      <c r="J20" s="558"/>
      <c r="K20" s="558"/>
      <c r="L20" s="558"/>
      <c r="M20" s="558"/>
      <c r="N20" s="558"/>
      <c r="O20" s="558"/>
      <c r="P20" s="558"/>
      <c r="Q20" s="558"/>
      <c r="R20" s="558"/>
      <c r="S20" s="558"/>
      <c r="T20" s="558"/>
      <c r="U20" s="558"/>
      <c r="V20" s="558"/>
      <c r="W20" s="558"/>
    </row>
    <row r="21" spans="1:25">
      <c r="A21" s="558"/>
      <c r="B21" s="558"/>
      <c r="C21" s="558"/>
      <c r="D21" s="558"/>
      <c r="E21" s="558"/>
      <c r="F21" s="558"/>
      <c r="G21" s="558"/>
      <c r="H21" s="558"/>
      <c r="I21" s="558"/>
      <c r="J21" s="558"/>
      <c r="K21" s="558"/>
      <c r="L21" s="558"/>
      <c r="M21" s="558"/>
      <c r="N21" s="558"/>
      <c r="O21" s="558"/>
      <c r="P21" s="558"/>
      <c r="Q21" s="558"/>
      <c r="R21" s="558"/>
      <c r="S21" s="558"/>
      <c r="T21" s="558"/>
      <c r="U21" s="558"/>
      <c r="V21" s="558"/>
      <c r="W21" s="558"/>
    </row>
    <row r="22" spans="1:25">
      <c r="A22" s="558"/>
      <c r="B22" s="558"/>
      <c r="C22" s="558"/>
      <c r="D22" s="558"/>
      <c r="E22" s="558"/>
      <c r="F22" s="558"/>
      <c r="G22" s="558"/>
      <c r="H22" s="558"/>
      <c r="I22" s="558"/>
      <c r="J22" s="558"/>
      <c r="K22" s="558"/>
      <c r="L22" s="558"/>
      <c r="M22" s="558"/>
      <c r="N22" s="558"/>
      <c r="O22" s="558"/>
      <c r="P22" s="558"/>
      <c r="Q22" s="558"/>
      <c r="R22" s="558"/>
      <c r="S22" s="558"/>
      <c r="T22" s="558"/>
      <c r="U22" s="558"/>
      <c r="V22" s="558"/>
      <c r="W22" s="558"/>
    </row>
    <row r="23" spans="1:25">
      <c r="A23" s="558"/>
      <c r="B23" s="558"/>
      <c r="C23" s="558"/>
      <c r="D23" s="558"/>
      <c r="E23" s="558"/>
      <c r="F23" s="558"/>
      <c r="G23" s="558"/>
      <c r="H23" s="558"/>
      <c r="I23" s="558"/>
      <c r="J23" s="558"/>
      <c r="K23" s="558"/>
      <c r="L23" s="558"/>
      <c r="M23" s="558"/>
      <c r="N23" s="558"/>
      <c r="O23" s="558"/>
      <c r="P23" s="558"/>
      <c r="Q23" s="558"/>
      <c r="R23" s="558"/>
      <c r="S23" s="558"/>
      <c r="T23" s="558"/>
      <c r="U23" s="558"/>
      <c r="V23" s="558"/>
      <c r="W23" s="558"/>
    </row>
    <row r="24" spans="1:25">
      <c r="A24" s="558"/>
      <c r="B24" s="558"/>
      <c r="C24" s="558"/>
      <c r="D24" s="558"/>
      <c r="E24" s="558"/>
      <c r="F24" s="558"/>
      <c r="G24" s="558"/>
      <c r="H24" s="558"/>
      <c r="I24" s="558"/>
      <c r="J24" s="558"/>
      <c r="K24" s="558"/>
      <c r="L24" s="558"/>
      <c r="M24" s="558"/>
      <c r="N24" s="558"/>
      <c r="O24" s="558"/>
      <c r="P24" s="558"/>
      <c r="Q24" s="558"/>
      <c r="R24" s="558"/>
      <c r="S24" s="558"/>
      <c r="T24" s="558"/>
      <c r="U24" s="558"/>
      <c r="V24" s="558"/>
      <c r="W24" s="558"/>
    </row>
    <row r="25" spans="1:25">
      <c r="A25" s="558"/>
      <c r="B25" s="558"/>
      <c r="C25" s="558"/>
      <c r="D25" s="558"/>
      <c r="E25" s="558"/>
      <c r="F25" s="558"/>
      <c r="G25" s="558"/>
      <c r="H25" s="558"/>
      <c r="I25" s="558"/>
      <c r="J25" s="558"/>
      <c r="K25" s="558"/>
      <c r="L25" s="558"/>
      <c r="M25" s="558"/>
      <c r="N25" s="558"/>
      <c r="O25" s="558"/>
      <c r="P25" s="558"/>
      <c r="Q25" s="558"/>
      <c r="R25" s="558"/>
      <c r="S25" s="558"/>
      <c r="T25" s="558"/>
      <c r="U25" s="558"/>
      <c r="V25" s="558"/>
      <c r="W25" s="558"/>
    </row>
    <row r="26" spans="1:25">
      <c r="A26" s="558"/>
      <c r="B26" s="558"/>
      <c r="C26" s="558"/>
      <c r="D26" s="558"/>
      <c r="E26" s="558"/>
      <c r="F26" s="558"/>
      <c r="G26" s="558"/>
      <c r="H26" s="558"/>
      <c r="I26" s="558"/>
      <c r="J26" s="558"/>
      <c r="K26" s="558"/>
      <c r="L26" s="558"/>
      <c r="M26" s="558"/>
      <c r="N26" s="558"/>
      <c r="O26" s="558"/>
      <c r="P26" s="558"/>
      <c r="Q26" s="558"/>
      <c r="R26" s="558"/>
      <c r="S26" s="558"/>
      <c r="T26" s="558"/>
      <c r="U26" s="558"/>
      <c r="V26" s="558"/>
      <c r="W26" s="558"/>
    </row>
    <row r="27" spans="1:25">
      <c r="A27" s="558"/>
      <c r="B27" s="558"/>
      <c r="C27" s="558"/>
      <c r="D27" s="558"/>
      <c r="E27" s="558"/>
      <c r="F27" s="558"/>
      <c r="G27" s="558"/>
      <c r="H27" s="558"/>
      <c r="I27" s="558"/>
      <c r="J27" s="558"/>
      <c r="K27" s="558"/>
      <c r="L27" s="558"/>
      <c r="M27" s="558"/>
      <c r="N27" s="558"/>
      <c r="O27" s="558"/>
      <c r="P27" s="558"/>
      <c r="Q27" s="558"/>
      <c r="R27" s="558"/>
      <c r="S27" s="558"/>
      <c r="T27" s="558"/>
      <c r="U27" s="558"/>
      <c r="V27" s="558"/>
      <c r="W27" s="558"/>
    </row>
    <row r="28" spans="1:25">
      <c r="A28" s="558"/>
      <c r="B28" s="558"/>
      <c r="C28" s="558"/>
      <c r="D28" s="558"/>
      <c r="E28" s="558"/>
      <c r="F28" s="558"/>
      <c r="G28" s="558"/>
      <c r="H28" s="558"/>
      <c r="I28" s="558"/>
      <c r="J28" s="558"/>
      <c r="K28" s="558"/>
      <c r="L28" s="558"/>
      <c r="M28" s="558"/>
      <c r="N28" s="558"/>
      <c r="O28" s="558"/>
      <c r="P28" s="562"/>
      <c r="Q28" s="562"/>
      <c r="R28" s="562"/>
      <c r="S28" s="562"/>
      <c r="T28" s="562"/>
      <c r="U28" s="562"/>
      <c r="V28" s="562"/>
      <c r="W28" s="562"/>
      <c r="X28" s="543"/>
      <c r="Y28" s="543"/>
    </row>
    <row r="29" spans="1:25">
      <c r="A29" s="558"/>
      <c r="B29" s="558"/>
      <c r="C29" s="558"/>
      <c r="D29" s="558"/>
      <c r="E29" s="558"/>
      <c r="F29" s="558"/>
      <c r="G29" s="558"/>
      <c r="H29" s="558"/>
      <c r="I29" s="558"/>
      <c r="J29" s="558"/>
      <c r="K29" s="558"/>
      <c r="L29" s="558"/>
      <c r="M29" s="558"/>
      <c r="N29" s="558"/>
      <c r="O29" s="558"/>
      <c r="P29" s="563"/>
      <c r="Q29" s="563"/>
      <c r="R29" s="563"/>
      <c r="S29" s="563"/>
      <c r="T29" s="563"/>
      <c r="U29" s="563"/>
      <c r="V29" s="558"/>
      <c r="W29" s="564"/>
      <c r="X29" s="544"/>
      <c r="Y29" s="544"/>
    </row>
    <row r="30" spans="1:25">
      <c r="A30" s="558"/>
      <c r="B30" s="558"/>
      <c r="C30" s="558"/>
      <c r="D30" s="558"/>
      <c r="E30" s="558"/>
      <c r="F30" s="558"/>
      <c r="G30" s="558"/>
      <c r="H30" s="558"/>
      <c r="I30" s="558"/>
      <c r="J30" s="558"/>
      <c r="K30" s="558"/>
      <c r="L30" s="558"/>
      <c r="M30" s="558"/>
      <c r="N30" s="558"/>
      <c r="O30" s="558"/>
      <c r="P30" s="558"/>
      <c r="Q30" s="558"/>
      <c r="R30" s="558"/>
      <c r="S30" s="558"/>
      <c r="T30" s="558"/>
      <c r="U30" s="558"/>
      <c r="V30" s="558"/>
      <c r="W30" s="558"/>
    </row>
    <row r="31" spans="1:25">
      <c r="A31" s="558"/>
      <c r="B31" s="558"/>
      <c r="C31" s="558"/>
      <c r="D31" s="558"/>
      <c r="E31" s="558"/>
      <c r="F31" s="558"/>
      <c r="G31" s="558"/>
      <c r="H31" s="558"/>
      <c r="I31" s="558"/>
      <c r="J31" s="558"/>
      <c r="K31" s="558"/>
      <c r="L31" s="558"/>
      <c r="M31" s="558"/>
      <c r="N31" s="558"/>
      <c r="O31" s="558"/>
      <c r="P31" s="565"/>
      <c r="Q31" s="558"/>
      <c r="R31" s="558"/>
      <c r="S31" s="558"/>
      <c r="T31" s="558"/>
      <c r="U31" s="558"/>
      <c r="V31" s="558"/>
      <c r="W31" s="558"/>
    </row>
    <row r="32" spans="1:25">
      <c r="A32" s="558"/>
      <c r="B32" s="558"/>
      <c r="C32" s="558"/>
      <c r="D32" s="558"/>
      <c r="E32" s="558"/>
      <c r="F32" s="558"/>
      <c r="G32" s="558"/>
      <c r="H32" s="558"/>
      <c r="I32" s="558"/>
      <c r="J32" s="558"/>
      <c r="K32" s="558"/>
      <c r="L32" s="558"/>
      <c r="M32" s="558"/>
      <c r="N32" s="558"/>
      <c r="O32" s="558"/>
      <c r="P32" s="564"/>
      <c r="Q32" s="558"/>
      <c r="R32" s="558"/>
      <c r="S32" s="558"/>
      <c r="T32" s="558"/>
      <c r="U32" s="558"/>
      <c r="V32" s="558"/>
      <c r="W32" s="558"/>
    </row>
    <row r="33" spans="1:23">
      <c r="A33" s="558"/>
      <c r="B33" s="558"/>
      <c r="C33" s="558"/>
      <c r="D33" s="558"/>
      <c r="E33" s="558"/>
      <c r="F33" s="558"/>
      <c r="G33" s="558"/>
      <c r="H33" s="558"/>
      <c r="I33" s="558"/>
      <c r="J33" s="558"/>
      <c r="K33" s="558"/>
      <c r="L33" s="558"/>
      <c r="M33" s="558"/>
      <c r="N33" s="558"/>
      <c r="O33" s="558"/>
      <c r="P33" s="564"/>
      <c r="Q33" s="558"/>
      <c r="R33" s="558"/>
      <c r="S33" s="558"/>
      <c r="T33" s="558"/>
      <c r="U33" s="558"/>
      <c r="V33" s="558"/>
      <c r="W33" s="558"/>
    </row>
    <row r="34" spans="1:23">
      <c r="A34" s="558"/>
      <c r="B34" s="558"/>
      <c r="C34" s="558"/>
      <c r="D34" s="558"/>
      <c r="E34" s="558"/>
      <c r="F34" s="558"/>
      <c r="G34" s="558"/>
      <c r="H34" s="558"/>
      <c r="I34" s="558"/>
      <c r="J34" s="558"/>
      <c r="K34" s="558"/>
      <c r="L34" s="558"/>
      <c r="M34" s="558"/>
      <c r="N34" s="558"/>
      <c r="O34" s="558"/>
      <c r="P34" s="564"/>
      <c r="Q34" s="558"/>
      <c r="R34" s="558"/>
      <c r="S34" s="558"/>
      <c r="T34" s="558"/>
      <c r="U34" s="558"/>
      <c r="V34" s="558"/>
      <c r="W34" s="558"/>
    </row>
    <row r="35" spans="1:23">
      <c r="A35" s="570"/>
      <c r="B35" s="558"/>
      <c r="C35" s="558"/>
      <c r="D35" s="558"/>
      <c r="E35" s="558"/>
      <c r="F35" s="558"/>
      <c r="G35" s="558"/>
      <c r="H35" s="566"/>
      <c r="I35" s="558"/>
      <c r="J35" s="565"/>
      <c r="K35" s="558"/>
      <c r="L35" s="558"/>
      <c r="M35" s="564"/>
      <c r="N35" s="564"/>
      <c r="O35" s="564"/>
      <c r="P35" s="564"/>
      <c r="Q35" s="558"/>
      <c r="R35" s="558"/>
      <c r="S35" s="558"/>
      <c r="T35" s="558"/>
      <c r="U35" s="558"/>
      <c r="V35" s="558"/>
      <c r="W35" s="558"/>
    </row>
    <row r="36" spans="1:23">
      <c r="A36" s="570"/>
      <c r="B36" s="558"/>
      <c r="C36" s="558"/>
      <c r="D36" s="558"/>
      <c r="E36" s="558"/>
      <c r="F36" s="558"/>
      <c r="G36" s="558"/>
      <c r="H36" s="566"/>
      <c r="I36" s="558"/>
      <c r="J36" s="565"/>
      <c r="K36" s="558"/>
      <c r="L36" s="558"/>
      <c r="M36" s="564"/>
      <c r="N36" s="564"/>
      <c r="O36" s="564"/>
      <c r="P36" s="564"/>
      <c r="Q36" s="558"/>
      <c r="R36" s="558"/>
      <c r="S36" s="558"/>
      <c r="T36" s="558"/>
      <c r="U36" s="558"/>
      <c r="V36" s="558"/>
      <c r="W36" s="558"/>
    </row>
    <row r="37" spans="1:23">
      <c r="A37" s="570"/>
      <c r="B37" s="558"/>
      <c r="C37" s="558"/>
      <c r="D37" s="558"/>
      <c r="E37" s="558"/>
      <c r="F37" s="558"/>
      <c r="G37" s="558"/>
      <c r="H37" s="558"/>
      <c r="I37" s="558"/>
      <c r="J37" s="565"/>
      <c r="K37" s="558"/>
      <c r="L37" s="558"/>
      <c r="M37" s="567"/>
      <c r="N37" s="566"/>
      <c r="O37" s="564"/>
      <c r="P37" s="564"/>
      <c r="Q37" s="571"/>
      <c r="R37" s="558"/>
      <c r="S37" s="558"/>
      <c r="T37" s="558"/>
      <c r="U37" s="558"/>
      <c r="V37" s="558"/>
      <c r="W37" s="558"/>
    </row>
    <row r="38" spans="1:23">
      <c r="A38" s="570"/>
      <c r="B38" s="558"/>
      <c r="C38" s="558"/>
      <c r="D38" s="558"/>
      <c r="E38" s="558"/>
      <c r="F38" s="558"/>
      <c r="G38" s="558"/>
      <c r="H38" s="566"/>
      <c r="I38" s="558"/>
      <c r="J38" s="565"/>
      <c r="K38" s="558"/>
      <c r="L38" s="558"/>
      <c r="M38" s="564"/>
      <c r="N38" s="564"/>
      <c r="O38" s="564"/>
      <c r="P38" s="564"/>
      <c r="Q38" s="558"/>
      <c r="R38" s="558"/>
      <c r="S38" s="558"/>
      <c r="T38" s="558"/>
      <c r="U38" s="558"/>
      <c r="V38" s="558"/>
      <c r="W38" s="558"/>
    </row>
    <row r="39" spans="1:23">
      <c r="A39" s="570"/>
      <c r="B39" s="558"/>
      <c r="C39" s="558"/>
      <c r="D39" s="558"/>
      <c r="E39" s="558"/>
      <c r="F39" s="558"/>
      <c r="G39" s="558"/>
      <c r="H39" s="565"/>
      <c r="I39" s="565"/>
      <c r="J39" s="565"/>
      <c r="K39" s="558"/>
      <c r="L39" s="564"/>
      <c r="M39" s="564"/>
      <c r="N39" s="564"/>
      <c r="O39" s="564"/>
      <c r="P39" s="564"/>
      <c r="Q39" s="558"/>
      <c r="R39" s="558"/>
      <c r="S39" s="558"/>
      <c r="T39" s="558"/>
      <c r="U39" s="558"/>
      <c r="V39" s="558"/>
      <c r="W39" s="558"/>
    </row>
    <row r="40" spans="1:23">
      <c r="A40" s="558"/>
      <c r="B40" s="558"/>
      <c r="C40" s="558"/>
      <c r="D40" s="558"/>
      <c r="E40" s="558"/>
      <c r="F40" s="558"/>
      <c r="G40" s="564"/>
      <c r="H40" s="564"/>
      <c r="I40" s="564"/>
      <c r="J40" s="564"/>
      <c r="K40" s="564"/>
      <c r="L40" s="564"/>
      <c r="M40" s="564"/>
      <c r="N40" s="564"/>
      <c r="O40" s="564"/>
      <c r="P40" s="564"/>
      <c r="Q40" s="558"/>
      <c r="R40" s="558"/>
      <c r="S40" s="558"/>
      <c r="T40" s="558"/>
      <c r="U40" s="558"/>
      <c r="V40" s="558"/>
      <c r="W40" s="558"/>
    </row>
    <row r="41" spans="1:23">
      <c r="A41" s="558"/>
      <c r="B41" s="558"/>
      <c r="C41" s="558"/>
      <c r="D41" s="558"/>
      <c r="E41" s="558"/>
      <c r="F41" s="558"/>
      <c r="G41" s="564"/>
      <c r="H41" s="564"/>
      <c r="I41" s="564"/>
      <c r="J41" s="564"/>
      <c r="K41" s="564"/>
      <c r="L41" s="564"/>
      <c r="M41" s="564"/>
      <c r="N41" s="564"/>
      <c r="O41" s="564"/>
      <c r="P41" s="564"/>
      <c r="Q41" s="558"/>
      <c r="R41" s="558"/>
      <c r="S41" s="558"/>
      <c r="T41" s="558"/>
      <c r="U41" s="558"/>
      <c r="V41" s="558"/>
      <c r="W41" s="558"/>
    </row>
    <row r="42" spans="1:23">
      <c r="A42" s="558"/>
      <c r="B42" s="558"/>
      <c r="C42" s="558"/>
      <c r="D42" s="558"/>
      <c r="E42" s="558"/>
      <c r="F42" s="558"/>
      <c r="G42" s="564"/>
      <c r="H42" s="564"/>
      <c r="I42" s="564"/>
      <c r="J42" s="564"/>
      <c r="K42" s="564"/>
      <c r="L42" s="564"/>
      <c r="M42" s="564"/>
      <c r="N42" s="564"/>
      <c r="O42" s="564"/>
      <c r="P42" s="564"/>
      <c r="Q42" s="558"/>
      <c r="R42" s="558"/>
      <c r="S42" s="558"/>
      <c r="T42" s="558"/>
      <c r="U42" s="558"/>
      <c r="V42" s="558"/>
      <c r="W42" s="558"/>
    </row>
    <row r="43" spans="1:23">
      <c r="A43" s="558"/>
      <c r="B43" s="558"/>
      <c r="C43" s="558"/>
      <c r="D43" s="558"/>
      <c r="E43" s="558"/>
      <c r="F43" s="558"/>
      <c r="G43" s="564"/>
      <c r="H43" s="564"/>
      <c r="I43" s="564"/>
      <c r="J43" s="564"/>
      <c r="K43" s="564"/>
      <c r="L43" s="564"/>
      <c r="M43" s="564"/>
      <c r="N43" s="564"/>
      <c r="O43" s="564"/>
      <c r="P43" s="564"/>
      <c r="Q43" s="558"/>
      <c r="R43" s="558"/>
      <c r="S43" s="558"/>
      <c r="T43" s="558"/>
      <c r="U43" s="558"/>
      <c r="V43" s="558"/>
      <c r="W43" s="558"/>
    </row>
    <row r="44" spans="1:23">
      <c r="A44" s="558"/>
      <c r="B44" s="558"/>
      <c r="C44" s="558"/>
      <c r="D44" s="558"/>
      <c r="E44" s="558"/>
      <c r="F44" s="558"/>
      <c r="G44" s="564"/>
      <c r="H44" s="564"/>
      <c r="I44" s="564"/>
      <c r="J44" s="564"/>
      <c r="K44" s="564"/>
      <c r="L44" s="564"/>
      <c r="M44" s="564"/>
      <c r="N44" s="564"/>
      <c r="O44" s="564"/>
      <c r="P44" s="564"/>
      <c r="Q44" s="558"/>
      <c r="R44" s="558"/>
      <c r="S44" s="558"/>
      <c r="T44" s="558"/>
      <c r="U44" s="558"/>
      <c r="V44" s="558"/>
      <c r="W44" s="558"/>
    </row>
    <row r="45" spans="1:23">
      <c r="A45" s="558"/>
      <c r="B45" s="558"/>
      <c r="C45" s="558"/>
      <c r="D45" s="558"/>
      <c r="E45" s="558"/>
      <c r="F45" s="558"/>
      <c r="G45" s="564"/>
      <c r="H45" s="564"/>
      <c r="I45" s="564"/>
      <c r="J45" s="564"/>
      <c r="K45" s="564"/>
      <c r="L45" s="564"/>
      <c r="M45" s="564"/>
      <c r="N45" s="564"/>
      <c r="O45" s="564"/>
      <c r="P45" s="564"/>
      <c r="Q45" s="564"/>
      <c r="R45" s="558"/>
      <c r="S45" s="558"/>
      <c r="T45" s="558"/>
      <c r="U45" s="558"/>
      <c r="V45" s="558"/>
      <c r="W45" s="558"/>
    </row>
    <row r="46" spans="1:23">
      <c r="A46" s="558"/>
      <c r="B46" s="558"/>
      <c r="C46" s="558"/>
      <c r="D46" s="558"/>
      <c r="E46" s="558"/>
      <c r="F46" s="558"/>
      <c r="G46" s="564"/>
      <c r="H46" s="564"/>
      <c r="I46" s="564"/>
      <c r="J46" s="564"/>
      <c r="K46" s="564"/>
      <c r="L46" s="564"/>
      <c r="M46" s="564"/>
      <c r="N46" s="564"/>
      <c r="O46" s="564"/>
      <c r="P46" s="564"/>
      <c r="Q46" s="558"/>
      <c r="R46" s="558"/>
      <c r="S46" s="558"/>
      <c r="T46" s="558"/>
      <c r="U46" s="558"/>
      <c r="V46" s="558"/>
      <c r="W46" s="558"/>
    </row>
    <row r="47" spans="1:23">
      <c r="A47" s="558"/>
      <c r="B47" s="558"/>
      <c r="C47" s="558"/>
      <c r="D47" s="558"/>
      <c r="E47" s="558"/>
      <c r="F47" s="558"/>
      <c r="G47" s="564"/>
      <c r="H47" s="564"/>
      <c r="I47" s="564"/>
      <c r="J47" s="564"/>
      <c r="K47" s="564"/>
      <c r="L47" s="564"/>
      <c r="M47" s="564"/>
      <c r="N47" s="564"/>
      <c r="O47" s="564"/>
      <c r="P47" s="564"/>
      <c r="Q47" s="558"/>
      <c r="R47" s="558"/>
      <c r="S47" s="558"/>
      <c r="T47" s="558"/>
      <c r="U47" s="558"/>
      <c r="V47" s="558"/>
      <c r="W47" s="558"/>
    </row>
    <row r="48" spans="1:23">
      <c r="A48" s="558"/>
      <c r="B48" s="558"/>
      <c r="C48" s="558"/>
      <c r="D48" s="558"/>
      <c r="E48" s="558"/>
      <c r="F48" s="558"/>
      <c r="G48" s="564"/>
      <c r="H48" s="564"/>
      <c r="I48" s="564"/>
      <c r="J48" s="564"/>
      <c r="K48" s="564"/>
      <c r="L48" s="564"/>
      <c r="M48" s="564"/>
      <c r="N48" s="564"/>
      <c r="O48" s="564"/>
      <c r="P48" s="564"/>
      <c r="Q48" s="558"/>
      <c r="R48" s="558"/>
      <c r="S48" s="558"/>
      <c r="T48" s="558"/>
      <c r="U48" s="558"/>
      <c r="V48" s="558"/>
      <c r="W48" s="558"/>
    </row>
    <row r="49" spans="1:28">
      <c r="A49" s="558"/>
      <c r="B49" s="558"/>
      <c r="C49" s="558"/>
      <c r="D49" s="558"/>
      <c r="E49" s="558"/>
      <c r="F49" s="558"/>
      <c r="G49" s="564"/>
      <c r="H49" s="564"/>
      <c r="I49" s="564"/>
      <c r="J49" s="564"/>
      <c r="K49" s="564"/>
      <c r="L49" s="558"/>
      <c r="M49" s="558"/>
      <c r="N49" s="558"/>
      <c r="O49" s="558"/>
      <c r="P49" s="564"/>
      <c r="Q49" s="564"/>
      <c r="R49" s="564"/>
      <c r="S49" s="564"/>
      <c r="T49" s="564"/>
      <c r="U49" s="564"/>
      <c r="V49" s="564"/>
      <c r="W49" s="564"/>
      <c r="X49" s="544"/>
      <c r="Y49" s="544"/>
    </row>
    <row r="50" spans="1:28">
      <c r="A50" s="558"/>
      <c r="B50" s="558"/>
      <c r="C50" s="558"/>
      <c r="D50" s="558"/>
      <c r="E50" s="558"/>
      <c r="F50" s="558"/>
      <c r="G50" s="564"/>
      <c r="H50" s="564"/>
      <c r="I50" s="564"/>
      <c r="J50" s="564"/>
      <c r="K50" s="564"/>
      <c r="L50" s="564"/>
      <c r="M50" s="564"/>
      <c r="N50" s="564"/>
      <c r="O50" s="564"/>
      <c r="P50" s="564"/>
      <c r="Q50" s="564"/>
      <c r="R50" s="564"/>
      <c r="S50" s="564"/>
      <c r="T50" s="564"/>
      <c r="U50" s="564"/>
      <c r="V50" s="564"/>
      <c r="W50" s="564"/>
      <c r="X50" s="544"/>
      <c r="Y50" s="544"/>
    </row>
    <row r="51" spans="1:28">
      <c r="A51" s="558"/>
      <c r="B51" s="558"/>
      <c r="C51" s="558"/>
      <c r="D51" s="558"/>
      <c r="E51" s="558"/>
      <c r="F51" s="558"/>
      <c r="G51" s="564"/>
      <c r="H51" s="564"/>
      <c r="I51" s="564"/>
      <c r="J51" s="564"/>
      <c r="K51" s="564"/>
      <c r="L51" s="564"/>
      <c r="M51" s="564"/>
      <c r="N51" s="564"/>
      <c r="O51" s="564"/>
      <c r="P51" s="558"/>
      <c r="Q51" s="558"/>
      <c r="R51" s="558"/>
      <c r="S51" s="558"/>
      <c r="T51" s="558"/>
      <c r="U51" s="558"/>
      <c r="V51" s="558"/>
      <c r="W51" s="558"/>
    </row>
    <row r="52" spans="1:28">
      <c r="A52" s="558"/>
      <c r="B52" s="558"/>
      <c r="C52" s="558"/>
      <c r="D52" s="558"/>
      <c r="E52" s="558"/>
      <c r="F52" s="558"/>
      <c r="G52" s="558"/>
      <c r="H52" s="558"/>
      <c r="I52" s="558"/>
      <c r="J52" s="558"/>
      <c r="K52" s="558"/>
      <c r="L52" s="558"/>
      <c r="M52" s="558"/>
      <c r="N52" s="558"/>
      <c r="O52" s="558"/>
      <c r="P52" s="558"/>
      <c r="Q52" s="558"/>
      <c r="R52" s="558"/>
      <c r="S52" s="558"/>
      <c r="T52" s="558"/>
      <c r="U52" s="558"/>
      <c r="V52" s="558"/>
      <c r="W52" s="558"/>
    </row>
    <row r="53" spans="1:28">
      <c r="A53" s="558"/>
      <c r="B53" s="558"/>
      <c r="C53" s="558"/>
      <c r="D53" s="558"/>
      <c r="E53" s="558"/>
      <c r="F53" s="558"/>
      <c r="G53" s="558"/>
      <c r="H53" s="558"/>
      <c r="I53" s="558"/>
      <c r="J53" s="558"/>
      <c r="K53" s="558"/>
      <c r="L53" s="558"/>
      <c r="M53" s="558"/>
      <c r="N53" s="558"/>
      <c r="O53" s="558"/>
      <c r="P53" s="558"/>
      <c r="Q53" s="558"/>
      <c r="R53" s="558"/>
      <c r="S53" s="558"/>
      <c r="T53" s="558"/>
      <c r="U53" s="558"/>
      <c r="V53" s="558"/>
      <c r="W53" s="558"/>
    </row>
    <row r="54" spans="1:28">
      <c r="A54" s="558"/>
      <c r="B54" s="558"/>
      <c r="C54" s="558"/>
      <c r="D54" s="558"/>
      <c r="E54" s="558"/>
      <c r="F54" s="558"/>
      <c r="G54" s="558"/>
      <c r="H54" s="558"/>
      <c r="I54" s="558"/>
      <c r="J54" s="558"/>
      <c r="K54" s="558"/>
      <c r="L54" s="558"/>
      <c r="M54" s="558"/>
      <c r="N54" s="558"/>
      <c r="O54" s="558"/>
      <c r="P54" s="558"/>
      <c r="Q54" s="558"/>
      <c r="R54" s="558"/>
      <c r="S54" s="558"/>
      <c r="T54" s="558"/>
      <c r="U54" s="558"/>
      <c r="V54" s="558"/>
      <c r="W54" s="558"/>
    </row>
    <row r="55" spans="1:28">
      <c r="B55" s="546"/>
      <c r="J55" s="547"/>
      <c r="R55" s="547"/>
    </row>
    <row r="56" spans="1:28">
      <c r="E56" s="548"/>
      <c r="R56" s="547"/>
      <c r="AB56" s="549"/>
    </row>
    <row r="57" spans="1:28">
      <c r="C57" s="549"/>
      <c r="O57" s="549"/>
      <c r="AB57" s="549"/>
    </row>
    <row r="58" spans="1:28">
      <c r="AB58" s="549"/>
    </row>
    <row r="60" spans="1:28">
      <c r="AB60" s="545"/>
    </row>
    <row r="61" spans="1:28">
      <c r="AB61" s="545"/>
    </row>
    <row r="92" spans="2:2">
      <c r="B92" s="545"/>
    </row>
    <row r="93" spans="2:2">
      <c r="B93" s="545"/>
    </row>
    <row r="94" spans="2:2">
      <c r="B94" s="545"/>
    </row>
    <row r="95" spans="2:2">
      <c r="B95" s="545"/>
    </row>
    <row r="96" spans="2:2">
      <c r="B96" s="545"/>
    </row>
  </sheetData>
  <sheetProtection algorithmName="SHA-512" hashValue="Qrp7GWzKKTk9bhAfTqjxrISXf1PtfWfFglE795iTcskqVyw+GqJDaggkMmdgoKneFie1m75E6v2sXddvXatbzw==" saltValue="bkprn4sEScpOAKHd7VndsA==" spinCount="100000" sheet="1" objects="1" scenarios="1" selectLockedCells="1" selectUnlockedCells="1"/>
  <mergeCells count="2">
    <mergeCell ref="L6:Q6"/>
    <mergeCell ref="A7:F7"/>
  </mergeCells>
  <printOptions horizontalCentered="1" verticalCentered="1"/>
  <pageMargins left="0.19685039370078741" right="0.19685039370078741" top="0.19685039370078741" bottom="0.19685039370078741" header="0.19685039370078741" footer="0.19685039370078741"/>
  <pageSetup paperSize="9" scale="70" orientation="landscape" horizontalDpi="1200" verticalDpi="120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5C1DC-CA5A-4E67-9A3E-EF121A10E45D}">
  <sheetPr codeName="Folha7">
    <tabColor indexed="24"/>
  </sheetPr>
  <dimension ref="A1:BH115"/>
  <sheetViews>
    <sheetView topLeftCell="K64" workbookViewId="0">
      <selection activeCell="BG3" sqref="BG3:BH3"/>
    </sheetView>
  </sheetViews>
  <sheetFormatPr defaultRowHeight="12.75"/>
  <cols>
    <col min="1" max="1" width="16" bestFit="1" customWidth="1"/>
    <col min="2" max="2" width="25" bestFit="1" customWidth="1"/>
    <col min="17" max="17" width="11.85546875" customWidth="1"/>
    <col min="18" max="18" width="27.140625" customWidth="1"/>
    <col min="20" max="20" width="11.5703125" customWidth="1"/>
    <col min="53" max="53" width="7" bestFit="1" customWidth="1"/>
    <col min="54" max="54" width="16" bestFit="1" customWidth="1"/>
    <col min="59" max="60" width="18.28515625" bestFit="1" customWidth="1"/>
  </cols>
  <sheetData>
    <row r="1" spans="1:60">
      <c r="A1" s="334"/>
    </row>
    <row r="2" spans="1:60">
      <c r="A2" s="374" t="s">
        <v>280</v>
      </c>
      <c r="B2">
        <v>1</v>
      </c>
      <c r="AF2" s="467" t="s">
        <v>556</v>
      </c>
    </row>
    <row r="3" spans="1:60" ht="13.5" thickBot="1">
      <c r="A3" s="374" t="s">
        <v>264</v>
      </c>
      <c r="B3">
        <v>2</v>
      </c>
      <c r="Q3">
        <v>1</v>
      </c>
      <c r="AS3" s="4"/>
      <c r="AT3" s="6">
        <f>+'q1'!$C$4</f>
        <v>2012</v>
      </c>
      <c r="AU3" s="6">
        <f>+'q1'!$D$4</f>
        <v>2013</v>
      </c>
      <c r="AV3" s="6">
        <f>+'q1'!$E$4</f>
        <v>2014</v>
      </c>
      <c r="AW3" s="6">
        <f>+'q1'!$F$4</f>
        <v>2015</v>
      </c>
      <c r="AX3" s="6">
        <f>+'q1'!$G$4</f>
        <v>2016</v>
      </c>
      <c r="AY3" s="6">
        <f>+'q1'!$H$4</f>
        <v>2017</v>
      </c>
      <c r="AZ3" s="455">
        <f>+'q1'!$I$4</f>
        <v>2018</v>
      </c>
      <c r="BA3" s="6">
        <f>+'q1'!$J$4</f>
        <v>2019</v>
      </c>
      <c r="BB3" s="6">
        <f>+'q1'!$K$4</f>
        <v>2020</v>
      </c>
      <c r="BC3" s="6">
        <f>+'q1'!$L$4</f>
        <v>2021</v>
      </c>
      <c r="BD3" s="6">
        <f>+'q1'!$M$4</f>
        <v>2022</v>
      </c>
      <c r="BE3" s="356"/>
      <c r="BG3" t="str">
        <f>+"variação "&amp;$BD$3&amp;"/"&amp;$BC$3</f>
        <v>variação 2022/2021</v>
      </c>
      <c r="BH3" t="str">
        <f>+"variação "&amp;$BD$3&amp;"/"&amp;$AT$3</f>
        <v>variação 2022/2012</v>
      </c>
    </row>
    <row r="4" spans="1:60" ht="13.5" thickTop="1">
      <c r="R4" s="334"/>
      <c r="AS4" s="345" t="s">
        <v>280</v>
      </c>
      <c r="AT4" s="346">
        <f>+'q1'!$C$5</f>
        <v>268026</v>
      </c>
      <c r="AU4" s="346">
        <f>+'q1'!$D$5</f>
        <v>265860</v>
      </c>
      <c r="AV4" s="346">
        <f>+'q1'!$E$5</f>
        <v>270181</v>
      </c>
      <c r="AW4" s="346">
        <f>+'q1'!$F$5</f>
        <v>273060</v>
      </c>
      <c r="AX4" s="346">
        <f>+'q1'!$G$5</f>
        <v>276332</v>
      </c>
      <c r="AY4" s="346">
        <f>+'q1'!$H$5</f>
        <v>279191</v>
      </c>
      <c r="AZ4" s="346">
        <f>+'q1'!$I$5</f>
        <v>282236</v>
      </c>
      <c r="BA4" s="346">
        <f>+'q1'!$J$5</f>
        <v>275751</v>
      </c>
      <c r="BB4" s="346">
        <f>+'q1'!$K$5</f>
        <v>277641</v>
      </c>
      <c r="BC4" s="346">
        <f>+'q1'!$L$5</f>
        <v>271806</v>
      </c>
      <c r="BD4" s="470">
        <f>+'q1'!$M$5</f>
        <v>284860</v>
      </c>
      <c r="BE4" s="233"/>
      <c r="BF4" s="472">
        <f>+BD4-BC4</f>
        <v>13054</v>
      </c>
      <c r="BG4" s="454">
        <f>+(BD4/BC4-1)</f>
        <v>4.8026901540068945E-2</v>
      </c>
      <c r="BH4" s="454">
        <f>+(BD4/AT4-1)</f>
        <v>6.2807339586458122E-2</v>
      </c>
    </row>
    <row r="5" spans="1:60">
      <c r="AS5" s="345" t="s">
        <v>264</v>
      </c>
      <c r="AT5" s="344">
        <f>+'q4'!$C$5</f>
        <v>319177</v>
      </c>
      <c r="AU5" s="344">
        <f>+'q4'!$D$5</f>
        <v>315112</v>
      </c>
      <c r="AV5" s="344">
        <f>+'q4'!$E$5</f>
        <v>318886</v>
      </c>
      <c r="AW5" s="344">
        <f>+'q4'!$F$5</f>
        <v>321500</v>
      </c>
      <c r="AX5" s="344">
        <f>+'q4'!$G$5</f>
        <v>324933</v>
      </c>
      <c r="AY5" s="344">
        <f>+'q4'!$H$5</f>
        <v>327295</v>
      </c>
      <c r="AZ5" s="344">
        <f>+'q4'!$I$5</f>
        <v>330668</v>
      </c>
      <c r="BA5" s="344">
        <f>+'q4'!$J$5</f>
        <v>322978</v>
      </c>
      <c r="BB5" s="344">
        <f>+'q4'!$K$5</f>
        <v>324959</v>
      </c>
      <c r="BC5" s="344">
        <f>+'q4'!$L$5</f>
        <v>318254</v>
      </c>
      <c r="BD5" s="471">
        <f>+'q4'!$M$5</f>
        <v>332683</v>
      </c>
      <c r="BE5" s="344"/>
      <c r="BF5" s="472">
        <f>+BD5-BC5</f>
        <v>14429</v>
      </c>
      <c r="BG5" s="454">
        <f>+(BD5/BC5-1)</f>
        <v>4.5338000465037442E-2</v>
      </c>
      <c r="BH5" s="454">
        <f>+(BD5/AT5-1)</f>
        <v>4.2315079094044972E-2</v>
      </c>
    </row>
    <row r="6" spans="1:60">
      <c r="B6" s="334"/>
      <c r="D6">
        <f>+'q1'!$C$4</f>
        <v>2012</v>
      </c>
      <c r="E6">
        <f>+'q1'!$D$4</f>
        <v>2013</v>
      </c>
      <c r="F6">
        <f>+'q1'!$E$4</f>
        <v>2014</v>
      </c>
      <c r="G6">
        <f>+'q1'!$F$4</f>
        <v>2015</v>
      </c>
      <c r="H6">
        <f>+'q1'!$G$4</f>
        <v>2016</v>
      </c>
      <c r="I6">
        <f>+'q1'!$H$4</f>
        <v>2017</v>
      </c>
      <c r="J6">
        <f>+'q1'!$I$4</f>
        <v>2018</v>
      </c>
      <c r="K6">
        <f>+'q1'!$J$4</f>
        <v>2019</v>
      </c>
      <c r="L6">
        <f>+'q1'!$K$4</f>
        <v>2020</v>
      </c>
      <c r="M6">
        <f>+'q1'!$L$4</f>
        <v>2021</v>
      </c>
      <c r="N6">
        <f>+'q1'!$M$4</f>
        <v>2022</v>
      </c>
      <c r="S6">
        <f>+D6</f>
        <v>2012</v>
      </c>
      <c r="T6">
        <f t="shared" ref="T6:AC6" si="0">+E6</f>
        <v>2013</v>
      </c>
      <c r="U6">
        <f t="shared" si="0"/>
        <v>2014</v>
      </c>
      <c r="V6">
        <f t="shared" si="0"/>
        <v>2015</v>
      </c>
      <c r="W6">
        <f t="shared" si="0"/>
        <v>2016</v>
      </c>
      <c r="X6">
        <f t="shared" si="0"/>
        <v>2017</v>
      </c>
      <c r="Y6">
        <f t="shared" si="0"/>
        <v>2018</v>
      </c>
      <c r="Z6">
        <f t="shared" si="0"/>
        <v>2019</v>
      </c>
      <c r="AA6">
        <f t="shared" si="0"/>
        <v>2020</v>
      </c>
      <c r="AB6">
        <f t="shared" si="0"/>
        <v>2021</v>
      </c>
      <c r="AC6">
        <f t="shared" si="0"/>
        <v>2022</v>
      </c>
    </row>
    <row r="7" spans="1:60">
      <c r="A7" s="334" t="s">
        <v>280</v>
      </c>
      <c r="B7" t="str">
        <f>+'q1'!$A$6</f>
        <v>A</v>
      </c>
      <c r="C7" t="str">
        <f>+'q1'!$B$6</f>
        <v>Agr., pr. animal, caça, flor. pesca</v>
      </c>
      <c r="D7">
        <f>+'q1'!$C$6</f>
        <v>11903</v>
      </c>
      <c r="E7">
        <f>+'q1'!$D$6</f>
        <v>12395</v>
      </c>
      <c r="F7">
        <f>+'q1'!$E$6</f>
        <v>13063</v>
      </c>
      <c r="G7">
        <f>+'q1'!$F$6</f>
        <v>13445</v>
      </c>
      <c r="H7">
        <f>+'q1'!$G$6</f>
        <v>13755</v>
      </c>
      <c r="I7">
        <f>+'q1'!$H$6</f>
        <v>13847</v>
      </c>
      <c r="J7">
        <f>+'q1'!$I$6</f>
        <v>13971</v>
      </c>
      <c r="K7">
        <f>+'q1'!$J$6</f>
        <v>13547</v>
      </c>
      <c r="L7">
        <f>+'q1'!$K$6</f>
        <v>13691</v>
      </c>
      <c r="M7">
        <f>+'q1'!$L$6</f>
        <v>13199</v>
      </c>
      <c r="N7">
        <f>+'q1'!$M$6</f>
        <v>13618</v>
      </c>
      <c r="Q7" t="str">
        <f>INDEX($A$2:$A$3,$Q$3)</f>
        <v>Empresas</v>
      </c>
      <c r="R7" t="str">
        <f>+B7</f>
        <v>A</v>
      </c>
      <c r="S7">
        <f>IF($Q$3=1, VLOOKUP($R$7:$R$26,$B$6:$N$26,COLUMN(D7)-1,0),VLOOKUP($R$7:$R$26,$B$31:$N$50,COLUMN(D7)-1,0))</f>
        <v>11903</v>
      </c>
      <c r="T7">
        <f t="shared" ref="T7:AC22" si="1">IF($Q$3=1, VLOOKUP($R$7:$R$26,$B$6:$N$26,COLUMN(E7)-1,0),VLOOKUP($R$7:$R$26,$B$31:$N$50,COLUMN(E7)-1,0))</f>
        <v>12395</v>
      </c>
      <c r="U7">
        <f t="shared" si="1"/>
        <v>13063</v>
      </c>
      <c r="V7">
        <f t="shared" si="1"/>
        <v>13445</v>
      </c>
      <c r="W7">
        <f t="shared" si="1"/>
        <v>13755</v>
      </c>
      <c r="X7">
        <f t="shared" si="1"/>
        <v>13847</v>
      </c>
      <c r="Y7">
        <f t="shared" si="1"/>
        <v>13971</v>
      </c>
      <c r="Z7">
        <f t="shared" si="1"/>
        <v>13547</v>
      </c>
      <c r="AA7">
        <f t="shared" si="1"/>
        <v>13691</v>
      </c>
      <c r="AB7">
        <f t="shared" si="1"/>
        <v>13199</v>
      </c>
      <c r="AC7">
        <f t="shared" si="1"/>
        <v>13618</v>
      </c>
    </row>
    <row r="8" spans="1:60">
      <c r="A8" s="334"/>
      <c r="B8" t="str">
        <f>+'q1'!$A$7</f>
        <v>B</v>
      </c>
      <c r="C8" t="str">
        <f>+'q1'!$B$7</f>
        <v>Indústrias extrativas</v>
      </c>
      <c r="D8">
        <f>+'q1'!$C$7</f>
        <v>618</v>
      </c>
      <c r="E8">
        <f>+'q1'!$D$7</f>
        <v>589</v>
      </c>
      <c r="F8">
        <f>+'q1'!$E$7</f>
        <v>564</v>
      </c>
      <c r="G8">
        <f>+'q1'!$F$7</f>
        <v>558</v>
      </c>
      <c r="H8">
        <f>+'q1'!$G$7</f>
        <v>536</v>
      </c>
      <c r="I8">
        <f>+'q1'!$H$7</f>
        <v>542</v>
      </c>
      <c r="J8">
        <f>+'q1'!$I$7</f>
        <v>526</v>
      </c>
      <c r="K8">
        <f>+'q1'!$J$7</f>
        <v>510</v>
      </c>
      <c r="L8">
        <f>+'q1'!$K$7</f>
        <v>504</v>
      </c>
      <c r="M8">
        <f>+'q1'!$L$7</f>
        <v>486</v>
      </c>
      <c r="N8">
        <f>+'q1'!$M$7</f>
        <v>494</v>
      </c>
      <c r="R8" t="str">
        <f t="shared" ref="R8:R26" si="2">+B8</f>
        <v>B</v>
      </c>
      <c r="S8">
        <f>IF($Q$3=1, VLOOKUP($R$7:$R$26,$B$6:$N$26,COLUMN(D8)-1,0),VLOOKUP($R$7:$R$26,$B$31:$N$50,COLUMN(D8)-1,0))</f>
        <v>618</v>
      </c>
      <c r="T8">
        <f t="shared" si="1"/>
        <v>589</v>
      </c>
      <c r="U8">
        <f t="shared" si="1"/>
        <v>564</v>
      </c>
      <c r="V8">
        <f t="shared" si="1"/>
        <v>558</v>
      </c>
      <c r="W8">
        <f t="shared" si="1"/>
        <v>536</v>
      </c>
      <c r="X8">
        <f t="shared" si="1"/>
        <v>542</v>
      </c>
      <c r="Y8">
        <f t="shared" si="1"/>
        <v>526</v>
      </c>
      <c r="Z8">
        <f t="shared" si="1"/>
        <v>510</v>
      </c>
      <c r="AA8">
        <f t="shared" si="1"/>
        <v>504</v>
      </c>
      <c r="AB8">
        <f t="shared" si="1"/>
        <v>486</v>
      </c>
      <c r="AC8">
        <f t="shared" si="1"/>
        <v>494</v>
      </c>
    </row>
    <row r="9" spans="1:60">
      <c r="A9" s="334"/>
      <c r="B9" t="str">
        <f>+'q1'!$A$8</f>
        <v>C</v>
      </c>
      <c r="C9" t="str">
        <f>+'q1'!$B$8</f>
        <v>Indústrias transformadoras</v>
      </c>
      <c r="D9">
        <f>+'q1'!$C$8</f>
        <v>32824</v>
      </c>
      <c r="E9">
        <f>+'q1'!$D$8</f>
        <v>32643</v>
      </c>
      <c r="F9">
        <f>+'q1'!$E$8</f>
        <v>32895</v>
      </c>
      <c r="G9">
        <f>+'q1'!$F$8</f>
        <v>32998</v>
      </c>
      <c r="H9">
        <f>+'q1'!$G$8</f>
        <v>33278</v>
      </c>
      <c r="I9">
        <f>+'q1'!$H$8</f>
        <v>33315</v>
      </c>
      <c r="J9">
        <f>+'q1'!$I$8</f>
        <v>33177</v>
      </c>
      <c r="K9">
        <f>+'q1'!$J$8</f>
        <v>31905</v>
      </c>
      <c r="L9">
        <f>+'q1'!$K$8</f>
        <v>31715</v>
      </c>
      <c r="M9">
        <f>+'q1'!$L$8</f>
        <v>30818</v>
      </c>
      <c r="N9">
        <f>+'q1'!$M$8</f>
        <v>31733</v>
      </c>
      <c r="R9" t="str">
        <f t="shared" si="2"/>
        <v>C</v>
      </c>
      <c r="S9">
        <f t="shared" ref="S9:S26" si="3">IF($Q$3=1, VLOOKUP($R$7:$R$26,$B$6:$N$26,COLUMN(D9)-1,0),VLOOKUP($R$7:$R$26,$B$31:$N$50,COLUMN(D9)-1,0))</f>
        <v>32824</v>
      </c>
      <c r="T9">
        <f t="shared" si="1"/>
        <v>32643</v>
      </c>
      <c r="U9">
        <f t="shared" si="1"/>
        <v>32895</v>
      </c>
      <c r="V9">
        <f t="shared" si="1"/>
        <v>32998</v>
      </c>
      <c r="W9">
        <f t="shared" si="1"/>
        <v>33278</v>
      </c>
      <c r="X9">
        <f t="shared" si="1"/>
        <v>33315</v>
      </c>
      <c r="Y9">
        <f t="shared" si="1"/>
        <v>33177</v>
      </c>
      <c r="Z9">
        <f t="shared" si="1"/>
        <v>31905</v>
      </c>
      <c r="AA9">
        <f t="shared" si="1"/>
        <v>31715</v>
      </c>
      <c r="AB9">
        <f t="shared" si="1"/>
        <v>30818</v>
      </c>
      <c r="AC9">
        <f t="shared" si="1"/>
        <v>31733</v>
      </c>
      <c r="BF9" s="364"/>
    </row>
    <row r="10" spans="1:60">
      <c r="A10" s="334"/>
      <c r="B10" t="str">
        <f>+'q1'!$A$33</f>
        <v>D</v>
      </c>
      <c r="C10" t="str">
        <f>+'q1'!$B$33</f>
        <v>Eletr., gás, ág. quente/fria e ar frio</v>
      </c>
      <c r="D10">
        <f>+'q1'!$C$33</f>
        <v>184</v>
      </c>
      <c r="E10">
        <f>+'q1'!$D$33</f>
        <v>189</v>
      </c>
      <c r="F10">
        <f>+'q1'!$E$33</f>
        <v>193</v>
      </c>
      <c r="G10">
        <f>+'q1'!$F$33</f>
        <v>211</v>
      </c>
      <c r="H10">
        <f>+'q1'!$G$33</f>
        <v>204</v>
      </c>
      <c r="I10">
        <f>+'q1'!$H$33</f>
        <v>194</v>
      </c>
      <c r="J10">
        <f>+'q1'!$I$33</f>
        <v>183</v>
      </c>
      <c r="K10">
        <f>+'q1'!$J$33</f>
        <v>185</v>
      </c>
      <c r="L10">
        <f>+'q1'!$K$33</f>
        <v>198</v>
      </c>
      <c r="M10">
        <f>+'q1'!$L$33</f>
        <v>192</v>
      </c>
      <c r="N10">
        <f>+'q1'!$M$33</f>
        <v>209</v>
      </c>
      <c r="R10" t="str">
        <f t="shared" si="2"/>
        <v>D</v>
      </c>
      <c r="S10">
        <f t="shared" si="3"/>
        <v>184</v>
      </c>
      <c r="T10">
        <f t="shared" si="1"/>
        <v>189</v>
      </c>
      <c r="U10">
        <f t="shared" si="1"/>
        <v>193</v>
      </c>
      <c r="V10">
        <f t="shared" si="1"/>
        <v>211</v>
      </c>
      <c r="W10">
        <f t="shared" si="1"/>
        <v>204</v>
      </c>
      <c r="X10">
        <f t="shared" si="1"/>
        <v>194</v>
      </c>
      <c r="Y10">
        <f t="shared" si="1"/>
        <v>183</v>
      </c>
      <c r="Z10">
        <f t="shared" si="1"/>
        <v>185</v>
      </c>
      <c r="AA10">
        <f t="shared" si="1"/>
        <v>198</v>
      </c>
      <c r="AB10">
        <f t="shared" si="1"/>
        <v>192</v>
      </c>
      <c r="AC10">
        <f t="shared" si="1"/>
        <v>209</v>
      </c>
    </row>
    <row r="11" spans="1:60">
      <c r="A11" s="334"/>
      <c r="B11" t="str">
        <f>+'q1'!$A$34</f>
        <v>E</v>
      </c>
      <c r="C11" t="str">
        <f>+'q1'!$B$34</f>
        <v>Capt., trat. e d. água; san., resíd.</v>
      </c>
      <c r="D11">
        <f>+'q1'!$C$34</f>
        <v>624</v>
      </c>
      <c r="E11">
        <f>+'q1'!$D$34</f>
        <v>640</v>
      </c>
      <c r="F11">
        <f>+'q1'!$E$34</f>
        <v>637</v>
      </c>
      <c r="G11">
        <f>+'q1'!$F$34</f>
        <v>623</v>
      </c>
      <c r="H11">
        <f>+'q1'!$G$34</f>
        <v>605</v>
      </c>
      <c r="I11">
        <f>+'q1'!$H$34</f>
        <v>607</v>
      </c>
      <c r="J11">
        <f>+'q1'!$I$34</f>
        <v>602</v>
      </c>
      <c r="K11">
        <f>+'q1'!$J$34</f>
        <v>617</v>
      </c>
      <c r="L11">
        <f>+'q1'!$K$34</f>
        <v>625</v>
      </c>
      <c r="M11">
        <f>+'q1'!$L$34</f>
        <v>620</v>
      </c>
      <c r="N11">
        <f>+'q1'!$M$34</f>
        <v>636</v>
      </c>
      <c r="R11" t="str">
        <f t="shared" si="2"/>
        <v>E</v>
      </c>
      <c r="S11">
        <f t="shared" si="3"/>
        <v>624</v>
      </c>
      <c r="T11">
        <f t="shared" si="1"/>
        <v>640</v>
      </c>
      <c r="U11">
        <f t="shared" si="1"/>
        <v>637</v>
      </c>
      <c r="V11">
        <f t="shared" si="1"/>
        <v>623</v>
      </c>
      <c r="W11">
        <f t="shared" si="1"/>
        <v>605</v>
      </c>
      <c r="X11">
        <f t="shared" si="1"/>
        <v>607</v>
      </c>
      <c r="Y11">
        <f t="shared" si="1"/>
        <v>602</v>
      </c>
      <c r="Z11">
        <f t="shared" si="1"/>
        <v>617</v>
      </c>
      <c r="AA11">
        <f t="shared" si="1"/>
        <v>625</v>
      </c>
      <c r="AB11">
        <f t="shared" si="1"/>
        <v>620</v>
      </c>
      <c r="AC11">
        <f t="shared" si="1"/>
        <v>636</v>
      </c>
    </row>
    <row r="12" spans="1:60">
      <c r="A12" s="334"/>
      <c r="B12" t="str">
        <f>+'q1'!$A$35</f>
        <v>F</v>
      </c>
      <c r="C12" t="str">
        <f>+'q1'!$B$35</f>
        <v>Construção</v>
      </c>
      <c r="D12">
        <f>+'q1'!$C$35</f>
        <v>29895</v>
      </c>
      <c r="E12">
        <f>+'q1'!$D$35</f>
        <v>27952</v>
      </c>
      <c r="F12">
        <f>+'q1'!$E$35</f>
        <v>27621</v>
      </c>
      <c r="G12">
        <f>+'q1'!$F$35</f>
        <v>27400</v>
      </c>
      <c r="H12">
        <f>+'q1'!$G$35</f>
        <v>27945</v>
      </c>
      <c r="I12">
        <f>+'q1'!$H$35</f>
        <v>28669</v>
      </c>
      <c r="J12">
        <f>+'q1'!$I$35</f>
        <v>29662</v>
      </c>
      <c r="K12">
        <f>+'q1'!$J$35</f>
        <v>30134</v>
      </c>
      <c r="L12">
        <f>+'q1'!$K$35</f>
        <v>31394</v>
      </c>
      <c r="M12">
        <f>+'q1'!$L$35</f>
        <v>31375</v>
      </c>
      <c r="N12">
        <f>+'q1'!$M$35</f>
        <v>33643</v>
      </c>
      <c r="R12" t="str">
        <f t="shared" si="2"/>
        <v>F</v>
      </c>
      <c r="S12">
        <f t="shared" si="3"/>
        <v>29895</v>
      </c>
      <c r="T12">
        <f t="shared" si="1"/>
        <v>27952</v>
      </c>
      <c r="U12">
        <f t="shared" si="1"/>
        <v>27621</v>
      </c>
      <c r="V12">
        <f t="shared" si="1"/>
        <v>27400</v>
      </c>
      <c r="W12">
        <f t="shared" si="1"/>
        <v>27945</v>
      </c>
      <c r="X12">
        <f t="shared" si="1"/>
        <v>28669</v>
      </c>
      <c r="Y12">
        <f t="shared" si="1"/>
        <v>29662</v>
      </c>
      <c r="Z12">
        <f t="shared" si="1"/>
        <v>30134</v>
      </c>
      <c r="AA12">
        <f t="shared" si="1"/>
        <v>31394</v>
      </c>
      <c r="AB12">
        <f t="shared" si="1"/>
        <v>31375</v>
      </c>
      <c r="AC12">
        <f t="shared" si="1"/>
        <v>33643</v>
      </c>
      <c r="BC12" s="349"/>
      <c r="BD12" s="350"/>
      <c r="BE12" s="350"/>
    </row>
    <row r="13" spans="1:60">
      <c r="A13" s="334"/>
      <c r="B13" t="str">
        <f>+'q1'!$A$36</f>
        <v>G</v>
      </c>
      <c r="C13" t="str">
        <f>+'q1'!$B$36</f>
        <v>Com. grosso e ret.; r.v.aut./moto.</v>
      </c>
      <c r="D13">
        <f>+'q1'!$C$36</f>
        <v>74719</v>
      </c>
      <c r="E13">
        <f>+'q1'!$D$36</f>
        <v>73629</v>
      </c>
      <c r="F13">
        <f>+'q1'!$E$36</f>
        <v>74208</v>
      </c>
      <c r="G13">
        <f>+'q1'!$F$36</f>
        <v>74441</v>
      </c>
      <c r="H13">
        <f>+'q1'!$G$36</f>
        <v>74332</v>
      </c>
      <c r="I13">
        <f>+'q1'!$H$36</f>
        <v>73637</v>
      </c>
      <c r="J13">
        <f>+'q1'!$I$36</f>
        <v>73191</v>
      </c>
      <c r="K13">
        <f>+'q1'!$J$36</f>
        <v>69985</v>
      </c>
      <c r="L13">
        <f>+'q1'!$K$36</f>
        <v>69568</v>
      </c>
      <c r="M13">
        <f>+'q1'!$L$36</f>
        <v>67802</v>
      </c>
      <c r="N13">
        <f>+'q1'!$M$36</f>
        <v>69554</v>
      </c>
      <c r="R13" t="str">
        <f t="shared" si="2"/>
        <v>G</v>
      </c>
      <c r="S13">
        <f t="shared" si="3"/>
        <v>74719</v>
      </c>
      <c r="T13">
        <f t="shared" si="1"/>
        <v>73629</v>
      </c>
      <c r="U13">
        <f t="shared" si="1"/>
        <v>74208</v>
      </c>
      <c r="V13">
        <f t="shared" si="1"/>
        <v>74441</v>
      </c>
      <c r="W13">
        <f t="shared" si="1"/>
        <v>74332</v>
      </c>
      <c r="X13">
        <f t="shared" si="1"/>
        <v>73637</v>
      </c>
      <c r="Y13">
        <f t="shared" si="1"/>
        <v>73191</v>
      </c>
      <c r="Z13">
        <f t="shared" si="1"/>
        <v>69985</v>
      </c>
      <c r="AA13">
        <f t="shared" si="1"/>
        <v>69568</v>
      </c>
      <c r="AB13">
        <f t="shared" si="1"/>
        <v>67802</v>
      </c>
      <c r="AC13">
        <f t="shared" si="1"/>
        <v>69554</v>
      </c>
    </row>
    <row r="14" spans="1:60">
      <c r="A14" s="334"/>
      <c r="B14" t="str">
        <f>+'q1'!$A$37</f>
        <v>H</v>
      </c>
      <c r="C14" t="str">
        <f>+'q1'!$B$37</f>
        <v>Transportes e armazenagem</v>
      </c>
      <c r="D14">
        <f>+'q1'!$C$37</f>
        <v>10925</v>
      </c>
      <c r="E14">
        <f>+'q1'!$D$37</f>
        <v>10641</v>
      </c>
      <c r="F14">
        <f>+'q1'!$E$37</f>
        <v>10632</v>
      </c>
      <c r="G14">
        <f>+'q1'!$F$37</f>
        <v>10537</v>
      </c>
      <c r="H14">
        <f>+'q1'!$G$37</f>
        <v>10462</v>
      </c>
      <c r="I14">
        <f>+'q1'!$H$37</f>
        <v>10490</v>
      </c>
      <c r="J14">
        <f>+'q1'!$I$37</f>
        <v>10497</v>
      </c>
      <c r="K14">
        <f>+'q1'!$J$37</f>
        <v>10339</v>
      </c>
      <c r="L14">
        <f>+'q1'!$K$37</f>
        <v>10288</v>
      </c>
      <c r="M14">
        <f>+'q1'!$L$37</f>
        <v>9821</v>
      </c>
      <c r="N14">
        <f>+'q1'!$M$37</f>
        <v>10445</v>
      </c>
      <c r="R14" t="str">
        <f t="shared" si="2"/>
        <v>H</v>
      </c>
      <c r="S14">
        <f t="shared" si="3"/>
        <v>10925</v>
      </c>
      <c r="T14">
        <f t="shared" si="1"/>
        <v>10641</v>
      </c>
      <c r="U14">
        <f t="shared" si="1"/>
        <v>10632</v>
      </c>
      <c r="V14">
        <f t="shared" si="1"/>
        <v>10537</v>
      </c>
      <c r="W14">
        <f t="shared" si="1"/>
        <v>10462</v>
      </c>
      <c r="X14">
        <f t="shared" si="1"/>
        <v>10490</v>
      </c>
      <c r="Y14">
        <f t="shared" si="1"/>
        <v>10497</v>
      </c>
      <c r="Z14">
        <f t="shared" si="1"/>
        <v>10339</v>
      </c>
      <c r="AA14">
        <f t="shared" si="1"/>
        <v>10288</v>
      </c>
      <c r="AB14">
        <f t="shared" si="1"/>
        <v>9821</v>
      </c>
      <c r="AC14">
        <f t="shared" si="1"/>
        <v>10445</v>
      </c>
      <c r="AR14" s="381"/>
      <c r="BB14" s="348"/>
    </row>
    <row r="15" spans="1:60">
      <c r="A15" s="334"/>
      <c r="B15" t="str">
        <f>+'q1'!$A$38</f>
        <v>I</v>
      </c>
      <c r="C15" t="str">
        <f>+'q1'!$B$38</f>
        <v>Alojamento, restauração e sim.</v>
      </c>
      <c r="D15">
        <f>+'q1'!$C$38</f>
        <v>30385</v>
      </c>
      <c r="E15">
        <f>+'q1'!$D$38</f>
        <v>30313</v>
      </c>
      <c r="F15">
        <f>+'q1'!$E$38</f>
        <v>31162</v>
      </c>
      <c r="G15">
        <f>+'q1'!$F$38</f>
        <v>32218</v>
      </c>
      <c r="H15">
        <f>+'q1'!$G$38</f>
        <v>33270</v>
      </c>
      <c r="I15">
        <f>+'q1'!$H$38</f>
        <v>34159</v>
      </c>
      <c r="J15">
        <f>+'q1'!$I$38</f>
        <v>34949</v>
      </c>
      <c r="K15">
        <f>+'q1'!$J$38</f>
        <v>33798</v>
      </c>
      <c r="L15">
        <f>+'q1'!$K$38</f>
        <v>33300</v>
      </c>
      <c r="M15">
        <f>+'q1'!$L$38</f>
        <v>32645</v>
      </c>
      <c r="N15">
        <f>+'q1'!$M$38</f>
        <v>34416</v>
      </c>
      <c r="R15" t="str">
        <f t="shared" si="2"/>
        <v>I</v>
      </c>
      <c r="S15">
        <f t="shared" si="3"/>
        <v>30385</v>
      </c>
      <c r="T15">
        <f t="shared" si="1"/>
        <v>30313</v>
      </c>
      <c r="U15">
        <f t="shared" si="1"/>
        <v>31162</v>
      </c>
      <c r="V15">
        <f t="shared" si="1"/>
        <v>32218</v>
      </c>
      <c r="W15">
        <f t="shared" si="1"/>
        <v>33270</v>
      </c>
      <c r="X15">
        <f t="shared" si="1"/>
        <v>34159</v>
      </c>
      <c r="Y15">
        <f t="shared" si="1"/>
        <v>34949</v>
      </c>
      <c r="Z15">
        <f t="shared" si="1"/>
        <v>33798</v>
      </c>
      <c r="AA15">
        <f t="shared" si="1"/>
        <v>33300</v>
      </c>
      <c r="AB15">
        <f t="shared" si="1"/>
        <v>32645</v>
      </c>
      <c r="AC15">
        <f t="shared" si="1"/>
        <v>34416</v>
      </c>
      <c r="BB15" s="348"/>
    </row>
    <row r="16" spans="1:60">
      <c r="A16" s="334"/>
      <c r="B16" t="str">
        <f>+'q1'!$A$39</f>
        <v>J</v>
      </c>
      <c r="C16" t="str">
        <f>+'q1'!$B$39</f>
        <v xml:space="preserve">Ativ. Inform. e de comunicação </v>
      </c>
      <c r="D16">
        <f>+'q1'!$C$39</f>
        <v>4095</v>
      </c>
      <c r="E16">
        <f>+'q1'!$D$39</f>
        <v>4362</v>
      </c>
      <c r="F16">
        <f>+'q1'!$E$39</f>
        <v>4637</v>
      </c>
      <c r="G16">
        <f>+'q1'!$F$39</f>
        <v>4749</v>
      </c>
      <c r="H16">
        <f>+'q1'!$G$39</f>
        <v>4883</v>
      </c>
      <c r="I16">
        <f>+'q1'!$H$39</f>
        <v>5130</v>
      </c>
      <c r="J16">
        <f>+'q1'!$I$39</f>
        <v>5304</v>
      </c>
      <c r="K16">
        <f>+'q1'!$J$39</f>
        <v>5356</v>
      </c>
      <c r="L16">
        <f>+'q1'!$K$39</f>
        <v>5633</v>
      </c>
      <c r="M16">
        <f>+'q1'!$L$39</f>
        <v>5723</v>
      </c>
      <c r="N16">
        <f>+'q1'!$M$39</f>
        <v>6314</v>
      </c>
      <c r="R16" t="str">
        <f t="shared" si="2"/>
        <v>J</v>
      </c>
      <c r="S16">
        <f t="shared" si="3"/>
        <v>4095</v>
      </c>
      <c r="T16">
        <f t="shared" si="1"/>
        <v>4362</v>
      </c>
      <c r="U16">
        <f t="shared" si="1"/>
        <v>4637</v>
      </c>
      <c r="V16">
        <f t="shared" si="1"/>
        <v>4749</v>
      </c>
      <c r="W16">
        <f t="shared" si="1"/>
        <v>4883</v>
      </c>
      <c r="X16">
        <f t="shared" si="1"/>
        <v>5130</v>
      </c>
      <c r="Y16">
        <f t="shared" si="1"/>
        <v>5304</v>
      </c>
      <c r="Z16">
        <f t="shared" si="1"/>
        <v>5356</v>
      </c>
      <c r="AA16">
        <f t="shared" si="1"/>
        <v>5633</v>
      </c>
      <c r="AB16">
        <f t="shared" si="1"/>
        <v>5723</v>
      </c>
      <c r="AC16">
        <f t="shared" si="1"/>
        <v>6314</v>
      </c>
    </row>
    <row r="17" spans="1:54">
      <c r="A17" s="334"/>
      <c r="B17" t="str">
        <f>+'q1'!$A$40</f>
        <v>K</v>
      </c>
      <c r="C17" t="str">
        <f>+'q1'!$B$40</f>
        <v>Ativ. financeiras e de seguros</v>
      </c>
      <c r="D17">
        <f>+'q1'!$C$40</f>
        <v>3456</v>
      </c>
      <c r="E17">
        <f>+'q1'!$D$40</f>
        <v>3582</v>
      </c>
      <c r="F17">
        <f>+'q1'!$E$40</f>
        <v>3675</v>
      </c>
      <c r="G17">
        <f>+'q1'!$F$40</f>
        <v>3674</v>
      </c>
      <c r="H17">
        <f>+'q1'!$G$40</f>
        <v>3659</v>
      </c>
      <c r="I17">
        <f>+'q1'!$H$40</f>
        <v>3692</v>
      </c>
      <c r="J17">
        <f>+'q1'!$I$40</f>
        <v>3685</v>
      </c>
      <c r="K17">
        <f>+'q1'!$J$40</f>
        <v>3647</v>
      </c>
      <c r="L17">
        <f>+'q1'!$K$40</f>
        <v>3710</v>
      </c>
      <c r="M17">
        <f>+'q1'!$L$40</f>
        <v>3599</v>
      </c>
      <c r="N17">
        <f>+'q1'!$M$40</f>
        <v>3755</v>
      </c>
      <c r="R17" t="str">
        <f t="shared" si="2"/>
        <v>K</v>
      </c>
      <c r="S17">
        <f t="shared" si="3"/>
        <v>3456</v>
      </c>
      <c r="T17">
        <f t="shared" si="1"/>
        <v>3582</v>
      </c>
      <c r="U17">
        <f t="shared" si="1"/>
        <v>3675</v>
      </c>
      <c r="V17">
        <f t="shared" si="1"/>
        <v>3674</v>
      </c>
      <c r="W17">
        <f t="shared" si="1"/>
        <v>3659</v>
      </c>
      <c r="X17">
        <f t="shared" si="1"/>
        <v>3692</v>
      </c>
      <c r="Y17">
        <f t="shared" si="1"/>
        <v>3685</v>
      </c>
      <c r="Z17">
        <f t="shared" si="1"/>
        <v>3647</v>
      </c>
      <c r="AA17">
        <f t="shared" si="1"/>
        <v>3710</v>
      </c>
      <c r="AB17">
        <f t="shared" si="1"/>
        <v>3599</v>
      </c>
      <c r="AC17">
        <f t="shared" si="1"/>
        <v>3755</v>
      </c>
      <c r="BB17" s="348"/>
    </row>
    <row r="18" spans="1:54">
      <c r="A18" s="334"/>
      <c r="B18" t="str">
        <f>+'q1'!$A$41</f>
        <v>L</v>
      </c>
      <c r="C18" t="str">
        <f>+'q1'!$B$41</f>
        <v>Atividades imobiliárias</v>
      </c>
      <c r="D18">
        <f>+'q1'!$C$41</f>
        <v>6220</v>
      </c>
      <c r="E18">
        <f>+'q1'!$D$41</f>
        <v>6033</v>
      </c>
      <c r="F18">
        <f>+'q1'!$E$41</f>
        <v>6325</v>
      </c>
      <c r="G18">
        <f>+'q1'!$F$41</f>
        <v>6641</v>
      </c>
      <c r="H18">
        <f>+'q1'!$G$41</f>
        <v>7069</v>
      </c>
      <c r="I18">
        <f>+'q1'!$H$41</f>
        <v>7649</v>
      </c>
      <c r="J18">
        <f>+'q1'!$I$41</f>
        <v>8416</v>
      </c>
      <c r="K18">
        <f>+'q1'!$J$41</f>
        <v>8804</v>
      </c>
      <c r="L18">
        <f>+'q1'!$K$41</f>
        <v>9411</v>
      </c>
      <c r="M18">
        <f>+'q1'!$L$41</f>
        <v>9635</v>
      </c>
      <c r="N18">
        <f>+'q1'!$M$41</f>
        <v>10313</v>
      </c>
      <c r="R18" t="str">
        <f t="shared" si="2"/>
        <v>L</v>
      </c>
      <c r="S18">
        <f t="shared" si="3"/>
        <v>6220</v>
      </c>
      <c r="T18">
        <f t="shared" si="1"/>
        <v>6033</v>
      </c>
      <c r="U18">
        <f t="shared" si="1"/>
        <v>6325</v>
      </c>
      <c r="V18">
        <f t="shared" si="1"/>
        <v>6641</v>
      </c>
      <c r="W18">
        <f t="shared" si="1"/>
        <v>7069</v>
      </c>
      <c r="X18">
        <f t="shared" si="1"/>
        <v>7649</v>
      </c>
      <c r="Y18">
        <f t="shared" si="1"/>
        <v>8416</v>
      </c>
      <c r="Z18">
        <f t="shared" si="1"/>
        <v>8804</v>
      </c>
      <c r="AA18">
        <f t="shared" si="1"/>
        <v>9411</v>
      </c>
      <c r="AB18">
        <f t="shared" si="1"/>
        <v>9635</v>
      </c>
      <c r="AC18">
        <f t="shared" si="1"/>
        <v>10313</v>
      </c>
    </row>
    <row r="19" spans="1:54">
      <c r="A19" s="334"/>
      <c r="B19" t="str">
        <f>+'q1'!$A$42</f>
        <v>M</v>
      </c>
      <c r="C19" t="str">
        <f>+'q1'!$B$42</f>
        <v>Ativ. consultoria, cient.,téc. e sim.</v>
      </c>
      <c r="D19">
        <f>+'q1'!$C$42</f>
        <v>20571</v>
      </c>
      <c r="E19">
        <f>+'q1'!$D$42</f>
        <v>20799</v>
      </c>
      <c r="F19">
        <f>+'q1'!$E$42</f>
        <v>21426</v>
      </c>
      <c r="G19">
        <f>+'q1'!$F$42</f>
        <v>21717</v>
      </c>
      <c r="H19">
        <f>+'q1'!$G$42</f>
        <v>22039</v>
      </c>
      <c r="I19">
        <f>+'q1'!$H$42</f>
        <v>22524</v>
      </c>
      <c r="J19">
        <f>+'q1'!$I$42</f>
        <v>23187</v>
      </c>
      <c r="K19">
        <f>+'q1'!$J$42</f>
        <v>22977</v>
      </c>
      <c r="L19">
        <f>+'q1'!$K$42</f>
        <v>23504</v>
      </c>
      <c r="M19">
        <f>+'q1'!$L$42</f>
        <v>23335</v>
      </c>
      <c r="N19">
        <f>+'q1'!$M$42</f>
        <v>24442</v>
      </c>
      <c r="R19" t="str">
        <f t="shared" si="2"/>
        <v>M</v>
      </c>
      <c r="S19">
        <f t="shared" si="3"/>
        <v>20571</v>
      </c>
      <c r="T19">
        <f t="shared" si="1"/>
        <v>20799</v>
      </c>
      <c r="U19">
        <f t="shared" si="1"/>
        <v>21426</v>
      </c>
      <c r="V19">
        <f t="shared" si="1"/>
        <v>21717</v>
      </c>
      <c r="W19">
        <f t="shared" si="1"/>
        <v>22039</v>
      </c>
      <c r="X19">
        <f t="shared" si="1"/>
        <v>22524</v>
      </c>
      <c r="Y19">
        <f t="shared" si="1"/>
        <v>23187</v>
      </c>
      <c r="Z19">
        <f t="shared" si="1"/>
        <v>22977</v>
      </c>
      <c r="AA19">
        <f t="shared" si="1"/>
        <v>23504</v>
      </c>
      <c r="AB19">
        <f t="shared" si="1"/>
        <v>23335</v>
      </c>
      <c r="AC19">
        <f t="shared" si="1"/>
        <v>24442</v>
      </c>
    </row>
    <row r="20" spans="1:54">
      <c r="A20" s="334"/>
      <c r="B20" t="str">
        <f>+'q1'!$A$43</f>
        <v>N</v>
      </c>
      <c r="C20" t="str">
        <f>+'q1'!$B$43</f>
        <v>Ativ. Adm. e serviços de apoio</v>
      </c>
      <c r="D20">
        <f>+'q1'!$C$43</f>
        <v>7180</v>
      </c>
      <c r="E20">
        <f>+'q1'!$D$43</f>
        <v>7258</v>
      </c>
      <c r="F20">
        <f>+'q1'!$E$43</f>
        <v>7438</v>
      </c>
      <c r="G20">
        <f>+'q1'!$F$43</f>
        <v>7568</v>
      </c>
      <c r="H20">
        <f>+'q1'!$G$43</f>
        <v>7855</v>
      </c>
      <c r="I20">
        <f>+'q1'!$H$43</f>
        <v>7959</v>
      </c>
      <c r="J20">
        <f>+'q1'!$I$43</f>
        <v>7811</v>
      </c>
      <c r="K20">
        <f>+'q1'!$J$43</f>
        <v>7970</v>
      </c>
      <c r="L20">
        <f>+'q1'!$K$43</f>
        <v>8005</v>
      </c>
      <c r="M20">
        <f>+'q1'!$L$43</f>
        <v>7640</v>
      </c>
      <c r="N20">
        <f>+'q1'!$M$43</f>
        <v>8560</v>
      </c>
      <c r="R20" t="str">
        <f t="shared" si="2"/>
        <v>N</v>
      </c>
      <c r="S20">
        <f t="shared" si="3"/>
        <v>7180</v>
      </c>
      <c r="T20">
        <f t="shared" si="1"/>
        <v>7258</v>
      </c>
      <c r="U20">
        <f t="shared" si="1"/>
        <v>7438</v>
      </c>
      <c r="V20">
        <f t="shared" si="1"/>
        <v>7568</v>
      </c>
      <c r="W20">
        <f t="shared" si="1"/>
        <v>7855</v>
      </c>
      <c r="X20">
        <f t="shared" si="1"/>
        <v>7959</v>
      </c>
      <c r="Y20">
        <f t="shared" si="1"/>
        <v>7811</v>
      </c>
      <c r="Z20">
        <f t="shared" si="1"/>
        <v>7970</v>
      </c>
      <c r="AA20">
        <f t="shared" si="1"/>
        <v>8005</v>
      </c>
      <c r="AB20">
        <f t="shared" si="1"/>
        <v>7640</v>
      </c>
      <c r="AC20">
        <f t="shared" si="1"/>
        <v>8560</v>
      </c>
    </row>
    <row r="21" spans="1:54">
      <c r="A21" s="334"/>
      <c r="B21" t="str">
        <f>+'q1'!$A$44</f>
        <v>O</v>
      </c>
      <c r="C21" t="str">
        <f>+'q1'!$B$44</f>
        <v xml:space="preserve">Adm. Púb. e defesa; seg. social </v>
      </c>
      <c r="D21">
        <f>+'q1'!$C$44</f>
        <v>638</v>
      </c>
      <c r="E21">
        <f>+'q1'!$D$44</f>
        <v>586</v>
      </c>
      <c r="F21">
        <f>+'q1'!$E$44</f>
        <v>599</v>
      </c>
      <c r="G21">
        <f>+'q1'!$F$44</f>
        <v>596</v>
      </c>
      <c r="H21">
        <f>+'q1'!$G$44</f>
        <v>560</v>
      </c>
      <c r="I21">
        <f>+'q1'!$H$44</f>
        <v>559</v>
      </c>
      <c r="J21">
        <f>+'q1'!$I$44</f>
        <v>564</v>
      </c>
      <c r="K21">
        <f>+'q1'!$J$44</f>
        <v>546</v>
      </c>
      <c r="L21">
        <f>+'q1'!$K$44</f>
        <v>558</v>
      </c>
      <c r="M21">
        <f>+'q1'!$L$44</f>
        <v>517</v>
      </c>
      <c r="N21">
        <f>+'q1'!$M$44</f>
        <v>520</v>
      </c>
      <c r="R21" t="str">
        <f t="shared" si="2"/>
        <v>O</v>
      </c>
      <c r="S21">
        <f t="shared" si="3"/>
        <v>638</v>
      </c>
      <c r="T21">
        <f t="shared" si="1"/>
        <v>586</v>
      </c>
      <c r="U21">
        <f t="shared" si="1"/>
        <v>599</v>
      </c>
      <c r="V21">
        <f t="shared" si="1"/>
        <v>596</v>
      </c>
      <c r="W21">
        <f t="shared" si="1"/>
        <v>560</v>
      </c>
      <c r="X21">
        <f t="shared" si="1"/>
        <v>559</v>
      </c>
      <c r="Y21">
        <f t="shared" si="1"/>
        <v>564</v>
      </c>
      <c r="Z21">
        <f t="shared" si="1"/>
        <v>546</v>
      </c>
      <c r="AA21">
        <f t="shared" si="1"/>
        <v>558</v>
      </c>
      <c r="AB21">
        <f t="shared" si="1"/>
        <v>517</v>
      </c>
      <c r="AC21">
        <f t="shared" si="1"/>
        <v>520</v>
      </c>
    </row>
    <row r="22" spans="1:54">
      <c r="A22" s="334"/>
      <c r="B22" t="str">
        <f>+'q1'!$A$45</f>
        <v>P</v>
      </c>
      <c r="C22" t="str">
        <f>+'q1'!$B$45</f>
        <v>Educação</v>
      </c>
      <c r="D22">
        <f>+'q1'!$C$45</f>
        <v>3562</v>
      </c>
      <c r="E22">
        <f>+'q1'!$D$45</f>
        <v>3602</v>
      </c>
      <c r="F22">
        <f>+'q1'!$E$45</f>
        <v>3802</v>
      </c>
      <c r="G22">
        <f>+'q1'!$F$45</f>
        <v>3857</v>
      </c>
      <c r="H22">
        <f>+'q1'!$G$45</f>
        <v>3829</v>
      </c>
      <c r="I22">
        <f>+'q1'!$H$45</f>
        <v>3817</v>
      </c>
      <c r="J22">
        <f>+'q1'!$I$45</f>
        <v>3764</v>
      </c>
      <c r="K22">
        <f>+'q1'!$J$45</f>
        <v>3671</v>
      </c>
      <c r="L22">
        <f>+'q1'!$K$45</f>
        <v>3680</v>
      </c>
      <c r="M22">
        <f>+'q1'!$L$45</f>
        <v>3577</v>
      </c>
      <c r="N22">
        <f>+'q1'!$M$45</f>
        <v>3747</v>
      </c>
      <c r="R22" t="str">
        <f t="shared" si="2"/>
        <v>P</v>
      </c>
      <c r="S22">
        <f t="shared" si="3"/>
        <v>3562</v>
      </c>
      <c r="T22">
        <f t="shared" si="1"/>
        <v>3602</v>
      </c>
      <c r="U22">
        <f t="shared" si="1"/>
        <v>3802</v>
      </c>
      <c r="V22">
        <f t="shared" si="1"/>
        <v>3857</v>
      </c>
      <c r="W22">
        <f t="shared" si="1"/>
        <v>3829</v>
      </c>
      <c r="X22">
        <f t="shared" si="1"/>
        <v>3817</v>
      </c>
      <c r="Y22">
        <f t="shared" si="1"/>
        <v>3764</v>
      </c>
      <c r="Z22">
        <f t="shared" si="1"/>
        <v>3671</v>
      </c>
      <c r="AA22">
        <f t="shared" si="1"/>
        <v>3680</v>
      </c>
      <c r="AB22">
        <f t="shared" si="1"/>
        <v>3577</v>
      </c>
      <c r="AC22">
        <f t="shared" si="1"/>
        <v>3747</v>
      </c>
    </row>
    <row r="23" spans="1:54">
      <c r="A23" s="334"/>
      <c r="B23" t="str">
        <f>+'q1'!$A$46</f>
        <v>Q</v>
      </c>
      <c r="C23" t="str">
        <f>+'q1'!$B$46</f>
        <v>Ativ. saúde humana e apoio social</v>
      </c>
      <c r="D23">
        <f>+'q1'!$C$46</f>
        <v>14259</v>
      </c>
      <c r="E23">
        <f>+'q1'!$D$46</f>
        <v>14586</v>
      </c>
      <c r="F23">
        <f>+'q1'!$E$46</f>
        <v>14787</v>
      </c>
      <c r="G23">
        <f>+'q1'!$F$46</f>
        <v>15110</v>
      </c>
      <c r="H23">
        <f>+'q1'!$G$46</f>
        <v>15253</v>
      </c>
      <c r="I23">
        <f>+'q1'!$H$46</f>
        <v>15453</v>
      </c>
      <c r="J23">
        <f>+'q1'!$I$46</f>
        <v>15499</v>
      </c>
      <c r="K23">
        <f>+'q1'!$J$46</f>
        <v>15300</v>
      </c>
      <c r="L23">
        <f>+'q1'!$K$46</f>
        <v>15658</v>
      </c>
      <c r="M23">
        <f>+'q1'!$L$46</f>
        <v>15268</v>
      </c>
      <c r="N23">
        <f>+'q1'!$M$46</f>
        <v>16093</v>
      </c>
      <c r="R23" t="str">
        <f t="shared" si="2"/>
        <v>Q</v>
      </c>
      <c r="S23">
        <f t="shared" si="3"/>
        <v>14259</v>
      </c>
      <c r="T23">
        <f t="shared" ref="T23:AC26" si="4">IF($Q$3=1, VLOOKUP($R$7:$R$26,$B$6:$N$26,COLUMN(E23)-1,0),VLOOKUP($R$7:$R$26,$B$31:$N$50,COLUMN(E23)-1,0))</f>
        <v>14586</v>
      </c>
      <c r="U23">
        <f t="shared" si="4"/>
        <v>14787</v>
      </c>
      <c r="V23">
        <f t="shared" si="4"/>
        <v>15110</v>
      </c>
      <c r="W23">
        <f t="shared" si="4"/>
        <v>15253</v>
      </c>
      <c r="X23">
        <f t="shared" si="4"/>
        <v>15453</v>
      </c>
      <c r="Y23">
        <f t="shared" si="4"/>
        <v>15499</v>
      </c>
      <c r="Z23">
        <f t="shared" si="4"/>
        <v>15300</v>
      </c>
      <c r="AA23">
        <f t="shared" si="4"/>
        <v>15658</v>
      </c>
      <c r="AB23">
        <f t="shared" si="4"/>
        <v>15268</v>
      </c>
      <c r="AC23">
        <f t="shared" si="4"/>
        <v>16093</v>
      </c>
    </row>
    <row r="24" spans="1:54">
      <c r="A24" s="334"/>
      <c r="B24" t="str">
        <f>+'q1'!$A$47</f>
        <v>R</v>
      </c>
      <c r="C24" t="str">
        <f>+'q1'!$B$47</f>
        <v>Ativ. artíst., espet., desp. e recr.</v>
      </c>
      <c r="D24">
        <f>+'q1'!$C$47</f>
        <v>2715</v>
      </c>
      <c r="E24">
        <f>+'q1'!$D$47</f>
        <v>2849</v>
      </c>
      <c r="F24">
        <f>+'q1'!$E$47</f>
        <v>3087</v>
      </c>
      <c r="G24">
        <f>+'q1'!$F$47</f>
        <v>3213</v>
      </c>
      <c r="H24">
        <f>+'q1'!$G$47</f>
        <v>3351</v>
      </c>
      <c r="I24">
        <f>+'q1'!$H$47</f>
        <v>3605</v>
      </c>
      <c r="J24">
        <f>+'q1'!$I$47</f>
        <v>3886</v>
      </c>
      <c r="K24">
        <f>+'q1'!$J$47</f>
        <v>3917</v>
      </c>
      <c r="L24">
        <f>+'q1'!$K$47</f>
        <v>3922</v>
      </c>
      <c r="M24">
        <f>+'q1'!$L$47</f>
        <v>3932</v>
      </c>
      <c r="N24">
        <f>+'q1'!$M$47</f>
        <v>4293</v>
      </c>
      <c r="R24" t="str">
        <f t="shared" si="2"/>
        <v>R</v>
      </c>
      <c r="S24">
        <f t="shared" si="3"/>
        <v>2715</v>
      </c>
      <c r="T24">
        <f t="shared" si="4"/>
        <v>2849</v>
      </c>
      <c r="U24">
        <f t="shared" si="4"/>
        <v>3087</v>
      </c>
      <c r="V24">
        <f t="shared" si="4"/>
        <v>3213</v>
      </c>
      <c r="W24">
        <f t="shared" si="4"/>
        <v>3351</v>
      </c>
      <c r="X24">
        <f t="shared" si="4"/>
        <v>3605</v>
      </c>
      <c r="Y24">
        <f t="shared" si="4"/>
        <v>3886</v>
      </c>
      <c r="Z24">
        <f t="shared" si="4"/>
        <v>3917</v>
      </c>
      <c r="AA24">
        <f t="shared" si="4"/>
        <v>3922</v>
      </c>
      <c r="AB24">
        <f t="shared" si="4"/>
        <v>3932</v>
      </c>
      <c r="AC24">
        <f t="shared" si="4"/>
        <v>4293</v>
      </c>
    </row>
    <row r="25" spans="1:54">
      <c r="A25" s="334"/>
      <c r="B25" t="str">
        <f>+'q1'!$A$48</f>
        <v>S</v>
      </c>
      <c r="C25" t="str">
        <f>+'q1'!$B$48</f>
        <v>Outras atividades de serviços</v>
      </c>
      <c r="D25">
        <f>+'q1'!$C$48</f>
        <v>13245</v>
      </c>
      <c r="E25">
        <f>+'q1'!$D$48</f>
        <v>13201</v>
      </c>
      <c r="F25">
        <f>+'q1'!$E$48</f>
        <v>13415</v>
      </c>
      <c r="G25">
        <f>+'q1'!$F$48</f>
        <v>13491</v>
      </c>
      <c r="H25">
        <f>+'q1'!$G$48</f>
        <v>13431</v>
      </c>
      <c r="I25">
        <f>+'q1'!$H$48</f>
        <v>13330</v>
      </c>
      <c r="J25">
        <f>+'q1'!$I$48</f>
        <v>13348</v>
      </c>
      <c r="K25">
        <f>+'q1'!$J$48</f>
        <v>12528</v>
      </c>
      <c r="L25">
        <f>+'q1'!$K$48</f>
        <v>12260</v>
      </c>
      <c r="M25">
        <f>+'q1'!$L$48</f>
        <v>11606</v>
      </c>
      <c r="N25">
        <f>+'q1'!$M$48</f>
        <v>12060</v>
      </c>
      <c r="R25" t="str">
        <f t="shared" si="2"/>
        <v>S</v>
      </c>
      <c r="S25">
        <f t="shared" si="3"/>
        <v>13245</v>
      </c>
      <c r="T25">
        <f t="shared" si="4"/>
        <v>13201</v>
      </c>
      <c r="U25">
        <f t="shared" si="4"/>
        <v>13415</v>
      </c>
      <c r="V25">
        <f t="shared" si="4"/>
        <v>13491</v>
      </c>
      <c r="W25">
        <f t="shared" si="4"/>
        <v>13431</v>
      </c>
      <c r="X25">
        <f t="shared" si="4"/>
        <v>13330</v>
      </c>
      <c r="Y25">
        <f t="shared" si="4"/>
        <v>13348</v>
      </c>
      <c r="Z25">
        <f t="shared" si="4"/>
        <v>12528</v>
      </c>
      <c r="AA25">
        <f t="shared" si="4"/>
        <v>12260</v>
      </c>
      <c r="AB25">
        <f t="shared" si="4"/>
        <v>11606</v>
      </c>
      <c r="AC25">
        <f t="shared" si="4"/>
        <v>12060</v>
      </c>
    </row>
    <row r="26" spans="1:54">
      <c r="A26" s="334"/>
      <c r="B26" t="str">
        <f>+'q1'!$A$49</f>
        <v>U</v>
      </c>
      <c r="C26" t="str">
        <f>+'q1'!$B$49</f>
        <v>Ativ. org. int. e o. inst. extra-territ.</v>
      </c>
      <c r="D26">
        <f>+'q1'!$C$49</f>
        <v>8</v>
      </c>
      <c r="E26">
        <f>+'q1'!$D$49</f>
        <v>11</v>
      </c>
      <c r="F26">
        <f>+'q1'!$E$49</f>
        <v>15</v>
      </c>
      <c r="G26">
        <f>+'q1'!$F$49</f>
        <v>13</v>
      </c>
      <c r="H26">
        <f>+'q1'!$G$49</f>
        <v>16</v>
      </c>
      <c r="I26">
        <f>+'q1'!$H$49</f>
        <v>13</v>
      </c>
      <c r="J26">
        <f>+'q1'!$I$49</f>
        <v>14</v>
      </c>
      <c r="K26">
        <f>+'q1'!$J$49</f>
        <v>15</v>
      </c>
      <c r="L26">
        <f>+'q1'!$K$49</f>
        <v>17</v>
      </c>
      <c r="M26">
        <f>+'q1'!$L$49</f>
        <v>16</v>
      </c>
      <c r="N26">
        <f>+'q1'!$M$49</f>
        <v>15</v>
      </c>
      <c r="R26" t="str">
        <f t="shared" si="2"/>
        <v>U</v>
      </c>
      <c r="S26">
        <f t="shared" si="3"/>
        <v>8</v>
      </c>
      <c r="T26">
        <f t="shared" si="4"/>
        <v>11</v>
      </c>
      <c r="U26">
        <f t="shared" si="4"/>
        <v>15</v>
      </c>
      <c r="V26">
        <f t="shared" si="4"/>
        <v>13</v>
      </c>
      <c r="W26">
        <f t="shared" si="4"/>
        <v>16</v>
      </c>
      <c r="X26">
        <f t="shared" si="4"/>
        <v>13</v>
      </c>
      <c r="Y26">
        <f t="shared" si="4"/>
        <v>14</v>
      </c>
      <c r="Z26">
        <f t="shared" si="4"/>
        <v>15</v>
      </c>
      <c r="AA26">
        <f t="shared" si="4"/>
        <v>17</v>
      </c>
      <c r="AB26">
        <f t="shared" si="4"/>
        <v>16</v>
      </c>
      <c r="AC26">
        <f t="shared" si="4"/>
        <v>15</v>
      </c>
    </row>
    <row r="27" spans="1:54">
      <c r="A27" s="334"/>
      <c r="B27" s="334" t="s">
        <v>283</v>
      </c>
      <c r="C27" s="334"/>
      <c r="D27">
        <f>+'q2'!$B$6+'q2'!$B$7</f>
        <v>227936</v>
      </c>
      <c r="E27">
        <f>+'q2'!$C$6+'q2'!$C$7</f>
        <v>226260</v>
      </c>
      <c r="F27">
        <f>+'q2'!$D$6+'q2'!$D$7</f>
        <v>229443</v>
      </c>
      <c r="G27">
        <f>+'q2'!$E$6+'q2'!$E$7</f>
        <v>231010</v>
      </c>
      <c r="H27">
        <f>+'q2'!$F$6+'q2'!$F$7</f>
        <v>233017</v>
      </c>
      <c r="I27">
        <f>+'q2'!$G$6+'q2'!$G$7</f>
        <v>233890</v>
      </c>
      <c r="J27">
        <f>+'q2'!$H$6+'q2'!$H$7</f>
        <v>235060</v>
      </c>
      <c r="K27">
        <f>+'q2'!$I$6+'q2'!$I$7</f>
        <v>227923</v>
      </c>
      <c r="L27">
        <f>+'q2'!$J$6+'q2'!$J$7</f>
        <v>230042</v>
      </c>
      <c r="M27">
        <f>+'q2'!$K$6+'q2'!$K$7</f>
        <v>224301</v>
      </c>
      <c r="N27">
        <f>+'q2'!$L$6+'q2'!$L$7</f>
        <v>233783</v>
      </c>
    </row>
    <row r="28" spans="1:54">
      <c r="A28" s="334"/>
      <c r="B28" s="334" t="s">
        <v>286</v>
      </c>
      <c r="C28" s="334"/>
      <c r="D28">
        <f>+'q2'!$B$8+'q2'!$B$9</f>
        <v>32460</v>
      </c>
      <c r="E28">
        <f>+'q2'!$C$8+'q2'!$C$9</f>
        <v>31941</v>
      </c>
      <c r="F28">
        <f>+'q2'!$D$8+'q2'!$D$9</f>
        <v>32961</v>
      </c>
      <c r="G28">
        <f>+'q2'!$E$8+'q2'!$E$9</f>
        <v>34146</v>
      </c>
      <c r="H28">
        <f>+'q2'!$F$8+'q2'!$F$9</f>
        <v>35096</v>
      </c>
      <c r="I28">
        <f>+'q2'!$G$8+'q2'!$G$9</f>
        <v>36761</v>
      </c>
      <c r="J28">
        <f>+'q2'!$H$8+'q2'!$H$9</f>
        <v>38306</v>
      </c>
      <c r="K28">
        <f>+'q2'!$I$8+'q2'!$I$9</f>
        <v>38760</v>
      </c>
      <c r="L28">
        <f>+'q2'!$J$8+'q2'!$J$9</f>
        <v>38234</v>
      </c>
      <c r="M28">
        <f>+'q2'!$K$8+'q2'!$K$9</f>
        <v>38248</v>
      </c>
      <c r="N28">
        <f>+'q2'!$L$8+'q2'!$L$9</f>
        <v>41070</v>
      </c>
    </row>
    <row r="29" spans="1:54">
      <c r="A29" s="334"/>
      <c r="B29" s="334" t="s">
        <v>289</v>
      </c>
      <c r="C29" s="334"/>
      <c r="D29">
        <f>+'q2'!$B$10+'q2'!$B$11+'q2'!$B$12+'q2'!$B$13</f>
        <v>5385</v>
      </c>
      <c r="E29">
        <f>+'q2'!$C$10+'q2'!$C$11+'q2'!$C$12+'q2'!$C$13</f>
        <v>5440</v>
      </c>
      <c r="F29">
        <f>+'q2'!$D$10+'q2'!$D$11+'q2'!$D$12+'q2'!$D$13</f>
        <v>5596</v>
      </c>
      <c r="G29">
        <f>+'q2'!$E$10+'q2'!$E$11+'q2'!$E$12+'q2'!$E$13</f>
        <v>5749</v>
      </c>
      <c r="H29">
        <f>+'q2'!$F$10+'q2'!$F$11+'q2'!$F$12+'q2'!$F$13</f>
        <v>5981</v>
      </c>
      <c r="I29">
        <f>+'q2'!$G$10+'q2'!$G$11+'q2'!$G$12+'q2'!$G$13</f>
        <v>6271</v>
      </c>
      <c r="J29">
        <f>+'q2'!$H$10+'q2'!$H$11+'q2'!$H$12+'q2'!$H$13</f>
        <v>6560</v>
      </c>
      <c r="K29">
        <f>+'q2'!$I$10+'q2'!$I$11+'q2'!$I$12+'q2'!$I$13</f>
        <v>6679</v>
      </c>
      <c r="L29">
        <f>+'q2'!$J$10+'q2'!$J$11+'q2'!$J$12+'q2'!$J$13</f>
        <v>6566</v>
      </c>
      <c r="M29">
        <f>+'q2'!$K$10+'q2'!$K$11+'q2'!$K$12+'q2'!$K$13</f>
        <v>6728</v>
      </c>
      <c r="N29">
        <f>+'q2'!$L$10+'q2'!$L$11+'q2'!$L$12+'q2'!$L$13</f>
        <v>7348</v>
      </c>
    </row>
    <row r="30" spans="1:54">
      <c r="A30" s="334"/>
      <c r="B30" s="334" t="s">
        <v>292</v>
      </c>
      <c r="C30" s="334"/>
      <c r="D30">
        <f>+'q2'!$B$14+'q2'!$B$15+'q2'!$B$16</f>
        <v>806</v>
      </c>
      <c r="E30">
        <f>+'q2'!$C$14+'q2'!$C$15+'q2'!$C$16</f>
        <v>798</v>
      </c>
      <c r="F30">
        <f>+'q2'!$D$14+'q2'!$D$15+'q2'!$D$16</f>
        <v>813</v>
      </c>
      <c r="G30">
        <f>+'q2'!$E$14+'q2'!$E$15+'q2'!$E$16</f>
        <v>847</v>
      </c>
      <c r="H30">
        <f>+'q2'!$F$14+'q2'!$F$15+'q2'!$F$16</f>
        <v>902</v>
      </c>
      <c r="I30">
        <f>+'q2'!$G$14+'q2'!$G$15+'q2'!$G$16</f>
        <v>958</v>
      </c>
      <c r="J30">
        <f>+'q2'!$H$14+'q2'!$H$15+'q2'!$H$16</f>
        <v>1011</v>
      </c>
      <c r="K30">
        <f>+'q2'!$I$14+'q2'!$I$15+'q2'!$I$16</f>
        <v>1055</v>
      </c>
      <c r="L30">
        <f>+'q2'!$J$14+'q2'!$J$15+'q2'!$J$16</f>
        <v>1019</v>
      </c>
      <c r="M30">
        <f>+'q2'!$K$14+'q2'!$K$15+'q2'!$K$16</f>
        <v>1033</v>
      </c>
      <c r="N30">
        <f>+'q2'!$L$14+'q2'!$L$15+'q2'!$L$16</f>
        <v>1136</v>
      </c>
      <c r="S30">
        <f>+S6</f>
        <v>2012</v>
      </c>
      <c r="T30">
        <f t="shared" ref="T30:AC30" si="5">+T6</f>
        <v>2013</v>
      </c>
      <c r="U30">
        <f t="shared" si="5"/>
        <v>2014</v>
      </c>
      <c r="V30">
        <f t="shared" si="5"/>
        <v>2015</v>
      </c>
      <c r="W30">
        <f t="shared" si="5"/>
        <v>2016</v>
      </c>
      <c r="X30">
        <f t="shared" si="5"/>
        <v>2017</v>
      </c>
      <c r="Y30">
        <f t="shared" si="5"/>
        <v>2018</v>
      </c>
      <c r="Z30">
        <f t="shared" si="5"/>
        <v>2019</v>
      </c>
      <c r="AA30">
        <f t="shared" si="5"/>
        <v>2020</v>
      </c>
      <c r="AB30">
        <f t="shared" si="5"/>
        <v>2021</v>
      </c>
      <c r="AC30">
        <f t="shared" si="5"/>
        <v>2022</v>
      </c>
    </row>
    <row r="31" spans="1:54">
      <c r="A31" s="334" t="s">
        <v>264</v>
      </c>
      <c r="B31" t="str">
        <f>+'q4'!$A$6</f>
        <v>A</v>
      </c>
      <c r="C31" t="str">
        <f>+'q4'!$B$6</f>
        <v>Agr., pr. animal, caça, flor. pesca</v>
      </c>
      <c r="D31">
        <f>+'q4'!$C$6</f>
        <v>12737</v>
      </c>
      <c r="E31">
        <f>+'q4'!$D$6</f>
        <v>13206</v>
      </c>
      <c r="F31">
        <f>+'q4'!$E$6</f>
        <v>13885</v>
      </c>
      <c r="G31">
        <f>+'q4'!$F$6</f>
        <v>14286</v>
      </c>
      <c r="H31">
        <f>+'q4'!$G$6</f>
        <v>14632</v>
      </c>
      <c r="I31">
        <f>+'q4'!$H$6</f>
        <v>14726</v>
      </c>
      <c r="J31">
        <f>+'q4'!$I$6</f>
        <v>14824</v>
      </c>
      <c r="K31">
        <f>+'q4'!$J$6</f>
        <v>14355</v>
      </c>
      <c r="L31">
        <f>+'q4'!$K$6</f>
        <v>14520</v>
      </c>
      <c r="M31">
        <f>+'q4'!$L$6</f>
        <v>14031</v>
      </c>
      <c r="N31">
        <f>+'q4'!$M$6</f>
        <v>14449</v>
      </c>
      <c r="Q31" t="str">
        <f>INDEX($A$2:$A$3,$Q$3)</f>
        <v>Empresas</v>
      </c>
      <c r="R31" s="334" t="str">
        <f>IF($Q$31="Empresas",$B27,$B51)</f>
        <v>Micro (1-9 pessoas)</v>
      </c>
      <c r="S31">
        <f>IF($Q$3=1,VLOOKUP($R$31:$R$34,$B$27:$N$30,COLUMN(D27)-1,0),VLOOKUP($R$31:$R$34,$B$51:$N$54,COLUMN(D27)-1,0))</f>
        <v>227936</v>
      </c>
      <c r="T31">
        <f t="shared" ref="T31:AC34" si="6">IF($Q$3=1,VLOOKUP($R$31:$R$34,$B$27:$N$30,COLUMN(E27)-1,0),VLOOKUP($R$31:$R$34,$B$51:$N$54,COLUMN(E27)-1,0))</f>
        <v>226260</v>
      </c>
      <c r="U31">
        <f t="shared" si="6"/>
        <v>229443</v>
      </c>
      <c r="V31">
        <f t="shared" si="6"/>
        <v>231010</v>
      </c>
      <c r="W31">
        <f t="shared" si="6"/>
        <v>233017</v>
      </c>
      <c r="X31">
        <f t="shared" si="6"/>
        <v>233890</v>
      </c>
      <c r="Y31">
        <f t="shared" si="6"/>
        <v>235060</v>
      </c>
      <c r="Z31">
        <f t="shared" si="6"/>
        <v>227923</v>
      </c>
      <c r="AA31">
        <f t="shared" si="6"/>
        <v>230042</v>
      </c>
      <c r="AB31">
        <f t="shared" si="6"/>
        <v>224301</v>
      </c>
      <c r="AC31">
        <f t="shared" si="6"/>
        <v>233783</v>
      </c>
    </row>
    <row r="32" spans="1:54">
      <c r="A32" s="334"/>
      <c r="B32" t="str">
        <f>+'q4'!$A$7</f>
        <v>B</v>
      </c>
      <c r="C32" t="str">
        <f>+'q4'!$B$7</f>
        <v>Indústrias extrativas</v>
      </c>
      <c r="D32">
        <f>+'q4'!$C$7</f>
        <v>836</v>
      </c>
      <c r="E32">
        <f>+'q4'!$D$7</f>
        <v>795</v>
      </c>
      <c r="F32">
        <f>+'q4'!$E$7</f>
        <v>765</v>
      </c>
      <c r="G32">
        <f>+'q4'!$F$7</f>
        <v>762</v>
      </c>
      <c r="H32">
        <f>+'q4'!$G$7</f>
        <v>737</v>
      </c>
      <c r="I32">
        <f>+'q4'!$H$7</f>
        <v>744</v>
      </c>
      <c r="J32">
        <f>+'q4'!$I$7</f>
        <v>728</v>
      </c>
      <c r="K32">
        <f>+'q4'!$J$7</f>
        <v>697</v>
      </c>
      <c r="L32">
        <f>+'q4'!$K$7</f>
        <v>684</v>
      </c>
      <c r="M32">
        <f>+'q4'!$L$7</f>
        <v>657</v>
      </c>
      <c r="N32">
        <f>+'q4'!$M$7</f>
        <v>665</v>
      </c>
      <c r="R32" s="334" t="str">
        <f t="shared" ref="R32:R34" si="7">IF($Q$31="Empresas",$B28,$B52)</f>
        <v>Pequenas (10 - 49 pessoas)</v>
      </c>
      <c r="S32">
        <f>IF($Q$3=1,VLOOKUP($R$31:$R$34,$B$27:$N$30,COLUMN(D28)-1,0),VLOOKUP($R$31:$R$34,$B$51:$N$54,COLUMN(D28)-1,0))</f>
        <v>32460</v>
      </c>
      <c r="T32">
        <f t="shared" si="6"/>
        <v>31941</v>
      </c>
      <c r="U32">
        <f t="shared" si="6"/>
        <v>32961</v>
      </c>
      <c r="V32">
        <f t="shared" si="6"/>
        <v>34146</v>
      </c>
      <c r="W32">
        <f t="shared" si="6"/>
        <v>35096</v>
      </c>
      <c r="X32">
        <f t="shared" si="6"/>
        <v>36761</v>
      </c>
      <c r="Y32">
        <f t="shared" si="6"/>
        <v>38306</v>
      </c>
      <c r="Z32">
        <f t="shared" si="6"/>
        <v>38760</v>
      </c>
      <c r="AA32">
        <f t="shared" si="6"/>
        <v>38234</v>
      </c>
      <c r="AB32">
        <f t="shared" si="6"/>
        <v>38248</v>
      </c>
      <c r="AC32">
        <f t="shared" si="6"/>
        <v>41070</v>
      </c>
    </row>
    <row r="33" spans="1:41">
      <c r="A33" s="334"/>
      <c r="B33" t="str">
        <f>+'q4'!$A$8</f>
        <v>C</v>
      </c>
      <c r="C33" t="str">
        <f>+'q4'!$B$8</f>
        <v>Indústrias transformadoras</v>
      </c>
      <c r="D33">
        <f>+'q4'!$C$8</f>
        <v>36497</v>
      </c>
      <c r="E33">
        <f>+'q4'!$D$8</f>
        <v>36152</v>
      </c>
      <c r="F33">
        <f>+'q4'!$E$8</f>
        <v>36167</v>
      </c>
      <c r="G33">
        <f>+'q4'!$F$8</f>
        <v>36172</v>
      </c>
      <c r="H33">
        <f>+'q4'!$G$8</f>
        <v>36485</v>
      </c>
      <c r="I33">
        <f>+'q4'!$H$8</f>
        <v>36402</v>
      </c>
      <c r="J33">
        <f>+'q4'!$I$8</f>
        <v>36243</v>
      </c>
      <c r="K33">
        <f>+'q4'!$J$8</f>
        <v>34835</v>
      </c>
      <c r="L33">
        <f>+'q4'!$K$8</f>
        <v>34676</v>
      </c>
      <c r="M33">
        <f>+'q4'!$L$8</f>
        <v>33711</v>
      </c>
      <c r="N33">
        <f>+'q4'!$M$8</f>
        <v>34690</v>
      </c>
      <c r="R33" s="334" t="str">
        <f t="shared" si="7"/>
        <v>Médias (50 - 249 pessoas)</v>
      </c>
      <c r="S33">
        <f>IF($Q$3=1,VLOOKUP($R$31:$R$34,$B$27:$N$30,COLUMN(D29)-1,0),VLOOKUP($R$31:$R$34,$B$51:$N$54,COLUMN(D29)-1,0))</f>
        <v>5385</v>
      </c>
      <c r="T33">
        <f t="shared" si="6"/>
        <v>5440</v>
      </c>
      <c r="U33">
        <f t="shared" si="6"/>
        <v>5596</v>
      </c>
      <c r="V33">
        <f t="shared" si="6"/>
        <v>5749</v>
      </c>
      <c r="W33">
        <f t="shared" si="6"/>
        <v>5981</v>
      </c>
      <c r="X33">
        <f t="shared" si="6"/>
        <v>6271</v>
      </c>
      <c r="Y33">
        <f t="shared" si="6"/>
        <v>6560</v>
      </c>
      <c r="Z33">
        <f t="shared" si="6"/>
        <v>6679</v>
      </c>
      <c r="AA33">
        <f t="shared" si="6"/>
        <v>6566</v>
      </c>
      <c r="AB33">
        <f t="shared" si="6"/>
        <v>6728</v>
      </c>
      <c r="AC33">
        <f t="shared" si="6"/>
        <v>7348</v>
      </c>
    </row>
    <row r="34" spans="1:41">
      <c r="A34" s="334"/>
      <c r="B34" t="str">
        <f>+'q4'!$A$33</f>
        <v>D</v>
      </c>
      <c r="C34" t="str">
        <f>+'q4'!$B$33</f>
        <v>Eletr., gás, ág. quente/fria e ar frio</v>
      </c>
      <c r="D34">
        <f>+'q4'!$C$33</f>
        <v>409</v>
      </c>
      <c r="E34">
        <f>+'q4'!$D$33</f>
        <v>394</v>
      </c>
      <c r="F34">
        <f>+'q4'!$E$33</f>
        <v>409</v>
      </c>
      <c r="G34">
        <f>+'q4'!$F$33</f>
        <v>429</v>
      </c>
      <c r="H34">
        <f>+'q4'!$G$33</f>
        <v>412</v>
      </c>
      <c r="I34">
        <f>+'q4'!$H$33</f>
        <v>403</v>
      </c>
      <c r="J34">
        <f>+'q4'!$I$33</f>
        <v>388</v>
      </c>
      <c r="K34">
        <f>+'q4'!$J$33</f>
        <v>385</v>
      </c>
      <c r="L34">
        <f>+'q4'!$K$33</f>
        <v>391</v>
      </c>
      <c r="M34">
        <f>+'q4'!$L$33</f>
        <v>387</v>
      </c>
      <c r="N34">
        <f>+'q4'!$M$33</f>
        <v>394</v>
      </c>
      <c r="R34" s="334" t="str">
        <f t="shared" si="7"/>
        <v>Grandes (250 ou + pessoas)</v>
      </c>
      <c r="S34">
        <f>IF($Q$3=1,VLOOKUP($R$31:$R$34,$B$27:$N$30,COLUMN(D30)-1,0),VLOOKUP($R$31:$R$34,$B$51:$N$54,COLUMN(D30)-1,0))</f>
        <v>806</v>
      </c>
      <c r="T34">
        <f t="shared" si="6"/>
        <v>798</v>
      </c>
      <c r="U34">
        <f t="shared" si="6"/>
        <v>813</v>
      </c>
      <c r="V34">
        <f t="shared" si="6"/>
        <v>847</v>
      </c>
      <c r="W34">
        <f t="shared" si="6"/>
        <v>902</v>
      </c>
      <c r="X34">
        <f t="shared" si="6"/>
        <v>958</v>
      </c>
      <c r="Y34">
        <f t="shared" si="6"/>
        <v>1011</v>
      </c>
      <c r="Z34">
        <f t="shared" si="6"/>
        <v>1055</v>
      </c>
      <c r="AA34">
        <f t="shared" si="6"/>
        <v>1019</v>
      </c>
      <c r="AB34">
        <f t="shared" si="6"/>
        <v>1033</v>
      </c>
      <c r="AC34">
        <f t="shared" si="6"/>
        <v>1136</v>
      </c>
    </row>
    <row r="35" spans="1:41">
      <c r="A35" s="334"/>
      <c r="B35" t="str">
        <f>+'q4'!$A$34</f>
        <v>E</v>
      </c>
      <c r="C35" t="str">
        <f>+'q4'!$B$34</f>
        <v>Capt., trat. e d. água; san., resíd.</v>
      </c>
      <c r="D35">
        <f>+'q4'!$C$34</f>
        <v>1220</v>
      </c>
      <c r="E35">
        <f>+'q4'!$D$34</f>
        <v>1177</v>
      </c>
      <c r="F35">
        <f>+'q4'!$E$34</f>
        <v>1146</v>
      </c>
      <c r="G35">
        <f>+'q4'!$F$34</f>
        <v>1088</v>
      </c>
      <c r="H35">
        <f>+'q4'!$G$34</f>
        <v>1094</v>
      </c>
      <c r="I35">
        <f>+'q4'!$H$34</f>
        <v>1101</v>
      </c>
      <c r="J35">
        <f>+'q4'!$I$34</f>
        <v>1095</v>
      </c>
      <c r="K35">
        <f>+'q4'!$J$34</f>
        <v>1141</v>
      </c>
      <c r="L35">
        <f>+'q4'!$K$34</f>
        <v>1231</v>
      </c>
      <c r="M35">
        <f>+'q4'!$L$34</f>
        <v>1253</v>
      </c>
      <c r="N35">
        <f>+'q4'!$M$34</f>
        <v>1259</v>
      </c>
    </row>
    <row r="36" spans="1:41">
      <c r="A36" s="334"/>
      <c r="B36" t="str">
        <f>+'q4'!$A$35</f>
        <v>F</v>
      </c>
      <c r="C36" t="str">
        <f>+'q4'!$B$35</f>
        <v>Construção</v>
      </c>
      <c r="D36">
        <f>+'q4'!$C$35</f>
        <v>30934</v>
      </c>
      <c r="E36">
        <f>+'q4'!$D$35</f>
        <v>28828</v>
      </c>
      <c r="F36">
        <f>+'q4'!$E$35</f>
        <v>28421</v>
      </c>
      <c r="G36">
        <f>+'q4'!$F$35</f>
        <v>28140</v>
      </c>
      <c r="H36">
        <f>+'q4'!$G$35</f>
        <v>28678</v>
      </c>
      <c r="I36">
        <f>+'q4'!$H$35</f>
        <v>29363</v>
      </c>
      <c r="J36">
        <f>+'q4'!$I$35</f>
        <v>30329</v>
      </c>
      <c r="K36">
        <f>+'q4'!$J$35</f>
        <v>30816</v>
      </c>
      <c r="L36">
        <f>+'q4'!$K$35</f>
        <v>32069</v>
      </c>
      <c r="M36">
        <f>+'q4'!$L$35</f>
        <v>32036</v>
      </c>
      <c r="N36">
        <f>+'q4'!$M$35</f>
        <v>34322</v>
      </c>
    </row>
    <row r="37" spans="1:41">
      <c r="A37" s="334"/>
      <c r="B37" t="str">
        <f>+'q4'!$A$36</f>
        <v>G</v>
      </c>
      <c r="C37" t="str">
        <f>+'q4'!$B$36</f>
        <v>Com. grosso e ret.; r.v.aut./moto.</v>
      </c>
      <c r="D37">
        <f>+'q4'!$C$36</f>
        <v>95848</v>
      </c>
      <c r="E37">
        <f>+'q4'!$D$36</f>
        <v>94026</v>
      </c>
      <c r="F37">
        <f>+'q4'!$E$36</f>
        <v>94440</v>
      </c>
      <c r="G37">
        <f>+'q4'!$F$36</f>
        <v>94937</v>
      </c>
      <c r="H37">
        <f>+'q4'!$G$36</f>
        <v>94933</v>
      </c>
      <c r="I37">
        <f>+'q4'!$H$36</f>
        <v>94292</v>
      </c>
      <c r="J37">
        <f>+'q4'!$I$36</f>
        <v>93805</v>
      </c>
      <c r="K37">
        <f>+'q4'!$J$36</f>
        <v>90517</v>
      </c>
      <c r="L37">
        <f>+'q4'!$K$36</f>
        <v>89750</v>
      </c>
      <c r="M37">
        <f>+'q4'!$L$36</f>
        <v>87838</v>
      </c>
      <c r="N37">
        <f>+'q4'!$M$36</f>
        <v>90136</v>
      </c>
    </row>
    <row r="38" spans="1:41">
      <c r="A38" s="334"/>
      <c r="B38" t="str">
        <f>+'q4'!$A$37</f>
        <v>H</v>
      </c>
      <c r="C38" t="str">
        <f>+'q4'!$B$37</f>
        <v>Transportes e armazenagem</v>
      </c>
      <c r="D38">
        <f>+'q4'!$C$37</f>
        <v>12979</v>
      </c>
      <c r="E38">
        <f>+'q4'!$D$37</f>
        <v>12579</v>
      </c>
      <c r="F38">
        <f>+'q4'!$E$37</f>
        <v>12572</v>
      </c>
      <c r="G38">
        <f>+'q4'!$F$37</f>
        <v>12496</v>
      </c>
      <c r="H38">
        <f>+'q4'!$G$37</f>
        <v>12468</v>
      </c>
      <c r="I38">
        <f>+'q4'!$H$37</f>
        <v>12539</v>
      </c>
      <c r="J38">
        <f>+'q4'!$I$37</f>
        <v>12486</v>
      </c>
      <c r="K38">
        <f>+'q4'!$J$37</f>
        <v>12253</v>
      </c>
      <c r="L38">
        <f>+'q4'!$K$37</f>
        <v>12258</v>
      </c>
      <c r="M38">
        <f>+'q4'!$L$37</f>
        <v>11760</v>
      </c>
      <c r="N38">
        <f>+'q4'!$M$37</f>
        <v>12360</v>
      </c>
    </row>
    <row r="39" spans="1:41">
      <c r="A39" s="334"/>
      <c r="B39" t="str">
        <f>+'q4'!$A$38</f>
        <v>I</v>
      </c>
      <c r="C39" t="str">
        <f>+'q4'!$B$38</f>
        <v>Alojamento, restauração e sim.</v>
      </c>
      <c r="D39">
        <f>+'q4'!$C$38</f>
        <v>34027</v>
      </c>
      <c r="E39">
        <f>+'q4'!$D$38</f>
        <v>33970</v>
      </c>
      <c r="F39">
        <f>+'q4'!$E$38</f>
        <v>34983</v>
      </c>
      <c r="G39">
        <f>+'q4'!$F$38</f>
        <v>36106</v>
      </c>
      <c r="H39">
        <f>+'q4'!$G$38</f>
        <v>37220</v>
      </c>
      <c r="I39">
        <f>+'q4'!$H$38</f>
        <v>38276</v>
      </c>
      <c r="J39">
        <f>+'q4'!$I$38</f>
        <v>39308</v>
      </c>
      <c r="K39">
        <f>+'q4'!$J$38</f>
        <v>38184</v>
      </c>
      <c r="L39">
        <f>+'q4'!$K$38</f>
        <v>37633</v>
      </c>
      <c r="M39">
        <f>+'q4'!$L$38</f>
        <v>36899</v>
      </c>
      <c r="N39">
        <f>+'q4'!$M$38</f>
        <v>39006</v>
      </c>
    </row>
    <row r="40" spans="1:41">
      <c r="A40" s="334"/>
      <c r="B40" t="str">
        <f>+'q4'!$A$39</f>
        <v>J</v>
      </c>
      <c r="C40" t="str">
        <f>+'q4'!$B$39</f>
        <v xml:space="preserve">Ativ. Inform. e de comunicação </v>
      </c>
      <c r="D40">
        <f>+'q4'!$C$39</f>
        <v>4874</v>
      </c>
      <c r="E40">
        <f>+'q4'!$D$39</f>
        <v>5148</v>
      </c>
      <c r="F40">
        <f>+'q4'!$E$39</f>
        <v>5434</v>
      </c>
      <c r="G40">
        <f>+'q4'!$F$39</f>
        <v>5478</v>
      </c>
      <c r="H40">
        <f>+'q4'!$G$39</f>
        <v>5601</v>
      </c>
      <c r="I40">
        <f>+'q4'!$H$39</f>
        <v>5842</v>
      </c>
      <c r="J40">
        <f>+'q4'!$I$39</f>
        <v>6025</v>
      </c>
      <c r="K40">
        <f>+'q4'!$J$39</f>
        <v>6100</v>
      </c>
      <c r="L40">
        <f>+'q4'!$K$39</f>
        <v>6379</v>
      </c>
      <c r="M40">
        <f>+'q4'!$L$39</f>
        <v>6485</v>
      </c>
      <c r="N40">
        <f>+'q4'!$M$39</f>
        <v>7163</v>
      </c>
    </row>
    <row r="41" spans="1:41">
      <c r="A41" s="334"/>
      <c r="B41" t="str">
        <f>+'q4'!$A$40</f>
        <v>K</v>
      </c>
      <c r="C41" t="str">
        <f>+'q4'!$B$40</f>
        <v>Ativ. financeiras e de seguros</v>
      </c>
      <c r="D41">
        <f>+'q4'!$C$40</f>
        <v>10322</v>
      </c>
      <c r="E41">
        <f>+'q4'!$D$40</f>
        <v>10077</v>
      </c>
      <c r="F41">
        <f>+'q4'!$E$40</f>
        <v>9931</v>
      </c>
      <c r="G41">
        <f>+'q4'!$F$40</f>
        <v>9555</v>
      </c>
      <c r="H41">
        <f>+'q4'!$G$40</f>
        <v>9207</v>
      </c>
      <c r="I41">
        <f>+'q4'!$H$40</f>
        <v>8732</v>
      </c>
      <c r="J41">
        <f>+'q4'!$I$40</f>
        <v>8475</v>
      </c>
      <c r="K41">
        <f>+'q4'!$J$40</f>
        <v>7752</v>
      </c>
      <c r="L41">
        <f>+'q4'!$K$40</f>
        <v>8108</v>
      </c>
      <c r="M41">
        <f>+'q4'!$L$40</f>
        <v>7672</v>
      </c>
      <c r="N41">
        <f>+'q4'!$M$40</f>
        <v>7674</v>
      </c>
      <c r="R41" s="335" t="s">
        <v>500</v>
      </c>
    </row>
    <row r="42" spans="1:41">
      <c r="A42" s="334"/>
      <c r="B42" t="str">
        <f>+'q4'!$A$41</f>
        <v>L</v>
      </c>
      <c r="C42" t="str">
        <f>+'q4'!$B$41</f>
        <v>Atividades imobiliárias</v>
      </c>
      <c r="D42">
        <f>+'q4'!$C$41</f>
        <v>6535</v>
      </c>
      <c r="E42">
        <f>+'q4'!$D$41</f>
        <v>6341</v>
      </c>
      <c r="F42">
        <f>+'q4'!$E$41</f>
        <v>6647</v>
      </c>
      <c r="G42">
        <f>+'q4'!$F$41</f>
        <v>6971</v>
      </c>
      <c r="H42">
        <f>+'q4'!$G$41</f>
        <v>7401</v>
      </c>
      <c r="I42">
        <f>+'q4'!$H$41</f>
        <v>8035</v>
      </c>
      <c r="J42">
        <f>+'q4'!$I$41</f>
        <v>8846</v>
      </c>
      <c r="K42">
        <f>+'q4'!$J$41</f>
        <v>9215</v>
      </c>
      <c r="L42">
        <f>+'q4'!$K$41</f>
        <v>9861</v>
      </c>
      <c r="M42">
        <f>+'q4'!$L$41</f>
        <v>10096</v>
      </c>
      <c r="N42">
        <f>+'q4'!$M$41</f>
        <v>10812</v>
      </c>
      <c r="R42" s="335" t="s">
        <v>263</v>
      </c>
      <c r="V42" s="446"/>
    </row>
    <row r="43" spans="1:41">
      <c r="A43" s="334"/>
      <c r="B43" t="str">
        <f>+'q4'!$A$42</f>
        <v>M</v>
      </c>
      <c r="C43" t="str">
        <f>+'q4'!$B$42</f>
        <v>Ativ. consultoria, cient.,téc. e sim.</v>
      </c>
      <c r="D43">
        <f>+'q4'!$C$42</f>
        <v>21694</v>
      </c>
      <c r="E43">
        <f>+'q4'!$D$42</f>
        <v>21901</v>
      </c>
      <c r="F43">
        <f>+'q4'!$E$42</f>
        <v>22569</v>
      </c>
      <c r="G43">
        <f>+'q4'!$F$42</f>
        <v>22865</v>
      </c>
      <c r="H43">
        <f>+'q4'!$G$42</f>
        <v>23189</v>
      </c>
      <c r="I43">
        <f>+'q4'!$H$42</f>
        <v>23749</v>
      </c>
      <c r="J43">
        <f>+'q4'!$I$42</f>
        <v>24467</v>
      </c>
      <c r="K43">
        <f>+'q4'!$J$42</f>
        <v>24250</v>
      </c>
      <c r="L43">
        <f>+'q4'!$K$42</f>
        <v>24826</v>
      </c>
      <c r="M43">
        <f>+'q4'!$L$42</f>
        <v>24675</v>
      </c>
      <c r="N43">
        <f>+'q4'!$M$42</f>
        <v>25874</v>
      </c>
      <c r="R43" s="335" t="s">
        <v>280</v>
      </c>
      <c r="U43" s="335" t="s">
        <v>264</v>
      </c>
      <c r="V43" s="447"/>
      <c r="AG43" s="335"/>
      <c r="AO43" s="446"/>
    </row>
    <row r="44" spans="1:41">
      <c r="A44" s="334"/>
      <c r="B44" t="str">
        <f>+'q4'!$A$43</f>
        <v>N</v>
      </c>
      <c r="C44" t="str">
        <f>+'q4'!$B$43</f>
        <v>Ativ. Adm. e serviços de apoio</v>
      </c>
      <c r="D44">
        <f>+'q4'!$C$43</f>
        <v>8740</v>
      </c>
      <c r="E44">
        <f>+'q4'!$D$43</f>
        <v>8739</v>
      </c>
      <c r="F44">
        <f>+'q4'!$E$43</f>
        <v>8861</v>
      </c>
      <c r="G44">
        <f>+'q4'!$F$43</f>
        <v>8995</v>
      </c>
      <c r="H44">
        <f>+'q4'!$G$43</f>
        <v>9301</v>
      </c>
      <c r="I44">
        <f>+'q4'!$H$43</f>
        <v>9347</v>
      </c>
      <c r="J44">
        <f>+'q4'!$I$43</f>
        <v>9298</v>
      </c>
      <c r="K44">
        <f>+'q4'!$J$43</f>
        <v>9391</v>
      </c>
      <c r="L44">
        <f>+'q4'!$K$43</f>
        <v>9385</v>
      </c>
      <c r="M44">
        <f>+'q4'!$L$43</f>
        <v>8843</v>
      </c>
      <c r="N44">
        <f>+'q4'!$M$43</f>
        <v>9894</v>
      </c>
      <c r="Q44" s="335" t="s">
        <v>546</v>
      </c>
      <c r="R44" s="458">
        <f>+$V$69</f>
        <v>2022</v>
      </c>
      <c r="S44" s="335" t="str">
        <f>R44&amp;" % do total"</f>
        <v>2022 % do total</v>
      </c>
      <c r="T44" s="335" t="str">
        <f>R49&amp;" % do total"</f>
        <v>2012 % do total</v>
      </c>
      <c r="U44" s="458">
        <f>+$V$69</f>
        <v>2022</v>
      </c>
      <c r="W44" s="335" t="str">
        <f>U44&amp;" % do total"</f>
        <v>2022 % do total</v>
      </c>
      <c r="AG44" s="334"/>
      <c r="AO44" s="447"/>
    </row>
    <row r="45" spans="1:41">
      <c r="A45" s="334"/>
      <c r="B45" t="str">
        <f>+'q4'!$A$44</f>
        <v>O</v>
      </c>
      <c r="C45" t="str">
        <f>+'q4'!$B$44</f>
        <v xml:space="preserve">Adm. Púb. e defesa; seg. social </v>
      </c>
      <c r="D45">
        <f>+'q4'!$C$44</f>
        <v>739</v>
      </c>
      <c r="E45">
        <f>+'q4'!$D$44</f>
        <v>683</v>
      </c>
      <c r="F45">
        <f>+'q4'!$E$44</f>
        <v>686</v>
      </c>
      <c r="G45">
        <f>+'q4'!$F$44</f>
        <v>660</v>
      </c>
      <c r="H45">
        <f>+'q4'!$G$44</f>
        <v>627</v>
      </c>
      <c r="I45">
        <f>+'q4'!$H$44</f>
        <v>630</v>
      </c>
      <c r="J45">
        <f>+'q4'!$I$44</f>
        <v>601</v>
      </c>
      <c r="K45">
        <f>+'q4'!$J$44</f>
        <v>613</v>
      </c>
      <c r="L45">
        <f>+'q4'!$K$44</f>
        <v>624</v>
      </c>
      <c r="M45">
        <f>+'q4'!$L$44</f>
        <v>590</v>
      </c>
      <c r="N45">
        <f>+'q4'!$M$44</f>
        <v>574</v>
      </c>
      <c r="Q45" t="str">
        <f>+$U$70</f>
        <v>G</v>
      </c>
      <c r="R45" s="404" t="str">
        <f>+VLOOKUP($Q45,Aux!$B$14:$D$33,3)</f>
        <v>Com. por grosso e a ret.; rep. de veíc. autom. e mot.</v>
      </c>
      <c r="S45" s="436" t="str">
        <f>+TEXT($X$70,"##.###,0%")</f>
        <v>24,4%</v>
      </c>
      <c r="U45" s="404" t="str">
        <f>+$U$79</f>
        <v>G</v>
      </c>
      <c r="V45" s="404" t="str">
        <f>+VLOOKUP($U45,Aux!$B$14:$D$33,3)</f>
        <v>Com. por grosso e a ret.; rep. de veíc. autom. e mot.</v>
      </c>
      <c r="W45" s="436" t="str">
        <f>+TEXT($X$79,"##.###,0%")</f>
        <v>27,1%</v>
      </c>
      <c r="AG45" s="334"/>
      <c r="AO45" s="447"/>
    </row>
    <row r="46" spans="1:41">
      <c r="A46" s="334"/>
      <c r="B46" t="str">
        <f>+'q4'!$A$45</f>
        <v>P</v>
      </c>
      <c r="C46" t="str">
        <f>+'q4'!$B$45</f>
        <v>Educação</v>
      </c>
      <c r="D46">
        <f>+'q4'!$C$45</f>
        <v>4322</v>
      </c>
      <c r="E46">
        <f>+'q4'!$D$45</f>
        <v>4337</v>
      </c>
      <c r="F46">
        <f>+'q4'!$E$45</f>
        <v>4573</v>
      </c>
      <c r="G46">
        <f>+'q4'!$F$45</f>
        <v>4701</v>
      </c>
      <c r="H46">
        <f>+'q4'!$G$45</f>
        <v>4675</v>
      </c>
      <c r="I46">
        <f>+'q4'!$H$45</f>
        <v>4647</v>
      </c>
      <c r="J46">
        <f>+'q4'!$I$45</f>
        <v>4681</v>
      </c>
      <c r="K46">
        <f>+'q4'!$J$45</f>
        <v>4531</v>
      </c>
      <c r="L46">
        <f>+'q4'!$K$45</f>
        <v>4576</v>
      </c>
      <c r="M46">
        <f>+'q4'!$L$45</f>
        <v>4414</v>
      </c>
      <c r="N46">
        <f>+'q4'!$M$45</f>
        <v>4635</v>
      </c>
      <c r="Q46" t="str">
        <f>+$U$71</f>
        <v>I</v>
      </c>
      <c r="R46" s="404" t="str">
        <f>+VLOOKUP($Q46,Aux!$B$14:$D$33,3)</f>
        <v>Alojamento, rest. e sim.</v>
      </c>
      <c r="S46" s="436" t="str">
        <f>+TEXT($X$71,"##.###,0%")</f>
        <v>12,1%</v>
      </c>
      <c r="T46" s="436" t="str">
        <f>+TEXT($Y$72,"##.###,0%")</f>
        <v>11,3%</v>
      </c>
      <c r="U46" s="404" t="str">
        <f>+$U$80</f>
        <v>I</v>
      </c>
      <c r="V46" s="404" t="str">
        <f>+VLOOKUP($U46,Aux!$B$14:$D$33,3)</f>
        <v>Alojamento, rest. e sim.</v>
      </c>
      <c r="W46" s="436" t="str">
        <f>+TEXT($X$80,"##.###,0%")</f>
        <v>11,7%</v>
      </c>
      <c r="AO46" s="447"/>
    </row>
    <row r="47" spans="1:41">
      <c r="A47" s="334"/>
      <c r="B47" t="str">
        <f>+'q4'!$A$46</f>
        <v>Q</v>
      </c>
      <c r="C47" t="str">
        <f>+'q4'!$B$46</f>
        <v>Ativ. saúde humana e apoio social</v>
      </c>
      <c r="D47">
        <f>+'q4'!$C$46</f>
        <v>17808</v>
      </c>
      <c r="E47">
        <f>+'q4'!$D$46</f>
        <v>18120</v>
      </c>
      <c r="F47">
        <f>+'q4'!$E$46</f>
        <v>18418</v>
      </c>
      <c r="G47">
        <f>+'q4'!$F$46</f>
        <v>18727</v>
      </c>
      <c r="H47">
        <f>+'q4'!$G$46</f>
        <v>19044</v>
      </c>
      <c r="I47">
        <f>+'q4'!$H$46</f>
        <v>19162</v>
      </c>
      <c r="J47">
        <f>+'q4'!$I$46</f>
        <v>19323</v>
      </c>
      <c r="K47">
        <f>+'q4'!$J$46</f>
        <v>19089</v>
      </c>
      <c r="L47">
        <f>+'q4'!$K$46</f>
        <v>19487</v>
      </c>
      <c r="M47">
        <f>+'q4'!$L$46</f>
        <v>19087</v>
      </c>
      <c r="N47">
        <f>+'q4'!$M$46</f>
        <v>20082</v>
      </c>
      <c r="Q47" t="str">
        <f>+$U$72</f>
        <v>F</v>
      </c>
      <c r="R47" s="404" t="str">
        <f>+VLOOKUP($Q47,Aux!$B$14:$D$33,3)</f>
        <v>Construção</v>
      </c>
      <c r="S47" s="436" t="str">
        <f>+TEXT($X$72,"##.###,0%")</f>
        <v>11,8%</v>
      </c>
      <c r="T47" s="436" t="str">
        <f>+TEXT($Y$73,"##.###,0%")</f>
        <v>11,2%</v>
      </c>
      <c r="U47" s="404" t="str">
        <f>+$U$81</f>
        <v>C</v>
      </c>
      <c r="V47" s="404" t="str">
        <f>+VLOOKUP($U47,Aux!$B$14:$D$33,3)</f>
        <v>Ind. transformadoras</v>
      </c>
      <c r="W47" s="436" t="str">
        <f>+TEXT($X$81,"##.###,0%")</f>
        <v>10,4%</v>
      </c>
      <c r="AG47" s="334"/>
    </row>
    <row r="48" spans="1:41">
      <c r="A48" s="334"/>
      <c r="B48" t="str">
        <f>+'q4'!$A$47</f>
        <v>R</v>
      </c>
      <c r="C48" t="str">
        <f>+'q4'!$B$47</f>
        <v>Ativ. artíst., espet., desp. e recr.</v>
      </c>
      <c r="D48">
        <f>+'q4'!$C$47</f>
        <v>3164</v>
      </c>
      <c r="E48">
        <f>+'q4'!$D$47</f>
        <v>3274</v>
      </c>
      <c r="F48">
        <f>+'q4'!$E$47</f>
        <v>3448</v>
      </c>
      <c r="G48">
        <f>+'q4'!$F$47</f>
        <v>3581</v>
      </c>
      <c r="H48">
        <f>+'q4'!$G$47</f>
        <v>3745</v>
      </c>
      <c r="I48">
        <f>+'q4'!$H$47</f>
        <v>3985</v>
      </c>
      <c r="J48">
        <f>+'q4'!$I$47</f>
        <v>4371</v>
      </c>
      <c r="K48">
        <f>+'q4'!$J$47</f>
        <v>4404</v>
      </c>
      <c r="L48">
        <f>+'q4'!$K$47</f>
        <v>4397</v>
      </c>
      <c r="M48">
        <f>+'q4'!$L$47</f>
        <v>4424</v>
      </c>
      <c r="N48">
        <f>+'q4'!$M$47</f>
        <v>4761</v>
      </c>
      <c r="AG48" s="334"/>
    </row>
    <row r="49" spans="1:48">
      <c r="A49" s="334"/>
      <c r="B49" t="str">
        <f>+'q4'!$A$48</f>
        <v>S</v>
      </c>
      <c r="C49" t="str">
        <f>+'q4'!$B$48</f>
        <v>Outras atividades de serviços</v>
      </c>
      <c r="D49">
        <f>+'q4'!$C$48</f>
        <v>15483</v>
      </c>
      <c r="E49">
        <f>+'q4'!$D$48</f>
        <v>15353</v>
      </c>
      <c r="F49">
        <f>+'q4'!$E$48</f>
        <v>15515</v>
      </c>
      <c r="G49">
        <f>+'q4'!$F$48</f>
        <v>15537</v>
      </c>
      <c r="H49">
        <f>+'q4'!$G$48</f>
        <v>15467</v>
      </c>
      <c r="I49">
        <f>+'q4'!$H$48</f>
        <v>15306</v>
      </c>
      <c r="J49">
        <f>+'q4'!$I$48</f>
        <v>15360</v>
      </c>
      <c r="K49">
        <f>+'q4'!$J$48</f>
        <v>14434</v>
      </c>
      <c r="L49">
        <f>+'q4'!$K$48</f>
        <v>14086</v>
      </c>
      <c r="M49">
        <f>+'q4'!$L$48</f>
        <v>13379</v>
      </c>
      <c r="N49">
        <f>+'q4'!$M$48</f>
        <v>13917</v>
      </c>
      <c r="Q49" s="335" t="s">
        <v>546</v>
      </c>
      <c r="R49" s="458">
        <f>+$B$69</f>
        <v>2012</v>
      </c>
      <c r="S49" s="335" t="str">
        <f>R49&amp;" % do total"</f>
        <v>2012 % do total</v>
      </c>
      <c r="T49" s="335" t="str">
        <f>R44&amp;" % do total"</f>
        <v>2022 % do total</v>
      </c>
      <c r="U49" s="458">
        <f>+$B$69</f>
        <v>2012</v>
      </c>
      <c r="V49" s="446"/>
      <c r="W49" s="335" t="str">
        <f>U49&amp;" % do total"</f>
        <v>2012 % do total</v>
      </c>
    </row>
    <row r="50" spans="1:48">
      <c r="A50" s="334"/>
      <c r="B50" t="str">
        <f>+'q4'!$A$49</f>
        <v>U</v>
      </c>
      <c r="C50" t="str">
        <f>+'q4'!$B$49</f>
        <v>Ativ. org. int. e o. inst. extra-territ.</v>
      </c>
      <c r="D50">
        <f>+'q4'!$C$49</f>
        <v>9</v>
      </c>
      <c r="E50">
        <f>+'q4'!$D$49</f>
        <v>12</v>
      </c>
      <c r="F50">
        <f>+'q4'!$E$49</f>
        <v>16</v>
      </c>
      <c r="G50">
        <f>+'q4'!$F$49</f>
        <v>14</v>
      </c>
      <c r="H50">
        <f>+'q4'!$G$49</f>
        <v>17</v>
      </c>
      <c r="I50">
        <f>+'q4'!$H$49</f>
        <v>14</v>
      </c>
      <c r="J50">
        <f>+'q4'!$I$49</f>
        <v>15</v>
      </c>
      <c r="K50">
        <f>+'q4'!$J$49</f>
        <v>16</v>
      </c>
      <c r="L50">
        <f>+'q4'!$K$49</f>
        <v>18</v>
      </c>
      <c r="M50">
        <f>+'q4'!$L$49</f>
        <v>17</v>
      </c>
      <c r="N50">
        <f>+'q4'!$M$49</f>
        <v>16</v>
      </c>
      <c r="Q50" t="str">
        <f>+$A$70</f>
        <v>G</v>
      </c>
      <c r="R50" s="404" t="str">
        <f>+VLOOKUP($Q50,Aux!$B$14:$D$33,3)</f>
        <v>Com. por grosso e a ret.; rep. de veíc. autom. e mot.</v>
      </c>
      <c r="S50" s="436" t="str">
        <f>+TEXT($Y$70,"##.###,0%")</f>
        <v>27,9%</v>
      </c>
      <c r="U50" s="404" t="str">
        <f>+$A$79</f>
        <v>G</v>
      </c>
      <c r="V50" s="404" t="str">
        <f>+VLOOKUP($U50,Aux!$B$14:$D$33,3)</f>
        <v>Com. por grosso e a ret.; rep. de veíc. autom. e mot.</v>
      </c>
      <c r="W50" s="436" t="str">
        <f>+TEXT($Y$79,"##.###,0%")</f>
        <v>30,0%</v>
      </c>
    </row>
    <row r="51" spans="1:48">
      <c r="A51" s="334"/>
      <c r="B51" s="334" t="s">
        <v>283</v>
      </c>
      <c r="C51" s="334"/>
      <c r="D51">
        <f>+'q5'!$B$6+'q5'!$B$7</f>
        <v>272294</v>
      </c>
      <c r="E51">
        <f>+'q5'!$C$6+'q5'!$C$7</f>
        <v>268798</v>
      </c>
      <c r="F51">
        <f>+'q5'!$D$6+'q5'!$D$7</f>
        <v>271147</v>
      </c>
      <c r="G51">
        <f>+'q5'!$E$6+'q5'!$E$7</f>
        <v>272301</v>
      </c>
      <c r="H51">
        <f>+'q5'!$F$6+'q5'!$F$7</f>
        <v>273993</v>
      </c>
      <c r="I51">
        <f>+'q5'!$G$6+'q5'!$G$7</f>
        <v>274084</v>
      </c>
      <c r="J51">
        <f>+'q5'!$H$6+'q5'!$H$7</f>
        <v>275129</v>
      </c>
      <c r="K51">
        <f>+'q5'!$I$6+'q5'!$I$7</f>
        <v>266320</v>
      </c>
      <c r="L51">
        <f>+'q5'!$J$6+'q5'!$J$7</f>
        <v>268913</v>
      </c>
      <c r="M51">
        <f>+'q5'!$K$6+'q5'!$K$7</f>
        <v>262011</v>
      </c>
      <c r="N51">
        <f>+'q5'!$L$6+'q5'!$L$7</f>
        <v>272062</v>
      </c>
      <c r="Q51" t="str">
        <f>+$A$71</f>
        <v>C</v>
      </c>
      <c r="R51" s="404" t="str">
        <f>+VLOOKUP($Q51,Aux!$B$14:$D$33,3)</f>
        <v>Ind. transformadoras</v>
      </c>
      <c r="S51" s="436" t="str">
        <f>+TEXT($Y$71,"##.###,0%")</f>
        <v>12,2%</v>
      </c>
      <c r="T51" s="436" t="str">
        <f>+TEXT($X$73,"##.###,0%")</f>
        <v>11,1%</v>
      </c>
      <c r="U51" s="404" t="str">
        <f>+$A$80</f>
        <v>C</v>
      </c>
      <c r="V51" s="404" t="str">
        <f>+VLOOKUP($U51,Aux!$B$14:$D$33,3)</f>
        <v>Ind. transformadoras</v>
      </c>
      <c r="W51" s="436" t="str">
        <f>+TEXT($Y$80,"##.###,0%")</f>
        <v>11,4%</v>
      </c>
    </row>
    <row r="52" spans="1:48">
      <c r="A52" s="334"/>
      <c r="B52" s="334" t="s">
        <v>543</v>
      </c>
      <c r="C52" s="334"/>
      <c r="D52">
        <f>+'q5'!$B$8+'q5'!$B$9</f>
        <v>38574</v>
      </c>
      <c r="E52">
        <f>+'q5'!$C$8+'q5'!$C$9</f>
        <v>38063</v>
      </c>
      <c r="F52">
        <f>+'q5'!$D$8+'q5'!$D$9</f>
        <v>39365</v>
      </c>
      <c r="G52">
        <f>+'q5'!$E$8+'q5'!$E$9</f>
        <v>40661</v>
      </c>
      <c r="H52">
        <f>+'q5'!$F$8+'q5'!$F$9</f>
        <v>42031</v>
      </c>
      <c r="I52">
        <f>+'q5'!$G$8+'q5'!$G$9</f>
        <v>43973</v>
      </c>
      <c r="J52">
        <f>+'q5'!$H$8+'q5'!$H$9</f>
        <v>45897</v>
      </c>
      <c r="K52">
        <f>+'q5'!$I$8+'q5'!$I$9</f>
        <v>46757</v>
      </c>
      <c r="L52">
        <f>+'q5'!$J$8+'q5'!$J$9</f>
        <v>45757</v>
      </c>
      <c r="M52">
        <f>+'q5'!$K$8+'q5'!$K$9</f>
        <v>46152</v>
      </c>
      <c r="N52">
        <f>+'q5'!$L$8+'q5'!$L$9</f>
        <v>49721</v>
      </c>
      <c r="Q52" t="str">
        <f>+$A$72</f>
        <v>I</v>
      </c>
      <c r="R52" s="404" t="str">
        <f>+VLOOKUP($Q52,Aux!$B$14:$D$33,3)</f>
        <v>Alojamento, rest. e sim.</v>
      </c>
      <c r="S52" s="436" t="str">
        <f>+TEXT($Y$72,"##.###,0%")</f>
        <v>11,3%</v>
      </c>
      <c r="U52" s="404" t="str">
        <f>+$A$81</f>
        <v>I</v>
      </c>
      <c r="V52" s="404" t="str">
        <f>+VLOOKUP($U52,Aux!$B$14:$D$33,3)</f>
        <v>Alojamento, rest. e sim.</v>
      </c>
      <c r="W52" s="436" t="str">
        <f>+TEXT($Y$81,"##.###,0%")</f>
        <v>10,7%</v>
      </c>
    </row>
    <row r="53" spans="1:48">
      <c r="A53" s="334"/>
      <c r="B53" s="334" t="s">
        <v>544</v>
      </c>
      <c r="C53" s="334"/>
      <c r="D53">
        <f>+'q5'!$B$10+'q5'!$B$11+'q5'!$B$12+'q5'!$B$13</f>
        <v>5864</v>
      </c>
      <c r="E53">
        <f>+'q5'!$C$10+'q5'!$C$11+'q5'!$C$12+'q5'!$C$13</f>
        <v>5864</v>
      </c>
      <c r="F53">
        <f>+'q5'!$D$10+'q5'!$D$11+'q5'!$D$12+'q5'!$D$13</f>
        <v>6032</v>
      </c>
      <c r="G53">
        <f>+'q5'!$E$10+'q5'!$E$11+'q5'!$E$12+'q5'!$E$13</f>
        <v>6244</v>
      </c>
      <c r="H53">
        <f>+'q5'!$F$10+'q5'!$F$11+'q5'!$F$12+'q5'!$F$13</f>
        <v>6541</v>
      </c>
      <c r="I53">
        <f>+'q5'!$G$10+'q5'!$G$11+'q5'!$G$12+'q5'!$G$13</f>
        <v>6822</v>
      </c>
      <c r="J53">
        <f>+'q5'!$H$10+'q5'!$H$11+'q5'!$H$12+'q5'!$H$13</f>
        <v>7206</v>
      </c>
      <c r="K53">
        <f>+'q5'!$I$10+'q5'!$I$11+'q5'!$I$12+'q5'!$I$13</f>
        <v>7384</v>
      </c>
      <c r="L53">
        <f>+'q5'!$J$10+'q5'!$J$11+'q5'!$J$12+'q5'!$J$13</f>
        <v>7265</v>
      </c>
      <c r="M53">
        <f>+'q5'!$K$10+'q5'!$K$11+'q5'!$K$12+'q5'!$K$13</f>
        <v>7437</v>
      </c>
      <c r="N53">
        <f>+'q5'!$L$10+'q5'!$L$11+'q5'!$L$12+'q5'!$L$13</f>
        <v>8143</v>
      </c>
    </row>
    <row r="54" spans="1:48">
      <c r="A54" s="334"/>
      <c r="B54" s="334" t="s">
        <v>292</v>
      </c>
      <c r="C54" s="334"/>
      <c r="D54">
        <f>+'q5'!$B$14+'q5'!$B$15+'q5'!$B$16</f>
        <v>708</v>
      </c>
      <c r="E54">
        <f>+'q5'!$C$14+'q5'!$C$15+'q5'!$C$16</f>
        <v>714</v>
      </c>
      <c r="F54">
        <f>+'q5'!$D$14+'q5'!$D$15+'q5'!$D$16</f>
        <v>722</v>
      </c>
      <c r="G54">
        <f>+'q5'!$E$14+'q5'!$E$15+'q5'!$E$16</f>
        <v>759</v>
      </c>
      <c r="H54">
        <f>+'q5'!$F$14+'q5'!$F$15+'q5'!$F$16</f>
        <v>804</v>
      </c>
      <c r="I54">
        <f>+'q5'!$G$14+'q5'!$G$15+'q5'!$G$16</f>
        <v>855</v>
      </c>
      <c r="J54">
        <f>+'q5'!$H$14+'q5'!$H$15+'q5'!$H$16</f>
        <v>904</v>
      </c>
      <c r="K54">
        <f>+'q5'!$I$14+'q5'!$I$15+'q5'!$I$16</f>
        <v>940</v>
      </c>
      <c r="L54">
        <f>+'q5'!$J$14+'q5'!$J$15+'q5'!$J$16</f>
        <v>922</v>
      </c>
      <c r="M54">
        <f>+'q5'!$K$14+'q5'!$K$15+'q5'!$K$16</f>
        <v>937</v>
      </c>
      <c r="N54">
        <f>+'q5'!$L$14+'q5'!$L$15+'q5'!$L$16</f>
        <v>1017</v>
      </c>
    </row>
    <row r="55" spans="1:48">
      <c r="R55" s="375" t="s">
        <v>280</v>
      </c>
      <c r="AV55" s="334"/>
    </row>
    <row r="56" spans="1:48">
      <c r="R56" s="456" t="str">
        <f>"3 CAE com mais Empresas em "&amp;$R$44&amp;" vs "&amp;$R$49&amp;": "&amp;CHAR(10)&amp;$Q$45&amp;" - "&amp;R45&amp;" ("&amp;S45&amp;" vs "&amp;S50&amp;");"&amp;CHAR(10)&amp;Q46&amp;" - "&amp;R46&amp;" ("&amp;S46&amp;" vs "&amp;T46&amp;") - em "&amp;R49&amp;": "&amp;Q51&amp;" - "&amp;R51&amp;" ("&amp;T51&amp;" vs "&amp;S51&amp;");"&amp;CHAR(10)&amp;Q47&amp;" - "&amp;R47&amp;" ("&amp;S47&amp;" vs "&amp;T47&amp;")."</f>
        <v>3 CAE com mais Empresas em 2022 vs 2012: 
G - Com. por grosso e a ret.; rep. de veíc. autom. e mot. (24,4% vs 27,9%);
I - Alojamento, rest. e sim. (12,1% vs 11,3%) - em 2012: C - Ind. transformadoras (11,1% vs 12,2%);
F - Construção (11,8% vs 11,2%).</v>
      </c>
    </row>
    <row r="57" spans="1:48">
      <c r="AU57" s="334"/>
    </row>
    <row r="58" spans="1:48">
      <c r="R58" s="334" t="s">
        <v>264</v>
      </c>
      <c r="AU58" s="334"/>
    </row>
    <row r="59" spans="1:48">
      <c r="R59" s="446" t="str">
        <f>"3 CAE com mais Estabelecimentos em "&amp;$U$44&amp;" vs "&amp;$U$49&amp;":"&amp;CHAR(10)&amp;$U$45&amp;" - "&amp;$V$45&amp;" ("&amp;$W$45&amp;" vs "&amp;$W$50&amp;");"&amp;CHAR(10)&amp;U46&amp;" - "&amp;V46&amp;" ("&amp;W46&amp;" vs "&amp;W52&amp;");"&amp;CHAR(10)&amp;U47&amp;" - "&amp;V47&amp;" ("&amp;W47&amp;" vs "&amp;W51&amp;")."</f>
        <v>3 CAE com mais Estabelecimentos em 2022 vs 2012:
G - Com. por grosso e a ret.; rep. de veíc. autom. e mot. (27,1% vs 30,0%);
I - Alojamento, rest. e sim. (11,7% vs 10,7%);
C - Ind. transformadoras (10,4% vs 11,4%).</v>
      </c>
      <c r="AO59" s="334"/>
    </row>
    <row r="62" spans="1:48">
      <c r="R62" t="str">
        <f>IF($Q$3=1,$R$56,$R$59)</f>
        <v>3 CAE com mais Empresas em 2022 vs 2012: 
G - Com. por grosso e a ret.; rep. de veíc. autom. e mot. (24,4% vs 27,9%);
I - Alojamento, rest. e sim. (12,1% vs 11,3%) - em 2012: C - Ind. transformadoras (11,1% vs 12,2%);
F - Construção (11,8% vs 11,2%).</v>
      </c>
      <c r="AU62" s="334"/>
    </row>
    <row r="63" spans="1:48">
      <c r="I63" s="467" t="s">
        <v>549</v>
      </c>
      <c r="AU63" s="334"/>
    </row>
    <row r="64" spans="1:48">
      <c r="I64" s="467" t="s">
        <v>550</v>
      </c>
      <c r="R64" s="446"/>
    </row>
    <row r="65" spans="1:38">
      <c r="I65" s="467" t="s">
        <v>551</v>
      </c>
      <c r="R65" s="446"/>
    </row>
    <row r="66" spans="1:38">
      <c r="A66" s="341" t="s">
        <v>326</v>
      </c>
      <c r="B66" s="459" t="s">
        <v>547</v>
      </c>
    </row>
    <row r="67" spans="1:38">
      <c r="B67" s="454">
        <f>+B73/AT4</f>
        <v>0.11153768664234066</v>
      </c>
    </row>
    <row r="68" spans="1:38" ht="13.5" thickBot="1">
      <c r="A68" s="334" t="s">
        <v>280</v>
      </c>
    </row>
    <row r="69" spans="1:38">
      <c r="A69" s="337"/>
      <c r="B69" s="341">
        <f>+D6</f>
        <v>2012</v>
      </c>
      <c r="C69" s="337"/>
      <c r="D69" s="341">
        <f>+E6</f>
        <v>2013</v>
      </c>
      <c r="E69" s="337"/>
      <c r="F69" s="341">
        <f>+F6</f>
        <v>2014</v>
      </c>
      <c r="G69" s="337"/>
      <c r="H69" s="341">
        <f>+G6</f>
        <v>2015</v>
      </c>
      <c r="I69" s="337"/>
      <c r="J69" s="341">
        <f>+H6</f>
        <v>2016</v>
      </c>
      <c r="K69" s="337"/>
      <c r="L69" s="341">
        <f>+I6</f>
        <v>2017</v>
      </c>
      <c r="M69" s="337"/>
      <c r="N69" s="341">
        <f>+J6</f>
        <v>2018</v>
      </c>
      <c r="O69" s="337"/>
      <c r="P69" s="341">
        <f>+K6</f>
        <v>2019</v>
      </c>
      <c r="Q69" s="337"/>
      <c r="R69" s="341">
        <f>+L6</f>
        <v>2020</v>
      </c>
      <c r="S69" s="337"/>
      <c r="T69" s="341">
        <f>+M6</f>
        <v>2021</v>
      </c>
      <c r="U69" s="337"/>
      <c r="V69" s="341">
        <f>+N6</f>
        <v>2022</v>
      </c>
      <c r="W69" s="335"/>
      <c r="X69" s="335" t="s">
        <v>666</v>
      </c>
      <c r="Y69" s="576" t="s">
        <v>667</v>
      </c>
      <c r="Z69" s="577"/>
    </row>
    <row r="70" spans="1:38">
      <c r="A70" s="457" t="str">
        <f>+INDEX($B$7:$B$26,MATCH(B70,$D$7:$D$26,0),1)</f>
        <v>G</v>
      </c>
      <c r="B70" s="343">
        <f>+LARGE($D$7:$D$26,1)</f>
        <v>74719</v>
      </c>
      <c r="C70" s="342" t="str">
        <f>+INDEX($B$7:$B$26,MATCH(D70,$E$7:$E$26,0),1)</f>
        <v>G</v>
      </c>
      <c r="D70" s="343">
        <f>+LARGE($E$7:$E$26,1)</f>
        <v>73629</v>
      </c>
      <c r="E70" s="342" t="str">
        <f>+INDEX($B$7:$B$26,MATCH(F70,$F$7:$F$26,0),1)</f>
        <v>G</v>
      </c>
      <c r="F70" s="343">
        <f>+LARGE($F$7:$F$26,1)</f>
        <v>74208</v>
      </c>
      <c r="G70" s="342" t="str">
        <f>+INDEX($B$7:$B$26,MATCH(H70,$G$7:$G$26,0),1)</f>
        <v>G</v>
      </c>
      <c r="H70" s="343">
        <f>+LARGE($G$7:$G$26,1)</f>
        <v>74441</v>
      </c>
      <c r="I70" s="342" t="str">
        <f>+INDEX($B$7:$B$26,MATCH(J70,$H$7:$H$26,0),1)</f>
        <v>G</v>
      </c>
      <c r="J70" s="343">
        <f>+LARGE($H$7:$H$26,1)</f>
        <v>74332</v>
      </c>
      <c r="K70" s="342" t="str">
        <f>+INDEX($B$7:$B$26,MATCH(L70,$I$7:$I$26,0),1)</f>
        <v>G</v>
      </c>
      <c r="L70" s="343">
        <f>+LARGE($I$7:$I$26,1)</f>
        <v>73637</v>
      </c>
      <c r="M70" s="342" t="str">
        <f>+INDEX($B$7:$B$26,MATCH(N70,$J$7:$J$26,0),1)</f>
        <v>G</v>
      </c>
      <c r="N70" s="343">
        <f>+LARGE($J$7:$J$26,1)</f>
        <v>73191</v>
      </c>
      <c r="O70" s="342" t="str">
        <f>+INDEX($B$7:$B$26,MATCH(P70,$K$7:$K$26,0),1)</f>
        <v>G</v>
      </c>
      <c r="P70" s="343">
        <f>+LARGE($K$7:$K$26,1)</f>
        <v>69985</v>
      </c>
      <c r="Q70" s="342" t="str">
        <f>+INDEX($B$7:$B$26,MATCH(R70,$L$7:$L$26,0),1)</f>
        <v>G</v>
      </c>
      <c r="R70" s="343">
        <f>+LARGE($L$7:$L$26,1)</f>
        <v>69568</v>
      </c>
      <c r="S70" s="342" t="str">
        <f>+INDEX($B$7:$B$26,MATCH(T70,$M$7:$M$26,0),1)</f>
        <v>G</v>
      </c>
      <c r="T70" s="343">
        <f>+LARGE($M$7:$M$26,1)</f>
        <v>67802</v>
      </c>
      <c r="U70" s="457" t="str">
        <f>+INDEX($B$7:$B$26,MATCH(V70,$N$7:$N$26,0),1)</f>
        <v>G</v>
      </c>
      <c r="V70" s="343">
        <f>+LARGE($N$7:$N$26,1)</f>
        <v>69554</v>
      </c>
      <c r="X70" s="454">
        <f>+V70/$BD$4</f>
        <v>0.24416906550586254</v>
      </c>
      <c r="Y70" s="462">
        <f>+B70/$AT$4</f>
        <v>0.27877519345138158</v>
      </c>
      <c r="Z70" s="466" t="str">
        <f>+A70</f>
        <v>G</v>
      </c>
      <c r="AB70" s="365">
        <f>+B70/$BD$4</f>
        <v>0.2623007793301973</v>
      </c>
      <c r="AC70" s="365">
        <f>+D70/$BD$4</f>
        <v>0.25847433827143157</v>
      </c>
      <c r="AD70" s="365">
        <f>+F70/$BD$4</f>
        <v>0.26050691567787687</v>
      </c>
      <c r="AE70" s="365">
        <f>+H70/$BD$4</f>
        <v>0.26132486133539284</v>
      </c>
      <c r="AF70" s="365">
        <f>+J70/$BD$4</f>
        <v>0.26094221722951627</v>
      </c>
      <c r="AG70" s="365">
        <f>+L70/$BD$4</f>
        <v>0.25850242224250508</v>
      </c>
      <c r="AH70" s="365">
        <f>+N70/$BD$4</f>
        <v>0.25693674085515694</v>
      </c>
      <c r="AI70" s="365">
        <f>+P70/$BD$4</f>
        <v>0.24568208944744788</v>
      </c>
      <c r="AJ70" s="365">
        <f>+R70/$BD$4</f>
        <v>0.24421821245524117</v>
      </c>
      <c r="AK70" s="365">
        <f>+T70/$BD$4</f>
        <v>0.23801867584076389</v>
      </c>
      <c r="AL70" s="365">
        <f>+V70/$BD$4</f>
        <v>0.24416906550586254</v>
      </c>
    </row>
    <row r="71" spans="1:38">
      <c r="A71" s="457" t="str">
        <f>+INDEX($B$7:$B$26,MATCH(B71,$D$7:$D$26,0),1)</f>
        <v>C</v>
      </c>
      <c r="B71" s="343">
        <f>+LARGE($D$7:$D$26,2)</f>
        <v>32824</v>
      </c>
      <c r="C71" s="342" t="str">
        <f>+INDEX($B$7:$B$26,MATCH(D71,$E$7:$E$26,0),1)</f>
        <v>C</v>
      </c>
      <c r="D71" s="343">
        <f>+LARGE($E$7:$E$26,2)</f>
        <v>32643</v>
      </c>
      <c r="E71" s="342" t="str">
        <f>+INDEX($B$7:$B$26,MATCH(F71,$F$7:$F$26,0),1)</f>
        <v>C</v>
      </c>
      <c r="F71" s="343">
        <f>+LARGE($F$7:$F$26,2)</f>
        <v>32895</v>
      </c>
      <c r="G71" s="342" t="str">
        <f>+INDEX($B$7:$B$26,MATCH(H71,$G$7:$G$26,0),1)</f>
        <v>C</v>
      </c>
      <c r="H71" s="343">
        <f>+LARGE($G$7:$G$26,2)</f>
        <v>32998</v>
      </c>
      <c r="I71" s="342" t="str">
        <f>+INDEX($B$7:$B$26,MATCH(J71,$H$7:$H$26,0),1)</f>
        <v>C</v>
      </c>
      <c r="J71" s="343">
        <f>+LARGE($H$7:$H$26,2)</f>
        <v>33278</v>
      </c>
      <c r="K71" s="342" t="str">
        <f>+INDEX($B$7:$B$26,MATCH(L71,$I$7:$I$26,0),1)</f>
        <v>I</v>
      </c>
      <c r="L71" s="343">
        <f>+LARGE($I$7:$I$26,2)</f>
        <v>34159</v>
      </c>
      <c r="M71" s="342" t="str">
        <f>+INDEX($B$7:$B$26,MATCH(N71,$J$7:$J$26,0),1)</f>
        <v>I</v>
      </c>
      <c r="N71" s="343">
        <f>+LARGE($J$7:$J$26,2)</f>
        <v>34949</v>
      </c>
      <c r="O71" s="342" t="str">
        <f>+INDEX($B$7:$B$26,MATCH(P71,$K$7:$K$26,0),1)</f>
        <v>I</v>
      </c>
      <c r="P71" s="343">
        <f>+LARGE($K$7:$K$26,2)</f>
        <v>33798</v>
      </c>
      <c r="Q71" s="342" t="str">
        <f>+INDEX($B$7:$B$26,MATCH(R71,$L$7:$L$26,0),1)</f>
        <v>I</v>
      </c>
      <c r="R71" s="343">
        <f>+LARGE($L$7:$L$26,2)</f>
        <v>33300</v>
      </c>
      <c r="S71" s="342" t="str">
        <f>+INDEX($B$7:$B$26,MATCH(T71,$M$7:$M$26,0),1)</f>
        <v>I</v>
      </c>
      <c r="T71" s="343">
        <f>+LARGE($M$7:$M$26,2)</f>
        <v>32645</v>
      </c>
      <c r="U71" s="457" t="str">
        <f>+INDEX($B$7:$B$26,MATCH(V71,$N$7:$N$26,0),1)</f>
        <v>I</v>
      </c>
      <c r="V71" s="343">
        <f>+LARGE($N$7:$N$26,2)</f>
        <v>34416</v>
      </c>
      <c r="X71" s="454">
        <f>+V71/$BD$4</f>
        <v>0.12081724355823914</v>
      </c>
      <c r="Y71" s="462">
        <f t="shared" ref="Y71:Y74" si="8">+B71/$AT$4</f>
        <v>0.12246573093655093</v>
      </c>
      <c r="Z71" s="466" t="str">
        <f t="shared" ref="Z71:Z74" si="9">+A71</f>
        <v>C</v>
      </c>
    </row>
    <row r="72" spans="1:38">
      <c r="A72" s="457" t="str">
        <f>+INDEX($B$7:$B$26,MATCH(B72,$D$7:$D$26,0),1)</f>
        <v>I</v>
      </c>
      <c r="B72" s="343">
        <f>+LARGE($D$7:$D$26,3)</f>
        <v>30385</v>
      </c>
      <c r="C72" s="342" t="str">
        <f>+INDEX($B$7:$B$26,MATCH(D72,$E$7:$E$26,0),1)</f>
        <v>I</v>
      </c>
      <c r="D72" s="343">
        <f>+LARGE($E$7:$E$26,3)</f>
        <v>30313</v>
      </c>
      <c r="E72" s="342" t="str">
        <f>+INDEX($B$7:$B$26,MATCH(F72,$F$7:$F$26,0),1)</f>
        <v>I</v>
      </c>
      <c r="F72" s="343">
        <f>+LARGE($F$7:$F$26,3)</f>
        <v>31162</v>
      </c>
      <c r="G72" s="342" t="str">
        <f>+INDEX($B$7:$B$26,MATCH(H72,$G$7:$G$26,0),1)</f>
        <v>I</v>
      </c>
      <c r="H72" s="343">
        <f>+LARGE($G$7:$G$26,3)</f>
        <v>32218</v>
      </c>
      <c r="I72" s="342" t="str">
        <f>+INDEX($B$7:$B$26,MATCH(J72,$H$7:$H$26,0),1)</f>
        <v>I</v>
      </c>
      <c r="J72" s="343">
        <f>+LARGE($H$7:$H$26,3)</f>
        <v>33270</v>
      </c>
      <c r="K72" s="342" t="str">
        <f>+INDEX($B$7:$B$26,MATCH(L72,$I$7:$I$26,0),1)</f>
        <v>C</v>
      </c>
      <c r="L72" s="343">
        <f>+LARGE($I$7:$I$26,3)</f>
        <v>33315</v>
      </c>
      <c r="M72" s="342" t="str">
        <f>+INDEX($B$7:$B$26,MATCH(N72,$J$7:$J$26,0),1)</f>
        <v>C</v>
      </c>
      <c r="N72" s="343">
        <f>+LARGE($J$7:$J$26,3)</f>
        <v>33177</v>
      </c>
      <c r="O72" s="342" t="str">
        <f>+INDEX($B$7:$B$26,MATCH(P72,$K$7:$K$26,0),1)</f>
        <v>C</v>
      </c>
      <c r="P72" s="343">
        <f>+LARGE($K$7:$K$26,3)</f>
        <v>31905</v>
      </c>
      <c r="Q72" s="342" t="str">
        <f>+INDEX($B$7:$B$26,MATCH(R72,$L$7:$L$26,0),1)</f>
        <v>C</v>
      </c>
      <c r="R72" s="343">
        <f>+LARGE($L$7:$L$26,3)</f>
        <v>31715</v>
      </c>
      <c r="S72" s="342" t="str">
        <f>+INDEX($B$7:$B$26,MATCH(T72,$M$7:$M$26,0),1)</f>
        <v>F</v>
      </c>
      <c r="T72" s="343">
        <f>+LARGE($M$7:$M$26,3)</f>
        <v>31375</v>
      </c>
      <c r="U72" s="457" t="str">
        <f>+INDEX($B$7:$B$26,MATCH(V72,$N$7:$N$26,0),1)</f>
        <v>F</v>
      </c>
      <c r="V72" s="343">
        <f>+LARGE($N$7:$N$26,3)</f>
        <v>33643</v>
      </c>
      <c r="X72" s="454">
        <f>+V72/$BD$4</f>
        <v>0.11810362985326125</v>
      </c>
      <c r="Y72" s="460">
        <f t="shared" si="8"/>
        <v>0.11336586749046734</v>
      </c>
      <c r="Z72" s="461" t="str">
        <f t="shared" si="9"/>
        <v>I</v>
      </c>
    </row>
    <row r="73" spans="1:38">
      <c r="A73" s="342" t="str">
        <f>+INDEX($B$7:$B$26,MATCH(B73,$D$7:$D$26,0),1)</f>
        <v>F</v>
      </c>
      <c r="B73" s="343">
        <f>+LARGE($D$7:$D$26,4)</f>
        <v>29895</v>
      </c>
      <c r="C73" s="342" t="str">
        <f>+INDEX($B$7:$B$26,MATCH(D73,$E$7:$E$26,0),1)</f>
        <v>F</v>
      </c>
      <c r="D73" s="343">
        <f>+LARGE($E$7:$E$26,4)</f>
        <v>27952</v>
      </c>
      <c r="E73" s="342" t="str">
        <f>+INDEX($B$7:$B$26,MATCH(F73,$F$7:$F$26,0),1)</f>
        <v>F</v>
      </c>
      <c r="F73" s="343">
        <f>+LARGE($F$7:$F$26,4)</f>
        <v>27621</v>
      </c>
      <c r="G73" s="342" t="str">
        <f>+INDEX($B$7:$B$26,MATCH(H73,$G$7:$G$26,0),1)</f>
        <v>F</v>
      </c>
      <c r="H73" s="343">
        <f>+LARGE($G$7:$G$26,4)</f>
        <v>27400</v>
      </c>
      <c r="I73" s="342" t="str">
        <f>+INDEX($B$7:$B$26,MATCH(J73,$H$7:$H$26,0),1)</f>
        <v>F</v>
      </c>
      <c r="J73" s="343">
        <f>+LARGE($H$7:$H$26,4)</f>
        <v>27945</v>
      </c>
      <c r="K73" s="342" t="str">
        <f>+INDEX($B$7:$B$26,MATCH(L73,$I$7:$I$26,0),1)</f>
        <v>F</v>
      </c>
      <c r="L73" s="343">
        <f>+LARGE($I$7:$I$26,4)</f>
        <v>28669</v>
      </c>
      <c r="M73" s="342" t="str">
        <f>+INDEX($B$7:$B$26,MATCH(N73,$J$7:$J$26,0),1)</f>
        <v>F</v>
      </c>
      <c r="N73" s="343">
        <f>+LARGE($J$7:$J$26,4)</f>
        <v>29662</v>
      </c>
      <c r="O73" s="342" t="str">
        <f>+INDEX($B$7:$B$26,MATCH(P73,$K$7:$K$26,0),1)</f>
        <v>F</v>
      </c>
      <c r="P73" s="343">
        <f>+LARGE($K$7:$K$26,4)</f>
        <v>30134</v>
      </c>
      <c r="Q73" s="342" t="str">
        <f>+INDEX($B$7:$B$26,MATCH(R73,$L$7:$L$26,0),1)</f>
        <v>F</v>
      </c>
      <c r="R73" s="343">
        <f>+LARGE($L$7:$L$26,4)</f>
        <v>31394</v>
      </c>
      <c r="S73" s="342" t="str">
        <f>+INDEX($B$7:$B$26,MATCH(T73,$M$7:$M$26,0),1)</f>
        <v>C</v>
      </c>
      <c r="T73" s="343">
        <f>+LARGE($M$7:$M$26,4)</f>
        <v>30818</v>
      </c>
      <c r="U73" s="342" t="str">
        <f>+INDEX($B$7:$B$26,MATCH(V73,$N$7:$N$26,0),1)</f>
        <v>C</v>
      </c>
      <c r="V73" s="343">
        <f>+LARGE($N$7:$N$26,4)</f>
        <v>31733</v>
      </c>
      <c r="X73" s="347">
        <f>+V73/$BD$4</f>
        <v>0.11139858175946078</v>
      </c>
      <c r="Y73" s="524">
        <f t="shared" si="8"/>
        <v>0.11153768664234066</v>
      </c>
      <c r="Z73" s="463" t="str">
        <f t="shared" si="9"/>
        <v>F</v>
      </c>
    </row>
    <row r="74" spans="1:38" ht="13.5" thickBot="1">
      <c r="A74" s="342" t="str">
        <f>+INDEX($B$7:$B$26,MATCH(B74,$D$7:$D$26,0),1)</f>
        <v>M</v>
      </c>
      <c r="B74" s="343">
        <f>+LARGE($D$7:$D$26,5)</f>
        <v>20571</v>
      </c>
      <c r="C74" s="342" t="str">
        <f>+INDEX($B$7:$B$26,MATCH(D74,$E$7:$E$26,0),1)</f>
        <v>M</v>
      </c>
      <c r="D74" s="343">
        <f>+LARGE($E$7:$E$26,5)</f>
        <v>20799</v>
      </c>
      <c r="E74" s="342" t="str">
        <f>+INDEX($B$7:$B$26,MATCH(F74,$F$7:$F$26,0),1)</f>
        <v>M</v>
      </c>
      <c r="F74" s="343">
        <f>+LARGE($F$7:$F$26,5)</f>
        <v>21426</v>
      </c>
      <c r="G74" s="342" t="str">
        <f>+INDEX($B$7:$B$26,MATCH(H74,$G$7:$G$26,0),1)</f>
        <v>M</v>
      </c>
      <c r="H74" s="343">
        <f>+LARGE($G$7:$G$26,5)</f>
        <v>21717</v>
      </c>
      <c r="I74" s="342" t="str">
        <f>+INDEX($B$7:$B$26,MATCH(J74,$H$7:$H$26,0),1)</f>
        <v>M</v>
      </c>
      <c r="J74" s="343">
        <f>+LARGE($H$7:$H$26,5)</f>
        <v>22039</v>
      </c>
      <c r="K74" s="342" t="str">
        <f>+INDEX($B$7:$B$26,MATCH(L74,$I$7:$I$26,0),1)</f>
        <v>M</v>
      </c>
      <c r="L74" s="343">
        <f>+LARGE($I$7:$I$26,5)</f>
        <v>22524</v>
      </c>
      <c r="M74" s="342" t="str">
        <f>+INDEX($B$7:$B$26,MATCH(N74,$J$7:$J$26,0),1)</f>
        <v>M</v>
      </c>
      <c r="N74" s="343">
        <f>+LARGE($J$7:$J$26,5)</f>
        <v>23187</v>
      </c>
      <c r="O74" s="342" t="str">
        <f>+INDEX($B$7:$B$26,MATCH(P74,$K$7:$K$26,0),1)</f>
        <v>M</v>
      </c>
      <c r="P74" s="343">
        <f>+LARGE($K$7:$K$26,5)</f>
        <v>22977</v>
      </c>
      <c r="Q74" s="342" t="str">
        <f>+INDEX($B$7:$B$26,MATCH(R74,$L$7:$L$26,0),1)</f>
        <v>M</v>
      </c>
      <c r="R74" s="343">
        <f>+LARGE($L$7:$L$26,5)</f>
        <v>23504</v>
      </c>
      <c r="S74" s="342" t="str">
        <f>+INDEX($B$7:$B$26,MATCH(T74,$M$7:$M$26,0),1)</f>
        <v>M</v>
      </c>
      <c r="T74" s="343">
        <f>+LARGE($M$7:$M$26,5)</f>
        <v>23335</v>
      </c>
      <c r="U74" s="342" t="str">
        <f>+INDEX($B$7:$B$26,MATCH(V74,$N$7:$N$26,0),1)</f>
        <v>M</v>
      </c>
      <c r="V74" s="343">
        <f>+LARGE($N$7:$N$26,5)</f>
        <v>24442</v>
      </c>
      <c r="X74" s="347">
        <f>+V74/$BD$4</f>
        <v>8.5803552622340795E-2</v>
      </c>
      <c r="Y74" s="464">
        <f t="shared" si="8"/>
        <v>7.6750016789415954E-2</v>
      </c>
      <c r="Z74" s="465" t="str">
        <f t="shared" si="9"/>
        <v>M</v>
      </c>
    </row>
    <row r="75" spans="1:38">
      <c r="B75" s="454">
        <f>B70/$AT$4</f>
        <v>0.27877519345138158</v>
      </c>
    </row>
    <row r="76" spans="1:38">
      <c r="B76" s="454">
        <f>B71/$AT$4</f>
        <v>0.12246573093655093</v>
      </c>
    </row>
    <row r="77" spans="1:38" ht="13.5" thickBot="1">
      <c r="A77" s="334" t="s">
        <v>264</v>
      </c>
      <c r="B77" s="454">
        <f>B72/$AT$4</f>
        <v>0.11336586749046734</v>
      </c>
    </row>
    <row r="78" spans="1:38">
      <c r="A78" s="337"/>
      <c r="B78" s="341">
        <f>+B69</f>
        <v>2012</v>
      </c>
      <c r="C78" s="341"/>
      <c r="D78" s="341">
        <f t="shared" ref="D78:V78" si="10">+D69</f>
        <v>2013</v>
      </c>
      <c r="E78" s="341"/>
      <c r="F78" s="341">
        <f t="shared" si="10"/>
        <v>2014</v>
      </c>
      <c r="G78" s="341"/>
      <c r="H78" s="341">
        <f t="shared" si="10"/>
        <v>2015</v>
      </c>
      <c r="I78" s="341"/>
      <c r="J78" s="341">
        <f t="shared" si="10"/>
        <v>2016</v>
      </c>
      <c r="K78" s="341"/>
      <c r="L78" s="341">
        <f t="shared" si="10"/>
        <v>2017</v>
      </c>
      <c r="M78" s="341"/>
      <c r="N78" s="341">
        <f t="shared" si="10"/>
        <v>2018</v>
      </c>
      <c r="O78" s="341"/>
      <c r="P78" s="341">
        <f t="shared" si="10"/>
        <v>2019</v>
      </c>
      <c r="Q78" s="341"/>
      <c r="R78" s="341">
        <f t="shared" si="10"/>
        <v>2020</v>
      </c>
      <c r="S78" s="341"/>
      <c r="T78" s="341">
        <f t="shared" si="10"/>
        <v>2021</v>
      </c>
      <c r="U78" s="341"/>
      <c r="V78" s="341">
        <f t="shared" si="10"/>
        <v>2022</v>
      </c>
      <c r="X78" s="335" t="s">
        <v>666</v>
      </c>
      <c r="Y78" s="576" t="s">
        <v>667</v>
      </c>
      <c r="Z78" s="577"/>
    </row>
    <row r="79" spans="1:38">
      <c r="A79" s="342" t="str">
        <f>+INDEX($B$31:$B$50,MATCH(B79,$D$31:$D$50,0),1)</f>
        <v>G</v>
      </c>
      <c r="B79" s="343">
        <f>+LARGE($D$31:$D$50,1)</f>
        <v>95848</v>
      </c>
      <c r="C79" s="342" t="str">
        <f>+INDEX($B$31:$B$50,MATCH(D79,$E$31:$E$50,0),1)</f>
        <v>G</v>
      </c>
      <c r="D79" s="343">
        <f>+LARGE($E$31:$E$50,1)</f>
        <v>94026</v>
      </c>
      <c r="E79" s="342" t="str">
        <f>+INDEX($B$31:$B$50,MATCH(F79,$F$31:$F$50,0),1)</f>
        <v>G</v>
      </c>
      <c r="F79" s="343">
        <f>+LARGE($F$31:$F$50,1)</f>
        <v>94440</v>
      </c>
      <c r="G79" s="342" t="str">
        <f>+INDEX($B$31:$B$50,MATCH(H79,$G$31:$G$50,0),1)</f>
        <v>G</v>
      </c>
      <c r="H79" s="343">
        <f>+LARGE($G$31:$G$50,1)</f>
        <v>94937</v>
      </c>
      <c r="I79" s="342" t="str">
        <f>+INDEX($B$31:$B$50,MATCH(J79,$H$31:$H$50,0),1)</f>
        <v>G</v>
      </c>
      <c r="J79" s="343">
        <f>+LARGE($H$31:$H$50,1)</f>
        <v>94933</v>
      </c>
      <c r="K79" s="342" t="str">
        <f>+INDEX($B$31:$B$50,MATCH(L79,$I$31:$I$50,0),1)</f>
        <v>G</v>
      </c>
      <c r="L79" s="343">
        <f>+LARGE($I$31:$I$50,1)</f>
        <v>94292</v>
      </c>
      <c r="M79" s="342" t="str">
        <f>+INDEX($B$31:$B$50,MATCH(N79,$J$31:$J$50,0),1)</f>
        <v>G</v>
      </c>
      <c r="N79" s="343">
        <f>+LARGE($J$31:$J$50,1)</f>
        <v>93805</v>
      </c>
      <c r="O79" s="342" t="str">
        <f>+INDEX($B$31:$B$50,MATCH(P79,$K$31:$K$50,0),1)</f>
        <v>G</v>
      </c>
      <c r="P79" s="343">
        <f>+LARGE($K$31:$K$50,1)</f>
        <v>90517</v>
      </c>
      <c r="Q79" s="342" t="str">
        <f>+INDEX($B$31:$B$50,MATCH(R79,$L$31:$L$50,0),1)</f>
        <v>G</v>
      </c>
      <c r="R79" s="343">
        <f>+LARGE($L$31:$L$50,1)</f>
        <v>89750</v>
      </c>
      <c r="S79" s="342" t="str">
        <f>+INDEX($B$31:$B$50,MATCH(T79,$M$31:$M$50,0),1)</f>
        <v>G</v>
      </c>
      <c r="T79" s="343">
        <f>+LARGE($M$31:$M$50,1)</f>
        <v>87838</v>
      </c>
      <c r="U79" s="457" t="str">
        <f>+INDEX($B$31:$B$50,MATCH(V79,$N$31:$N$50,0),1)</f>
        <v>G</v>
      </c>
      <c r="V79" s="343">
        <f>+LARGE($N$31:$N$50,1)</f>
        <v>90136</v>
      </c>
      <c r="X79" s="454">
        <f>+V79/$BD$5</f>
        <v>0.2709365973013349</v>
      </c>
      <c r="Y79" s="460">
        <f>+B79/$AT$5</f>
        <v>0.30029732718836255</v>
      </c>
      <c r="Z79" s="461" t="str">
        <f>+A79</f>
        <v>G</v>
      </c>
      <c r="AB79" s="365">
        <f>+B79/$BD$5</f>
        <v>0.28810609499132805</v>
      </c>
      <c r="AC79" s="365">
        <f>+D79/$BD$5</f>
        <v>0.28262940997886876</v>
      </c>
      <c r="AD79" s="365">
        <f>+F79/$BD$5</f>
        <v>0.28387383785766029</v>
      </c>
      <c r="AE79" s="365">
        <f>+H79/$BD$5</f>
        <v>0.28536775248509844</v>
      </c>
      <c r="AF79" s="365">
        <f>+J79/$BD$5</f>
        <v>0.28535572902733231</v>
      </c>
      <c r="AG79" s="365">
        <f>+L79/$BD$5</f>
        <v>0.28342896992031452</v>
      </c>
      <c r="AH79" s="365">
        <f>+N79/$BD$5</f>
        <v>0.28196511393729168</v>
      </c>
      <c r="AI79" s="365">
        <f>+P79/$BD$5</f>
        <v>0.27208183165355609</v>
      </c>
      <c r="AJ79" s="365">
        <f>+R79/$BD$5</f>
        <v>0.26977633362690612</v>
      </c>
      <c r="AK79" s="365">
        <f>+T79/$BD$5</f>
        <v>0.26402912081470947</v>
      </c>
      <c r="AL79" s="365">
        <f>+V79/$BD$5</f>
        <v>0.2709365973013349</v>
      </c>
    </row>
    <row r="80" spans="1:38">
      <c r="A80" s="342" t="str">
        <f>+INDEX($B$31:$B$50,MATCH(B80,$D$31:$D$50,0),1)</f>
        <v>C</v>
      </c>
      <c r="B80" s="343">
        <f>+LARGE($D$31:$D$50,2)</f>
        <v>36497</v>
      </c>
      <c r="C80" s="342" t="str">
        <f>+INDEX($B$31:$B$50,MATCH(D80,$E$31:$E$50,0),1)</f>
        <v>C</v>
      </c>
      <c r="D80" s="343">
        <f>+LARGE($E$31:$E$50,2)</f>
        <v>36152</v>
      </c>
      <c r="E80" s="342" t="str">
        <f>+INDEX($B$31:$B$50,MATCH(F80,$F$31:$F$50,0),1)</f>
        <v>C</v>
      </c>
      <c r="F80" s="343">
        <f>+LARGE($F$31:$F$50,2)</f>
        <v>36167</v>
      </c>
      <c r="G80" s="342" t="str">
        <f>+INDEX($B$31:$B$50,MATCH(H80,$G$31:$G$50,0),1)</f>
        <v>C</v>
      </c>
      <c r="H80" s="343">
        <f>+LARGE($G$31:$G$50,2)</f>
        <v>36172</v>
      </c>
      <c r="I80" s="342" t="str">
        <f>+INDEX($B$31:$B$50,MATCH(J80,$H$31:$H$50,0),1)</f>
        <v>I</v>
      </c>
      <c r="J80" s="343">
        <f>+LARGE($H$31:$H$50,2)</f>
        <v>37220</v>
      </c>
      <c r="K80" s="342" t="str">
        <f>+INDEX($B$31:$B$50,MATCH(L80,$I$31:$I$50,0),1)</f>
        <v>I</v>
      </c>
      <c r="L80" s="343">
        <f>+LARGE($I$31:$I$50,2)</f>
        <v>38276</v>
      </c>
      <c r="M80" s="342" t="str">
        <f>+INDEX($B$31:$B$50,MATCH(N80,$J$31:$J$50,0),1)</f>
        <v>I</v>
      </c>
      <c r="N80" s="343">
        <f>+LARGE($J$31:$J$50,2)</f>
        <v>39308</v>
      </c>
      <c r="O80" s="342" t="str">
        <f>+INDEX($B$31:$B$50,MATCH(P80,$K$31:$K$50,0),1)</f>
        <v>I</v>
      </c>
      <c r="P80" s="343">
        <f>+LARGE($K$31:$K$50,2)</f>
        <v>38184</v>
      </c>
      <c r="Q80" s="342" t="str">
        <f>+INDEX($B$31:$B$50,MATCH(R80,$L$31:$L$50,0),1)</f>
        <v>I</v>
      </c>
      <c r="R80" s="343">
        <f>+LARGE($L$31:$L$50,2)</f>
        <v>37633</v>
      </c>
      <c r="S80" s="342" t="str">
        <f>+INDEX($B$31:$B$50,MATCH(T80,$M$31:$M$50,0),1)</f>
        <v>I</v>
      </c>
      <c r="T80" s="343">
        <f>+LARGE($M$31:$M$50,2)</f>
        <v>36899</v>
      </c>
      <c r="U80" s="457" t="str">
        <f>+INDEX($B$31:$B$50,MATCH(V80,$N$31:$N$50,0),1)</f>
        <v>I</v>
      </c>
      <c r="V80" s="343">
        <f>+LARGE($N$31:$N$50,2)</f>
        <v>39006</v>
      </c>
      <c r="X80" s="454">
        <f>+V80/$BD$5</f>
        <v>0.11724674840614038</v>
      </c>
      <c r="Y80" s="460">
        <f t="shared" ref="Y80:Y83" si="11">+B80/$AT$5</f>
        <v>0.11434721173518142</v>
      </c>
      <c r="Z80" s="461" t="str">
        <f t="shared" ref="Z80:Z83" si="12">+A80</f>
        <v>C</v>
      </c>
    </row>
    <row r="81" spans="1:26">
      <c r="A81" s="342" t="str">
        <f>+INDEX($B$31:$B$50,MATCH(B81,$D$31:$D$50,0),1)</f>
        <v>I</v>
      </c>
      <c r="B81" s="343">
        <f>+LARGE($D$31:$D$50,3)</f>
        <v>34027</v>
      </c>
      <c r="C81" s="342" t="str">
        <f>+INDEX($B$31:$B$50,MATCH(D81,$E$31:$E$50,0),1)</f>
        <v>I</v>
      </c>
      <c r="D81" s="343">
        <f>+LARGE($E$31:$E$50,3)</f>
        <v>33970</v>
      </c>
      <c r="E81" s="342" t="str">
        <f>+INDEX($B$31:$B$50,MATCH(F81,$F$31:$F$50,0),1)</f>
        <v>I</v>
      </c>
      <c r="F81" s="343">
        <f>+LARGE($F$31:$F$50,3)</f>
        <v>34983</v>
      </c>
      <c r="G81" s="342" t="str">
        <f>+INDEX($B$31:$B$50,MATCH(H81,$G$31:$G$50,0),1)</f>
        <v>I</v>
      </c>
      <c r="H81" s="343">
        <f>+LARGE($G$31:$G$50,3)</f>
        <v>36106</v>
      </c>
      <c r="I81" s="342" t="str">
        <f>+INDEX($B$31:$B$50,MATCH(J81,$H$31:$H$50,0),1)</f>
        <v>C</v>
      </c>
      <c r="J81" s="343">
        <f>+LARGE($H$31:$H$50,3)</f>
        <v>36485</v>
      </c>
      <c r="K81" s="342" t="str">
        <f>+INDEX($B$31:$B$50,MATCH(L81,$I$31:$I$50,0),1)</f>
        <v>C</v>
      </c>
      <c r="L81" s="343">
        <f>+LARGE($I$31:$I$50,3)</f>
        <v>36402</v>
      </c>
      <c r="M81" s="342" t="str">
        <f>+INDEX($B$31:$B$50,MATCH(N81,$J$31:$J$50,0),1)</f>
        <v>C</v>
      </c>
      <c r="N81" s="343">
        <f>+LARGE($J$31:$J$50,3)</f>
        <v>36243</v>
      </c>
      <c r="O81" s="342" t="str">
        <f>+INDEX($B$31:$B$50,MATCH(P81,$K$31:$K$50,0),1)</f>
        <v>C</v>
      </c>
      <c r="P81" s="343">
        <f>+LARGE($K$31:$K$50,3)</f>
        <v>34835</v>
      </c>
      <c r="Q81" s="342" t="str">
        <f>+INDEX($B$31:$B$50,MATCH(R81,$L$31:$L$50,0),1)</f>
        <v>C</v>
      </c>
      <c r="R81" s="343">
        <f>+LARGE($L$31:$L$50,3)</f>
        <v>34676</v>
      </c>
      <c r="S81" s="342" t="str">
        <f>+INDEX($B$31:$B$50,MATCH(T81,$M$31:$M$50,0),1)</f>
        <v>C</v>
      </c>
      <c r="T81" s="343">
        <f>+LARGE($M$31:$M$50,3)</f>
        <v>33711</v>
      </c>
      <c r="U81" s="457" t="str">
        <f>+INDEX($B$31:$B$50,MATCH(V81,$N$31:$N$50,0),1)</f>
        <v>C</v>
      </c>
      <c r="V81" s="343">
        <f>+LARGE($N$31:$N$50,3)</f>
        <v>34690</v>
      </c>
      <c r="X81" s="454">
        <f>+V81/$BD$5</f>
        <v>0.10427343747651668</v>
      </c>
      <c r="Y81" s="460">
        <f t="shared" si="11"/>
        <v>0.1066085588873885</v>
      </c>
      <c r="Z81" s="461" t="str">
        <f t="shared" si="12"/>
        <v>I</v>
      </c>
    </row>
    <row r="82" spans="1:26">
      <c r="A82" s="342" t="str">
        <f>+INDEX($B$31:$B$50,MATCH(B82,$D$31:$D$50,0),1)</f>
        <v>F</v>
      </c>
      <c r="B82" s="343">
        <f>+LARGE($D$31:$D$50,4)</f>
        <v>30934</v>
      </c>
      <c r="C82" s="342" t="str">
        <f>+INDEX($B$31:$B$50,MATCH(D82,$E$31:$E$50,0),1)</f>
        <v>F</v>
      </c>
      <c r="D82" s="343">
        <f>+LARGE($E$31:$E$50,4)</f>
        <v>28828</v>
      </c>
      <c r="E82" s="342" t="str">
        <f>+INDEX($B$31:$B$50,MATCH(F82,$F$31:$F$50,0),1)</f>
        <v>F</v>
      </c>
      <c r="F82" s="343">
        <f>+LARGE($F$31:$F$50,4)</f>
        <v>28421</v>
      </c>
      <c r="G82" s="342" t="str">
        <f>+INDEX($B$31:$B$50,MATCH(H82,$G$31:$G$50,0),1)</f>
        <v>F</v>
      </c>
      <c r="H82" s="343">
        <f>+LARGE($G$31:$G$50,4)</f>
        <v>28140</v>
      </c>
      <c r="I82" s="342" t="str">
        <f>+INDEX($B$31:$B$50,MATCH(J82,$H$31:$H$50,0),1)</f>
        <v>F</v>
      </c>
      <c r="J82" s="343">
        <f>+LARGE($H$31:$H$50,4)</f>
        <v>28678</v>
      </c>
      <c r="K82" s="342" t="str">
        <f>+INDEX($B$31:$B$50,MATCH(L82,$I$31:$I$50,0),1)</f>
        <v>F</v>
      </c>
      <c r="L82" s="343">
        <f>+LARGE($I$31:$I$50,4)</f>
        <v>29363</v>
      </c>
      <c r="M82" s="342" t="str">
        <f>+INDEX($B$31:$B$50,MATCH(N82,$J$31:$J$50,0),1)</f>
        <v>F</v>
      </c>
      <c r="N82" s="343">
        <f>+LARGE($J$31:$J$50,4)</f>
        <v>30329</v>
      </c>
      <c r="O82" s="342" t="str">
        <f>+INDEX($B$31:$B$50,MATCH(P82,$K$31:$K$50,0),1)</f>
        <v>F</v>
      </c>
      <c r="P82" s="343">
        <f>+LARGE($K$31:$K$50,4)</f>
        <v>30816</v>
      </c>
      <c r="Q82" s="342" t="str">
        <f>+INDEX($B$31:$B$50,MATCH(R82,$L$31:$L$50,0),1)</f>
        <v>F</v>
      </c>
      <c r="R82" s="343">
        <f>+LARGE($L$31:$L$50,4)</f>
        <v>32069</v>
      </c>
      <c r="S82" s="342" t="str">
        <f>+INDEX($B$31:$B$50,MATCH(T82,$M$31:$M$50,0),1)</f>
        <v>F</v>
      </c>
      <c r="T82" s="343">
        <f>+LARGE($M$31:$M$50,4)</f>
        <v>32036</v>
      </c>
      <c r="U82" s="342" t="str">
        <f>+INDEX($B$31:$B$50,MATCH(V82,$N$31:$N$50,0),1)</f>
        <v>F</v>
      </c>
      <c r="V82" s="343">
        <f>+LARGE($N$31:$N$50,4)</f>
        <v>34322</v>
      </c>
      <c r="X82" s="347">
        <f>+V82/$BD$5</f>
        <v>0.10316727936203533</v>
      </c>
      <c r="Y82" s="462">
        <f t="shared" si="11"/>
        <v>9.6918011009565222E-2</v>
      </c>
      <c r="Z82" s="463" t="str">
        <f t="shared" si="12"/>
        <v>F</v>
      </c>
    </row>
    <row r="83" spans="1:26" ht="13.5" thickBot="1">
      <c r="A83" s="342" t="str">
        <f>+INDEX($B$31:$B$50,MATCH(B83,$D$31:$D$50,0),1)</f>
        <v>M</v>
      </c>
      <c r="B83" s="343">
        <f>+LARGE($D$31:$D$50,5)</f>
        <v>21694</v>
      </c>
      <c r="C83" s="342" t="str">
        <f>+INDEX($B$31:$B$50,MATCH(D83,$E$31:$E$50,0),1)</f>
        <v>M</v>
      </c>
      <c r="D83" s="343">
        <f>+LARGE($E$31:$E$50,5)</f>
        <v>21901</v>
      </c>
      <c r="E83" s="342" t="str">
        <f>+INDEX($B$31:$B$50,MATCH(F83,$F$31:$F$50,0),1)</f>
        <v>M</v>
      </c>
      <c r="F83" s="343">
        <f>+LARGE($F$31:$F$50,5)</f>
        <v>22569</v>
      </c>
      <c r="G83" s="342" t="str">
        <f>+INDEX($B$31:$B$50,MATCH(H83,$G$31:$G$50,0),1)</f>
        <v>M</v>
      </c>
      <c r="H83" s="343">
        <f>+LARGE($G$31:$G$50,5)</f>
        <v>22865</v>
      </c>
      <c r="I83" s="342" t="str">
        <f>+INDEX($B$31:$B$50,MATCH(J83,$H$31:$H$50,0),1)</f>
        <v>M</v>
      </c>
      <c r="J83" s="343">
        <f>+LARGE($H$31:$H$50,5)</f>
        <v>23189</v>
      </c>
      <c r="K83" s="342" t="str">
        <f>+INDEX($B$31:$B$50,MATCH(L83,$I$31:$I$50,0),1)</f>
        <v>M</v>
      </c>
      <c r="L83" s="343">
        <f>+LARGE($I$31:$I$50,5)</f>
        <v>23749</v>
      </c>
      <c r="M83" s="342" t="str">
        <f>+INDEX($B$31:$B$50,MATCH(N83,$J$31:$J$50,0),1)</f>
        <v>M</v>
      </c>
      <c r="N83" s="343">
        <f>+LARGE($J$31:$J$50,5)</f>
        <v>24467</v>
      </c>
      <c r="O83" s="342" t="str">
        <f>+INDEX($B$31:$B$50,MATCH(P83,$K$31:$K$50,0),1)</f>
        <v>M</v>
      </c>
      <c r="P83" s="343">
        <f>+LARGE($K$31:$K$50,5)</f>
        <v>24250</v>
      </c>
      <c r="Q83" s="342" t="str">
        <f>+INDEX($B$31:$B$50,MATCH(R83,$L$31:$L$50,0),1)</f>
        <v>M</v>
      </c>
      <c r="R83" s="343">
        <f>+LARGE($L$31:$L$50,5)</f>
        <v>24826</v>
      </c>
      <c r="S83" s="342" t="str">
        <f>+INDEX($B$31:$B$50,MATCH(T83,$M$31:$M$50,0),1)</f>
        <v>M</v>
      </c>
      <c r="T83" s="343">
        <f>+LARGE($M$31:$M$50,5)</f>
        <v>24675</v>
      </c>
      <c r="U83" s="342" t="str">
        <f>+INDEX($B$31:$B$50,MATCH(V83,$N$31:$N$50,0),1)</f>
        <v>M</v>
      </c>
      <c r="V83" s="343">
        <f>+LARGE($N$31:$N$50,5)</f>
        <v>25874</v>
      </c>
      <c r="X83" s="347">
        <f>+V83/$BD$5</f>
        <v>7.7773736560028617E-2</v>
      </c>
      <c r="Y83" s="464">
        <f t="shared" si="11"/>
        <v>6.7968556631586866E-2</v>
      </c>
      <c r="Z83" s="465" t="str">
        <f t="shared" si="12"/>
        <v>M</v>
      </c>
    </row>
    <row r="84" spans="1:26">
      <c r="B84" s="347">
        <f>B79/$AT$5</f>
        <v>0.30029732718836255</v>
      </c>
    </row>
    <row r="85" spans="1:26">
      <c r="B85" s="347">
        <f t="shared" ref="B85:B86" si="13">B80/$AT$5</f>
        <v>0.11434721173518142</v>
      </c>
    </row>
    <row r="86" spans="1:26">
      <c r="B86" s="347">
        <f t="shared" si="13"/>
        <v>0.1066085588873885</v>
      </c>
    </row>
    <row r="88" spans="1:26">
      <c r="R88" s="335" t="s">
        <v>500</v>
      </c>
    </row>
    <row r="89" spans="1:26">
      <c r="A89" s="334" t="s">
        <v>280</v>
      </c>
      <c r="D89" s="335">
        <f>+D6</f>
        <v>2012</v>
      </c>
      <c r="E89" s="335">
        <f t="shared" ref="E89:N89" si="14">+E6</f>
        <v>2013</v>
      </c>
      <c r="F89" s="335">
        <f t="shared" si="14"/>
        <v>2014</v>
      </c>
      <c r="G89" s="335">
        <f t="shared" si="14"/>
        <v>2015</v>
      </c>
      <c r="H89" s="335">
        <f t="shared" si="14"/>
        <v>2016</v>
      </c>
      <c r="I89" s="335">
        <f t="shared" si="14"/>
        <v>2017</v>
      </c>
      <c r="J89" s="335">
        <f t="shared" si="14"/>
        <v>2018</v>
      </c>
      <c r="K89" s="335">
        <f t="shared" si="14"/>
        <v>2019</v>
      </c>
      <c r="L89" s="335">
        <f t="shared" si="14"/>
        <v>2020</v>
      </c>
      <c r="M89" s="335">
        <f t="shared" si="14"/>
        <v>2021</v>
      </c>
      <c r="N89" s="335">
        <f t="shared" si="14"/>
        <v>2022</v>
      </c>
      <c r="R89" s="335" t="s">
        <v>327</v>
      </c>
    </row>
    <row r="90" spans="1:26">
      <c r="B90" s="334" t="str">
        <f>+B27</f>
        <v>Micro (1-9 pessoas)</v>
      </c>
      <c r="C90" s="334"/>
      <c r="D90">
        <f>+'q2'!$B$6+'q2'!$B$7</f>
        <v>227936</v>
      </c>
      <c r="E90">
        <f>+'q2'!$C$6+'q2'!$C$7</f>
        <v>226260</v>
      </c>
      <c r="F90">
        <f>+'q2'!$D$6+'q2'!$D$7</f>
        <v>229443</v>
      </c>
      <c r="G90">
        <f>+'q2'!$E$6+'q2'!$E$7</f>
        <v>231010</v>
      </c>
      <c r="H90">
        <f>+'q2'!$F$6+'q2'!$F$7</f>
        <v>233017</v>
      </c>
      <c r="I90">
        <f>+'q2'!$G$6+'q2'!$G$7</f>
        <v>233890</v>
      </c>
      <c r="J90">
        <f>+'q2'!$H$6+'q2'!$H$7</f>
        <v>235060</v>
      </c>
      <c r="K90">
        <f>+'q2'!$I$6+'q2'!$I$7</f>
        <v>227923</v>
      </c>
      <c r="L90">
        <f>+'q2'!$J$6+'q2'!$J$7</f>
        <v>230042</v>
      </c>
      <c r="M90">
        <f>+'q2'!$K$6+'q2'!$K$7</f>
        <v>224301</v>
      </c>
      <c r="N90">
        <f>+'q2'!$L$6+'q2'!$L$7</f>
        <v>233783</v>
      </c>
      <c r="R90" s="335" t="s">
        <v>276</v>
      </c>
      <c r="W90" s="335" t="s">
        <v>277</v>
      </c>
    </row>
    <row r="91" spans="1:26">
      <c r="B91" s="334" t="str">
        <f t="shared" ref="B91:B93" si="15">+B28</f>
        <v>Pequenas (10 - 49 pessoas)</v>
      </c>
      <c r="C91" s="334"/>
      <c r="D91">
        <f>+'q2'!$B$8+'q2'!$B$9</f>
        <v>32460</v>
      </c>
      <c r="E91">
        <f>+'q2'!$C$8+'q2'!$C$9</f>
        <v>31941</v>
      </c>
      <c r="F91">
        <f>+'q2'!$D$8+'q2'!$D$9</f>
        <v>32961</v>
      </c>
      <c r="G91">
        <f>+'q2'!$E$8+'q2'!$E$9</f>
        <v>34146</v>
      </c>
      <c r="H91">
        <f>+'q2'!$F$8+'q2'!$F$9</f>
        <v>35096</v>
      </c>
      <c r="I91">
        <f>+'q2'!$G$8+'q2'!$G$9</f>
        <v>36761</v>
      </c>
      <c r="J91">
        <f>+'q2'!$H$8+'q2'!$H$9</f>
        <v>38306</v>
      </c>
      <c r="K91">
        <f>+'q2'!$I$8+'q2'!$I$9</f>
        <v>38760</v>
      </c>
      <c r="L91">
        <f>+'q2'!$J$8+'q2'!$J$9</f>
        <v>38234</v>
      </c>
      <c r="M91">
        <f>+'q2'!$K$8+'q2'!$K$9</f>
        <v>38248</v>
      </c>
      <c r="N91">
        <f>+'q2'!$L$8+'q2'!$L$9</f>
        <v>41070</v>
      </c>
      <c r="R91" t="str">
        <f>+$D$89&amp;" - "&amp;$N$89&amp;":"</f>
        <v>2012 - 2022:</v>
      </c>
      <c r="W91" t="str">
        <f>+$D$89&amp;" - "&amp;$N$89&amp;":"</f>
        <v>2012 - 2022:</v>
      </c>
    </row>
    <row r="92" spans="1:26">
      <c r="B92" s="334" t="str">
        <f t="shared" si="15"/>
        <v>Médias (50 - 249 pessoas)</v>
      </c>
      <c r="C92" s="334"/>
      <c r="D92">
        <f>+'q2'!$B$10+'q2'!$B$11+'q2'!$B$12+'q2'!$B$13</f>
        <v>5385</v>
      </c>
      <c r="E92">
        <f>+'q2'!$C$10+'q2'!$C$11+'q2'!$C$12+'q2'!$C$13</f>
        <v>5440</v>
      </c>
      <c r="F92">
        <f>+'q2'!$D$10+'q2'!$D$11+'q2'!$D$12+'q2'!$D$13</f>
        <v>5596</v>
      </c>
      <c r="G92">
        <f>+'q2'!$E$10+'q2'!$E$11+'q2'!$E$12+'q2'!$E$13</f>
        <v>5749</v>
      </c>
      <c r="H92">
        <f>+'q2'!$F$10+'q2'!$F$11+'q2'!$F$12+'q2'!$F$13</f>
        <v>5981</v>
      </c>
      <c r="I92">
        <f>+'q2'!$G$10+'q2'!$G$11+'q2'!$G$12+'q2'!$G$13</f>
        <v>6271</v>
      </c>
      <c r="J92">
        <f>+'q2'!$H$10+'q2'!$H$11+'q2'!$H$12+'q2'!$H$13</f>
        <v>6560</v>
      </c>
      <c r="K92">
        <f>+'q2'!$I$10+'q2'!$I$11+'q2'!$I$12+'q2'!$I$13</f>
        <v>6679</v>
      </c>
      <c r="L92">
        <f>+'q2'!$J$10+'q2'!$J$11+'q2'!$J$12+'q2'!$J$13</f>
        <v>6566</v>
      </c>
      <c r="M92">
        <f>+'q2'!$K$10+'q2'!$K$11+'q2'!$K$12+'q2'!$K$13</f>
        <v>6728</v>
      </c>
      <c r="N92">
        <f>+'q2'!$L$10+'q2'!$L$11+'q2'!$L$12+'q2'!$L$13</f>
        <v>7348</v>
      </c>
      <c r="Q92" t="str">
        <f>+LEFT($B$90,FIND(" ",$B$90,1))</f>
        <v xml:space="preserve">Micro </v>
      </c>
      <c r="R92" t="str">
        <f>+Q92&amp;"e "&amp;Q93&amp;R90&amp;" representam cerca de "</f>
        <v xml:space="preserve">Micro e Pequenas empresas representam cerca de </v>
      </c>
      <c r="V92" t="str">
        <f>+LEFT($B$105,FIND(" ",$B$90,1))</f>
        <v xml:space="preserve">Micro </v>
      </c>
      <c r="W92" t="str">
        <f>+V92&amp;"e "&amp;V93&amp;W90&amp;" representam cerca de "</f>
        <v xml:space="preserve">Micro e Pequenos estabelecimentos representam cerca de </v>
      </c>
    </row>
    <row r="93" spans="1:26">
      <c r="B93" s="334" t="str">
        <f t="shared" si="15"/>
        <v>Grandes (250 ou + pessoas)</v>
      </c>
      <c r="C93" s="334"/>
      <c r="D93">
        <f>+'q2'!$B$14+'q2'!$B$15+'q2'!$B$16</f>
        <v>806</v>
      </c>
      <c r="E93">
        <f>+'q2'!$C$14+'q2'!$C$15+'q2'!$C$16</f>
        <v>798</v>
      </c>
      <c r="F93">
        <f>+'q2'!$D$14+'q2'!$D$15+'q2'!$D$16</f>
        <v>813</v>
      </c>
      <c r="G93">
        <f>+'q2'!$E$14+'q2'!$E$15+'q2'!$E$16</f>
        <v>847</v>
      </c>
      <c r="H93">
        <f>+'q2'!$F$14+'q2'!$F$15+'q2'!$F$16</f>
        <v>902</v>
      </c>
      <c r="I93">
        <f>+'q2'!$G$14+'q2'!$G$15+'q2'!$G$16</f>
        <v>958</v>
      </c>
      <c r="J93">
        <f>+'q2'!$H$14+'q2'!$H$15+'q2'!$H$16</f>
        <v>1011</v>
      </c>
      <c r="K93">
        <f>+'q2'!$I$14+'q2'!$I$15+'q2'!$I$16</f>
        <v>1055</v>
      </c>
      <c r="L93">
        <f>+'q2'!$J$14+'q2'!$J$15+'q2'!$J$16</f>
        <v>1019</v>
      </c>
      <c r="M93">
        <f>+'q2'!$K$14+'q2'!$K$15+'q2'!$K$16</f>
        <v>1033</v>
      </c>
      <c r="N93">
        <f>+'q2'!$L$14+'q2'!$L$15+'q2'!$L$16</f>
        <v>1136</v>
      </c>
      <c r="Q93" t="str">
        <f>+LEFT($B$91,FIND(" ",$B$91,1))</f>
        <v xml:space="preserve">Pequenas </v>
      </c>
      <c r="R93" t="str">
        <f>+TEXT($P$100,"##.###%")</f>
        <v>97%</v>
      </c>
      <c r="S93" t="s">
        <v>553</v>
      </c>
      <c r="V93" t="str">
        <f>+LEFT($B$106,FIND(" ",$B$91,1))</f>
        <v xml:space="preserve">Pequenos </v>
      </c>
      <c r="W93" t="str">
        <f>+TEXT(P115,"##.###%")</f>
        <v>97%</v>
      </c>
      <c r="X93" t="s">
        <v>553</v>
      </c>
    </row>
    <row r="94" spans="1:26">
      <c r="R94" t="str">
        <f>+$Q$92&amp;$R$90&amp;" "&amp;$Q$95&amp;": entre "</f>
        <v xml:space="preserve">Micro empresas (1-9 pessoas): entre </v>
      </c>
      <c r="W94" t="str">
        <f>+$V$92&amp;$W$90&amp;" "&amp;$V$95&amp;": entre "</f>
        <v xml:space="preserve">Micro estabelecimentos (1-9 pessoas): entre </v>
      </c>
    </row>
    <row r="95" spans="1:26">
      <c r="D95" s="347">
        <f>+D90/$AT$4</f>
        <v>0.85042495877265634</v>
      </c>
      <c r="E95" s="347">
        <f>+E90/$AU$4</f>
        <v>0.85104942450914012</v>
      </c>
      <c r="F95" s="347">
        <f>+F90/$AV$4</f>
        <v>0.84921959723296603</v>
      </c>
      <c r="G95" s="347">
        <f>+G90/$AW$4</f>
        <v>0.84600454112649237</v>
      </c>
      <c r="H95" s="347">
        <f>+H90/$AX$4</f>
        <v>0.84325014837224788</v>
      </c>
      <c r="I95" s="347">
        <f>+I90/$AY$4</f>
        <v>0.83774190428774564</v>
      </c>
      <c r="J95" s="347">
        <f>+J90/$AZ$4</f>
        <v>0.83284910500432263</v>
      </c>
      <c r="K95" s="347">
        <f>+K90/$BA$4</f>
        <v>0.82655366616984161</v>
      </c>
      <c r="L95" s="347">
        <f>+L90/$BB$4</f>
        <v>0.82855918254148342</v>
      </c>
      <c r="M95" s="347">
        <f>+M90/$BC$4</f>
        <v>0.82522460872828418</v>
      </c>
      <c r="N95" s="347">
        <f>+N90/$BD$4</f>
        <v>0.82069437618479257</v>
      </c>
      <c r="Q95" t="str">
        <f>+RIGHT($B$90,13)</f>
        <v>(1-9 pessoas)</v>
      </c>
      <c r="R95">
        <f>+SMALL($D$95:$N$95,1)</f>
        <v>0.82069437618479257</v>
      </c>
      <c r="S95" t="str">
        <f>+TEXT(R95,"##.###,0%")</f>
        <v>82,1%</v>
      </c>
      <c r="T95" t="s">
        <v>554</v>
      </c>
      <c r="V95" t="str">
        <f>+RIGHT($B$105,13)</f>
        <v>(1-9 pessoas)</v>
      </c>
      <c r="W95">
        <f>+SMALL($D$110:$N$110,1)</f>
        <v>0.8177814916902878</v>
      </c>
      <c r="X95" t="str">
        <f>+TEXT(W95,"##.###,0%")</f>
        <v>81,8%</v>
      </c>
      <c r="Y95" t="s">
        <v>554</v>
      </c>
    </row>
    <row r="96" spans="1:26">
      <c r="D96" s="347">
        <f>+D91/$AT$4</f>
        <v>0.1211076537350854</v>
      </c>
      <c r="E96" s="347">
        <f>+E91/$AU$4</f>
        <v>0.12014218009478674</v>
      </c>
      <c r="F96" s="347">
        <f>+F91/$AV$4</f>
        <v>0.12199599527724007</v>
      </c>
      <c r="G96" s="347">
        <f>+G91/$AW$4</f>
        <v>0.12504943968358603</v>
      </c>
      <c r="H96" s="347">
        <f>+H91/$AX$4</f>
        <v>0.12700664418163657</v>
      </c>
      <c r="I96" s="347">
        <f>+I91/$AY$4</f>
        <v>0.1316697171470427</v>
      </c>
      <c r="J96" s="347">
        <f>+J91/$AZ$4</f>
        <v>0.1357232953981774</v>
      </c>
      <c r="K96" s="347">
        <f>+K91/$BA$4</f>
        <v>0.14056159361162787</v>
      </c>
      <c r="L96" s="347">
        <f>+L91/$BB$4</f>
        <v>0.13771020850666868</v>
      </c>
      <c r="M96" s="347">
        <f>+M91/$BC$4</f>
        <v>0.14071801211157958</v>
      </c>
      <c r="N96" s="347">
        <f>+N91/$BD$4</f>
        <v>0.1441760864986309</v>
      </c>
      <c r="Q96" t="str">
        <f>+RIGHT($B$91,17)</f>
        <v>(10 - 49 pessoas)</v>
      </c>
      <c r="R96">
        <f>+LARGE($D$95:$N$95,1)</f>
        <v>0.85104942450914012</v>
      </c>
      <c r="S96" t="str">
        <f>+TEXT(R96,"##.###,0%")</f>
        <v>85,1%</v>
      </c>
      <c r="T96" t="s">
        <v>552</v>
      </c>
      <c r="V96" t="str">
        <f>+RIGHT($B$106,17)</f>
        <v>(10 - 49 pessoas)</v>
      </c>
      <c r="W96">
        <f>+LARGE($D$110:$N$110,1)</f>
        <v>0.85311284961009093</v>
      </c>
      <c r="X96" t="str">
        <f>+TEXT(W96,"##.###,0%")</f>
        <v>85,3%</v>
      </c>
      <c r="Y96" t="s">
        <v>552</v>
      </c>
    </row>
    <row r="97" spans="1:25">
      <c r="D97" s="347">
        <f>+D92/$AT$4</f>
        <v>2.0091334422779879E-2</v>
      </c>
      <c r="E97" s="347">
        <f>+E92/$AU$4</f>
        <v>2.0461897239148423E-2</v>
      </c>
      <c r="F97" s="347">
        <f>+F92/$AV$4</f>
        <v>2.0712041187204135E-2</v>
      </c>
      <c r="G97" s="347">
        <f>+G92/$AW$4</f>
        <v>2.1053980810078372E-2</v>
      </c>
      <c r="H97" s="347">
        <f>+H92/$AX$4</f>
        <v>2.1644254013288362E-2</v>
      </c>
      <c r="I97" s="347">
        <f>+I92/$AY$4</f>
        <v>2.2461325759068163E-2</v>
      </c>
      <c r="J97" s="347">
        <f>+J92/$AZ$4</f>
        <v>2.3242959792514065E-2</v>
      </c>
      <c r="K97" s="347">
        <f>+K92/$BA$4</f>
        <v>2.4221127031270967E-2</v>
      </c>
      <c r="L97" s="347">
        <f>+L92/$BB$4</f>
        <v>2.364924488818294E-2</v>
      </c>
      <c r="M97" s="347">
        <f>+M92/$BC$4</f>
        <v>2.4752948794360685E-2</v>
      </c>
      <c r="N97" s="347">
        <f>+N92/$BD$4</f>
        <v>2.5795127431018746E-2</v>
      </c>
      <c r="R97" t="str">
        <f>+$Q$93&amp;$R$90&amp;" "&amp;$Q$96&amp;": entre "</f>
        <v xml:space="preserve">Pequenas empresas (10 - 49 pessoas): entre </v>
      </c>
      <c r="W97" t="str">
        <f>+$V$93&amp;$W$90&amp;" "&amp;$V$96&amp;": entre "</f>
        <v xml:space="preserve">Pequenos estabelecimentos (10 - 49 pessoas): entre </v>
      </c>
    </row>
    <row r="98" spans="1:25">
      <c r="D98" s="347">
        <f>+D93/$AT$4</f>
        <v>3.0071709461022438E-3</v>
      </c>
      <c r="E98" s="347">
        <f>+E93/$AU$4</f>
        <v>3.0015797788309636E-3</v>
      </c>
      <c r="F98" s="347">
        <f>+F93/$AV$4</f>
        <v>3.0090939037163977E-3</v>
      </c>
      <c r="G98" s="347">
        <f>+G93/$AW$4</f>
        <v>3.1018823701750532E-3</v>
      </c>
      <c r="H98" s="347">
        <f>+H93/$AX$4</f>
        <v>3.2641894532663609E-3</v>
      </c>
      <c r="I98" s="347">
        <f>+I93/$AY$4</f>
        <v>3.4313427008750281E-3</v>
      </c>
      <c r="J98" s="347">
        <f>+J93/$AZ$4</f>
        <v>3.5821085899743477E-3</v>
      </c>
      <c r="K98" s="347">
        <f>+K93/$BA$4</f>
        <v>3.8259154091916259E-3</v>
      </c>
      <c r="L98" s="347">
        <f>+L93/$BB$4</f>
        <v>3.6702072100302189E-3</v>
      </c>
      <c r="M98" s="347">
        <f>+M93/$BC$4</f>
        <v>3.8005047717857591E-3</v>
      </c>
      <c r="N98" s="347">
        <f>+N93/$BD$4</f>
        <v>3.9879238924383905E-3</v>
      </c>
      <c r="R98">
        <f>+SMALL($D$96:$N$96,1)</f>
        <v>0.12014218009478674</v>
      </c>
      <c r="S98" t="str">
        <f>+TEXT(R98,"##.###,0%")</f>
        <v>12,0%</v>
      </c>
      <c r="T98" t="s">
        <v>554</v>
      </c>
      <c r="W98">
        <f>+SMALL($D$111:$N$111,1)</f>
        <v>0.1207919723780751</v>
      </c>
      <c r="X98" t="str">
        <f>+TEXT(W98,"##.###,0%")</f>
        <v>12,1%</v>
      </c>
      <c r="Y98" t="s">
        <v>554</v>
      </c>
    </row>
    <row r="99" spans="1:25">
      <c r="R99">
        <f>+LARGE($D$96:$N$96,1)</f>
        <v>0.1441760864986309</v>
      </c>
      <c r="S99" t="str">
        <f>+TEXT(R99,"##.###,0%")</f>
        <v>14,4%</v>
      </c>
      <c r="W99">
        <f>+LARGE($D$111:$N$111,1)</f>
        <v>0.14945458589708521</v>
      </c>
      <c r="X99" t="str">
        <f>+TEXT(W99,"##.###,0%")</f>
        <v>14,9%</v>
      </c>
    </row>
    <row r="100" spans="1:25">
      <c r="D100" s="347">
        <f>+D95+D96</f>
        <v>0.9715326125077417</v>
      </c>
      <c r="E100" s="347">
        <f t="shared" ref="E100:N100" si="16">+E95+E96</f>
        <v>0.97119160460392684</v>
      </c>
      <c r="F100" s="347">
        <f t="shared" si="16"/>
        <v>0.97121559251020606</v>
      </c>
      <c r="G100" s="347">
        <f t="shared" si="16"/>
        <v>0.97105398081007843</v>
      </c>
      <c r="H100" s="347">
        <f t="shared" si="16"/>
        <v>0.97025679255388442</v>
      </c>
      <c r="I100" s="347">
        <f t="shared" si="16"/>
        <v>0.96941162143478832</v>
      </c>
      <c r="J100" s="347">
        <f t="shared" si="16"/>
        <v>0.96857240040250003</v>
      </c>
      <c r="K100" s="347">
        <f t="shared" si="16"/>
        <v>0.96711525978146951</v>
      </c>
      <c r="L100" s="347">
        <f t="shared" si="16"/>
        <v>0.96626939104815213</v>
      </c>
      <c r="M100" s="347">
        <f t="shared" si="16"/>
        <v>0.96594262083986382</v>
      </c>
      <c r="N100" s="347">
        <f t="shared" si="16"/>
        <v>0.96487046268342347</v>
      </c>
      <c r="O100" s="370">
        <f>+(N100-D100)*100</f>
        <v>-0.66621498243182309</v>
      </c>
      <c r="P100" s="468">
        <f>+AVERAGE(D100:N100)</f>
        <v>0.96885748537963934</v>
      </c>
    </row>
    <row r="103" spans="1:25">
      <c r="R103" t="s">
        <v>280</v>
      </c>
    </row>
    <row r="104" spans="1:25">
      <c r="A104" s="334" t="s">
        <v>264</v>
      </c>
      <c r="R104" t="str">
        <f>+R91&amp;CHAR(10)&amp;R92&amp;R93&amp;S93&amp;CHAR(10)&amp;R94&amp;S95&amp;T95&amp;S96&amp;T96&amp;CHAR(10)&amp;R97&amp;S97&amp;S98&amp;T98&amp;S99&amp;"."</f>
        <v>2012 - 2022:
Micro e Pequenas empresas representam cerca de 97% das estruturas;
Micro empresas (1-9 pessoas): entre 82,1% e 85,1%;
Pequenas empresas (10 - 49 pessoas): entre 12,0% e 14,4%.</v>
      </c>
    </row>
    <row r="105" spans="1:25">
      <c r="B105" s="334" t="str">
        <f>+B51</f>
        <v>Micro (1-9 pessoas)</v>
      </c>
      <c r="C105" s="334"/>
      <c r="D105">
        <f>+'q5'!$B$6+'q5'!$B$7</f>
        <v>272294</v>
      </c>
      <c r="E105">
        <f>+'q5'!$C$6+'q5'!$C$7</f>
        <v>268798</v>
      </c>
      <c r="F105">
        <f>+'q5'!$D$6+'q5'!$D$7</f>
        <v>271147</v>
      </c>
      <c r="G105">
        <f>+'q5'!$E$6+'q5'!$E$7</f>
        <v>272301</v>
      </c>
      <c r="H105">
        <f>+'q5'!$F$6+'q5'!$F$7</f>
        <v>273993</v>
      </c>
      <c r="I105">
        <f>+'q5'!$G$6+'q5'!$G$7</f>
        <v>274084</v>
      </c>
      <c r="J105">
        <f>+'q5'!$H$6+'q5'!$H$7</f>
        <v>275129</v>
      </c>
      <c r="K105">
        <f>+'q5'!$I$6+'q5'!$I$7</f>
        <v>266320</v>
      </c>
      <c r="L105">
        <f>+'q5'!$J$6+'q5'!$J$7</f>
        <v>268913</v>
      </c>
      <c r="M105">
        <f>+'q5'!$K$6+'q5'!$K$7</f>
        <v>262011</v>
      </c>
      <c r="N105">
        <f>+'q5'!$L$6+'q5'!$L$7</f>
        <v>272062</v>
      </c>
    </row>
    <row r="106" spans="1:25">
      <c r="B106" s="334" t="str">
        <f t="shared" ref="B106:B108" si="17">+B52</f>
        <v>Pequenos (10 - 49 pessoas)</v>
      </c>
      <c r="C106" s="334"/>
      <c r="D106">
        <f>+'q5'!$B$8+'q5'!$B$9</f>
        <v>38574</v>
      </c>
      <c r="E106">
        <f>+'q5'!$C$8+'q5'!$C$9</f>
        <v>38063</v>
      </c>
      <c r="F106">
        <f>+'q5'!$D$8+'q5'!$D$9</f>
        <v>39365</v>
      </c>
      <c r="G106">
        <f>+'q5'!$E$8+'q5'!$E$9</f>
        <v>40661</v>
      </c>
      <c r="H106">
        <f>+'q5'!$F$8+'q5'!$F$9</f>
        <v>42031</v>
      </c>
      <c r="I106">
        <f>+'q5'!$G$8+'q5'!$G$9</f>
        <v>43973</v>
      </c>
      <c r="J106">
        <f>+'q5'!$H$8+'q5'!$H$9</f>
        <v>45897</v>
      </c>
      <c r="K106">
        <f>+'q5'!$I$8+'q5'!$I$9</f>
        <v>46757</v>
      </c>
      <c r="L106">
        <f>+'q5'!$J$8+'q5'!$J$9</f>
        <v>45757</v>
      </c>
      <c r="M106">
        <f>+'q5'!$K$8+'q5'!$K$9</f>
        <v>46152</v>
      </c>
      <c r="N106">
        <f>+'q5'!$L$8+'q5'!$L$9</f>
        <v>49721</v>
      </c>
      <c r="R106" t="s">
        <v>264</v>
      </c>
    </row>
    <row r="107" spans="1:25">
      <c r="B107" s="334" t="str">
        <f t="shared" si="17"/>
        <v>Médios (50 - 249 pessoas)</v>
      </c>
      <c r="C107" s="334"/>
      <c r="D107">
        <f>+'q5'!$B$10+'q5'!$B$11+'q5'!$B$12+'q5'!$B$13</f>
        <v>5864</v>
      </c>
      <c r="E107">
        <f>+'q5'!$C$10+'q5'!$C$11+'q5'!$C$12+'q5'!$C$13</f>
        <v>5864</v>
      </c>
      <c r="F107">
        <f>+'q5'!$D$10+'q5'!$D$11+'q5'!$D$12+'q5'!$D$13</f>
        <v>6032</v>
      </c>
      <c r="G107">
        <f>+'q5'!$E$10+'q5'!$E$11+'q5'!$E$12+'q5'!$E$13</f>
        <v>6244</v>
      </c>
      <c r="H107">
        <f>+'q5'!$F$10+'q5'!$F$11+'q5'!$F$12+'q5'!$F$13</f>
        <v>6541</v>
      </c>
      <c r="I107">
        <f>+'q5'!$G$10+'q5'!$G$11+'q5'!$G$12+'q5'!$G$13</f>
        <v>6822</v>
      </c>
      <c r="J107">
        <f>+'q5'!$H$10+'q5'!$H$11+'q5'!$H$12+'q5'!$H$13</f>
        <v>7206</v>
      </c>
      <c r="K107">
        <f>+'q5'!$I$10+'q5'!$I$11+'q5'!$I$12+'q5'!$I$13</f>
        <v>7384</v>
      </c>
      <c r="L107">
        <f>+'q5'!$J$10+'q5'!$J$11+'q5'!$J$12+'q5'!$J$13</f>
        <v>7265</v>
      </c>
      <c r="M107">
        <f>+'q5'!$K$10+'q5'!$K$11+'q5'!$K$12+'q5'!$K$13</f>
        <v>7437</v>
      </c>
      <c r="N107">
        <f>+'q5'!$L$10+'q5'!$L$11+'q5'!$L$12+'q5'!$L$13</f>
        <v>8143</v>
      </c>
      <c r="R107" t="str">
        <f>+W91&amp;CHAR(10)&amp;W92&amp;W93&amp;X93&amp;CHAR(10)&amp;W94&amp;X95&amp;Y95&amp;X96&amp;Y96&amp;CHAR(10)&amp;W97&amp;X98&amp;Y98&amp;X99&amp;"."</f>
        <v>2012 - 2022:
Micro e Pequenos estabelecimentos representam cerca de 97% das estruturas;
Micro estabelecimentos (1-9 pessoas): entre 81,8% e 85,3%;
Pequenos estabelecimentos (10 - 49 pessoas): entre 12,1% e 14,9%.</v>
      </c>
    </row>
    <row r="108" spans="1:25">
      <c r="B108" s="334" t="str">
        <f t="shared" si="17"/>
        <v>Grandes (250 ou + pessoas)</v>
      </c>
      <c r="C108" s="334"/>
      <c r="D108">
        <f>+'q5'!$B$14+'q5'!$B$15+'q5'!$B$16</f>
        <v>708</v>
      </c>
      <c r="E108">
        <f>+'q5'!$C$14+'q5'!$C$15+'q5'!$C$16</f>
        <v>714</v>
      </c>
      <c r="F108">
        <f>+'q5'!$D$14+'q5'!$D$15+'q5'!$D$16</f>
        <v>722</v>
      </c>
      <c r="G108">
        <f>+'q5'!$E$14+'q5'!$E$15+'q5'!$E$16</f>
        <v>759</v>
      </c>
      <c r="H108">
        <f>+'q5'!$F$14+'q5'!$F$15+'q5'!$F$16</f>
        <v>804</v>
      </c>
      <c r="I108">
        <f>+'q5'!$G$14+'q5'!$G$15+'q5'!$G$16</f>
        <v>855</v>
      </c>
      <c r="J108">
        <f>+'q5'!$H$14+'q5'!$H$15+'q5'!$H$16</f>
        <v>904</v>
      </c>
      <c r="K108">
        <f>+'q5'!$I$14+'q5'!$I$15+'q5'!$I$16</f>
        <v>940</v>
      </c>
      <c r="L108">
        <f>+'q5'!$J$14+'q5'!$J$15+'q5'!$J$16</f>
        <v>922</v>
      </c>
      <c r="M108">
        <f>+'q5'!$K$14+'q5'!$K$15+'q5'!$K$16</f>
        <v>937</v>
      </c>
      <c r="N108">
        <f>+'q5'!$L$14+'q5'!$L$15+'q5'!$L$16</f>
        <v>1017</v>
      </c>
    </row>
    <row r="110" spans="1:25">
      <c r="D110" s="347">
        <f>+D105/$AT$5</f>
        <v>0.85311284961009093</v>
      </c>
      <c r="E110" s="347">
        <f>+E105/$AU$5</f>
        <v>0.85302368681611618</v>
      </c>
      <c r="F110" s="347">
        <f>+F105/$AV$5</f>
        <v>0.85029446259791897</v>
      </c>
      <c r="G110" s="347">
        <f>+G105/$AW$5</f>
        <v>0.84697045101088642</v>
      </c>
      <c r="H110" s="347">
        <f>+H105/$AX$5</f>
        <v>0.84322921956218666</v>
      </c>
      <c r="I110" s="347">
        <f>+I105/$AY$5</f>
        <v>0.83742189767640818</v>
      </c>
      <c r="J110" s="347">
        <f>+J105/$AZ$5</f>
        <v>0.83203999177422672</v>
      </c>
      <c r="K110" s="347">
        <f>+K105/$BA$5</f>
        <v>0.82457628692975993</v>
      </c>
      <c r="L110" s="347">
        <f>+L105/$BB$5</f>
        <v>0.82752901135220136</v>
      </c>
      <c r="M110" s="347">
        <f>+M105/$BC$5</f>
        <v>0.823276376730536</v>
      </c>
      <c r="N110" s="347">
        <f>+N105/$BD$5</f>
        <v>0.8177814916902878</v>
      </c>
      <c r="R110" t="str">
        <f>+IF($Q$3=1,$R$104,$R$107)</f>
        <v>2012 - 2022:
Micro e Pequenas empresas representam cerca de 97% das estruturas;
Micro empresas (1-9 pessoas): entre 82,1% e 85,1%;
Pequenas empresas (10 - 49 pessoas): entre 12,0% e 14,4%.</v>
      </c>
    </row>
    <row r="111" spans="1:25">
      <c r="D111" s="347">
        <f>+D106/$AT$5</f>
        <v>0.12085457285456032</v>
      </c>
      <c r="E111" s="347">
        <f>+E106/$AU$5</f>
        <v>0.1207919723780751</v>
      </c>
      <c r="F111" s="347">
        <f>+F106/$AV$5</f>
        <v>0.1234453691914979</v>
      </c>
      <c r="G111" s="347">
        <f>+G106/$AW$5</f>
        <v>0.12647278382581648</v>
      </c>
      <c r="H111" s="347">
        <f>+H106/$AX$5</f>
        <v>0.12935282042759585</v>
      </c>
      <c r="I111" s="347">
        <f>+I106/$AY$5</f>
        <v>0.13435280098993263</v>
      </c>
      <c r="J111" s="347">
        <f>+J106/$AZ$5</f>
        <v>0.13880085160946931</v>
      </c>
      <c r="K111" s="347">
        <f>+K106/$BA$5</f>
        <v>0.1447683743165169</v>
      </c>
      <c r="L111" s="347">
        <f>+L106/$BB$5</f>
        <v>0.1408085327687493</v>
      </c>
      <c r="M111" s="347">
        <f>+M106/$BC$5</f>
        <v>0.14501624488616011</v>
      </c>
      <c r="N111" s="347">
        <f>+N106/$BD$5</f>
        <v>0.14945458589708521</v>
      </c>
    </row>
    <row r="112" spans="1:25">
      <c r="D112" s="347">
        <f>+D107/$AT$5</f>
        <v>1.8372251133383671E-2</v>
      </c>
      <c r="E112" s="347">
        <f>+E107/$AU$5</f>
        <v>1.8609256391378302E-2</v>
      </c>
      <c r="F112" s="347">
        <f>+F107/$AV$5</f>
        <v>1.8915850805617054E-2</v>
      </c>
      <c r="G112" s="347">
        <f>+G107/$AW$5</f>
        <v>1.9421461897356142E-2</v>
      </c>
      <c r="H112" s="347">
        <f>+H107/$AX$5</f>
        <v>2.0130303785703515E-2</v>
      </c>
      <c r="I112" s="347">
        <f>+I107/$AY$5</f>
        <v>2.0843581478482715E-2</v>
      </c>
      <c r="J112" s="347">
        <f>+J107/$AZ$5</f>
        <v>2.1792250837698236E-2</v>
      </c>
      <c r="K112" s="347">
        <f>+K107/$BA$5</f>
        <v>2.286223829486838E-2</v>
      </c>
      <c r="L112" s="347">
        <f>+L107/$BB$5</f>
        <v>2.235666653331651E-2</v>
      </c>
      <c r="M112" s="347">
        <f>+M107/$BC$5</f>
        <v>2.3368127344825202E-2</v>
      </c>
      <c r="N112" s="347">
        <f>+N107/$BD$5</f>
        <v>2.4476754147341462E-2</v>
      </c>
    </row>
    <row r="113" spans="4:24">
      <c r="D113" s="347">
        <f>+D108/$AT$5</f>
        <v>2.2182049458450955E-3</v>
      </c>
      <c r="E113" s="347">
        <f>+E108/$AU$5</f>
        <v>2.2658610271903325E-3</v>
      </c>
      <c r="F113" s="347">
        <f>+F108/$AV$5</f>
        <v>2.2641320095582746E-3</v>
      </c>
      <c r="G113" s="347">
        <f>+G108/$AW$5</f>
        <v>2.3608087091757388E-3</v>
      </c>
      <c r="H113" s="347">
        <f>+H108/$AX$5</f>
        <v>2.4743562519042388E-3</v>
      </c>
      <c r="I113" s="347">
        <f>+I108/$AY$5</f>
        <v>2.6123222169602348E-3</v>
      </c>
      <c r="J113" s="347">
        <f>+J108/$AZ$5</f>
        <v>2.7338599441131288E-3</v>
      </c>
      <c r="K113" s="347">
        <f>+K108/$BA$5</f>
        <v>2.9104149508635264E-3</v>
      </c>
      <c r="L113" s="347">
        <f>+L108/$BB$5</f>
        <v>2.837281010835213E-3</v>
      </c>
      <c r="M113" s="347">
        <f>+M108/$BC$5</f>
        <v>2.9441892324998274E-3</v>
      </c>
      <c r="N113" s="347">
        <f>+N108/$BD$5</f>
        <v>3.0569641370313482E-3</v>
      </c>
      <c r="X113" s="467" t="s">
        <v>548</v>
      </c>
    </row>
    <row r="114" spans="4:24">
      <c r="X114" s="467" t="s">
        <v>555</v>
      </c>
    </row>
    <row r="115" spans="4:24">
      <c r="D115" s="347">
        <f>+D110+D111</f>
        <v>0.97396742246465129</v>
      </c>
      <c r="E115" s="347">
        <f t="shared" ref="E115:N115" si="18">+E110+E111</f>
        <v>0.97381565919419133</v>
      </c>
      <c r="F115" s="347">
        <f t="shared" si="18"/>
        <v>0.97373983178941681</v>
      </c>
      <c r="G115" s="347">
        <f t="shared" si="18"/>
        <v>0.97344323483670292</v>
      </c>
      <c r="H115" s="347">
        <f t="shared" si="18"/>
        <v>0.97258203998978254</v>
      </c>
      <c r="I115" s="347">
        <f t="shared" si="18"/>
        <v>0.97177469866634081</v>
      </c>
      <c r="J115" s="347">
        <f t="shared" si="18"/>
        <v>0.97084084338369603</v>
      </c>
      <c r="K115" s="347">
        <f t="shared" si="18"/>
        <v>0.96934466124627683</v>
      </c>
      <c r="L115" s="347">
        <f t="shared" si="18"/>
        <v>0.96833754412095063</v>
      </c>
      <c r="M115" s="347">
        <f t="shared" si="18"/>
        <v>0.96829262161669605</v>
      </c>
      <c r="N115" s="347">
        <f t="shared" si="18"/>
        <v>0.96723607758737296</v>
      </c>
      <c r="O115" s="370">
        <f>+(N115-D115)*100</f>
        <v>-0.67313448772783335</v>
      </c>
      <c r="P115" s="468">
        <f>+AVERAGE(D115:N115)</f>
        <v>0.97121587589964342</v>
      </c>
    </row>
  </sheetData>
  <mergeCells count="2">
    <mergeCell ref="Y69:Z69"/>
    <mergeCell ref="Y78:Z78"/>
  </mergeCells>
  <conditionalFormatting sqref="B69:B74">
    <cfRule type="cellIs" dxfId="179" priority="52" operator="equal">
      <formula>0</formula>
    </cfRule>
  </conditionalFormatting>
  <conditionalFormatting sqref="C78:V78 B78:B83">
    <cfRule type="cellIs" dxfId="178" priority="31" operator="equal">
      <formula>0</formula>
    </cfRule>
  </conditionalFormatting>
  <conditionalFormatting sqref="D69:D74">
    <cfRule type="cellIs" dxfId="177" priority="41" operator="equal">
      <formula>0</formula>
    </cfRule>
  </conditionalFormatting>
  <conditionalFormatting sqref="D79:D83">
    <cfRule type="cellIs" dxfId="176" priority="10" operator="equal">
      <formula>0</formula>
    </cfRule>
  </conditionalFormatting>
  <conditionalFormatting sqref="F69:F74">
    <cfRule type="cellIs" dxfId="175" priority="40" operator="equal">
      <formula>0</formula>
    </cfRule>
  </conditionalFormatting>
  <conditionalFormatting sqref="F79:F83">
    <cfRule type="cellIs" dxfId="174" priority="9" operator="equal">
      <formula>0</formula>
    </cfRule>
  </conditionalFormatting>
  <conditionalFormatting sqref="H69:H74">
    <cfRule type="cellIs" dxfId="173" priority="39" operator="equal">
      <formula>0</formula>
    </cfRule>
  </conditionalFormatting>
  <conditionalFormatting sqref="H79:H83">
    <cfRule type="cellIs" dxfId="172" priority="8" operator="equal">
      <formula>0</formula>
    </cfRule>
  </conditionalFormatting>
  <conditionalFormatting sqref="J69:J74">
    <cfRule type="cellIs" dxfId="171" priority="38" operator="equal">
      <formula>0</formula>
    </cfRule>
  </conditionalFormatting>
  <conditionalFormatting sqref="J79:J83">
    <cfRule type="cellIs" dxfId="170" priority="7" operator="equal">
      <formula>0</formula>
    </cfRule>
  </conditionalFormatting>
  <conditionalFormatting sqref="L69:L74">
    <cfRule type="cellIs" dxfId="169" priority="37" operator="equal">
      <formula>0</formula>
    </cfRule>
  </conditionalFormatting>
  <conditionalFormatting sqref="L79:L83">
    <cfRule type="cellIs" dxfId="168" priority="6" operator="equal">
      <formula>0</formula>
    </cfRule>
  </conditionalFormatting>
  <conditionalFormatting sqref="N69:N74">
    <cfRule type="cellIs" dxfId="167" priority="36" operator="equal">
      <formula>0</formula>
    </cfRule>
  </conditionalFormatting>
  <conditionalFormatting sqref="N79:N83">
    <cfRule type="cellIs" dxfId="166" priority="5" operator="equal">
      <formula>0</formula>
    </cfRule>
  </conditionalFormatting>
  <conditionalFormatting sqref="P69:P74">
    <cfRule type="cellIs" dxfId="165" priority="35" operator="equal">
      <formula>0</formula>
    </cfRule>
  </conditionalFormatting>
  <conditionalFormatting sqref="P79:P83">
    <cfRule type="cellIs" dxfId="164" priority="4" operator="equal">
      <formula>0</formula>
    </cfRule>
  </conditionalFormatting>
  <conditionalFormatting sqref="R69:R74">
    <cfRule type="cellIs" dxfId="163" priority="34" operator="equal">
      <formula>0</formula>
    </cfRule>
  </conditionalFormatting>
  <conditionalFormatting sqref="R79:R83">
    <cfRule type="cellIs" dxfId="162" priority="3" operator="equal">
      <formula>0</formula>
    </cfRule>
  </conditionalFormatting>
  <conditionalFormatting sqref="T69:T74">
    <cfRule type="cellIs" dxfId="161" priority="33" operator="equal">
      <formula>0</formula>
    </cfRule>
  </conditionalFormatting>
  <conditionalFormatting sqref="T79:T83">
    <cfRule type="cellIs" dxfId="160" priority="2" operator="equal">
      <formula>0</formula>
    </cfRule>
  </conditionalFormatting>
  <conditionalFormatting sqref="V69:V74">
    <cfRule type="cellIs" dxfId="159" priority="32" operator="equal">
      <formula>0</formula>
    </cfRule>
  </conditionalFormatting>
  <conditionalFormatting sqref="V79:V83">
    <cfRule type="cellIs" dxfId="158" priority="1" operator="equal">
      <formula>0</formula>
    </cfRule>
  </conditionalFormatting>
  <conditionalFormatting sqref="AT3:BE4">
    <cfRule type="cellIs" dxfId="157" priority="53" operator="equal">
      <formula>0</formula>
    </cfRule>
  </conditionalFormatting>
  <conditionalFormatting sqref="BC3:BE3 BC5:BE5">
    <cfRule type="cellIs" dxfId="156" priority="5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8" r:id="rId4" name="Drop Down 2">
              <controlPr defaultSize="0" autoLine="0" autoPict="0">
                <anchor moveWithCells="1">
                  <from>
                    <xdr:col>17</xdr:col>
                    <xdr:colOff>304800</xdr:colOff>
                    <xdr:row>1</xdr:row>
                    <xdr:rowOff>152400</xdr:rowOff>
                  </from>
                  <to>
                    <xdr:col>17</xdr:col>
                    <xdr:colOff>1552575</xdr:colOff>
                    <xdr:row>3</xdr:row>
                    <xdr:rowOff>19050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4A219-E0B7-45FD-A866-7E24041C6035}">
  <sheetPr codeName="Folha8">
    <tabColor indexed="24"/>
  </sheetPr>
  <dimension ref="A1:BX118"/>
  <sheetViews>
    <sheetView topLeftCell="AZ1" workbookViewId="0">
      <selection activeCell="BG3" sqref="BG3:BH3"/>
    </sheetView>
  </sheetViews>
  <sheetFormatPr defaultRowHeight="12.75"/>
  <cols>
    <col min="1" max="1" width="16" bestFit="1" customWidth="1"/>
    <col min="2" max="2" width="25" bestFit="1" customWidth="1"/>
    <col min="18" max="18" width="25" bestFit="1" customWidth="1"/>
    <col min="53" max="53" width="8.140625" customWidth="1"/>
    <col min="54" max="54" width="16" bestFit="1" customWidth="1"/>
    <col min="59" max="60" width="18.28515625" bestFit="1" customWidth="1"/>
  </cols>
  <sheetData>
    <row r="1" spans="1:76">
      <c r="A1" s="334"/>
    </row>
    <row r="2" spans="1:76">
      <c r="A2" s="334" t="s">
        <v>265</v>
      </c>
      <c r="B2">
        <v>1</v>
      </c>
      <c r="AF2" s="467" t="s">
        <v>557</v>
      </c>
    </row>
    <row r="3" spans="1:76" ht="13.5" thickBot="1">
      <c r="A3" s="334" t="s">
        <v>186</v>
      </c>
      <c r="Q3">
        <v>2</v>
      </c>
      <c r="AS3" s="4"/>
      <c r="AT3" s="6">
        <f>+'q1'!$C$4</f>
        <v>2012</v>
      </c>
      <c r="AU3" s="6">
        <f>+'q1'!$D$4</f>
        <v>2013</v>
      </c>
      <c r="AV3" s="6">
        <f>+'q1'!$E$4</f>
        <v>2014</v>
      </c>
      <c r="AW3" s="6">
        <f>+'q1'!$F$4</f>
        <v>2015</v>
      </c>
      <c r="AX3" s="6">
        <f>+'q1'!$G$4</f>
        <v>2016</v>
      </c>
      <c r="AY3" s="6">
        <f>+'q1'!$H$4</f>
        <v>2017</v>
      </c>
      <c r="AZ3" s="6">
        <f>+'q1'!$I$4</f>
        <v>2018</v>
      </c>
      <c r="BA3" s="6">
        <f>+'q1'!$J$4</f>
        <v>2019</v>
      </c>
      <c r="BB3" s="6">
        <f>+'q1'!$K$4</f>
        <v>2020</v>
      </c>
      <c r="BC3" s="6">
        <f>+'q1'!$L$4</f>
        <v>2021</v>
      </c>
      <c r="BD3" s="6">
        <f>+'q1'!$M$4</f>
        <v>2022</v>
      </c>
      <c r="BE3" s="356"/>
      <c r="BF3" s="335" t="str">
        <f>+BD3&amp;"-"&amp;BC3</f>
        <v>2022-2021</v>
      </c>
      <c r="BG3" t="str">
        <f>+"variação "&amp;$BD$3&amp;"/"&amp;$BC$3</f>
        <v>variação 2022/2021</v>
      </c>
      <c r="BH3" t="str">
        <f>+"variação "&amp;$BD$3&amp;"/"&amp;$AT$3</f>
        <v>variação 2022/2012</v>
      </c>
    </row>
    <row r="4" spans="1:76" ht="13.5" thickTop="1">
      <c r="R4" s="334"/>
      <c r="AS4" s="345" t="s">
        <v>265</v>
      </c>
      <c r="AT4" s="346">
        <f>+'q7'!$C$5</f>
        <v>2559732</v>
      </c>
      <c r="AU4" s="346">
        <f>+'q7'!$D$5</f>
        <v>2555676</v>
      </c>
      <c r="AV4" s="346">
        <f>+'q7'!$E$5</f>
        <v>2636881</v>
      </c>
      <c r="AW4" s="346">
        <f>+'q7'!$F$5</f>
        <v>2716011</v>
      </c>
      <c r="AX4" s="346">
        <f>+'q7'!$G$5</f>
        <v>2819978</v>
      </c>
      <c r="AY4" s="346">
        <f>+'q7'!$H$5</f>
        <v>2946903</v>
      </c>
      <c r="AZ4" s="346">
        <f>+'q7'!$I$5</f>
        <v>3060489</v>
      </c>
      <c r="BA4" s="346">
        <f>+'q7'!$J$5</f>
        <v>3110949</v>
      </c>
      <c r="BB4" s="346">
        <f>+'q7'!$K$5</f>
        <v>3085566</v>
      </c>
      <c r="BC4" s="346">
        <f>+'q7'!$L$5</f>
        <v>3102345</v>
      </c>
      <c r="BD4" s="470">
        <f>+'q7'!$M$5</f>
        <v>3337082</v>
      </c>
      <c r="BE4" s="233"/>
      <c r="BF4" s="472">
        <f>+BD4-BC4</f>
        <v>234737</v>
      </c>
      <c r="BG4" s="454">
        <f>+(BD4/BC4-1)</f>
        <v>7.5664376463610683E-2</v>
      </c>
      <c r="BH4" s="454">
        <f>+(BD4/AT4-1)</f>
        <v>0.30368413568295427</v>
      </c>
      <c r="BQ4" s="578"/>
      <c r="BR4" s="578"/>
      <c r="BS4" s="578"/>
      <c r="BT4" s="578"/>
      <c r="BU4" s="578"/>
      <c r="BV4" s="578"/>
      <c r="BW4" s="578"/>
      <c r="BX4" s="578"/>
    </row>
    <row r="5" spans="1:76">
      <c r="AS5" s="345" t="s">
        <v>186</v>
      </c>
      <c r="AT5" s="344">
        <f>+'q10'!$C$5</f>
        <v>2387386</v>
      </c>
      <c r="AU5" s="344">
        <f>+'q10'!$D$5</f>
        <v>2384121</v>
      </c>
      <c r="AV5" s="344">
        <f>+'q10'!$E$5</f>
        <v>2458163</v>
      </c>
      <c r="AW5" s="344">
        <f>+'q10'!$F$5</f>
        <v>2537653</v>
      </c>
      <c r="AX5" s="344">
        <f>+'q10'!$G$5</f>
        <v>2641919</v>
      </c>
      <c r="AY5" s="344">
        <f>+'q10'!$H$5</f>
        <v>2767521</v>
      </c>
      <c r="AZ5" s="344">
        <f>+'q10'!$I$5</f>
        <v>2877918</v>
      </c>
      <c r="BA5" s="344">
        <f>+'q10'!$J$5</f>
        <v>2930482</v>
      </c>
      <c r="BB5" s="344">
        <f>+'q10'!$K$5</f>
        <v>2902825</v>
      </c>
      <c r="BC5" s="344">
        <f>+'q10'!$L$5</f>
        <v>2922343</v>
      </c>
      <c r="BD5" s="471">
        <f>+'q10'!$M$5</f>
        <v>3148147</v>
      </c>
      <c r="BE5" s="344"/>
      <c r="BF5" s="472">
        <f>+BD5-BC5</f>
        <v>225804</v>
      </c>
      <c r="BG5" s="454">
        <f>+(BD5/BC5-1)</f>
        <v>7.7268137244669743E-2</v>
      </c>
      <c r="BH5" s="454">
        <f>+(BD5/AT5-1)</f>
        <v>0.31865856631478939</v>
      </c>
      <c r="BQ5" s="334"/>
      <c r="BR5" s="334"/>
      <c r="BS5" s="334"/>
      <c r="BT5" s="334"/>
      <c r="BU5" s="334"/>
      <c r="BV5" s="334"/>
      <c r="BW5" s="334"/>
      <c r="BX5" s="334"/>
    </row>
    <row r="6" spans="1:76">
      <c r="B6" s="334"/>
      <c r="D6">
        <f>+'q7'!$C$4</f>
        <v>2012</v>
      </c>
      <c r="E6">
        <f>+'q7'!$D$4</f>
        <v>2013</v>
      </c>
      <c r="F6">
        <f>+'q7'!$E$4</f>
        <v>2014</v>
      </c>
      <c r="G6">
        <f>+'q7'!$F$4</f>
        <v>2015</v>
      </c>
      <c r="H6">
        <f>+'q7'!$G$4</f>
        <v>2016</v>
      </c>
      <c r="I6">
        <f>+'q7'!$H$4</f>
        <v>2017</v>
      </c>
      <c r="J6">
        <f>+'q7'!$I$4</f>
        <v>2018</v>
      </c>
      <c r="K6">
        <f>+'q7'!$J$4</f>
        <v>2019</v>
      </c>
      <c r="L6">
        <f>+'q7'!$K$4</f>
        <v>2020</v>
      </c>
      <c r="M6">
        <f>+'q7'!$L$4</f>
        <v>2021</v>
      </c>
      <c r="N6">
        <f>+'q7'!$M$4</f>
        <v>2022</v>
      </c>
      <c r="S6">
        <f>+D6</f>
        <v>2012</v>
      </c>
      <c r="T6">
        <f t="shared" ref="T6:AC6" si="0">+E6</f>
        <v>2013</v>
      </c>
      <c r="U6">
        <f t="shared" si="0"/>
        <v>2014</v>
      </c>
      <c r="V6">
        <f t="shared" si="0"/>
        <v>2015</v>
      </c>
      <c r="W6">
        <f t="shared" si="0"/>
        <v>2016</v>
      </c>
      <c r="X6">
        <f t="shared" si="0"/>
        <v>2017</v>
      </c>
      <c r="Y6">
        <f t="shared" si="0"/>
        <v>2018</v>
      </c>
      <c r="Z6">
        <f t="shared" si="0"/>
        <v>2019</v>
      </c>
      <c r="AA6">
        <f t="shared" si="0"/>
        <v>2020</v>
      </c>
      <c r="AB6">
        <f t="shared" si="0"/>
        <v>2021</v>
      </c>
      <c r="AC6">
        <f t="shared" si="0"/>
        <v>2022</v>
      </c>
    </row>
    <row r="7" spans="1:76">
      <c r="A7" s="334" t="s">
        <v>265</v>
      </c>
      <c r="B7" t="str">
        <f>+'q7'!$A$6</f>
        <v>A</v>
      </c>
      <c r="C7" t="str">
        <f>+'q7'!$B$6</f>
        <v>Agr., pr. animal, caça, flor. pesca</v>
      </c>
      <c r="D7">
        <f>+'q7'!$C$6</f>
        <v>52484</v>
      </c>
      <c r="E7">
        <f>+'q7'!$D$6</f>
        <v>57477</v>
      </c>
      <c r="F7">
        <f>+'q7'!$E$6</f>
        <v>59974</v>
      </c>
      <c r="G7">
        <f>+'q7'!$F$6</f>
        <v>62767</v>
      </c>
      <c r="H7">
        <f>+'q7'!$G$6</f>
        <v>66231</v>
      </c>
      <c r="I7">
        <f>+'q7'!$H$6</f>
        <v>67785</v>
      </c>
      <c r="J7">
        <f>+'q7'!$I$6</f>
        <v>71264</v>
      </c>
      <c r="K7">
        <f>+'q7'!$J$6</f>
        <v>72158</v>
      </c>
      <c r="L7">
        <f>+'q7'!$K$6</f>
        <v>76190</v>
      </c>
      <c r="M7">
        <f>+'q7'!$L$6</f>
        <v>74598</v>
      </c>
      <c r="N7">
        <f>+'q7'!$M$6</f>
        <v>80596</v>
      </c>
      <c r="Q7" t="str">
        <f>INDEX($A$2:$A$3,$Q$3)</f>
        <v>TCO</v>
      </c>
      <c r="R7" t="str">
        <f>+B7</f>
        <v>A</v>
      </c>
      <c r="S7">
        <f t="shared" ref="S7:S26" si="1">IF($Q$3=1, VLOOKUP($R$7:$R$26,$B$6:$N$26,COLUMN(D7)-1,0),VLOOKUP($R$7:$R$26,$B$31:$N$50,COLUMN(D7)-1,0))</f>
        <v>48046</v>
      </c>
      <c r="T7">
        <f t="shared" ref="T7:AC22" si="2">IF($Q$3=1, VLOOKUP($R$7:$R$26,$B$6:$N$26,COLUMN(E7)-1,0),VLOOKUP($R$7:$R$26,$B$31:$N$50,COLUMN(E7)-1,0))</f>
        <v>52455</v>
      </c>
      <c r="U7">
        <f t="shared" si="2"/>
        <v>54661</v>
      </c>
      <c r="V7">
        <f t="shared" si="2"/>
        <v>57045</v>
      </c>
      <c r="W7">
        <f t="shared" si="2"/>
        <v>60375</v>
      </c>
      <c r="X7">
        <f t="shared" si="2"/>
        <v>61737</v>
      </c>
      <c r="Y7">
        <f t="shared" si="2"/>
        <v>65121</v>
      </c>
      <c r="Z7">
        <f t="shared" si="2"/>
        <v>66106</v>
      </c>
      <c r="AA7">
        <f t="shared" si="2"/>
        <v>69923</v>
      </c>
      <c r="AB7">
        <f t="shared" si="2"/>
        <v>68486</v>
      </c>
      <c r="AC7">
        <f t="shared" si="2"/>
        <v>74274</v>
      </c>
    </row>
    <row r="8" spans="1:76">
      <c r="A8" s="334"/>
      <c r="B8" t="str">
        <f>+'q7'!$A$7</f>
        <v>B</v>
      </c>
      <c r="C8" t="str">
        <f>+'q7'!$B$7</f>
        <v>Indústrias extrativas</v>
      </c>
      <c r="D8">
        <f>+'q7'!$C$7</f>
        <v>8683</v>
      </c>
      <c r="E8">
        <f>+'q7'!$D$7</f>
        <v>8685</v>
      </c>
      <c r="F8">
        <f>+'q7'!$E$7</f>
        <v>8514</v>
      </c>
      <c r="G8">
        <f>+'q7'!$F$7</f>
        <v>8479</v>
      </c>
      <c r="H8">
        <f>+'q7'!$G$7</f>
        <v>8384</v>
      </c>
      <c r="I8">
        <f>+'q7'!$H$7</f>
        <v>8723</v>
      </c>
      <c r="J8">
        <f>+'q7'!$I$7</f>
        <v>8644</v>
      </c>
      <c r="K8">
        <f>+'q7'!$J$7</f>
        <v>8455</v>
      </c>
      <c r="L8">
        <f>+'q7'!$K$7</f>
        <v>8318</v>
      </c>
      <c r="M8">
        <f>+'q7'!$L$7</f>
        <v>8437</v>
      </c>
      <c r="N8">
        <f>+'q7'!$M$7</f>
        <v>8822</v>
      </c>
      <c r="R8" t="str">
        <f t="shared" ref="R8:R26" si="3">+B8</f>
        <v>B</v>
      </c>
      <c r="S8">
        <f t="shared" si="1"/>
        <v>8294</v>
      </c>
      <c r="T8">
        <f t="shared" si="2"/>
        <v>8319</v>
      </c>
      <c r="U8">
        <f t="shared" si="2"/>
        <v>8158</v>
      </c>
      <c r="V8">
        <f t="shared" si="2"/>
        <v>8132</v>
      </c>
      <c r="W8">
        <f t="shared" si="2"/>
        <v>8049</v>
      </c>
      <c r="X8">
        <f t="shared" si="2"/>
        <v>8407</v>
      </c>
      <c r="Y8">
        <f t="shared" si="2"/>
        <v>8338</v>
      </c>
      <c r="Z8">
        <f t="shared" si="2"/>
        <v>8161</v>
      </c>
      <c r="AA8">
        <f t="shared" si="2"/>
        <v>8029</v>
      </c>
      <c r="AB8">
        <f t="shared" si="2"/>
        <v>8140</v>
      </c>
      <c r="AC8">
        <f t="shared" si="2"/>
        <v>8518</v>
      </c>
    </row>
    <row r="9" spans="1:76">
      <c r="A9" s="334"/>
      <c r="B9" t="str">
        <f>+'q7'!$A$8</f>
        <v>C</v>
      </c>
      <c r="C9" t="str">
        <f>+'q7'!$B$8</f>
        <v>Indústrias transformadoras</v>
      </c>
      <c r="D9">
        <f>+'q7'!$C$8</f>
        <v>565182</v>
      </c>
      <c r="E9">
        <f>+'q7'!$D$8</f>
        <v>566564</v>
      </c>
      <c r="F9">
        <f>+'q7'!$E$8</f>
        <v>583685</v>
      </c>
      <c r="G9">
        <f>+'q7'!$F$8</f>
        <v>598482</v>
      </c>
      <c r="H9">
        <f>+'q7'!$G$8</f>
        <v>615556</v>
      </c>
      <c r="I9">
        <f>+'q7'!$H$8</f>
        <v>639429</v>
      </c>
      <c r="J9">
        <f>+'q7'!$I$8</f>
        <v>659459</v>
      </c>
      <c r="K9">
        <f>+'q7'!$J$8</f>
        <v>650638</v>
      </c>
      <c r="L9">
        <f>+'q7'!$K$8</f>
        <v>639517</v>
      </c>
      <c r="M9">
        <f>+'q7'!$L$8</f>
        <v>636329</v>
      </c>
      <c r="N9">
        <f>+'q7'!$M$8</f>
        <v>667361</v>
      </c>
      <c r="R9" t="str">
        <f t="shared" si="3"/>
        <v>C</v>
      </c>
      <c r="S9">
        <f t="shared" si="1"/>
        <v>539570</v>
      </c>
      <c r="T9">
        <f t="shared" si="2"/>
        <v>541161</v>
      </c>
      <c r="U9">
        <f t="shared" si="2"/>
        <v>557477</v>
      </c>
      <c r="V9">
        <f t="shared" si="2"/>
        <v>572207</v>
      </c>
      <c r="W9">
        <f t="shared" si="2"/>
        <v>589603</v>
      </c>
      <c r="X9">
        <f t="shared" si="2"/>
        <v>613379</v>
      </c>
      <c r="Y9">
        <f t="shared" si="2"/>
        <v>633595</v>
      </c>
      <c r="Z9">
        <f t="shared" si="2"/>
        <v>625633</v>
      </c>
      <c r="AA9">
        <f t="shared" si="2"/>
        <v>614674</v>
      </c>
      <c r="AB9">
        <f t="shared" si="2"/>
        <v>612054</v>
      </c>
      <c r="AC9">
        <f t="shared" si="2"/>
        <v>642354</v>
      </c>
    </row>
    <row r="10" spans="1:76">
      <c r="A10" s="334"/>
      <c r="B10" t="str">
        <f>+'q7'!$A$33</f>
        <v>D</v>
      </c>
      <c r="C10" t="str">
        <f>+'q7'!$B$33</f>
        <v>Eletr., gás, ág. quente/fria e ar frio</v>
      </c>
      <c r="D10">
        <f>+'q7'!$C$33</f>
        <v>6892</v>
      </c>
      <c r="E10">
        <f>+'q7'!$D$33</f>
        <v>6642</v>
      </c>
      <c r="F10">
        <f>+'q7'!$E$33</f>
        <v>6369</v>
      </c>
      <c r="G10">
        <f>+'q7'!$F$33</f>
        <v>6704</v>
      </c>
      <c r="H10">
        <f>+'q7'!$G$33</f>
        <v>6470</v>
      </c>
      <c r="I10">
        <f>+'q7'!$H$33</f>
        <v>6573</v>
      </c>
      <c r="J10">
        <f>+'q7'!$I$33</f>
        <v>6821</v>
      </c>
      <c r="K10">
        <f>+'q7'!$J$33</f>
        <v>6807</v>
      </c>
      <c r="L10">
        <f>+'q7'!$K$33</f>
        <v>6753</v>
      </c>
      <c r="M10">
        <f>+'q7'!$L$33</f>
        <v>6643</v>
      </c>
      <c r="N10">
        <f>+'q7'!$M$33</f>
        <v>6615</v>
      </c>
      <c r="R10" t="str">
        <f t="shared" si="3"/>
        <v>D</v>
      </c>
      <c r="S10">
        <f t="shared" si="1"/>
        <v>6828</v>
      </c>
      <c r="T10">
        <f t="shared" si="2"/>
        <v>6577</v>
      </c>
      <c r="U10">
        <f t="shared" si="2"/>
        <v>6277</v>
      </c>
      <c r="V10">
        <f t="shared" si="2"/>
        <v>6611</v>
      </c>
      <c r="W10">
        <f t="shared" si="2"/>
        <v>6390</v>
      </c>
      <c r="X10">
        <f t="shared" si="2"/>
        <v>6505</v>
      </c>
      <c r="Y10">
        <f t="shared" si="2"/>
        <v>6748</v>
      </c>
      <c r="Z10">
        <f t="shared" si="2"/>
        <v>6736</v>
      </c>
      <c r="AA10">
        <f t="shared" si="2"/>
        <v>6671</v>
      </c>
      <c r="AB10">
        <f t="shared" si="2"/>
        <v>6574</v>
      </c>
      <c r="AC10">
        <f t="shared" si="2"/>
        <v>6551</v>
      </c>
      <c r="BL10" s="334"/>
    </row>
    <row r="11" spans="1:76">
      <c r="A11" s="334"/>
      <c r="B11" t="str">
        <f>+'q7'!$A$34</f>
        <v>E</v>
      </c>
      <c r="C11" t="str">
        <f>+'q7'!$B$34</f>
        <v>Capt., trat. e d. água; san., resíd.</v>
      </c>
      <c r="D11">
        <f>+'q7'!$C$34</f>
        <v>20231</v>
      </c>
      <c r="E11">
        <f>+'q7'!$D$34</f>
        <v>20721</v>
      </c>
      <c r="F11">
        <f>+'q7'!$E$34</f>
        <v>20728</v>
      </c>
      <c r="G11">
        <f>+'q7'!$F$34</f>
        <v>21233</v>
      </c>
      <c r="H11">
        <f>+'q7'!$G$34</f>
        <v>22585</v>
      </c>
      <c r="I11">
        <f>+'q7'!$H$34</f>
        <v>23439</v>
      </c>
      <c r="J11">
        <f>+'q7'!$I$34</f>
        <v>23927</v>
      </c>
      <c r="K11">
        <f>+'q7'!$J$34</f>
        <v>25301</v>
      </c>
      <c r="L11">
        <f>+'q7'!$K$34</f>
        <v>26123</v>
      </c>
      <c r="M11">
        <f>+'q7'!$L$34</f>
        <v>27869</v>
      </c>
      <c r="N11">
        <f>+'q7'!$M$34</f>
        <v>29036</v>
      </c>
      <c r="R11" t="str">
        <f t="shared" si="3"/>
        <v>E</v>
      </c>
      <c r="S11">
        <f t="shared" si="1"/>
        <v>19881</v>
      </c>
      <c r="T11">
        <f t="shared" si="2"/>
        <v>20353</v>
      </c>
      <c r="U11">
        <f t="shared" si="2"/>
        <v>20348</v>
      </c>
      <c r="V11">
        <f t="shared" si="2"/>
        <v>20860</v>
      </c>
      <c r="W11">
        <f t="shared" si="2"/>
        <v>22233</v>
      </c>
      <c r="X11">
        <f t="shared" si="2"/>
        <v>23079</v>
      </c>
      <c r="Y11">
        <f t="shared" si="2"/>
        <v>23567</v>
      </c>
      <c r="Z11">
        <f t="shared" si="2"/>
        <v>24904</v>
      </c>
      <c r="AA11">
        <f t="shared" si="2"/>
        <v>25711</v>
      </c>
      <c r="AB11">
        <f t="shared" si="2"/>
        <v>27469</v>
      </c>
      <c r="AC11">
        <f t="shared" si="2"/>
        <v>28585</v>
      </c>
    </row>
    <row r="12" spans="1:76">
      <c r="A12" s="334"/>
      <c r="B12" t="str">
        <f>+'q7'!$A$35</f>
        <v>F</v>
      </c>
      <c r="C12" t="str">
        <f>+'q7'!$B$35</f>
        <v>Construção</v>
      </c>
      <c r="D12">
        <f>+'q7'!$C$35</f>
        <v>212909</v>
      </c>
      <c r="E12">
        <f>+'q7'!$D$35</f>
        <v>197944</v>
      </c>
      <c r="F12">
        <f>+'q7'!$E$35</f>
        <v>197951</v>
      </c>
      <c r="G12">
        <f>+'q7'!$F$35</f>
        <v>198073</v>
      </c>
      <c r="H12">
        <f>+'q7'!$G$35</f>
        <v>203068</v>
      </c>
      <c r="I12">
        <f>+'q7'!$H$35</f>
        <v>215365</v>
      </c>
      <c r="J12">
        <f>+'q7'!$I$35</f>
        <v>227394</v>
      </c>
      <c r="K12">
        <f>+'q7'!$J$35</f>
        <v>241160</v>
      </c>
      <c r="L12">
        <f>+'q7'!$K$35</f>
        <v>254572</v>
      </c>
      <c r="M12">
        <f>+'q7'!$L$35</f>
        <v>256768</v>
      </c>
      <c r="N12">
        <f>+'q7'!$M$35</f>
        <v>277485</v>
      </c>
      <c r="R12" t="str">
        <f t="shared" si="3"/>
        <v>F</v>
      </c>
      <c r="S12">
        <f t="shared" si="1"/>
        <v>191754</v>
      </c>
      <c r="T12">
        <f t="shared" si="2"/>
        <v>178328</v>
      </c>
      <c r="U12">
        <f t="shared" si="2"/>
        <v>178366</v>
      </c>
      <c r="V12">
        <f t="shared" si="2"/>
        <v>178864</v>
      </c>
      <c r="W12">
        <f t="shared" si="2"/>
        <v>183547</v>
      </c>
      <c r="X12">
        <f t="shared" si="2"/>
        <v>195420</v>
      </c>
      <c r="Y12">
        <f t="shared" si="2"/>
        <v>206868</v>
      </c>
      <c r="Z12">
        <f t="shared" si="2"/>
        <v>219984</v>
      </c>
      <c r="AA12">
        <f t="shared" si="2"/>
        <v>232381</v>
      </c>
      <c r="AB12">
        <f t="shared" si="2"/>
        <v>234450</v>
      </c>
      <c r="AC12">
        <f t="shared" si="2"/>
        <v>253501</v>
      </c>
      <c r="BE12" s="350"/>
      <c r="BG12" s="349"/>
      <c r="BH12" s="350"/>
    </row>
    <row r="13" spans="1:76">
      <c r="A13" s="334"/>
      <c r="B13" t="str">
        <f>+'q7'!$A$36</f>
        <v>G</v>
      </c>
      <c r="C13" t="str">
        <f>+'q7'!$B$36</f>
        <v>Com. grosso e ret.; r.v.aut./moto.</v>
      </c>
      <c r="D13">
        <f>+'q7'!$C$36</f>
        <v>510226</v>
      </c>
      <c r="E13">
        <f>+'q7'!$D$36</f>
        <v>501601</v>
      </c>
      <c r="F13">
        <f>+'q7'!$E$36</f>
        <v>513639</v>
      </c>
      <c r="G13">
        <f>+'q7'!$F$36</f>
        <v>528110</v>
      </c>
      <c r="H13">
        <f>+'q7'!$G$36</f>
        <v>541723</v>
      </c>
      <c r="I13">
        <f>+'q7'!$H$36</f>
        <v>556229</v>
      </c>
      <c r="J13">
        <f>+'q7'!$I$36</f>
        <v>571387</v>
      </c>
      <c r="K13">
        <f>+'q7'!$J$36</f>
        <v>585267</v>
      </c>
      <c r="L13">
        <f>+'q7'!$K$36</f>
        <v>572866</v>
      </c>
      <c r="M13">
        <f>+'q7'!$L$36</f>
        <v>579715</v>
      </c>
      <c r="N13">
        <f>+'q7'!$M$36</f>
        <v>606424</v>
      </c>
      <c r="R13" t="str">
        <f t="shared" si="3"/>
        <v>G</v>
      </c>
      <c r="S13">
        <f t="shared" si="1"/>
        <v>460720</v>
      </c>
      <c r="T13">
        <f t="shared" si="2"/>
        <v>452371</v>
      </c>
      <c r="U13">
        <f t="shared" si="2"/>
        <v>463519</v>
      </c>
      <c r="V13">
        <f t="shared" si="2"/>
        <v>478256</v>
      </c>
      <c r="W13">
        <f t="shared" si="2"/>
        <v>492250</v>
      </c>
      <c r="X13">
        <f t="shared" si="2"/>
        <v>507360</v>
      </c>
      <c r="Y13">
        <f t="shared" si="2"/>
        <v>522673</v>
      </c>
      <c r="Z13">
        <f t="shared" si="2"/>
        <v>538367</v>
      </c>
      <c r="AA13">
        <f t="shared" si="2"/>
        <v>525816</v>
      </c>
      <c r="AB13">
        <f t="shared" si="2"/>
        <v>533620</v>
      </c>
      <c r="AC13">
        <f t="shared" si="2"/>
        <v>559353</v>
      </c>
    </row>
    <row r="14" spans="1:76">
      <c r="A14" s="334"/>
      <c r="B14" t="str">
        <f>+'q7'!$A$37</f>
        <v>H</v>
      </c>
      <c r="C14" t="str">
        <f>+'q7'!$B$37</f>
        <v>Transportes e armazenagem</v>
      </c>
      <c r="D14">
        <f>+'q7'!$C$37</f>
        <v>126215</v>
      </c>
      <c r="E14">
        <f>+'q7'!$D$37</f>
        <v>124544</v>
      </c>
      <c r="F14">
        <f>+'q7'!$E$37</f>
        <v>130835</v>
      </c>
      <c r="G14">
        <f>+'q7'!$F$37</f>
        <v>134827</v>
      </c>
      <c r="H14">
        <f>+'q7'!$G$37</f>
        <v>140298</v>
      </c>
      <c r="I14">
        <f>+'q7'!$H$37</f>
        <v>147627</v>
      </c>
      <c r="J14">
        <f>+'q7'!$I$37</f>
        <v>153184</v>
      </c>
      <c r="K14">
        <f>+'q7'!$J$37</f>
        <v>154795</v>
      </c>
      <c r="L14">
        <f>+'q7'!$K$37</f>
        <v>153703</v>
      </c>
      <c r="M14">
        <f>+'q7'!$L$37</f>
        <v>150030</v>
      </c>
      <c r="N14">
        <f>+'q7'!$M$37</f>
        <v>157420</v>
      </c>
      <c r="R14" t="str">
        <f t="shared" si="3"/>
        <v>H</v>
      </c>
      <c r="S14">
        <f t="shared" si="1"/>
        <v>118244</v>
      </c>
      <c r="T14">
        <f t="shared" si="2"/>
        <v>116904</v>
      </c>
      <c r="U14">
        <f t="shared" si="2"/>
        <v>122986</v>
      </c>
      <c r="V14">
        <f t="shared" si="2"/>
        <v>127238</v>
      </c>
      <c r="W14">
        <f t="shared" si="2"/>
        <v>132842</v>
      </c>
      <c r="X14">
        <f t="shared" si="2"/>
        <v>140148</v>
      </c>
      <c r="Y14">
        <f t="shared" si="2"/>
        <v>145741</v>
      </c>
      <c r="Z14">
        <f t="shared" si="2"/>
        <v>147408</v>
      </c>
      <c r="AA14">
        <f t="shared" si="2"/>
        <v>146314</v>
      </c>
      <c r="AB14">
        <f t="shared" si="2"/>
        <v>142969</v>
      </c>
      <c r="AC14">
        <f t="shared" si="2"/>
        <v>149925</v>
      </c>
      <c r="BB14" s="348"/>
    </row>
    <row r="15" spans="1:76">
      <c r="A15" s="334"/>
      <c r="B15" t="str">
        <f>+'q7'!$A$38</f>
        <v>I</v>
      </c>
      <c r="C15" t="str">
        <f>+'q7'!$B$38</f>
        <v>Alojamento, restauração e sim.</v>
      </c>
      <c r="D15">
        <f>+'q7'!$C$38</f>
        <v>184574</v>
      </c>
      <c r="E15">
        <f>+'q7'!$D$38</f>
        <v>184439</v>
      </c>
      <c r="F15">
        <f>+'q7'!$E$38</f>
        <v>193103</v>
      </c>
      <c r="G15">
        <f>+'q7'!$F$38</f>
        <v>207980</v>
      </c>
      <c r="H15">
        <f>+'q7'!$G$38</f>
        <v>223137</v>
      </c>
      <c r="I15">
        <f>+'q7'!$H$38</f>
        <v>243205</v>
      </c>
      <c r="J15">
        <f>+'q7'!$I$38</f>
        <v>261730</v>
      </c>
      <c r="K15">
        <f>+'q7'!$J$38</f>
        <v>270796</v>
      </c>
      <c r="L15">
        <f>+'q7'!$K$38</f>
        <v>233699</v>
      </c>
      <c r="M15">
        <f>+'q7'!$L$38</f>
        <v>239745</v>
      </c>
      <c r="N15">
        <f>+'q7'!$M$38</f>
        <v>279781</v>
      </c>
      <c r="R15" t="str">
        <f t="shared" si="3"/>
        <v>I</v>
      </c>
      <c r="S15">
        <f t="shared" si="1"/>
        <v>166346</v>
      </c>
      <c r="T15">
        <f t="shared" si="2"/>
        <v>166559</v>
      </c>
      <c r="U15">
        <f t="shared" si="2"/>
        <v>174663</v>
      </c>
      <c r="V15">
        <f t="shared" si="2"/>
        <v>189219</v>
      </c>
      <c r="W15">
        <f t="shared" si="2"/>
        <v>204110</v>
      </c>
      <c r="X15">
        <f t="shared" si="2"/>
        <v>223805</v>
      </c>
      <c r="Y15">
        <f t="shared" si="2"/>
        <v>241853</v>
      </c>
      <c r="Z15">
        <f t="shared" si="2"/>
        <v>251350</v>
      </c>
      <c r="AA15">
        <f t="shared" si="2"/>
        <v>214079</v>
      </c>
      <c r="AB15">
        <f t="shared" si="2"/>
        <v>220649</v>
      </c>
      <c r="AC15">
        <f t="shared" si="2"/>
        <v>259660</v>
      </c>
      <c r="BB15" s="348"/>
    </row>
    <row r="16" spans="1:76">
      <c r="A16" s="334"/>
      <c r="B16" t="str">
        <f>+'q7'!$A$39</f>
        <v>J</v>
      </c>
      <c r="C16" t="str">
        <f>+'q7'!$B$39</f>
        <v xml:space="preserve">Ativ. Inform. e de comunicação </v>
      </c>
      <c r="D16">
        <f>+'q7'!$C$39</f>
        <v>66590</v>
      </c>
      <c r="E16">
        <f>+'q7'!$D$39</f>
        <v>68157</v>
      </c>
      <c r="F16">
        <f>+'q7'!$E$39</f>
        <v>71993</v>
      </c>
      <c r="G16">
        <f>+'q7'!$F$39</f>
        <v>72956</v>
      </c>
      <c r="H16">
        <f>+'q7'!$G$39</f>
        <v>77039</v>
      </c>
      <c r="I16">
        <f>+'q7'!$H$39</f>
        <v>83632</v>
      </c>
      <c r="J16">
        <f>+'q7'!$I$39</f>
        <v>91709</v>
      </c>
      <c r="K16">
        <f>+'q7'!$J$39</f>
        <v>99727</v>
      </c>
      <c r="L16">
        <f>+'q7'!$K$39</f>
        <v>107652</v>
      </c>
      <c r="M16">
        <f>+'q7'!$L$39</f>
        <v>114093</v>
      </c>
      <c r="N16">
        <f>+'q7'!$M$39</f>
        <v>132730</v>
      </c>
      <c r="R16" t="str">
        <f t="shared" si="3"/>
        <v>J</v>
      </c>
      <c r="S16">
        <f t="shared" si="1"/>
        <v>63429</v>
      </c>
      <c r="T16">
        <f t="shared" si="2"/>
        <v>64630</v>
      </c>
      <c r="U16">
        <f t="shared" si="2"/>
        <v>67783</v>
      </c>
      <c r="V16">
        <f t="shared" si="2"/>
        <v>68812</v>
      </c>
      <c r="W16">
        <f t="shared" si="2"/>
        <v>72936</v>
      </c>
      <c r="X16">
        <f t="shared" si="2"/>
        <v>79205</v>
      </c>
      <c r="Y16">
        <f t="shared" si="2"/>
        <v>86973</v>
      </c>
      <c r="Z16">
        <f t="shared" si="2"/>
        <v>94794</v>
      </c>
      <c r="AA16">
        <f t="shared" si="2"/>
        <v>102655</v>
      </c>
      <c r="AB16">
        <f t="shared" si="2"/>
        <v>109224</v>
      </c>
      <c r="AC16">
        <f t="shared" si="2"/>
        <v>127560</v>
      </c>
    </row>
    <row r="17" spans="1:54">
      <c r="A17" s="334"/>
      <c r="B17" t="str">
        <f>+'q7'!$A$40</f>
        <v>K</v>
      </c>
      <c r="C17" t="str">
        <f>+'q7'!$B$40</f>
        <v>Ativ. financeiras e de seguros</v>
      </c>
      <c r="D17">
        <f>+'q7'!$C$40</f>
        <v>85558</v>
      </c>
      <c r="E17">
        <f>+'q7'!$D$40</f>
        <v>83701</v>
      </c>
      <c r="F17">
        <f>+'q7'!$E$40</f>
        <v>82983</v>
      </c>
      <c r="G17">
        <f>+'q7'!$F$40</f>
        <v>81189</v>
      </c>
      <c r="H17">
        <f>+'q7'!$G$40</f>
        <v>79408</v>
      </c>
      <c r="I17">
        <f>+'q7'!$H$40</f>
        <v>78025</v>
      </c>
      <c r="J17">
        <f>+'q7'!$I$40</f>
        <v>78807</v>
      </c>
      <c r="K17">
        <f>+'q7'!$J$40</f>
        <v>72314</v>
      </c>
      <c r="L17">
        <f>+'q7'!$K$40</f>
        <v>78746</v>
      </c>
      <c r="M17">
        <f>+'q7'!$L$40</f>
        <v>77632</v>
      </c>
      <c r="N17">
        <f>+'q7'!$M$40</f>
        <v>80352</v>
      </c>
      <c r="R17" t="str">
        <f t="shared" si="3"/>
        <v>K</v>
      </c>
      <c r="S17">
        <f t="shared" si="1"/>
        <v>82456</v>
      </c>
      <c r="T17">
        <f t="shared" si="2"/>
        <v>80489</v>
      </c>
      <c r="U17">
        <f t="shared" si="2"/>
        <v>79315</v>
      </c>
      <c r="V17">
        <f t="shared" si="2"/>
        <v>77783</v>
      </c>
      <c r="W17">
        <f t="shared" si="2"/>
        <v>76080</v>
      </c>
      <c r="X17">
        <f t="shared" si="2"/>
        <v>74708</v>
      </c>
      <c r="Y17">
        <f t="shared" si="2"/>
        <v>75395</v>
      </c>
      <c r="Z17">
        <f t="shared" si="2"/>
        <v>69033</v>
      </c>
      <c r="AA17">
        <f t="shared" si="2"/>
        <v>75376</v>
      </c>
      <c r="AB17">
        <f t="shared" si="2"/>
        <v>74155</v>
      </c>
      <c r="AC17">
        <f t="shared" si="2"/>
        <v>76725</v>
      </c>
      <c r="BB17" s="348"/>
    </row>
    <row r="18" spans="1:54">
      <c r="A18" s="334"/>
      <c r="B18" t="str">
        <f>+'q7'!$A$41</f>
        <v>L</v>
      </c>
      <c r="C18" t="str">
        <f>+'q7'!$B$41</f>
        <v>Atividades imobiliárias</v>
      </c>
      <c r="D18">
        <f>+'q7'!$C$41</f>
        <v>18785</v>
      </c>
      <c r="E18">
        <f>+'q7'!$D$41</f>
        <v>18455</v>
      </c>
      <c r="F18">
        <f>+'q7'!$E$41</f>
        <v>19960</v>
      </c>
      <c r="G18">
        <f>+'q7'!$F$41</f>
        <v>21488</v>
      </c>
      <c r="H18">
        <f>+'q7'!$G$41</f>
        <v>22728</v>
      </c>
      <c r="I18">
        <f>+'q7'!$H$41</f>
        <v>25240</v>
      </c>
      <c r="J18">
        <f>+'q7'!$I$41</f>
        <v>28146</v>
      </c>
      <c r="K18">
        <f>+'q7'!$J$41</f>
        <v>29700</v>
      </c>
      <c r="L18">
        <f>+'q7'!$K$41</f>
        <v>30554</v>
      </c>
      <c r="M18">
        <f>+'q7'!$L$41</f>
        <v>32205</v>
      </c>
      <c r="N18">
        <f>+'q7'!$M$41</f>
        <v>35036</v>
      </c>
      <c r="R18" t="str">
        <f t="shared" si="3"/>
        <v>L</v>
      </c>
      <c r="S18">
        <f t="shared" si="1"/>
        <v>15248</v>
      </c>
      <c r="T18">
        <f t="shared" si="2"/>
        <v>15074</v>
      </c>
      <c r="U18">
        <f t="shared" si="2"/>
        <v>16356</v>
      </c>
      <c r="V18">
        <f t="shared" si="2"/>
        <v>17668</v>
      </c>
      <c r="W18">
        <f t="shared" si="2"/>
        <v>18643</v>
      </c>
      <c r="X18">
        <f t="shared" si="2"/>
        <v>20754</v>
      </c>
      <c r="Y18">
        <f t="shared" si="2"/>
        <v>23132</v>
      </c>
      <c r="Z18">
        <f t="shared" si="2"/>
        <v>24348</v>
      </c>
      <c r="AA18">
        <f t="shared" si="2"/>
        <v>24974</v>
      </c>
      <c r="AB18">
        <f t="shared" si="2"/>
        <v>26345</v>
      </c>
      <c r="AC18">
        <f t="shared" si="2"/>
        <v>28809</v>
      </c>
    </row>
    <row r="19" spans="1:54">
      <c r="A19" s="334"/>
      <c r="B19" t="str">
        <f>+'q7'!$A$42</f>
        <v>M</v>
      </c>
      <c r="C19" t="str">
        <f>+'q7'!$B$42</f>
        <v>Ativ. consultoria, cient.,téc. e sim.</v>
      </c>
      <c r="D19">
        <f>+'q7'!$C$42</f>
        <v>111963</v>
      </c>
      <c r="E19">
        <f>+'q7'!$D$42</f>
        <v>111886</v>
      </c>
      <c r="F19">
        <f>+'q7'!$E$42</f>
        <v>120671</v>
      </c>
      <c r="G19">
        <f>+'q7'!$F$42</f>
        <v>125288</v>
      </c>
      <c r="H19">
        <f>+'q7'!$G$42</f>
        <v>127354</v>
      </c>
      <c r="I19">
        <f>+'q7'!$H$42</f>
        <v>128982</v>
      </c>
      <c r="J19">
        <f>+'q7'!$I$42</f>
        <v>139971</v>
      </c>
      <c r="K19">
        <f>+'q7'!$J$42</f>
        <v>148924</v>
      </c>
      <c r="L19">
        <f>+'q7'!$K$42</f>
        <v>150763</v>
      </c>
      <c r="M19">
        <f>+'q7'!$L$42</f>
        <v>156464</v>
      </c>
      <c r="N19">
        <f>+'q7'!$M$42</f>
        <v>177058</v>
      </c>
      <c r="R19" t="str">
        <f t="shared" si="3"/>
        <v>M</v>
      </c>
      <c r="S19">
        <f t="shared" si="1"/>
        <v>97711</v>
      </c>
      <c r="T19">
        <f t="shared" si="2"/>
        <v>97511</v>
      </c>
      <c r="U19">
        <f t="shared" si="2"/>
        <v>105085</v>
      </c>
      <c r="V19">
        <f t="shared" si="2"/>
        <v>109770</v>
      </c>
      <c r="W19">
        <f t="shared" si="2"/>
        <v>111974</v>
      </c>
      <c r="X19">
        <f t="shared" si="2"/>
        <v>113617</v>
      </c>
      <c r="Y19">
        <f t="shared" si="2"/>
        <v>123636</v>
      </c>
      <c r="Z19">
        <f t="shared" si="2"/>
        <v>132611</v>
      </c>
      <c r="AA19">
        <f t="shared" si="2"/>
        <v>134408</v>
      </c>
      <c r="AB19">
        <f t="shared" si="2"/>
        <v>139839</v>
      </c>
      <c r="AC19">
        <f t="shared" si="2"/>
        <v>159252</v>
      </c>
    </row>
    <row r="20" spans="1:54">
      <c r="A20" s="334"/>
      <c r="B20" t="str">
        <f>+'q7'!$A$43</f>
        <v>N</v>
      </c>
      <c r="C20" t="str">
        <f>+'q7'!$B$43</f>
        <v>Ativ. Adm. e serviços de apoio</v>
      </c>
      <c r="D20">
        <f>+'q7'!$C$43</f>
        <v>218662</v>
      </c>
      <c r="E20">
        <f>+'q7'!$D$43</f>
        <v>230370</v>
      </c>
      <c r="F20">
        <f>+'q7'!$E$43</f>
        <v>243964</v>
      </c>
      <c r="G20">
        <f>+'q7'!$F$43</f>
        <v>251590</v>
      </c>
      <c r="H20">
        <f>+'q7'!$G$43</f>
        <v>273459</v>
      </c>
      <c r="I20">
        <f>+'q7'!$H$43</f>
        <v>299479</v>
      </c>
      <c r="J20">
        <f>+'q7'!$I$43</f>
        <v>298771</v>
      </c>
      <c r="K20">
        <f>+'q7'!$J$43</f>
        <v>299376</v>
      </c>
      <c r="L20">
        <f>+'q7'!$K$43</f>
        <v>291316</v>
      </c>
      <c r="M20">
        <f>+'q7'!$L$43</f>
        <v>280916</v>
      </c>
      <c r="N20">
        <f>+'q7'!$M$43</f>
        <v>313802</v>
      </c>
      <c r="R20" t="str">
        <f t="shared" si="3"/>
        <v>N</v>
      </c>
      <c r="S20">
        <f t="shared" si="1"/>
        <v>214023</v>
      </c>
      <c r="T20">
        <f t="shared" si="2"/>
        <v>225603</v>
      </c>
      <c r="U20">
        <f t="shared" si="2"/>
        <v>238916</v>
      </c>
      <c r="V20">
        <f t="shared" si="2"/>
        <v>246451</v>
      </c>
      <c r="W20">
        <f t="shared" si="2"/>
        <v>268226</v>
      </c>
      <c r="X20">
        <f t="shared" si="2"/>
        <v>294174</v>
      </c>
      <c r="Y20">
        <f t="shared" si="2"/>
        <v>293550</v>
      </c>
      <c r="Z20">
        <f t="shared" si="2"/>
        <v>293948</v>
      </c>
      <c r="AA20">
        <f t="shared" si="2"/>
        <v>285919</v>
      </c>
      <c r="AB20">
        <f t="shared" si="2"/>
        <v>275843</v>
      </c>
      <c r="AC20">
        <f t="shared" si="2"/>
        <v>307876</v>
      </c>
    </row>
    <row r="21" spans="1:54">
      <c r="A21" s="334"/>
      <c r="B21" t="str">
        <f>+'q7'!$A$44</f>
        <v>O</v>
      </c>
      <c r="C21" t="str">
        <f>+'q7'!$B$44</f>
        <v xml:space="preserve">Adm. Púb. e defesa; seg. social </v>
      </c>
      <c r="D21">
        <f>+'q7'!$C$44</f>
        <v>10490</v>
      </c>
      <c r="E21">
        <f>+'q7'!$D$44</f>
        <v>10265</v>
      </c>
      <c r="F21">
        <f>+'q7'!$E$44</f>
        <v>10823</v>
      </c>
      <c r="G21">
        <f>+'q7'!$F$44</f>
        <v>10646</v>
      </c>
      <c r="H21">
        <f>+'q7'!$G$44</f>
        <v>10719</v>
      </c>
      <c r="I21">
        <f>+'q7'!$H$44</f>
        <v>11285</v>
      </c>
      <c r="J21">
        <f>+'q7'!$I$44</f>
        <v>11658</v>
      </c>
      <c r="K21">
        <f>+'q7'!$J$44</f>
        <v>11877</v>
      </c>
      <c r="L21">
        <f>+'q7'!$K$44</f>
        <v>12408</v>
      </c>
      <c r="M21">
        <f>+'q7'!$L$44</f>
        <v>12061</v>
      </c>
      <c r="N21">
        <f>+'q7'!$M$44</f>
        <v>13207</v>
      </c>
      <c r="R21" t="str">
        <f t="shared" si="3"/>
        <v>O</v>
      </c>
      <c r="S21">
        <f t="shared" si="1"/>
        <v>10463</v>
      </c>
      <c r="T21">
        <f t="shared" si="2"/>
        <v>10222</v>
      </c>
      <c r="U21">
        <f t="shared" si="2"/>
        <v>10787</v>
      </c>
      <c r="V21">
        <f t="shared" si="2"/>
        <v>10612</v>
      </c>
      <c r="W21">
        <f t="shared" si="2"/>
        <v>10688</v>
      </c>
      <c r="X21">
        <f t="shared" si="2"/>
        <v>11236</v>
      </c>
      <c r="Y21">
        <f t="shared" si="2"/>
        <v>11602</v>
      </c>
      <c r="Z21">
        <f t="shared" si="2"/>
        <v>11794</v>
      </c>
      <c r="AA21">
        <f t="shared" si="2"/>
        <v>12327</v>
      </c>
      <c r="AB21">
        <f t="shared" si="2"/>
        <v>11997</v>
      </c>
      <c r="AC21">
        <f t="shared" si="2"/>
        <v>13111</v>
      </c>
    </row>
    <row r="22" spans="1:54">
      <c r="A22" s="334"/>
      <c r="B22" t="str">
        <f>+'q7'!$A$45</f>
        <v>P</v>
      </c>
      <c r="C22" t="str">
        <f>+'q7'!$B$45</f>
        <v>Educação</v>
      </c>
      <c r="D22">
        <f>+'q7'!$C$45</f>
        <v>54453</v>
      </c>
      <c r="E22">
        <f>+'q7'!$D$45</f>
        <v>53165</v>
      </c>
      <c r="F22">
        <f>+'q7'!$E$45</f>
        <v>53776</v>
      </c>
      <c r="G22">
        <f>+'q7'!$F$45</f>
        <v>56603</v>
      </c>
      <c r="H22">
        <f>+'q7'!$G$45</f>
        <v>56595</v>
      </c>
      <c r="I22">
        <f>+'q7'!$H$45</f>
        <v>56216</v>
      </c>
      <c r="J22">
        <f>+'q7'!$I$45</f>
        <v>60367</v>
      </c>
      <c r="K22">
        <f>+'q7'!$J$45</f>
        <v>60849</v>
      </c>
      <c r="L22">
        <f>+'q7'!$K$45</f>
        <v>62433</v>
      </c>
      <c r="M22">
        <f>+'q7'!$L$45</f>
        <v>61474</v>
      </c>
      <c r="N22">
        <f>+'q7'!$M$45</f>
        <v>64779</v>
      </c>
      <c r="R22" t="str">
        <f t="shared" si="3"/>
        <v>P</v>
      </c>
      <c r="S22">
        <f t="shared" si="1"/>
        <v>51867</v>
      </c>
      <c r="T22">
        <f t="shared" si="2"/>
        <v>50566</v>
      </c>
      <c r="U22">
        <f t="shared" si="2"/>
        <v>50957</v>
      </c>
      <c r="V22">
        <f t="shared" si="2"/>
        <v>53876</v>
      </c>
      <c r="W22">
        <f t="shared" si="2"/>
        <v>53906</v>
      </c>
      <c r="X22">
        <f t="shared" si="2"/>
        <v>53502</v>
      </c>
      <c r="Y22">
        <f t="shared" si="2"/>
        <v>57690</v>
      </c>
      <c r="Z22">
        <f t="shared" si="2"/>
        <v>58269</v>
      </c>
      <c r="AA22">
        <f t="shared" si="2"/>
        <v>59807</v>
      </c>
      <c r="AB22">
        <f t="shared" si="2"/>
        <v>58921</v>
      </c>
      <c r="AC22">
        <f t="shared" si="2"/>
        <v>62076</v>
      </c>
    </row>
    <row r="23" spans="1:54">
      <c r="A23" s="334"/>
      <c r="B23" t="str">
        <f>+'q7'!$A$46</f>
        <v>Q</v>
      </c>
      <c r="C23" t="str">
        <f>+'q7'!$B$46</f>
        <v>Ativ. saúde humana e apoio social</v>
      </c>
      <c r="D23">
        <f>+'q7'!$C$46</f>
        <v>216882</v>
      </c>
      <c r="E23">
        <f>+'q7'!$D$46</f>
        <v>222574</v>
      </c>
      <c r="F23">
        <f>+'q7'!$E$46</f>
        <v>229330</v>
      </c>
      <c r="G23">
        <f>+'q7'!$F$46</f>
        <v>241051</v>
      </c>
      <c r="H23">
        <f>+'q7'!$G$46</f>
        <v>254988</v>
      </c>
      <c r="I23">
        <f>+'q7'!$H$46</f>
        <v>265423</v>
      </c>
      <c r="J23">
        <f>+'q7'!$I$46</f>
        <v>271575</v>
      </c>
      <c r="K23">
        <f>+'q7'!$J$46</f>
        <v>278424</v>
      </c>
      <c r="L23">
        <f>+'q7'!$K$46</f>
        <v>289188</v>
      </c>
      <c r="M23">
        <f>+'q7'!$L$46</f>
        <v>295748</v>
      </c>
      <c r="N23">
        <f>+'q7'!$M$46</f>
        <v>309107</v>
      </c>
      <c r="R23" t="str">
        <f t="shared" si="3"/>
        <v>Q</v>
      </c>
      <c r="S23">
        <f t="shared" si="1"/>
        <v>209941</v>
      </c>
      <c r="T23">
        <f t="shared" ref="T23:AC26" si="4">IF($Q$3=1, VLOOKUP($R$7:$R$26,$B$6:$N$26,COLUMN(E23)-1,0),VLOOKUP($R$7:$R$26,$B$31:$N$50,COLUMN(E23)-1,0))</f>
        <v>215109</v>
      </c>
      <c r="U23">
        <f t="shared" si="4"/>
        <v>221126</v>
      </c>
      <c r="V23">
        <f t="shared" si="4"/>
        <v>232717</v>
      </c>
      <c r="W23">
        <f t="shared" si="4"/>
        <v>246800</v>
      </c>
      <c r="X23">
        <f t="shared" si="4"/>
        <v>257306</v>
      </c>
      <c r="Y23">
        <f t="shared" si="4"/>
        <v>263021</v>
      </c>
      <c r="Z23">
        <f t="shared" si="4"/>
        <v>269760</v>
      </c>
      <c r="AA23">
        <f t="shared" si="4"/>
        <v>280115</v>
      </c>
      <c r="AB23">
        <f t="shared" si="4"/>
        <v>286750</v>
      </c>
      <c r="AC23">
        <f t="shared" si="4"/>
        <v>299622</v>
      </c>
    </row>
    <row r="24" spans="1:54">
      <c r="A24" s="334"/>
      <c r="B24" t="str">
        <f>+'q7'!$A$47</f>
        <v>R</v>
      </c>
      <c r="C24" t="str">
        <f>+'q7'!$B$47</f>
        <v>Ativ. artíst., espet., desp. e recr.</v>
      </c>
      <c r="D24">
        <f>+'q7'!$C$47</f>
        <v>21132</v>
      </c>
      <c r="E24">
        <f>+'q7'!$D$47</f>
        <v>21362</v>
      </c>
      <c r="F24">
        <f>+'q7'!$E$47</f>
        <v>20524</v>
      </c>
      <c r="G24">
        <f>+'q7'!$F$47</f>
        <v>22785</v>
      </c>
      <c r="H24">
        <f>+'q7'!$G$47</f>
        <v>23892</v>
      </c>
      <c r="I24">
        <f>+'q7'!$H$47</f>
        <v>26109</v>
      </c>
      <c r="J24">
        <f>+'q7'!$I$47</f>
        <v>28777</v>
      </c>
      <c r="K24">
        <f>+'q7'!$J$47</f>
        <v>30427</v>
      </c>
      <c r="L24">
        <f>+'q7'!$K$47</f>
        <v>28691</v>
      </c>
      <c r="M24">
        <f>+'q7'!$L$47</f>
        <v>31034</v>
      </c>
      <c r="N24">
        <f>+'q7'!$M$47</f>
        <v>33359</v>
      </c>
      <c r="R24" t="str">
        <f t="shared" si="3"/>
        <v>R</v>
      </c>
      <c r="S24">
        <f t="shared" si="1"/>
        <v>19721</v>
      </c>
      <c r="T24">
        <f t="shared" si="4"/>
        <v>19836</v>
      </c>
      <c r="U24">
        <f t="shared" si="4"/>
        <v>18760</v>
      </c>
      <c r="V24">
        <f t="shared" si="4"/>
        <v>21039</v>
      </c>
      <c r="W24">
        <f t="shared" si="4"/>
        <v>22077</v>
      </c>
      <c r="X24">
        <f t="shared" si="4"/>
        <v>24123</v>
      </c>
      <c r="Y24">
        <f t="shared" si="4"/>
        <v>26529</v>
      </c>
      <c r="Z24">
        <f t="shared" si="4"/>
        <v>28069</v>
      </c>
      <c r="AA24">
        <f t="shared" si="4"/>
        <v>26263</v>
      </c>
      <c r="AB24">
        <f t="shared" si="4"/>
        <v>28680</v>
      </c>
      <c r="AC24">
        <f t="shared" si="4"/>
        <v>30827</v>
      </c>
    </row>
    <row r="25" spans="1:54">
      <c r="A25" s="334"/>
      <c r="B25" t="str">
        <f>+'q7'!$A$48</f>
        <v>S</v>
      </c>
      <c r="C25" t="str">
        <f>+'q7'!$B$48</f>
        <v>Outras atividades de serviços</v>
      </c>
      <c r="D25">
        <f>+'q7'!$C$48</f>
        <v>67765</v>
      </c>
      <c r="E25">
        <f>+'q7'!$D$48</f>
        <v>67041</v>
      </c>
      <c r="F25">
        <f>+'q7'!$E$48</f>
        <v>67966</v>
      </c>
      <c r="G25">
        <f>+'q7'!$F$48</f>
        <v>65669</v>
      </c>
      <c r="H25">
        <f>+'q7'!$G$48</f>
        <v>66238</v>
      </c>
      <c r="I25">
        <f>+'q7'!$H$48</f>
        <v>64042</v>
      </c>
      <c r="J25">
        <f>+'q7'!$I$48</f>
        <v>66801</v>
      </c>
      <c r="K25">
        <f>+'q7'!$J$48</f>
        <v>63852</v>
      </c>
      <c r="L25">
        <f>+'q7'!$K$48</f>
        <v>61955</v>
      </c>
      <c r="M25">
        <f>+'q7'!$L$48</f>
        <v>60477</v>
      </c>
      <c r="N25">
        <f>+'q7'!$M$48</f>
        <v>63987</v>
      </c>
      <c r="R25" t="str">
        <f t="shared" si="3"/>
        <v>S</v>
      </c>
      <c r="S25">
        <f t="shared" si="1"/>
        <v>62791</v>
      </c>
      <c r="T25">
        <f t="shared" si="4"/>
        <v>61973</v>
      </c>
      <c r="U25">
        <f t="shared" si="4"/>
        <v>62532</v>
      </c>
      <c r="V25">
        <f t="shared" si="4"/>
        <v>60404</v>
      </c>
      <c r="W25">
        <f t="shared" si="4"/>
        <v>61086</v>
      </c>
      <c r="X25">
        <f t="shared" si="4"/>
        <v>58964</v>
      </c>
      <c r="Y25">
        <f t="shared" si="4"/>
        <v>61792</v>
      </c>
      <c r="Z25">
        <f t="shared" si="4"/>
        <v>59107</v>
      </c>
      <c r="AA25">
        <f t="shared" si="4"/>
        <v>57266</v>
      </c>
      <c r="AB25">
        <f t="shared" si="4"/>
        <v>56071</v>
      </c>
      <c r="AC25">
        <f t="shared" si="4"/>
        <v>59443</v>
      </c>
    </row>
    <row r="26" spans="1:54">
      <c r="A26" s="334"/>
      <c r="B26" t="str">
        <f>+'q7'!$A$49</f>
        <v>U</v>
      </c>
      <c r="C26" t="str">
        <f>+'q7'!$B$49</f>
        <v>Ativ. org. int. e o. inst. extra-territ.</v>
      </c>
      <c r="D26">
        <f>+'q7'!$C$49</f>
        <v>56</v>
      </c>
      <c r="E26">
        <f>+'q7'!$D$49</f>
        <v>83</v>
      </c>
      <c r="F26">
        <f>+'q7'!$E$49</f>
        <v>93</v>
      </c>
      <c r="G26">
        <f>+'q7'!$F$49</f>
        <v>91</v>
      </c>
      <c r="H26">
        <f>+'q7'!$G$49</f>
        <v>106</v>
      </c>
      <c r="I26">
        <f>+'q7'!$H$49</f>
        <v>95</v>
      </c>
      <c r="J26">
        <f>+'q7'!$I$49</f>
        <v>97</v>
      </c>
      <c r="K26">
        <f>+'q7'!$J$49</f>
        <v>102</v>
      </c>
      <c r="L26">
        <f>+'q7'!$K$49</f>
        <v>119</v>
      </c>
      <c r="M26">
        <f>+'q7'!$L$49</f>
        <v>107</v>
      </c>
      <c r="N26">
        <f>+'q7'!$M$49</f>
        <v>125</v>
      </c>
      <c r="R26" t="str">
        <f t="shared" si="3"/>
        <v>U</v>
      </c>
      <c r="S26">
        <f t="shared" si="1"/>
        <v>53</v>
      </c>
      <c r="T26">
        <f t="shared" si="4"/>
        <v>81</v>
      </c>
      <c r="U26">
        <f t="shared" si="4"/>
        <v>91</v>
      </c>
      <c r="V26">
        <f t="shared" si="4"/>
        <v>89</v>
      </c>
      <c r="W26">
        <f t="shared" si="4"/>
        <v>104</v>
      </c>
      <c r="X26">
        <f t="shared" si="4"/>
        <v>92</v>
      </c>
      <c r="Y26">
        <f t="shared" si="4"/>
        <v>94</v>
      </c>
      <c r="Z26">
        <f t="shared" si="4"/>
        <v>100</v>
      </c>
      <c r="AA26">
        <f t="shared" si="4"/>
        <v>117</v>
      </c>
      <c r="AB26">
        <f t="shared" si="4"/>
        <v>107</v>
      </c>
      <c r="AC26">
        <f t="shared" si="4"/>
        <v>125</v>
      </c>
      <c r="AN26" s="334"/>
    </row>
    <row r="27" spans="1:54">
      <c r="A27" s="334"/>
      <c r="B27" s="334" t="s">
        <v>283</v>
      </c>
      <c r="C27" s="334"/>
      <c r="D27">
        <f>+'q8'!$B$6+'q8'!$B$7</f>
        <v>821636</v>
      </c>
      <c r="E27">
        <f>+'q8'!$C$6+'q8'!$C$7</f>
        <v>807035</v>
      </c>
      <c r="F27">
        <f>+'q8'!$D$6+'q8'!$D$7</f>
        <v>817718</v>
      </c>
      <c r="G27">
        <f>+'q8'!$E$6+'q8'!$E$7</f>
        <v>828965</v>
      </c>
      <c r="H27">
        <f>+'q8'!$F$6+'q8'!$F$7</f>
        <v>840792</v>
      </c>
      <c r="I27">
        <f>+'q8'!$G$6+'q8'!$G$7</f>
        <v>849655</v>
      </c>
      <c r="J27">
        <f>+'q8'!$H$6+'q8'!$H$7</f>
        <v>861111</v>
      </c>
      <c r="K27">
        <f>+'q8'!$I$6+'q8'!$I$7</f>
        <v>845876</v>
      </c>
      <c r="L27">
        <f>+'q8'!$J$6+'q8'!$J$7</f>
        <v>853076</v>
      </c>
      <c r="M27">
        <f>+'q8'!$K$6+'q8'!$K$7</f>
        <v>837669</v>
      </c>
      <c r="N27">
        <f>+'q8'!$L$6+'q8'!$L$7</f>
        <v>873069</v>
      </c>
    </row>
    <row r="28" spans="1:54">
      <c r="A28" s="334"/>
      <c r="B28" s="334" t="s">
        <v>543</v>
      </c>
      <c r="C28" s="334"/>
      <c r="D28">
        <f>+'q8'!$B$8+'q8'!$B$9</f>
        <v>762692</v>
      </c>
      <c r="E28">
        <f>+'q8'!$C$8+'q8'!$C$9</f>
        <v>754503</v>
      </c>
      <c r="F28">
        <f>+'q8'!$D$8+'q8'!$D$9</f>
        <v>781002</v>
      </c>
      <c r="G28">
        <f>+'q8'!$E$8+'q8'!$E$9</f>
        <v>809264</v>
      </c>
      <c r="H28">
        <f>+'q8'!$F$8+'q8'!$F$9</f>
        <v>838406</v>
      </c>
      <c r="I28">
        <f>+'q8'!$G$8+'q8'!$G$9</f>
        <v>880167</v>
      </c>
      <c r="J28">
        <f>+'q8'!$H$8+'q8'!$H$9</f>
        <v>916605</v>
      </c>
      <c r="K28">
        <f>+'q8'!$I$8+'q8'!$I$9</f>
        <v>936633</v>
      </c>
      <c r="L28">
        <f>+'q8'!$J$8+'q8'!$J$9</f>
        <v>923119</v>
      </c>
      <c r="M28">
        <f>+'q8'!$K$8+'q8'!$K$9</f>
        <v>932577</v>
      </c>
      <c r="N28">
        <f>+'q8'!$L$8+'q8'!$L$9</f>
        <v>1004253</v>
      </c>
    </row>
    <row r="29" spans="1:54">
      <c r="A29" s="334"/>
      <c r="B29" s="334" t="s">
        <v>544</v>
      </c>
      <c r="C29" s="334"/>
      <c r="D29">
        <f>+'q8'!$B$10+'q8'!$B$11+'q8'!$B$12+'q8'!$B$13</f>
        <v>563520</v>
      </c>
      <c r="E29">
        <f>+'q8'!$C$10+'q8'!$C$11+'q8'!$C$12+'q8'!$C$13</f>
        <v>567809</v>
      </c>
      <c r="F29">
        <f>+'q8'!$D$10+'q8'!$D$11+'q8'!$D$12+'q8'!$D$13</f>
        <v>586678</v>
      </c>
      <c r="G29">
        <f>+'q8'!$E$10+'q8'!$E$11+'q8'!$E$12+'q8'!$E$13</f>
        <v>606103</v>
      </c>
      <c r="H29">
        <f>+'q8'!$F$10+'q8'!$F$11+'q8'!$F$12+'q8'!$F$13</f>
        <v>632612</v>
      </c>
      <c r="I29">
        <f>+'q8'!$G$10+'q8'!$G$11+'q8'!$G$12+'q8'!$G$13</f>
        <v>664431</v>
      </c>
      <c r="J29">
        <f>+'q8'!$H$10+'q8'!$H$11+'q8'!$H$12+'q8'!$H$13</f>
        <v>700099</v>
      </c>
      <c r="K29">
        <f>+'q8'!$I$10+'q8'!$I$11+'q8'!$I$12+'q8'!$I$13</f>
        <v>716788</v>
      </c>
      <c r="L29">
        <f>+'q8'!$J$10+'q8'!$J$11+'q8'!$J$12+'q8'!$J$13</f>
        <v>705873</v>
      </c>
      <c r="M29">
        <f>+'q8'!$K$10+'q8'!$K$11+'q8'!$K$12+'q8'!$K$13</f>
        <v>724835</v>
      </c>
      <c r="N29">
        <f>+'q8'!$L$10+'q8'!$L$11+'q8'!$L$12+'q8'!$L$13</f>
        <v>794196</v>
      </c>
    </row>
    <row r="30" spans="1:54">
      <c r="A30" s="334"/>
      <c r="B30" s="334" t="s">
        <v>292</v>
      </c>
      <c r="C30" s="334"/>
      <c r="D30">
        <f>+'q8'!$B$14+'q8'!$B$15+'q8'!$B$16</f>
        <v>409386</v>
      </c>
      <c r="E30">
        <f>+'q8'!$C$14+'q8'!$C$15+'q8'!$C$16</f>
        <v>424110</v>
      </c>
      <c r="F30">
        <f>+'q8'!$D$14+'q8'!$D$15+'q8'!$D$16</f>
        <v>449091</v>
      </c>
      <c r="G30">
        <f>+'q8'!$E$14+'q8'!$E$15+'q8'!$E$16</f>
        <v>469722</v>
      </c>
      <c r="H30">
        <f>+'q8'!$F$14+'q8'!$F$15+'q8'!$F$16</f>
        <v>506174</v>
      </c>
      <c r="I30">
        <f>+'q8'!$G$14+'q8'!$G$15+'q8'!$G$16</f>
        <v>550734</v>
      </c>
      <c r="J30">
        <f>+'q8'!$H$14+'q8'!$H$15+'q8'!$H$16</f>
        <v>580834</v>
      </c>
      <c r="K30">
        <f>+'q8'!$I$14+'q8'!$I$15+'q8'!$I$16</f>
        <v>609353</v>
      </c>
      <c r="L30">
        <f>+'q8'!$J$14+'q8'!$J$15+'q8'!$J$16</f>
        <v>599925</v>
      </c>
      <c r="M30">
        <f>+'q8'!$K$14+'q8'!$K$15+'q8'!$K$16</f>
        <v>604893</v>
      </c>
      <c r="N30">
        <f>+'q8'!$L$14+'q8'!$L$15+'q8'!$L$16</f>
        <v>663306</v>
      </c>
      <c r="S30">
        <f>+S6</f>
        <v>2012</v>
      </c>
      <c r="T30">
        <f t="shared" ref="T30:AC30" si="5">+T6</f>
        <v>2013</v>
      </c>
      <c r="U30">
        <f t="shared" si="5"/>
        <v>2014</v>
      </c>
      <c r="V30">
        <f t="shared" si="5"/>
        <v>2015</v>
      </c>
      <c r="W30">
        <f t="shared" si="5"/>
        <v>2016</v>
      </c>
      <c r="X30">
        <f t="shared" si="5"/>
        <v>2017</v>
      </c>
      <c r="Y30">
        <f t="shared" si="5"/>
        <v>2018</v>
      </c>
      <c r="Z30">
        <f t="shared" si="5"/>
        <v>2019</v>
      </c>
      <c r="AA30">
        <f t="shared" si="5"/>
        <v>2020</v>
      </c>
      <c r="AB30">
        <f t="shared" si="5"/>
        <v>2021</v>
      </c>
      <c r="AC30">
        <f t="shared" si="5"/>
        <v>2022</v>
      </c>
    </row>
    <row r="31" spans="1:54">
      <c r="A31" s="334" t="s">
        <v>186</v>
      </c>
      <c r="B31" t="str">
        <f>+'q10'!$A$6</f>
        <v>A</v>
      </c>
      <c r="C31" t="str">
        <f>+'q10'!$B$6</f>
        <v>Agr., pr. animal, caça, flor. pesca</v>
      </c>
      <c r="D31">
        <f>+'q10'!$C$6</f>
        <v>48046</v>
      </c>
      <c r="E31">
        <f>+'q10'!$D$6</f>
        <v>52455</v>
      </c>
      <c r="F31">
        <f>+'q10'!$E$6</f>
        <v>54661</v>
      </c>
      <c r="G31">
        <f>+'q10'!$F$6</f>
        <v>57045</v>
      </c>
      <c r="H31">
        <f>+'q10'!$G$6</f>
        <v>60375</v>
      </c>
      <c r="I31">
        <f>+'q10'!$H$6</f>
        <v>61737</v>
      </c>
      <c r="J31">
        <f>+'q10'!$I$6</f>
        <v>65121</v>
      </c>
      <c r="K31">
        <f>+'q10'!$J$6</f>
        <v>66106</v>
      </c>
      <c r="L31">
        <f>+'q10'!$K$6</f>
        <v>69923</v>
      </c>
      <c r="M31">
        <f>+'q10'!$L$6</f>
        <v>68486</v>
      </c>
      <c r="N31">
        <f>+'q10'!$M$6</f>
        <v>74274</v>
      </c>
      <c r="Q31" t="str">
        <f>INDEX($A$2:$A$3,$Q$3)</f>
        <v>TCO</v>
      </c>
      <c r="R31" s="334" t="str">
        <f>+B27</f>
        <v>Micro (1-9 pessoas)</v>
      </c>
      <c r="S31">
        <f>IF($Q$3=1,VLOOKUP($R$31:$R$34,$B$27:$N$30,COLUMN(D27)-1,0),VLOOKUP($R$31:$R$34,$B$51:$N$54,COLUMN(D27)-1,0))</f>
        <v>680793</v>
      </c>
      <c r="T31">
        <f t="shared" ref="T31:AC34" si="6">IF($Q$3=1,VLOOKUP($R$31:$R$34,$B$27:$N$30,COLUMN(E27)-1,0),VLOOKUP($R$31:$R$34,$B$51:$N$54,COLUMN(E27)-1,0))</f>
        <v>666913</v>
      </c>
      <c r="U31">
        <f t="shared" si="6"/>
        <v>674602</v>
      </c>
      <c r="V31">
        <f t="shared" si="6"/>
        <v>686838</v>
      </c>
      <c r="W31">
        <f t="shared" si="6"/>
        <v>698455</v>
      </c>
      <c r="X31">
        <f t="shared" si="6"/>
        <v>707551</v>
      </c>
      <c r="Y31">
        <f t="shared" si="6"/>
        <v>717867</v>
      </c>
      <c r="Z31">
        <f t="shared" si="6"/>
        <v>705572</v>
      </c>
      <c r="AA31">
        <f t="shared" si="6"/>
        <v>709290</v>
      </c>
      <c r="AB31">
        <f t="shared" si="6"/>
        <v>697277</v>
      </c>
      <c r="AC31">
        <f t="shared" si="6"/>
        <v>727177</v>
      </c>
    </row>
    <row r="32" spans="1:54">
      <c r="A32" s="334"/>
      <c r="B32" t="str">
        <f>+'q10'!$A$7</f>
        <v>B</v>
      </c>
      <c r="C32" t="str">
        <f>+'q10'!$B$7</f>
        <v>Indústrias extrativas</v>
      </c>
      <c r="D32">
        <f>+'q10'!$C$7</f>
        <v>8294</v>
      </c>
      <c r="E32">
        <f>+'q10'!$D$7</f>
        <v>8319</v>
      </c>
      <c r="F32">
        <f>+'q10'!$E$7</f>
        <v>8158</v>
      </c>
      <c r="G32">
        <f>+'q10'!$F$7</f>
        <v>8132</v>
      </c>
      <c r="H32">
        <f>+'q10'!$G$7</f>
        <v>8049</v>
      </c>
      <c r="I32">
        <f>+'q10'!$H$7</f>
        <v>8407</v>
      </c>
      <c r="J32">
        <f>+'q10'!$I$7</f>
        <v>8338</v>
      </c>
      <c r="K32">
        <f>+'q10'!$J$7</f>
        <v>8161</v>
      </c>
      <c r="L32">
        <f>+'q10'!$K$7</f>
        <v>8029</v>
      </c>
      <c r="M32">
        <f>+'q10'!$L$7</f>
        <v>8140</v>
      </c>
      <c r="N32">
        <f>+'q10'!$M$7</f>
        <v>8518</v>
      </c>
      <c r="R32" s="334" t="str">
        <f t="shared" ref="R32:R34" si="7">+B28</f>
        <v>Pequenos (10 - 49 pessoas)</v>
      </c>
      <c r="S32">
        <f>IF($Q$3=1,VLOOKUP($R$31:$R$34,$B$27:$N$30,COLUMN(D28)-1,0),VLOOKUP($R$31:$R$34,$B$51:$N$54,COLUMN(D28)-1,0))</f>
        <v>735582</v>
      </c>
      <c r="T32">
        <f t="shared" si="6"/>
        <v>727923</v>
      </c>
      <c r="U32">
        <f t="shared" si="6"/>
        <v>752242</v>
      </c>
      <c r="V32">
        <f t="shared" si="6"/>
        <v>779942</v>
      </c>
      <c r="W32">
        <f t="shared" si="6"/>
        <v>808880</v>
      </c>
      <c r="X32">
        <f t="shared" si="6"/>
        <v>849173</v>
      </c>
      <c r="Y32">
        <f t="shared" si="6"/>
        <v>884241</v>
      </c>
      <c r="Z32">
        <f t="shared" si="6"/>
        <v>903699</v>
      </c>
      <c r="AA32">
        <f t="shared" si="6"/>
        <v>890723</v>
      </c>
      <c r="AB32">
        <f t="shared" si="6"/>
        <v>899808</v>
      </c>
      <c r="AC32">
        <f t="shared" si="6"/>
        <v>969158</v>
      </c>
    </row>
    <row r="33" spans="1:50">
      <c r="A33" s="334"/>
      <c r="B33" t="str">
        <f>+'q10'!$A$8</f>
        <v>C</v>
      </c>
      <c r="C33" t="str">
        <f>+'q10'!$B$8</f>
        <v>Indústrias transformadoras</v>
      </c>
      <c r="D33">
        <f>+'q10'!$C$8</f>
        <v>539570</v>
      </c>
      <c r="E33">
        <f>+'q10'!$D$8</f>
        <v>541161</v>
      </c>
      <c r="F33">
        <f>+'q10'!$E$8</f>
        <v>557477</v>
      </c>
      <c r="G33">
        <f>+'q10'!$F$8</f>
        <v>572207</v>
      </c>
      <c r="H33">
        <f>+'q10'!$G$8</f>
        <v>589603</v>
      </c>
      <c r="I33">
        <f>+'q10'!$H$8</f>
        <v>613379</v>
      </c>
      <c r="J33">
        <f>+'q10'!$I$8</f>
        <v>633595</v>
      </c>
      <c r="K33">
        <f>+'q10'!$J$8</f>
        <v>625633</v>
      </c>
      <c r="L33">
        <f>+'q10'!$K$8</f>
        <v>614674</v>
      </c>
      <c r="M33">
        <f>+'q10'!$L$8</f>
        <v>612054</v>
      </c>
      <c r="N33">
        <f>+'q10'!$M$8</f>
        <v>642354</v>
      </c>
      <c r="R33" s="334" t="str">
        <f t="shared" si="7"/>
        <v>Médios (50 - 249 pessoas)</v>
      </c>
      <c r="S33">
        <f>IF($Q$3=1,VLOOKUP($R$31:$R$34,$B$27:$N$30,COLUMN(D29)-1,0),VLOOKUP($R$31:$R$34,$B$51:$N$54,COLUMN(D29)-1,0))</f>
        <v>559939</v>
      </c>
      <c r="T33">
        <f t="shared" si="6"/>
        <v>563970</v>
      </c>
      <c r="U33">
        <f t="shared" si="6"/>
        <v>581774</v>
      </c>
      <c r="V33">
        <f t="shared" si="6"/>
        <v>601283</v>
      </c>
      <c r="W33">
        <f t="shared" si="6"/>
        <v>628036</v>
      </c>
      <c r="X33">
        <f t="shared" si="6"/>
        <v>659773</v>
      </c>
      <c r="Y33">
        <f t="shared" si="6"/>
        <v>694825</v>
      </c>
      <c r="Z33">
        <f t="shared" si="6"/>
        <v>711328</v>
      </c>
      <c r="AA33">
        <f t="shared" si="6"/>
        <v>700769</v>
      </c>
      <c r="AB33">
        <f t="shared" si="6"/>
        <v>719552</v>
      </c>
      <c r="AC33">
        <f t="shared" si="6"/>
        <v>788139</v>
      </c>
    </row>
    <row r="34" spans="1:50">
      <c r="A34" s="334"/>
      <c r="B34" t="str">
        <f>+'q10'!$A$33</f>
        <v>D</v>
      </c>
      <c r="C34" t="str">
        <f>+'q10'!$B$33</f>
        <v>Eletr., gás, ág. quente/fria e ar frio</v>
      </c>
      <c r="D34">
        <f>+'q10'!$C$33</f>
        <v>6828</v>
      </c>
      <c r="E34">
        <f>+'q10'!$D$33</f>
        <v>6577</v>
      </c>
      <c r="F34">
        <f>+'q10'!$E$33</f>
        <v>6277</v>
      </c>
      <c r="G34">
        <f>+'q10'!$F$33</f>
        <v>6611</v>
      </c>
      <c r="H34">
        <f>+'q10'!$G$33</f>
        <v>6390</v>
      </c>
      <c r="I34">
        <f>+'q10'!$H$33</f>
        <v>6505</v>
      </c>
      <c r="J34">
        <f>+'q10'!$I$33</f>
        <v>6748</v>
      </c>
      <c r="K34">
        <f>+'q10'!$J$33</f>
        <v>6736</v>
      </c>
      <c r="L34">
        <f>+'q10'!$K$33</f>
        <v>6671</v>
      </c>
      <c r="M34">
        <f>+'q10'!$L$33</f>
        <v>6574</v>
      </c>
      <c r="N34">
        <f>+'q10'!$M$33</f>
        <v>6551</v>
      </c>
      <c r="R34" s="334" t="str">
        <f t="shared" si="7"/>
        <v>Grandes (250 ou + pessoas)</v>
      </c>
      <c r="S34">
        <f>IF($Q$3=1,VLOOKUP($R$31:$R$34,$B$27:$N$30,COLUMN(D30)-1,0),VLOOKUP($R$31:$R$34,$B$51:$N$54,COLUMN(D30)-1,0))</f>
        <v>408574</v>
      </c>
      <c r="T34">
        <f t="shared" si="6"/>
        <v>423096</v>
      </c>
      <c r="U34">
        <f t="shared" si="6"/>
        <v>447153</v>
      </c>
      <c r="V34">
        <f t="shared" si="6"/>
        <v>467633</v>
      </c>
      <c r="W34">
        <f t="shared" si="6"/>
        <v>504554</v>
      </c>
      <c r="X34">
        <f t="shared" si="6"/>
        <v>549108</v>
      </c>
      <c r="Y34">
        <f t="shared" si="6"/>
        <v>579145</v>
      </c>
      <c r="Z34">
        <f t="shared" si="6"/>
        <v>607584</v>
      </c>
      <c r="AA34">
        <f t="shared" si="6"/>
        <v>598470</v>
      </c>
      <c r="AB34">
        <f t="shared" si="6"/>
        <v>603335</v>
      </c>
      <c r="AC34">
        <f t="shared" si="6"/>
        <v>661415</v>
      </c>
    </row>
    <row r="35" spans="1:50">
      <c r="A35" s="334"/>
      <c r="B35" t="str">
        <f>+'q10'!$A$34</f>
        <v>E</v>
      </c>
      <c r="C35" t="str">
        <f>+'q10'!$B$34</f>
        <v>Capt., trat. e d. água; san., resíd.</v>
      </c>
      <c r="D35">
        <f>+'q10'!$C$34</f>
        <v>19881</v>
      </c>
      <c r="E35">
        <f>+'q10'!$D$34</f>
        <v>20353</v>
      </c>
      <c r="F35">
        <f>+'q10'!$E$34</f>
        <v>20348</v>
      </c>
      <c r="G35">
        <f>+'q10'!$F$34</f>
        <v>20860</v>
      </c>
      <c r="H35">
        <f>+'q10'!$G$34</f>
        <v>22233</v>
      </c>
      <c r="I35">
        <f>+'q10'!$H$34</f>
        <v>23079</v>
      </c>
      <c r="J35">
        <f>+'q10'!$I$34</f>
        <v>23567</v>
      </c>
      <c r="K35">
        <f>+'q10'!$J$34</f>
        <v>24904</v>
      </c>
      <c r="L35">
        <f>+'q10'!$K$34</f>
        <v>25711</v>
      </c>
      <c r="M35">
        <f>+'q10'!$L$34</f>
        <v>27469</v>
      </c>
      <c r="N35">
        <f>+'q10'!$M$34</f>
        <v>28585</v>
      </c>
    </row>
    <row r="36" spans="1:50">
      <c r="A36" s="334"/>
      <c r="B36" t="str">
        <f>+'q10'!$A$35</f>
        <v>F</v>
      </c>
      <c r="C36" t="str">
        <f>+'q10'!$B$35</f>
        <v>Construção</v>
      </c>
      <c r="D36">
        <f>+'q10'!$C$35</f>
        <v>191754</v>
      </c>
      <c r="E36">
        <f>+'q10'!$D$35</f>
        <v>178328</v>
      </c>
      <c r="F36">
        <f>+'q10'!$E$35</f>
        <v>178366</v>
      </c>
      <c r="G36">
        <f>+'q10'!$F$35</f>
        <v>178864</v>
      </c>
      <c r="H36">
        <f>+'q10'!$G$35</f>
        <v>183547</v>
      </c>
      <c r="I36">
        <f>+'q10'!$H$35</f>
        <v>195420</v>
      </c>
      <c r="J36">
        <f>+'q10'!$I$35</f>
        <v>206868</v>
      </c>
      <c r="K36">
        <f>+'q10'!$J$35</f>
        <v>219984</v>
      </c>
      <c r="L36">
        <f>+'q10'!$K$35</f>
        <v>232381</v>
      </c>
      <c r="M36">
        <f>+'q10'!$L$35</f>
        <v>234450</v>
      </c>
      <c r="N36">
        <f>+'q10'!$M$35</f>
        <v>253501</v>
      </c>
    </row>
    <row r="37" spans="1:50">
      <c r="A37" s="334"/>
      <c r="B37" t="str">
        <f>+'q10'!$A$36</f>
        <v>G</v>
      </c>
      <c r="C37" t="str">
        <f>+'q10'!$B$36</f>
        <v>Com. grosso e ret.; r.v.aut./moto.</v>
      </c>
      <c r="D37">
        <f>+'q10'!$C$36</f>
        <v>460720</v>
      </c>
      <c r="E37">
        <f>+'q10'!$D$36</f>
        <v>452371</v>
      </c>
      <c r="F37">
        <f>+'q10'!$E$36</f>
        <v>463519</v>
      </c>
      <c r="G37">
        <f>+'q10'!$F$36</f>
        <v>478256</v>
      </c>
      <c r="H37">
        <f>+'q10'!$G$36</f>
        <v>492250</v>
      </c>
      <c r="I37">
        <f>+'q10'!$H$36</f>
        <v>507360</v>
      </c>
      <c r="J37">
        <f>+'q10'!$I$36</f>
        <v>522673</v>
      </c>
      <c r="K37">
        <f>+'q10'!$J$36</f>
        <v>538367</v>
      </c>
      <c r="L37">
        <f>+'q10'!$K$36</f>
        <v>525816</v>
      </c>
      <c r="M37">
        <f>+'q10'!$L$36</f>
        <v>533620</v>
      </c>
      <c r="N37">
        <f>+'q10'!$M$36</f>
        <v>559353</v>
      </c>
    </row>
    <row r="38" spans="1:50">
      <c r="A38" s="334"/>
      <c r="B38" t="str">
        <f>+'q10'!$A$37</f>
        <v>H</v>
      </c>
      <c r="C38" t="str">
        <f>+'q10'!$B$37</f>
        <v>Transportes e armazenagem</v>
      </c>
      <c r="D38">
        <f>+'q10'!$C$37</f>
        <v>118244</v>
      </c>
      <c r="E38">
        <f>+'q10'!$D$37</f>
        <v>116904</v>
      </c>
      <c r="F38">
        <f>+'q10'!$E$37</f>
        <v>122986</v>
      </c>
      <c r="G38">
        <f>+'q10'!$F$37</f>
        <v>127238</v>
      </c>
      <c r="H38">
        <f>+'q10'!$G$37</f>
        <v>132842</v>
      </c>
      <c r="I38">
        <f>+'q10'!$H$37</f>
        <v>140148</v>
      </c>
      <c r="J38">
        <f>+'q10'!$I$37</f>
        <v>145741</v>
      </c>
      <c r="K38">
        <f>+'q10'!$J$37</f>
        <v>147408</v>
      </c>
      <c r="L38">
        <f>+'q10'!$K$37</f>
        <v>146314</v>
      </c>
      <c r="M38">
        <f>+'q10'!$L$37</f>
        <v>142969</v>
      </c>
      <c r="N38">
        <f>+'q10'!$M$37</f>
        <v>149925</v>
      </c>
      <c r="P38" s="334"/>
    </row>
    <row r="39" spans="1:50">
      <c r="A39" s="334"/>
      <c r="B39" t="str">
        <f>+'q10'!$A$38</f>
        <v>I</v>
      </c>
      <c r="C39" t="str">
        <f>+'q10'!$B$38</f>
        <v>Alojamento, restauração e sim.</v>
      </c>
      <c r="D39">
        <f>+'q10'!$C$38</f>
        <v>166346</v>
      </c>
      <c r="E39">
        <f>+'q10'!$D$38</f>
        <v>166559</v>
      </c>
      <c r="F39">
        <f>+'q10'!$E$38</f>
        <v>174663</v>
      </c>
      <c r="G39">
        <f>+'q10'!$F$38</f>
        <v>189219</v>
      </c>
      <c r="H39">
        <f>+'q10'!$G$38</f>
        <v>204110</v>
      </c>
      <c r="I39">
        <f>+'q10'!$H$38</f>
        <v>223805</v>
      </c>
      <c r="J39">
        <f>+'q10'!$I$38</f>
        <v>241853</v>
      </c>
      <c r="K39">
        <f>+'q10'!$J$38</f>
        <v>251350</v>
      </c>
      <c r="L39">
        <f>+'q10'!$K$38</f>
        <v>214079</v>
      </c>
      <c r="M39">
        <f>+'q10'!$L$38</f>
        <v>220649</v>
      </c>
      <c r="N39">
        <f>+'q10'!$M$38</f>
        <v>259660</v>
      </c>
      <c r="Q39" s="578"/>
      <c r="R39" s="334"/>
    </row>
    <row r="40" spans="1:50">
      <c r="A40" s="334"/>
      <c r="B40" t="str">
        <f>+'q10'!$A$39</f>
        <v>J</v>
      </c>
      <c r="C40" t="str">
        <f>+'q10'!$B$39</f>
        <v xml:space="preserve">Ativ. Inform. e de comunicação </v>
      </c>
      <c r="D40">
        <f>+'q10'!$C$39</f>
        <v>63429</v>
      </c>
      <c r="E40">
        <f>+'q10'!$D$39</f>
        <v>64630</v>
      </c>
      <c r="F40">
        <f>+'q10'!$E$39</f>
        <v>67783</v>
      </c>
      <c r="G40">
        <f>+'q10'!$F$39</f>
        <v>68812</v>
      </c>
      <c r="H40">
        <f>+'q10'!$G$39</f>
        <v>72936</v>
      </c>
      <c r="I40">
        <f>+'q10'!$H$39</f>
        <v>79205</v>
      </c>
      <c r="J40">
        <f>+'q10'!$I$39</f>
        <v>86973</v>
      </c>
      <c r="K40">
        <f>+'q10'!$J$39</f>
        <v>94794</v>
      </c>
      <c r="L40">
        <f>+'q10'!$K$39</f>
        <v>102655</v>
      </c>
      <c r="M40">
        <f>+'q10'!$L$39</f>
        <v>109224</v>
      </c>
      <c r="N40">
        <f>+'q10'!$M$39</f>
        <v>127560</v>
      </c>
      <c r="Q40" s="578"/>
      <c r="R40" s="334"/>
    </row>
    <row r="41" spans="1:50">
      <c r="A41" s="334"/>
      <c r="B41" t="str">
        <f>+'q10'!$A$40</f>
        <v>K</v>
      </c>
      <c r="C41" t="str">
        <f>+'q10'!$B$40</f>
        <v>Ativ. financeiras e de seguros</v>
      </c>
      <c r="D41">
        <f>+'q10'!$C$40</f>
        <v>82456</v>
      </c>
      <c r="E41">
        <f>+'q10'!$D$40</f>
        <v>80489</v>
      </c>
      <c r="F41">
        <f>+'q10'!$E$40</f>
        <v>79315</v>
      </c>
      <c r="G41">
        <f>+'q10'!$F$40</f>
        <v>77783</v>
      </c>
      <c r="H41">
        <f>+'q10'!$G$40</f>
        <v>76080</v>
      </c>
      <c r="I41">
        <f>+'q10'!$H$40</f>
        <v>74708</v>
      </c>
      <c r="J41">
        <f>+'q10'!$I$40</f>
        <v>75395</v>
      </c>
      <c r="K41">
        <f>+'q10'!$J$40</f>
        <v>69033</v>
      </c>
      <c r="L41">
        <f>+'q10'!$K$40</f>
        <v>75376</v>
      </c>
      <c r="M41">
        <f>+'q10'!$L$40</f>
        <v>74155</v>
      </c>
      <c r="N41">
        <f>+'q10'!$M$40</f>
        <v>76725</v>
      </c>
      <c r="R41" s="335" t="s">
        <v>500</v>
      </c>
    </row>
    <row r="42" spans="1:50">
      <c r="A42" s="334"/>
      <c r="B42" t="str">
        <f>+'q10'!$A$41</f>
        <v>L</v>
      </c>
      <c r="C42" t="str">
        <f>+'q10'!$B$41</f>
        <v>Atividades imobiliárias</v>
      </c>
      <c r="D42">
        <f>+'q10'!$C$41</f>
        <v>15248</v>
      </c>
      <c r="E42">
        <f>+'q10'!$D$41</f>
        <v>15074</v>
      </c>
      <c r="F42">
        <f>+'q10'!$E$41</f>
        <v>16356</v>
      </c>
      <c r="G42">
        <f>+'q10'!$F$41</f>
        <v>17668</v>
      </c>
      <c r="H42">
        <f>+'q10'!$G$41</f>
        <v>18643</v>
      </c>
      <c r="I42">
        <f>+'q10'!$H$41</f>
        <v>20754</v>
      </c>
      <c r="J42">
        <f>+'q10'!$I$41</f>
        <v>23132</v>
      </c>
      <c r="K42">
        <f>+'q10'!$J$41</f>
        <v>24348</v>
      </c>
      <c r="L42">
        <f>+'q10'!$K$41</f>
        <v>24974</v>
      </c>
      <c r="M42">
        <f>+'q10'!$L$41</f>
        <v>26345</v>
      </c>
      <c r="N42">
        <f>+'q10'!$M$41</f>
        <v>28809</v>
      </c>
      <c r="R42" s="335" t="s">
        <v>263</v>
      </c>
      <c r="V42" s="446"/>
    </row>
    <row r="43" spans="1:50">
      <c r="A43" s="334"/>
      <c r="B43" t="str">
        <f>+'q10'!$A$42</f>
        <v>M</v>
      </c>
      <c r="C43" t="str">
        <f>+'q10'!$B$42</f>
        <v>Ativ. consultoria, cient.,téc. e sim.</v>
      </c>
      <c r="D43">
        <f>+'q10'!$C$42</f>
        <v>97711</v>
      </c>
      <c r="E43">
        <f>+'q10'!$D$42</f>
        <v>97511</v>
      </c>
      <c r="F43">
        <f>+'q10'!$E$42</f>
        <v>105085</v>
      </c>
      <c r="G43">
        <f>+'q10'!$F$42</f>
        <v>109770</v>
      </c>
      <c r="H43">
        <f>+'q10'!$G$42</f>
        <v>111974</v>
      </c>
      <c r="I43">
        <f>+'q10'!$H$42</f>
        <v>113617</v>
      </c>
      <c r="J43">
        <f>+'q10'!$I$42</f>
        <v>123636</v>
      </c>
      <c r="K43">
        <f>+'q10'!$J$42</f>
        <v>132611</v>
      </c>
      <c r="L43">
        <f>+'q10'!$K$42</f>
        <v>134408</v>
      </c>
      <c r="M43">
        <f>+'q10'!$L$42</f>
        <v>139839</v>
      </c>
      <c r="N43">
        <f>+'q10'!$M$42</f>
        <v>159252</v>
      </c>
      <c r="R43" s="335" t="s">
        <v>265</v>
      </c>
      <c r="U43" s="335" t="s">
        <v>186</v>
      </c>
      <c r="V43" s="447"/>
    </row>
    <row r="44" spans="1:50">
      <c r="A44" s="334"/>
      <c r="B44" t="str">
        <f>+'q10'!$A$43</f>
        <v>N</v>
      </c>
      <c r="C44" t="str">
        <f>+'q10'!$B$43</f>
        <v>Ativ. Adm. e serviços de apoio</v>
      </c>
      <c r="D44">
        <f>+'q10'!$C$43</f>
        <v>214023</v>
      </c>
      <c r="E44">
        <f>+'q10'!$D$43</f>
        <v>225603</v>
      </c>
      <c r="F44">
        <f>+'q10'!$E$43</f>
        <v>238916</v>
      </c>
      <c r="G44">
        <f>+'q10'!$F$43</f>
        <v>246451</v>
      </c>
      <c r="H44">
        <f>+'q10'!$G$43</f>
        <v>268226</v>
      </c>
      <c r="I44">
        <f>+'q10'!$H$43</f>
        <v>294174</v>
      </c>
      <c r="J44">
        <f>+'q10'!$I$43</f>
        <v>293550</v>
      </c>
      <c r="K44">
        <f>+'q10'!$J$43</f>
        <v>293948</v>
      </c>
      <c r="L44">
        <f>+'q10'!$K$43</f>
        <v>285919</v>
      </c>
      <c r="M44">
        <f>+'q10'!$L$43</f>
        <v>275843</v>
      </c>
      <c r="N44">
        <f>+'q10'!$M$43</f>
        <v>307876</v>
      </c>
      <c r="Q44" s="335" t="s">
        <v>546</v>
      </c>
      <c r="R44" s="458">
        <f>+$V$69</f>
        <v>2022</v>
      </c>
      <c r="S44" s="335" t="str">
        <f>R44&amp;" % do total"</f>
        <v>2022 % do total</v>
      </c>
      <c r="T44" s="335" t="str">
        <f>R49&amp;" % do total"</f>
        <v>2012 % do total</v>
      </c>
      <c r="U44" s="458">
        <f>+$V$69</f>
        <v>2022</v>
      </c>
      <c r="W44" s="335" t="str">
        <f>U44&amp;" % do total"</f>
        <v>2022 % do total</v>
      </c>
      <c r="X44" s="335" t="str">
        <f>U49&amp;" % do total"</f>
        <v>2012 % do total</v>
      </c>
    </row>
    <row r="45" spans="1:50">
      <c r="A45" s="334"/>
      <c r="B45" t="str">
        <f>+'q10'!$A$44</f>
        <v>O</v>
      </c>
      <c r="C45" t="str">
        <f>+'q10'!$B$44</f>
        <v xml:space="preserve">Adm. Púb. e defesa; seg. social </v>
      </c>
      <c r="D45">
        <f>+'q10'!$C$44</f>
        <v>10463</v>
      </c>
      <c r="E45">
        <f>+'q10'!$D$44</f>
        <v>10222</v>
      </c>
      <c r="F45">
        <f>+'q10'!$E$44</f>
        <v>10787</v>
      </c>
      <c r="G45">
        <f>+'q10'!$F$44</f>
        <v>10612</v>
      </c>
      <c r="H45">
        <f>+'q10'!$G$44</f>
        <v>10688</v>
      </c>
      <c r="I45">
        <f>+'q10'!$H$44</f>
        <v>11236</v>
      </c>
      <c r="J45">
        <f>+'q10'!$I$44</f>
        <v>11602</v>
      </c>
      <c r="K45">
        <f>+'q10'!$J$44</f>
        <v>11794</v>
      </c>
      <c r="L45">
        <f>+'q10'!$K$44</f>
        <v>12327</v>
      </c>
      <c r="M45">
        <f>+'q10'!$L$44</f>
        <v>11997</v>
      </c>
      <c r="N45">
        <f>+'q10'!$M$44</f>
        <v>13111</v>
      </c>
      <c r="Q45" t="str">
        <f>+$U$70</f>
        <v>C</v>
      </c>
      <c r="R45" s="404" t="str">
        <f>+VLOOKUP($Q45,Aux!$B$14:$D$33,3)</f>
        <v>Ind. transformadoras</v>
      </c>
      <c r="S45" s="436" t="str">
        <f>+TEXT($X$70,"##.###,0%")</f>
        <v>20,0%</v>
      </c>
      <c r="U45" s="404" t="str">
        <f>+$U$79</f>
        <v>C</v>
      </c>
      <c r="V45" s="404" t="str">
        <f>+VLOOKUP($U45,Aux!$B$14:$D$33,3)</f>
        <v>Ind. transformadoras</v>
      </c>
      <c r="W45" s="436" t="str">
        <f>+TEXT($X$79,"##.###,0%")</f>
        <v>20,4%</v>
      </c>
    </row>
    <row r="46" spans="1:50">
      <c r="A46" s="334"/>
      <c r="B46" t="str">
        <f>+'q10'!$A$45</f>
        <v>P</v>
      </c>
      <c r="C46" t="str">
        <f>+'q10'!$B$45</f>
        <v>Educação</v>
      </c>
      <c r="D46">
        <f>+'q10'!$C$45</f>
        <v>51867</v>
      </c>
      <c r="E46">
        <f>+'q10'!$D$45</f>
        <v>50566</v>
      </c>
      <c r="F46">
        <f>+'q10'!$E$45</f>
        <v>50957</v>
      </c>
      <c r="G46">
        <f>+'q10'!$F$45</f>
        <v>53876</v>
      </c>
      <c r="H46">
        <f>+'q10'!$G$45</f>
        <v>53906</v>
      </c>
      <c r="I46">
        <f>+'q10'!$H$45</f>
        <v>53502</v>
      </c>
      <c r="J46">
        <f>+'q10'!$I$45</f>
        <v>57690</v>
      </c>
      <c r="K46">
        <f>+'q10'!$J$45</f>
        <v>58269</v>
      </c>
      <c r="L46">
        <f>+'q10'!$K$45</f>
        <v>59807</v>
      </c>
      <c r="M46">
        <f>+'q10'!$L$45</f>
        <v>58921</v>
      </c>
      <c r="N46">
        <f>+'q10'!$M$45</f>
        <v>62076</v>
      </c>
      <c r="Q46" t="str">
        <f>+$U$71</f>
        <v>G</v>
      </c>
      <c r="R46" s="404" t="str">
        <f>+VLOOKUP($Q46,Aux!$B$14:$D$33,3)</f>
        <v>Com. por grosso e a ret.; rep. de veíc. autom. e mot.</v>
      </c>
      <c r="S46" s="436" t="str">
        <f>+TEXT($X$71,"##.###,0%")</f>
        <v>18,2%</v>
      </c>
      <c r="T46" s="436"/>
      <c r="U46" s="404" t="str">
        <f>+$U$80</f>
        <v>G</v>
      </c>
      <c r="V46" s="404" t="str">
        <f>+VLOOKUP($U46,Aux!$B$14:$D$33,3)</f>
        <v>Com. por grosso e a ret.; rep. de veíc. autom. e mot.</v>
      </c>
      <c r="W46" s="436" t="str">
        <f>+TEXT($X$80,"##.###,0%")</f>
        <v>17,8%</v>
      </c>
    </row>
    <row r="47" spans="1:50">
      <c r="A47" s="334"/>
      <c r="B47" t="str">
        <f>+'q10'!$A$46</f>
        <v>Q</v>
      </c>
      <c r="C47" t="str">
        <f>+'q10'!$B$46</f>
        <v>Ativ. saúde humana e apoio social</v>
      </c>
      <c r="D47">
        <f>+'q10'!$C$46</f>
        <v>209941</v>
      </c>
      <c r="E47">
        <f>+'q10'!$D$46</f>
        <v>215109</v>
      </c>
      <c r="F47">
        <f>+'q10'!$E$46</f>
        <v>221126</v>
      </c>
      <c r="G47">
        <f>+'q10'!$F$46</f>
        <v>232717</v>
      </c>
      <c r="H47">
        <f>+'q10'!$G$46</f>
        <v>246800</v>
      </c>
      <c r="I47">
        <f>+'q10'!$H$46</f>
        <v>257306</v>
      </c>
      <c r="J47">
        <f>+'q10'!$I$46</f>
        <v>263021</v>
      </c>
      <c r="K47">
        <f>+'q10'!$J$46</f>
        <v>269760</v>
      </c>
      <c r="L47">
        <f>+'q10'!$K$46</f>
        <v>280115</v>
      </c>
      <c r="M47">
        <f>+'q10'!$L$46</f>
        <v>286750</v>
      </c>
      <c r="N47">
        <f>+'q10'!$M$46</f>
        <v>299622</v>
      </c>
      <c r="Q47" t="str">
        <f>+$U$72</f>
        <v>N</v>
      </c>
      <c r="R47" s="404" t="str">
        <f>+VLOOKUP($Q47,Aux!$B$14:$D$33,3)</f>
        <v>Atividades administrativas e dos serviços de apoio</v>
      </c>
      <c r="S47" s="436" t="str">
        <f>+TEXT($X$72,"##.###,0%")</f>
        <v>9,4%</v>
      </c>
      <c r="T47" s="436" t="str">
        <f>+TEXT($Y$73,"##.###,0%")</f>
        <v>8,5%</v>
      </c>
      <c r="U47" s="404" t="str">
        <f>+$U$81</f>
        <v>N</v>
      </c>
      <c r="V47" s="404" t="str">
        <f>+VLOOKUP($U47,Aux!$B$14:$D$33,3)</f>
        <v>Atividades administrativas e dos serviços de apoio</v>
      </c>
      <c r="W47" s="436" t="str">
        <f>+TEXT($X$81,"##.###,0%")</f>
        <v>9,8%</v>
      </c>
      <c r="X47" s="436" t="str">
        <f>+TEXT($Y$81,"##.###,0%")</f>
        <v>9,0%</v>
      </c>
      <c r="AX47" s="367"/>
    </row>
    <row r="48" spans="1:50">
      <c r="A48" s="334"/>
      <c r="B48" t="str">
        <f>+'q10'!$A$47</f>
        <v>R</v>
      </c>
      <c r="C48" t="str">
        <f>+'q10'!$B$47</f>
        <v>Ativ. artíst., espet., desp. e recr.</v>
      </c>
      <c r="D48">
        <f>+'q10'!$C$47</f>
        <v>19721</v>
      </c>
      <c r="E48">
        <f>+'q10'!$D$47</f>
        <v>19836</v>
      </c>
      <c r="F48">
        <f>+'q10'!$E$47</f>
        <v>18760</v>
      </c>
      <c r="G48">
        <f>+'q10'!$F$47</f>
        <v>21039</v>
      </c>
      <c r="H48">
        <f>+'q10'!$G$47</f>
        <v>22077</v>
      </c>
      <c r="I48">
        <f>+'q10'!$H$47</f>
        <v>24123</v>
      </c>
      <c r="J48">
        <f>+'q10'!$I$47</f>
        <v>26529</v>
      </c>
      <c r="K48">
        <f>+'q10'!$J$47</f>
        <v>28069</v>
      </c>
      <c r="L48">
        <f>+'q10'!$K$47</f>
        <v>26263</v>
      </c>
      <c r="M48">
        <f>+'q10'!$L$47</f>
        <v>28680</v>
      </c>
      <c r="N48">
        <f>+'q10'!$M$47</f>
        <v>30827</v>
      </c>
    </row>
    <row r="49" spans="1:56">
      <c r="A49" s="334"/>
      <c r="B49" t="str">
        <f>+'q10'!$A$48</f>
        <v>S</v>
      </c>
      <c r="C49" t="str">
        <f>+'q10'!$B$48</f>
        <v>Outras atividades de serviços</v>
      </c>
      <c r="D49">
        <f>+'q10'!$C$48</f>
        <v>62791</v>
      </c>
      <c r="E49">
        <f>+'q10'!$D$48</f>
        <v>61973</v>
      </c>
      <c r="F49">
        <f>+'q10'!$E$48</f>
        <v>62532</v>
      </c>
      <c r="G49">
        <f>+'q10'!$F$48</f>
        <v>60404</v>
      </c>
      <c r="H49">
        <f>+'q10'!$G$48</f>
        <v>61086</v>
      </c>
      <c r="I49">
        <f>+'q10'!$H$48</f>
        <v>58964</v>
      </c>
      <c r="J49">
        <f>+'q10'!$I$48</f>
        <v>61792</v>
      </c>
      <c r="K49">
        <f>+'q10'!$J$48</f>
        <v>59107</v>
      </c>
      <c r="L49">
        <f>+'q10'!$K$48</f>
        <v>57266</v>
      </c>
      <c r="M49">
        <f>+'q10'!$L$48</f>
        <v>56071</v>
      </c>
      <c r="N49">
        <f>+'q10'!$M$48</f>
        <v>59443</v>
      </c>
      <c r="Q49" s="335" t="s">
        <v>546</v>
      </c>
      <c r="R49" s="458">
        <f>+$B$69</f>
        <v>2012</v>
      </c>
      <c r="S49" s="335" t="str">
        <f>R49&amp;" % do total"</f>
        <v>2012 % do total</v>
      </c>
      <c r="T49" s="335" t="str">
        <f>R44&amp;" % do total"</f>
        <v>2022 % do total</v>
      </c>
      <c r="U49" s="458">
        <f>+$B$69</f>
        <v>2012</v>
      </c>
      <c r="V49" s="446"/>
      <c r="W49" s="335" t="str">
        <f>U49&amp;" % do total"</f>
        <v>2012 % do total</v>
      </c>
      <c r="X49" s="335" t="str">
        <f>U44&amp;" % do total"</f>
        <v>2022 % do total</v>
      </c>
    </row>
    <row r="50" spans="1:56">
      <c r="A50" s="334"/>
      <c r="B50" t="str">
        <f>+'q10'!$A$49</f>
        <v>U</v>
      </c>
      <c r="C50" t="str">
        <f>+'q10'!$B$49</f>
        <v>Ativ. org. int. e o. inst. extra-territ.</v>
      </c>
      <c r="D50">
        <f>+'q10'!$C$49</f>
        <v>53</v>
      </c>
      <c r="E50">
        <f>+'q10'!$D$49</f>
        <v>81</v>
      </c>
      <c r="F50">
        <f>+'q10'!$E$49</f>
        <v>91</v>
      </c>
      <c r="G50">
        <f>+'q10'!$F$49</f>
        <v>89</v>
      </c>
      <c r="H50">
        <f>+'q10'!$G$49</f>
        <v>104</v>
      </c>
      <c r="I50">
        <f>+'q10'!$H$49</f>
        <v>92</v>
      </c>
      <c r="J50">
        <f>+'q10'!$I$49</f>
        <v>94</v>
      </c>
      <c r="K50">
        <f>+'q10'!$J$49</f>
        <v>100</v>
      </c>
      <c r="L50">
        <f>+'q10'!$K$49</f>
        <v>117</v>
      </c>
      <c r="M50">
        <f>+'q10'!$L$49</f>
        <v>107</v>
      </c>
      <c r="N50">
        <f>+'q10'!$M$49</f>
        <v>125</v>
      </c>
      <c r="Q50" t="str">
        <f>+$A$70</f>
        <v>C</v>
      </c>
      <c r="R50" s="404" t="str">
        <f>+VLOOKUP($Q50,Aux!$B$14:$D$33,3)</f>
        <v>Ind. transformadoras</v>
      </c>
      <c r="S50" s="436" t="str">
        <f>+TEXT($Y$70,"##.###,0%")</f>
        <v>22,1%</v>
      </c>
      <c r="U50" s="404" t="str">
        <f>+$A$79</f>
        <v>C</v>
      </c>
      <c r="V50" s="404" t="str">
        <f>+VLOOKUP($U50,Aux!$B$14:$D$33,3)</f>
        <v>Ind. transformadoras</v>
      </c>
      <c r="W50" s="436" t="str">
        <f>+TEXT($Y$79,"##.###,0%")</f>
        <v>22,6%</v>
      </c>
    </row>
    <row r="51" spans="1:56">
      <c r="A51" s="334"/>
      <c r="B51" s="334" t="s">
        <v>283</v>
      </c>
      <c r="C51" s="334"/>
      <c r="D51">
        <f>+'q11'!$C$8+'q11'!$C$11</f>
        <v>680793</v>
      </c>
      <c r="E51">
        <f>+'q11'!$D$8+'q11'!$D$11</f>
        <v>666913</v>
      </c>
      <c r="F51">
        <f>+'q11'!$E$8+'q11'!$E$11</f>
        <v>674602</v>
      </c>
      <c r="G51">
        <f>+'q11'!$F$8+'q11'!$F$11</f>
        <v>686838</v>
      </c>
      <c r="H51">
        <f>+'q11'!$G$8+'q11'!$G$11</f>
        <v>698455</v>
      </c>
      <c r="I51">
        <f>+'q11'!$H$8+'q11'!$H$11</f>
        <v>707551</v>
      </c>
      <c r="J51">
        <f>+'q11'!$I$8+'q11'!$I$11</f>
        <v>717867</v>
      </c>
      <c r="K51">
        <f>+'q11'!$J$8+'q11'!$J$11</f>
        <v>705572</v>
      </c>
      <c r="L51">
        <f>+'q11'!$K$8+'q11'!$K$11</f>
        <v>709290</v>
      </c>
      <c r="M51">
        <f>+'q11'!$L$8+'q11'!$L$11</f>
        <v>697277</v>
      </c>
      <c r="N51">
        <f>+'q11'!$M$8+'q11'!$M$11</f>
        <v>727177</v>
      </c>
      <c r="Q51" t="str">
        <f>+$A$71</f>
        <v>G</v>
      </c>
      <c r="R51" s="404" t="str">
        <f>+VLOOKUP($Q51,Aux!$B$14:$D$33,3)</f>
        <v>Com. por grosso e a ret.; rep. de veíc. autom. e mot.</v>
      </c>
      <c r="S51" s="436" t="str">
        <f>+TEXT($Y$71,"##.###,0%")</f>
        <v>19,9%</v>
      </c>
      <c r="T51" s="436"/>
      <c r="U51" s="404" t="str">
        <f>+$A$80</f>
        <v>G</v>
      </c>
      <c r="V51" s="404" t="str">
        <f>+VLOOKUP($U51,Aux!$B$14:$D$33,3)</f>
        <v>Com. por grosso e a ret.; rep. de veíc. autom. e mot.</v>
      </c>
      <c r="W51" s="436" t="str">
        <f>+TEXT($Y$80,"##.###,0%")</f>
        <v>19,3%</v>
      </c>
    </row>
    <row r="52" spans="1:56">
      <c r="A52" s="334"/>
      <c r="B52" s="334" t="s">
        <v>543</v>
      </c>
      <c r="C52" s="334"/>
      <c r="D52">
        <f>+'q11'!$C$14+'q11'!$C$17</f>
        <v>735582</v>
      </c>
      <c r="E52">
        <f>+'q11'!$D$14+'q11'!$D$17</f>
        <v>727923</v>
      </c>
      <c r="F52">
        <f>+'q11'!$E$14+'q11'!$E$17</f>
        <v>752242</v>
      </c>
      <c r="G52">
        <f>+'q11'!$F$14+'q11'!$F$17</f>
        <v>779942</v>
      </c>
      <c r="H52">
        <f>+'q11'!$G$14+'q11'!$G$17</f>
        <v>808880</v>
      </c>
      <c r="I52">
        <f>+'q11'!$H$14+'q11'!$H$17</f>
        <v>849173</v>
      </c>
      <c r="J52">
        <f>+'q11'!$I$14+'q11'!$I$17</f>
        <v>884241</v>
      </c>
      <c r="K52">
        <f>+'q11'!$J$14+'q11'!$J$17</f>
        <v>903699</v>
      </c>
      <c r="L52">
        <f>+'q11'!$K$14+'q11'!$K$17</f>
        <v>890723</v>
      </c>
      <c r="M52">
        <f>+'q11'!$L$14+'q11'!$L$17</f>
        <v>899808</v>
      </c>
      <c r="N52">
        <f>+'q11'!$M$14+'q11'!$M$17</f>
        <v>969158</v>
      </c>
      <c r="Q52" t="str">
        <f>+$A$72</f>
        <v>N</v>
      </c>
      <c r="R52" s="404" t="str">
        <f>+VLOOKUP($Q52,Aux!$B$14:$D$33,3)</f>
        <v>Atividades administrativas e dos serviços de apoio</v>
      </c>
      <c r="S52" s="436" t="str">
        <f>+TEXT($Y$72,"##.###,0%")</f>
        <v>8,5%</v>
      </c>
      <c r="T52" s="436" t="str">
        <f>+TEXT($X$74,"##.###,0%")</f>
        <v>8,4%</v>
      </c>
      <c r="U52" s="404" t="str">
        <f>+$A$81</f>
        <v>N</v>
      </c>
      <c r="V52" s="404" t="str">
        <f>+VLOOKUP($U52,Aux!$B$14:$D$33,3)</f>
        <v>Atividades administrativas e dos serviços de apoio</v>
      </c>
      <c r="W52" s="436" t="str">
        <f>+TEXT($Y$81,"##.###,0%")</f>
        <v>9,0%</v>
      </c>
      <c r="X52" s="436" t="str">
        <f>+TEXT($X$83,"##.###,0%")</f>
        <v>8,2%</v>
      </c>
    </row>
    <row r="53" spans="1:56">
      <c r="A53" s="334"/>
      <c r="B53" s="334" t="s">
        <v>544</v>
      </c>
      <c r="C53" s="334"/>
      <c r="D53">
        <f>+'q11'!$C$20+'q11'!$C$23+'q11'!$C$26+'q11'!$C$29</f>
        <v>559939</v>
      </c>
      <c r="E53">
        <f>+'q11'!$D$20+'q11'!$D$23+'q11'!$D$26+'q11'!$D$29</f>
        <v>563970</v>
      </c>
      <c r="F53">
        <f>+'q11'!$E$20+'q11'!$E$23+'q11'!$E$26+'q11'!$E$29</f>
        <v>581774</v>
      </c>
      <c r="G53">
        <f>+'q11'!$F$20+'q11'!$F$23+'q11'!$F$26+'q11'!$F$29</f>
        <v>601283</v>
      </c>
      <c r="H53">
        <f>+'q11'!$G$20+'q11'!$G$23+'q11'!$G$26+'q11'!$G$29</f>
        <v>628036</v>
      </c>
      <c r="I53">
        <f>+'q11'!$H$20+'q11'!$H$23+'q11'!$H$26+'q11'!$H$29</f>
        <v>659773</v>
      </c>
      <c r="J53">
        <f>+'q11'!$I$20+'q11'!$I$23+'q11'!$I$26+'q11'!$I$29</f>
        <v>694825</v>
      </c>
      <c r="K53">
        <f>+'q11'!$J$20+'q11'!$J$23+'q11'!$J$26+'q11'!$J$29</f>
        <v>711328</v>
      </c>
      <c r="L53">
        <f>+'q11'!$K$20+'q11'!$K$23+'q11'!$K$26+'q11'!$K$29</f>
        <v>700769</v>
      </c>
      <c r="M53">
        <f>+'q11'!$L$20+'q11'!$L$23+'q11'!$L$26+'q11'!$L$29</f>
        <v>719552</v>
      </c>
      <c r="N53">
        <f>+'q11'!$M$20+'q11'!$M$23+'q11'!$M$26+'q11'!$M$29</f>
        <v>788139</v>
      </c>
    </row>
    <row r="54" spans="1:56">
      <c r="A54" s="334"/>
      <c r="B54" s="334" t="s">
        <v>292</v>
      </c>
      <c r="C54" s="334"/>
      <c r="D54">
        <f>+'q11'!$C$32+'q11'!$C$35+'q11'!$C$38</f>
        <v>408574</v>
      </c>
      <c r="E54">
        <f>+'q11'!$D$32+'q11'!$D$35+'q11'!$D$38</f>
        <v>423096</v>
      </c>
      <c r="F54">
        <f>+'q11'!$E$32+'q11'!$E$35+'q11'!$E$38</f>
        <v>447153</v>
      </c>
      <c r="G54">
        <f>+'q11'!$F$32+'q11'!$F$35+'q11'!$F$38</f>
        <v>467633</v>
      </c>
      <c r="H54">
        <f>+'q11'!$G$32+'q11'!$G$35+'q11'!$G$38</f>
        <v>504554</v>
      </c>
      <c r="I54">
        <f>+'q11'!$H$32+'q11'!$H$35+'q11'!$H$38</f>
        <v>549108</v>
      </c>
      <c r="J54">
        <f>+'q11'!$I$32+'q11'!$I$35+'q11'!$I$38</f>
        <v>579145</v>
      </c>
      <c r="K54">
        <f>+'q11'!$J$32+'q11'!$J$35+'q11'!$J$38</f>
        <v>607584</v>
      </c>
      <c r="L54">
        <f>+'q11'!$K$32+'q11'!$K$35+'q11'!$K$38</f>
        <v>598470</v>
      </c>
      <c r="M54">
        <f>+'q11'!$L$32+'q11'!$L$35+'q11'!$L$38</f>
        <v>603335</v>
      </c>
      <c r="N54">
        <f>+'q11'!$M$32+'q11'!$M$35+'q11'!$M$38</f>
        <v>661415</v>
      </c>
    </row>
    <row r="55" spans="1:56">
      <c r="R55" s="375" t="s">
        <v>265</v>
      </c>
    </row>
    <row r="56" spans="1:56">
      <c r="R56" s="456" t="str">
        <f>"3 CAE com mais pessoas em "&amp;$R$44&amp;" vs "&amp;$R$49&amp;": "&amp;CHAR(10)&amp;$Q$45&amp;" - "&amp;R45&amp;" ("&amp;S45&amp;" vs "&amp;S50&amp;");"&amp;CHAR(10)&amp;Q46&amp;" - "&amp;R46&amp;" ("&amp;S46&amp;" vs "&amp;S51&amp;");"&amp;CHAR(10)&amp;Q47&amp;" - "&amp;R47&amp;" ("&amp;S47&amp;" vs "&amp;T47&amp;")."</f>
        <v>3 CAE com mais pessoas em 2022 vs 2012: 
C - Ind. transformadoras (20,0% vs 22,1%);
G - Com. por grosso e a ret.; rep. de veíc. autom. e mot. (18,2% vs 19,9%);
N - Atividades administrativas e dos serviços de apoio (9,4% vs 8,5%).</v>
      </c>
    </row>
    <row r="58" spans="1:56">
      <c r="R58" s="335" t="s">
        <v>186</v>
      </c>
    </row>
    <row r="59" spans="1:56">
      <c r="R59" s="456" t="str">
        <f>"3 CAE com mais TCO em "&amp;$U$44&amp;" vs "&amp;$U$49&amp;": "&amp;CHAR(10)&amp;$U$45&amp;" - "&amp;V45&amp;" ("&amp;W45&amp;" vs "&amp;W50&amp;");"&amp;CHAR(10)&amp;U46&amp;" - "&amp;V46&amp;" ("&amp;W46&amp;" vs "&amp;W51&amp;");"&amp;CHAR(10)&amp;U47&amp;" - "&amp;V47&amp;" ("&amp;W47&amp;" vs "&amp;X47&amp;")."</f>
        <v>3 CAE com mais TCO em 2022 vs 2012: 
C - Ind. transformadoras (20,4% vs 22,6%);
G - Com. por grosso e a ret.; rep. de veíc. autom. e mot. (17,8% vs 19,3%);
N - Atividades administrativas e dos serviços de apoio (9,8% vs 9,0%).</v>
      </c>
    </row>
    <row r="62" spans="1:56">
      <c r="R62" t="str">
        <f>IF($Q$3=1,$R$56,$R$59)</f>
        <v>3 CAE com mais TCO em 2022 vs 2012: 
C - Ind. transformadoras (20,4% vs 22,6%);
G - Com. por grosso e a ret.; rep. de veíc. autom. e mot. (17,8% vs 19,3%);
N - Atividades administrativas e dos serviços de apoio (9,8% vs 9,0%).</v>
      </c>
    </row>
    <row r="63" spans="1:56">
      <c r="I63" s="467" t="s">
        <v>549</v>
      </c>
      <c r="AW63" s="335"/>
    </row>
    <row r="64" spans="1:56">
      <c r="I64" s="467" t="s">
        <v>550</v>
      </c>
      <c r="AW64" s="335"/>
      <c r="BA64" s="446"/>
      <c r="BD64" s="335"/>
    </row>
    <row r="65" spans="1:56">
      <c r="I65" s="467" t="s">
        <v>551</v>
      </c>
      <c r="AW65" s="335"/>
      <c r="AZ65" s="335"/>
      <c r="BA65" s="447"/>
      <c r="BD65" s="335"/>
    </row>
    <row r="66" spans="1:56">
      <c r="A66" s="341" t="s">
        <v>326</v>
      </c>
      <c r="AP66" s="334"/>
      <c r="AW66" s="448"/>
      <c r="AZ66" s="448"/>
      <c r="BD66" s="334"/>
    </row>
    <row r="67" spans="1:56">
      <c r="AW67" s="404"/>
      <c r="AZ67" s="404"/>
    </row>
    <row r="68" spans="1:56" ht="13.5" thickBot="1">
      <c r="A68" s="334" t="s">
        <v>265</v>
      </c>
      <c r="AW68" s="404"/>
      <c r="AZ68" s="404"/>
      <c r="BD68" s="335"/>
    </row>
    <row r="69" spans="1:56">
      <c r="A69" s="337"/>
      <c r="B69" s="341">
        <f>+D6</f>
        <v>2012</v>
      </c>
      <c r="C69" s="337"/>
      <c r="D69" s="341">
        <f>+E6</f>
        <v>2013</v>
      </c>
      <c r="E69" s="337"/>
      <c r="F69" s="341">
        <f>+F6</f>
        <v>2014</v>
      </c>
      <c r="G69" s="337"/>
      <c r="H69" s="341">
        <f>+G6</f>
        <v>2015</v>
      </c>
      <c r="I69" s="337"/>
      <c r="J69" s="341">
        <f>+H6</f>
        <v>2016</v>
      </c>
      <c r="K69" s="337"/>
      <c r="L69" s="341">
        <f>+I6</f>
        <v>2017</v>
      </c>
      <c r="M69" s="337"/>
      <c r="N69" s="341">
        <f>+J6</f>
        <v>2018</v>
      </c>
      <c r="O69" s="337"/>
      <c r="P69" s="341">
        <f>+K6</f>
        <v>2019</v>
      </c>
      <c r="Q69" s="337"/>
      <c r="R69" s="341">
        <f>+L6</f>
        <v>2020</v>
      </c>
      <c r="S69" s="337"/>
      <c r="T69" s="341">
        <f>+M6</f>
        <v>2021</v>
      </c>
      <c r="U69" s="337"/>
      <c r="V69" s="341">
        <f>+N6</f>
        <v>2022</v>
      </c>
      <c r="X69" s="335" t="s">
        <v>666</v>
      </c>
      <c r="Y69" s="576" t="s">
        <v>667</v>
      </c>
      <c r="Z69" s="577"/>
      <c r="AW69" s="404"/>
      <c r="AZ69" s="404"/>
      <c r="BD69" s="334"/>
    </row>
    <row r="70" spans="1:56">
      <c r="A70" s="342" t="str">
        <f>+INDEX($B$7:$B$26,MATCH(B70,$D$7:$D$26,0),1)</f>
        <v>C</v>
      </c>
      <c r="B70" s="343">
        <f>+LARGE($D$7:$D$26,1)</f>
        <v>565182</v>
      </c>
      <c r="C70" s="342" t="str">
        <f>+INDEX($B$7:$B$26,MATCH(D70,$E$7:$E$26,0),1)</f>
        <v>C</v>
      </c>
      <c r="D70" s="343">
        <f>+LARGE($E$7:$E$26,1)</f>
        <v>566564</v>
      </c>
      <c r="E70" s="342" t="str">
        <f>+INDEX($B$7:$B$26,MATCH(F70,$F$7:$F$26,0),1)</f>
        <v>C</v>
      </c>
      <c r="F70" s="343">
        <f>+LARGE($F$7:$F$26,1)</f>
        <v>583685</v>
      </c>
      <c r="G70" s="342" t="str">
        <f>+INDEX($B$7:$B$26,MATCH(H70,$G$7:$G$26,0),1)</f>
        <v>C</v>
      </c>
      <c r="H70" s="343">
        <f>+LARGE($G$7:$G$26,1)</f>
        <v>598482</v>
      </c>
      <c r="I70" s="342" t="str">
        <f>+INDEX($B$7:$B$26,MATCH(J70,$H$7:$H$26,0),1)</f>
        <v>C</v>
      </c>
      <c r="J70" s="343">
        <f>+LARGE($H$7:$H$26,1)</f>
        <v>615556</v>
      </c>
      <c r="K70" s="342" t="str">
        <f>+INDEX($B$7:$B$26,MATCH(L70,$I$7:$I$26,0),1)</f>
        <v>C</v>
      </c>
      <c r="L70" s="343">
        <f>+LARGE($I$7:$I$26,1)</f>
        <v>639429</v>
      </c>
      <c r="M70" s="342" t="str">
        <f>+INDEX($B$7:$B$26,MATCH(N70,$J$7:$J$26,0),1)</f>
        <v>C</v>
      </c>
      <c r="N70" s="343">
        <f>+LARGE($J$7:$J$26,1)</f>
        <v>659459</v>
      </c>
      <c r="O70" s="342" t="str">
        <f>+INDEX($B$7:$B$26,MATCH(P70,$K$7:$K$26,0),1)</f>
        <v>C</v>
      </c>
      <c r="P70" s="343">
        <f>+LARGE($K$7:$K$26,1)</f>
        <v>650638</v>
      </c>
      <c r="Q70" s="342" t="str">
        <f>+INDEX($B$7:$B$26,MATCH(R70,$L$7:$L$26,0),1)</f>
        <v>C</v>
      </c>
      <c r="R70" s="343">
        <f>+LARGE($L$7:$L$26,1)</f>
        <v>639517</v>
      </c>
      <c r="S70" s="342" t="str">
        <f>+INDEX($B$7:$B$26,MATCH(T70,$M$7:$M$26,0),1)</f>
        <v>C</v>
      </c>
      <c r="T70" s="343">
        <f>+LARGE($M$7:$M$26,1)</f>
        <v>636329</v>
      </c>
      <c r="U70" s="342" t="str">
        <f>+INDEX($B$7:$B$26,MATCH(V70,$N$7:$N$26,0),1)</f>
        <v>C</v>
      </c>
      <c r="V70" s="343">
        <f>+LARGE($N$7:$N$26,1)</f>
        <v>667361</v>
      </c>
      <c r="X70" s="454">
        <f>+V70/$BD$4</f>
        <v>0.19998339866985587</v>
      </c>
      <c r="Y70" s="462">
        <f>+B70/$AT$4</f>
        <v>0.22079733347084773</v>
      </c>
      <c r="Z70" s="466" t="str">
        <f>+A70</f>
        <v>C</v>
      </c>
      <c r="AA70" s="368"/>
      <c r="AB70" s="368"/>
      <c r="AD70" s="347"/>
      <c r="AE70" s="347"/>
      <c r="AF70" s="347"/>
      <c r="AG70" s="347"/>
      <c r="AH70" s="347"/>
      <c r="AI70" s="347"/>
      <c r="AJ70" s="347"/>
      <c r="AK70" s="347"/>
      <c r="AL70" s="347"/>
      <c r="AM70" s="347"/>
      <c r="AN70" s="347"/>
      <c r="AO70" s="369"/>
    </row>
    <row r="71" spans="1:56">
      <c r="A71" s="342" t="str">
        <f>+INDEX($B$7:$B$26,MATCH(B71,$D$7:$D$26,0),1)</f>
        <v>G</v>
      </c>
      <c r="B71" s="343">
        <f>+LARGE($D$7:$D$26,2)</f>
        <v>510226</v>
      </c>
      <c r="C71" s="342" t="str">
        <f>+INDEX($B$7:$B$26,MATCH(D71,$E$7:$E$26,0),1)</f>
        <v>G</v>
      </c>
      <c r="D71" s="343">
        <f>+LARGE($E$7:$E$26,2)</f>
        <v>501601</v>
      </c>
      <c r="E71" s="342" t="str">
        <f>+INDEX($B$7:$B$26,MATCH(F71,$F$7:$F$26,0),1)</f>
        <v>G</v>
      </c>
      <c r="F71" s="343">
        <f>+LARGE($F$7:$F$26,2)</f>
        <v>513639</v>
      </c>
      <c r="G71" s="342" t="str">
        <f>+INDEX($B$7:$B$26,MATCH(H71,$G$7:$G$26,0),1)</f>
        <v>G</v>
      </c>
      <c r="H71" s="343">
        <f>+LARGE($G$7:$G$26,2)</f>
        <v>528110</v>
      </c>
      <c r="I71" s="342" t="str">
        <f>+INDEX($B$7:$B$26,MATCH(J71,$H$7:$H$26,0),1)</f>
        <v>G</v>
      </c>
      <c r="J71" s="343">
        <f>+LARGE($H$7:$H$26,2)</f>
        <v>541723</v>
      </c>
      <c r="K71" s="342" t="str">
        <f>+INDEX($B$7:$B$26,MATCH(L71,$I$7:$I$26,0),1)</f>
        <v>G</v>
      </c>
      <c r="L71" s="343">
        <f>+LARGE($I$7:$I$26,2)</f>
        <v>556229</v>
      </c>
      <c r="M71" s="342" t="str">
        <f>+INDEX($B$7:$B$26,MATCH(N71,$J$7:$J$26,0),1)</f>
        <v>G</v>
      </c>
      <c r="N71" s="343">
        <f>+LARGE($J$7:$J$26,2)</f>
        <v>571387</v>
      </c>
      <c r="O71" s="342" t="str">
        <f>+INDEX($B$7:$B$26,MATCH(P71,$K$7:$K$26,0),1)</f>
        <v>G</v>
      </c>
      <c r="P71" s="343">
        <f>+LARGE($K$7:$K$26,2)</f>
        <v>585267</v>
      </c>
      <c r="Q71" s="342" t="str">
        <f>+INDEX($B$7:$B$26,MATCH(R71,$L$7:$L$26,0),1)</f>
        <v>G</v>
      </c>
      <c r="R71" s="343">
        <f>+LARGE($L$7:$L$26,2)</f>
        <v>572866</v>
      </c>
      <c r="S71" s="342" t="str">
        <f>+INDEX($B$7:$B$26,MATCH(T71,$M$7:$M$26,0),1)</f>
        <v>G</v>
      </c>
      <c r="T71" s="343">
        <f>+LARGE($M$7:$M$26,2)</f>
        <v>579715</v>
      </c>
      <c r="U71" s="342" t="str">
        <f>+INDEX($B$7:$B$26,MATCH(V71,$N$7:$N$26,0),1)</f>
        <v>G</v>
      </c>
      <c r="V71" s="343">
        <f>+LARGE($N$7:$N$26,2)</f>
        <v>606424</v>
      </c>
      <c r="X71" s="454">
        <f>+V71/$BD$4</f>
        <v>0.18172283450032095</v>
      </c>
      <c r="Y71" s="462">
        <f t="shared" ref="Y71:Y74" si="8">+B71/$AT$4</f>
        <v>0.19932789838936263</v>
      </c>
      <c r="Z71" s="466" t="str">
        <f t="shared" ref="Z71:Z74" si="9">+A71</f>
        <v>G</v>
      </c>
      <c r="AA71" s="368"/>
      <c r="AB71" s="368"/>
      <c r="AD71" s="347"/>
      <c r="AE71" s="347"/>
      <c r="AF71" s="347"/>
      <c r="AG71" s="347"/>
      <c r="AH71" s="347"/>
      <c r="AI71" s="347"/>
      <c r="AJ71" s="347"/>
      <c r="AK71" s="347"/>
      <c r="AL71" s="347"/>
      <c r="AM71" s="347"/>
      <c r="AN71" s="347"/>
      <c r="AW71" s="448"/>
      <c r="AZ71" s="448"/>
      <c r="BA71" s="446"/>
    </row>
    <row r="72" spans="1:56">
      <c r="A72" s="342" t="str">
        <f>+INDEX($B$7:$B$26,MATCH(B72,$D$7:$D$26,0),1)</f>
        <v>N</v>
      </c>
      <c r="B72" s="343">
        <f>+LARGE($D$7:$D$26,3)</f>
        <v>218662</v>
      </c>
      <c r="C72" s="342" t="str">
        <f>+INDEX($B$7:$B$26,MATCH(D72,$E$7:$E$26,0),1)</f>
        <v>N</v>
      </c>
      <c r="D72" s="343">
        <f>+LARGE($E$7:$E$26,3)</f>
        <v>230370</v>
      </c>
      <c r="E72" s="342" t="str">
        <f>+INDEX($B$7:$B$26,MATCH(F72,$F$7:$F$26,0),1)</f>
        <v>N</v>
      </c>
      <c r="F72" s="343">
        <f>+LARGE($F$7:$F$26,3)</f>
        <v>243964</v>
      </c>
      <c r="G72" s="342" t="str">
        <f>+INDEX($B$7:$B$26,MATCH(H72,$G$7:$G$26,0),1)</f>
        <v>N</v>
      </c>
      <c r="H72" s="343">
        <f>+LARGE($G$7:$G$26,3)</f>
        <v>251590</v>
      </c>
      <c r="I72" s="342" t="str">
        <f>+INDEX($B$7:$B$26,MATCH(J72,$H$7:$H$26,0),1)</f>
        <v>N</v>
      </c>
      <c r="J72" s="343">
        <f>+LARGE($H$7:$H$26,3)</f>
        <v>273459</v>
      </c>
      <c r="K72" s="342" t="str">
        <f>+INDEX($B$7:$B$26,MATCH(L72,$I$7:$I$26,0),1)</f>
        <v>N</v>
      </c>
      <c r="L72" s="343">
        <f>+LARGE($I$7:$I$26,3)</f>
        <v>299479</v>
      </c>
      <c r="M72" s="342" t="str">
        <f>+INDEX($B$7:$B$26,MATCH(N72,$J$7:$J$26,0),1)</f>
        <v>N</v>
      </c>
      <c r="N72" s="343">
        <f>+LARGE($J$7:$J$26,3)</f>
        <v>298771</v>
      </c>
      <c r="O72" s="342" t="str">
        <f>+INDEX($B$7:$B$26,MATCH(P72,$K$7:$K$26,0),1)</f>
        <v>N</v>
      </c>
      <c r="P72" s="343">
        <f>+LARGE($K$7:$K$26,3)</f>
        <v>299376</v>
      </c>
      <c r="Q72" s="342" t="str">
        <f>+INDEX($B$7:$B$26,MATCH(R72,$L$7:$L$26,0),1)</f>
        <v>N</v>
      </c>
      <c r="R72" s="343">
        <f>+LARGE($L$7:$L$26,3)</f>
        <v>291316</v>
      </c>
      <c r="S72" s="342" t="str">
        <f>+INDEX($B$7:$B$26,MATCH(T72,$M$7:$M$26,0),1)</f>
        <v>Q</v>
      </c>
      <c r="T72" s="343">
        <f>+LARGE($M$7:$M$26,3)</f>
        <v>295748</v>
      </c>
      <c r="U72" s="342" t="str">
        <f>+INDEX($B$7:$B$26,MATCH(V72,$N$7:$N$26,0),1)</f>
        <v>N</v>
      </c>
      <c r="V72" s="343">
        <f>+LARGE($N$7:$N$26,3)</f>
        <v>313802</v>
      </c>
      <c r="X72" s="454">
        <f>+V72/$BD$4</f>
        <v>9.4034848409478705E-2</v>
      </c>
      <c r="Y72" s="462">
        <f t="shared" si="8"/>
        <v>8.5423786552654729E-2</v>
      </c>
      <c r="Z72" s="466" t="str">
        <f t="shared" si="9"/>
        <v>N</v>
      </c>
      <c r="AA72" s="368"/>
      <c r="AW72" s="404"/>
      <c r="AZ72" s="404"/>
      <c r="BA72" s="447"/>
    </row>
    <row r="73" spans="1:56">
      <c r="A73" s="342" t="str">
        <f>+INDEX($B$7:$B$26,MATCH(B73,$D$7:$D$26,0),1)</f>
        <v>Q</v>
      </c>
      <c r="B73" s="343">
        <f>+LARGE($D$7:$D$26,4)</f>
        <v>216882</v>
      </c>
      <c r="C73" s="342" t="str">
        <f>+INDEX($B$7:$B$26,MATCH(D73,$E$7:$E$26,0),1)</f>
        <v>Q</v>
      </c>
      <c r="D73" s="343">
        <f>+LARGE($E$7:$E$26,4)</f>
        <v>222574</v>
      </c>
      <c r="E73" s="342" t="str">
        <f>+INDEX($B$7:$B$26,MATCH(F73,$F$7:$F$26,0),1)</f>
        <v>Q</v>
      </c>
      <c r="F73" s="343">
        <f>+LARGE($F$7:$F$26,4)</f>
        <v>229330</v>
      </c>
      <c r="G73" s="342" t="str">
        <f>+INDEX($B$7:$B$26,MATCH(H73,$G$7:$G$26,0),1)</f>
        <v>Q</v>
      </c>
      <c r="H73" s="343">
        <f>+LARGE($G$7:$G$26,4)</f>
        <v>241051</v>
      </c>
      <c r="I73" s="342" t="str">
        <f>+INDEX($B$7:$B$26,MATCH(J73,$H$7:$H$26,0),1)</f>
        <v>Q</v>
      </c>
      <c r="J73" s="343">
        <f>+LARGE($H$7:$H$26,4)</f>
        <v>254988</v>
      </c>
      <c r="K73" s="342" t="str">
        <f>+INDEX($B$7:$B$26,MATCH(L73,$I$7:$I$26,0),1)</f>
        <v>Q</v>
      </c>
      <c r="L73" s="343">
        <f>+LARGE($I$7:$I$26,4)</f>
        <v>265423</v>
      </c>
      <c r="M73" s="342" t="str">
        <f>+INDEX($B$7:$B$26,MATCH(N73,$J$7:$J$26,0),1)</f>
        <v>Q</v>
      </c>
      <c r="N73" s="343">
        <f>+LARGE($J$7:$J$26,4)</f>
        <v>271575</v>
      </c>
      <c r="O73" s="342" t="str">
        <f>+INDEX($B$7:$B$26,MATCH(P73,$K$7:$K$26,0),1)</f>
        <v>Q</v>
      </c>
      <c r="P73" s="343">
        <f>+LARGE($K$7:$K$26,4)</f>
        <v>278424</v>
      </c>
      <c r="Q73" s="342" t="str">
        <f>+INDEX($B$7:$B$26,MATCH(R73,$L$7:$L$26,0),1)</f>
        <v>Q</v>
      </c>
      <c r="R73" s="343">
        <f>+LARGE($L$7:$L$26,4)</f>
        <v>289188</v>
      </c>
      <c r="S73" s="342" t="str">
        <f>+INDEX($B$7:$B$26,MATCH(T73,$M$7:$M$26,0),1)</f>
        <v>N</v>
      </c>
      <c r="T73" s="343">
        <f>+LARGE($M$7:$M$26,4)</f>
        <v>280916</v>
      </c>
      <c r="U73" s="342" t="str">
        <f>+INDEX($B$7:$B$26,MATCH(V73,$N$7:$N$26,0),1)</f>
        <v>Q</v>
      </c>
      <c r="V73" s="343">
        <f>+LARGE($N$7:$N$26,4)</f>
        <v>309107</v>
      </c>
      <c r="X73" s="347">
        <f>+V73/$BD$4</f>
        <v>9.2627930629214386E-2</v>
      </c>
      <c r="Y73" s="524">
        <f t="shared" si="8"/>
        <v>8.4728401254506328E-2</v>
      </c>
      <c r="Z73" s="463" t="str">
        <f t="shared" si="9"/>
        <v>Q</v>
      </c>
      <c r="AA73" s="368"/>
      <c r="AD73" s="369"/>
      <c r="AE73" s="369"/>
      <c r="AF73" s="369"/>
      <c r="AG73" s="369"/>
      <c r="AH73" s="369"/>
      <c r="AI73" s="369"/>
      <c r="AJ73" s="369"/>
      <c r="AK73" s="369"/>
      <c r="AL73" s="369"/>
      <c r="AM73" s="369"/>
      <c r="AN73" s="369"/>
      <c r="AW73" s="404"/>
      <c r="AZ73" s="404"/>
    </row>
    <row r="74" spans="1:56" ht="13.5" thickBot="1">
      <c r="A74" s="342" t="str">
        <f>+INDEX($B$7:$B$26,MATCH(B74,$D$7:$D$26,0),1)</f>
        <v>F</v>
      </c>
      <c r="B74" s="343">
        <f>+LARGE($D$7:$D$26,5)</f>
        <v>212909</v>
      </c>
      <c r="C74" s="342" t="str">
        <f>+INDEX($B$7:$B$26,MATCH(D74,$E$7:$E$26,0),1)</f>
        <v>F</v>
      </c>
      <c r="D74" s="343">
        <f>+LARGE($E$7:$E$26,5)</f>
        <v>197944</v>
      </c>
      <c r="E74" s="342" t="str">
        <f>+INDEX($B$7:$B$26,MATCH(F74,$F$7:$F$26,0),1)</f>
        <v>F</v>
      </c>
      <c r="F74" s="343">
        <f>+LARGE($F$7:$F$26,5)</f>
        <v>197951</v>
      </c>
      <c r="G74" s="342" t="str">
        <f>+INDEX($B$7:$B$26,MATCH(H74,$G$7:$G$26,0),1)</f>
        <v>I</v>
      </c>
      <c r="H74" s="343">
        <f>+LARGE($G$7:$G$26,5)</f>
        <v>207980</v>
      </c>
      <c r="I74" s="342" t="str">
        <f>+INDEX($B$7:$B$26,MATCH(J74,$H$7:$H$26,0),1)</f>
        <v>I</v>
      </c>
      <c r="J74" s="343">
        <f>+LARGE($H$7:$H$26,5)</f>
        <v>223137</v>
      </c>
      <c r="K74" s="342" t="str">
        <f>+INDEX($B$7:$B$26,MATCH(L74,$I$7:$I$26,0),1)</f>
        <v>I</v>
      </c>
      <c r="L74" s="343">
        <f>+LARGE($I$7:$I$26,5)</f>
        <v>243205</v>
      </c>
      <c r="M74" s="342" t="str">
        <f>+INDEX($B$7:$B$26,MATCH(N74,$J$7:$J$26,0),1)</f>
        <v>I</v>
      </c>
      <c r="N74" s="343">
        <f>+LARGE($J$7:$J$26,5)</f>
        <v>261730</v>
      </c>
      <c r="O74" s="342" t="str">
        <f>+INDEX($B$7:$B$26,MATCH(P74,$K$7:$K$26,0),1)</f>
        <v>I</v>
      </c>
      <c r="P74" s="343">
        <f>+LARGE($K$7:$K$26,5)</f>
        <v>270796</v>
      </c>
      <c r="Q74" s="342" t="str">
        <f>+INDEX($B$7:$B$26,MATCH(R74,$L$7:$L$26,0),1)</f>
        <v>F</v>
      </c>
      <c r="R74" s="343">
        <f>+LARGE($L$7:$L$26,5)</f>
        <v>254572</v>
      </c>
      <c r="S74" s="342" t="str">
        <f>+INDEX($B$7:$B$26,MATCH(T74,$M$7:$M$26,0),1)</f>
        <v>F</v>
      </c>
      <c r="T74" s="343">
        <f>+LARGE($M$7:$M$26,5)</f>
        <v>256768</v>
      </c>
      <c r="U74" s="342" t="str">
        <f>+INDEX($B$7:$B$26,MATCH(V74,$N$7:$N$26,0),1)</f>
        <v>I</v>
      </c>
      <c r="V74" s="343">
        <f>+LARGE($N$7:$N$26,5)</f>
        <v>279781</v>
      </c>
      <c r="X74" s="347">
        <f>+V74/$BD$4</f>
        <v>8.384001352079451E-2</v>
      </c>
      <c r="Y74" s="464">
        <f t="shared" si="8"/>
        <v>8.3176285642403189E-2</v>
      </c>
      <c r="Z74" s="465" t="str">
        <f t="shared" si="9"/>
        <v>F</v>
      </c>
      <c r="AA74" s="368"/>
      <c r="AN74" s="369"/>
      <c r="AW74" s="404"/>
      <c r="AZ74" s="404"/>
    </row>
    <row r="75" spans="1:56">
      <c r="B75" s="347">
        <f>+B74/AT4</f>
        <v>8.3176285642403189E-2</v>
      </c>
    </row>
    <row r="76" spans="1:56">
      <c r="B76" s="127">
        <f>+B70+B71+B72</f>
        <v>1294070</v>
      </c>
      <c r="D76" s="127">
        <f>+D70+D71+D72</f>
        <v>1298535</v>
      </c>
      <c r="F76" s="127">
        <f>+F70+F71+F72</f>
        <v>1341288</v>
      </c>
      <c r="H76" s="127">
        <f>+H70+H71+H72</f>
        <v>1378182</v>
      </c>
      <c r="J76" s="127">
        <f>+J70+J71+J72</f>
        <v>1430738</v>
      </c>
      <c r="L76" s="127">
        <f>+L70+L71+L72</f>
        <v>1495137</v>
      </c>
      <c r="N76" s="127">
        <f>+N70+N71+N72</f>
        <v>1529617</v>
      </c>
      <c r="P76" s="127">
        <f>+P70+P71+P72</f>
        <v>1535281</v>
      </c>
      <c r="R76" s="127">
        <f>+R70+R71+R72</f>
        <v>1503699</v>
      </c>
      <c r="T76" s="127">
        <f>+T70+T71+T72</f>
        <v>1511792</v>
      </c>
      <c r="V76" s="127">
        <f>+V70+V71+V72</f>
        <v>1587587</v>
      </c>
    </row>
    <row r="77" spans="1:56" ht="13.5" thickBot="1">
      <c r="A77" s="334" t="s">
        <v>186</v>
      </c>
      <c r="B77" s="359">
        <f>+B76/AT4</f>
        <v>0.50554901841286515</v>
      </c>
      <c r="D77" s="359">
        <f>+D76/AU4</f>
        <v>0.50809844440375074</v>
      </c>
      <c r="F77" s="359">
        <f>+F76/AV$4</f>
        <v>0.50866459275181553</v>
      </c>
      <c r="H77" s="359">
        <f>+H76/AW$4</f>
        <v>0.50742872543594264</v>
      </c>
      <c r="J77" s="359">
        <f>+J76/AX$4</f>
        <v>0.50735785882017514</v>
      </c>
      <c r="L77" s="359">
        <f>+L76/AY$4</f>
        <v>0.50735874238140855</v>
      </c>
      <c r="N77" s="359">
        <f>+N76/AZ$4</f>
        <v>0.49979496740553553</v>
      </c>
      <c r="P77" s="359">
        <f>+P76/BA$4</f>
        <v>0.4935088939098648</v>
      </c>
      <c r="R77" s="359">
        <f>+R76/BB$4</f>
        <v>0.487333280182631</v>
      </c>
      <c r="T77" s="359">
        <f>+T76/BC$4</f>
        <v>0.48730621513725908</v>
      </c>
      <c r="V77" s="359">
        <f>+V76/BD$4</f>
        <v>0.4757410815796555</v>
      </c>
      <c r="AW77" s="404"/>
    </row>
    <row r="78" spans="1:56">
      <c r="A78" s="337"/>
      <c r="B78" s="341">
        <f>+B69</f>
        <v>2012</v>
      </c>
      <c r="C78" s="337"/>
      <c r="D78" s="341">
        <f t="shared" ref="D78:V78" si="10">+D69</f>
        <v>2013</v>
      </c>
      <c r="E78" s="337"/>
      <c r="F78" s="341">
        <f t="shared" si="10"/>
        <v>2014</v>
      </c>
      <c r="G78" s="337"/>
      <c r="H78" s="341">
        <f t="shared" si="10"/>
        <v>2015</v>
      </c>
      <c r="I78" s="337"/>
      <c r="J78" s="341">
        <f t="shared" si="10"/>
        <v>2016</v>
      </c>
      <c r="K78" s="337"/>
      <c r="L78" s="341">
        <f t="shared" si="10"/>
        <v>2017</v>
      </c>
      <c r="M78" s="337"/>
      <c r="N78" s="341">
        <f t="shared" si="10"/>
        <v>2018</v>
      </c>
      <c r="O78" s="337"/>
      <c r="P78" s="341">
        <f t="shared" si="10"/>
        <v>2019</v>
      </c>
      <c r="Q78" s="337"/>
      <c r="R78" s="341">
        <f t="shared" si="10"/>
        <v>2020</v>
      </c>
      <c r="S78" s="337"/>
      <c r="T78" s="341">
        <f t="shared" si="10"/>
        <v>2021</v>
      </c>
      <c r="U78" s="337"/>
      <c r="V78" s="341">
        <f t="shared" si="10"/>
        <v>2022</v>
      </c>
      <c r="X78" s="335" t="s">
        <v>666</v>
      </c>
      <c r="Y78" s="576" t="s">
        <v>667</v>
      </c>
      <c r="Z78" s="577"/>
      <c r="AW78" s="446"/>
    </row>
    <row r="79" spans="1:56">
      <c r="A79" s="342" t="str">
        <f>+INDEX($B$31:$B$50,MATCH(B79,$D$31:$D$50,0),1)</f>
        <v>C</v>
      </c>
      <c r="B79" s="343">
        <f>+LARGE($D$31:$D$50,1)</f>
        <v>539570</v>
      </c>
      <c r="C79" s="342" t="str">
        <f>+INDEX($B$31:$B$50,MATCH(D79,$E$31:$E$50,0),1)</f>
        <v>C</v>
      </c>
      <c r="D79" s="343">
        <f>+LARGE($E$31:$E$50,1)</f>
        <v>541161</v>
      </c>
      <c r="E79" s="342" t="str">
        <f>+INDEX($B$31:$B$50,MATCH(F79,$F$31:$F$50,0),1)</f>
        <v>C</v>
      </c>
      <c r="F79" s="343">
        <f>+LARGE($F$31:$F$50,1)</f>
        <v>557477</v>
      </c>
      <c r="G79" s="342" t="str">
        <f>+INDEX($B$31:$B$50,MATCH(H79,$G$31:$G$50,0),1)</f>
        <v>C</v>
      </c>
      <c r="H79" s="343">
        <f>+LARGE($G$31:$G$50,1)</f>
        <v>572207</v>
      </c>
      <c r="I79" s="342" t="str">
        <f>+INDEX($B$31:$B$50,MATCH(J79,$H$31:$H$50,0),1)</f>
        <v>C</v>
      </c>
      <c r="J79" s="343">
        <f>+LARGE($H$31:$H$50,1)</f>
        <v>589603</v>
      </c>
      <c r="K79" s="342" t="str">
        <f>+INDEX($B$31:$B$50,MATCH(L79,$I$31:$I$50,0),1)</f>
        <v>C</v>
      </c>
      <c r="L79" s="343">
        <f>+LARGE($I$31:$I$50,1)</f>
        <v>613379</v>
      </c>
      <c r="M79" s="342" t="str">
        <f>+INDEX($B$31:$B$50,MATCH(N79,$J$31:$J$50,0),1)</f>
        <v>C</v>
      </c>
      <c r="N79" s="343">
        <f>+LARGE($J$31:$J$50,1)</f>
        <v>633595</v>
      </c>
      <c r="O79" s="342" t="str">
        <f>+INDEX($B$31:$B$50,MATCH(P79,$K$31:$K$50,0),1)</f>
        <v>C</v>
      </c>
      <c r="P79" s="343">
        <f>+LARGE($K$31:$K$50,1)</f>
        <v>625633</v>
      </c>
      <c r="Q79" s="342" t="str">
        <f>+INDEX($B$31:$B$50,MATCH(R79,$L$31:$L$50,0),1)</f>
        <v>C</v>
      </c>
      <c r="R79" s="343">
        <f>+LARGE($L$31:$L$50,1)</f>
        <v>614674</v>
      </c>
      <c r="S79" s="342" t="str">
        <f>+INDEX($B$31:$B$50,MATCH(T79,$M$31:$M$50,0),1)</f>
        <v>C</v>
      </c>
      <c r="T79" s="343">
        <f>+LARGE($M$31:$M$50,1)</f>
        <v>612054</v>
      </c>
      <c r="U79" s="342" t="str">
        <f>+INDEX($B$31:$B$50,MATCH(V79,$N$31:$N$50,0),1)</f>
        <v>C</v>
      </c>
      <c r="V79" s="343">
        <f>+LARGE($N$31:$N$50,1)</f>
        <v>642354</v>
      </c>
      <c r="X79" s="454">
        <f>+V79/$BD$5</f>
        <v>0.20404193323882272</v>
      </c>
      <c r="Y79" s="460">
        <f>+B79/$AT$5</f>
        <v>0.22600869737863924</v>
      </c>
      <c r="Z79" s="461" t="str">
        <f>+A79</f>
        <v>C</v>
      </c>
      <c r="AA79" s="368"/>
      <c r="AB79" s="368"/>
      <c r="AD79" s="347"/>
      <c r="AE79" s="347"/>
      <c r="AF79" s="347"/>
      <c r="AG79" s="347"/>
      <c r="AH79" s="347"/>
      <c r="AI79" s="347"/>
      <c r="AJ79" s="347"/>
      <c r="AK79" s="347"/>
      <c r="AL79" s="347"/>
      <c r="AM79" s="347"/>
      <c r="AN79" s="347"/>
      <c r="AO79" s="369"/>
    </row>
    <row r="80" spans="1:56">
      <c r="A80" s="342" t="str">
        <f>+INDEX($B$31:$B$50,MATCH(B80,$D$31:$D$50,0),1)</f>
        <v>G</v>
      </c>
      <c r="B80" s="343">
        <f>+LARGE($D$31:$D$50,2)</f>
        <v>460720</v>
      </c>
      <c r="C80" s="342" t="str">
        <f>+INDEX($B$31:$B$50,MATCH(D80,$E$31:$E$50,0),1)</f>
        <v>G</v>
      </c>
      <c r="D80" s="343">
        <f>+LARGE($E$31:$E$50,2)</f>
        <v>452371</v>
      </c>
      <c r="E80" s="342" t="str">
        <f>+INDEX($B$31:$B$50,MATCH(F80,$F$31:$F$50,0),1)</f>
        <v>G</v>
      </c>
      <c r="F80" s="343">
        <f>+LARGE($F$31:$F$50,2)</f>
        <v>463519</v>
      </c>
      <c r="G80" s="342" t="str">
        <f>+INDEX($B$31:$B$50,MATCH(H80,$G$31:$G$50,0),1)</f>
        <v>G</v>
      </c>
      <c r="H80" s="343">
        <f>+LARGE($G$31:$G$50,2)</f>
        <v>478256</v>
      </c>
      <c r="I80" s="342" t="str">
        <f>+INDEX($B$31:$B$50,MATCH(J80,$H$31:$H$50,0),1)</f>
        <v>G</v>
      </c>
      <c r="J80" s="343">
        <f>+LARGE($H$31:$H$50,2)</f>
        <v>492250</v>
      </c>
      <c r="K80" s="342" t="str">
        <f>+INDEX($B$31:$B$50,MATCH(L80,$I$31:$I$50,0),1)</f>
        <v>G</v>
      </c>
      <c r="L80" s="343">
        <f>+LARGE($I$31:$I$50,2)</f>
        <v>507360</v>
      </c>
      <c r="M80" s="342" t="str">
        <f>+INDEX($B$31:$B$50,MATCH(N80,$J$31:$J$50,0),1)</f>
        <v>G</v>
      </c>
      <c r="N80" s="343">
        <f>+LARGE($J$31:$J$50,2)</f>
        <v>522673</v>
      </c>
      <c r="O80" s="342" t="str">
        <f>+INDEX($B$31:$B$50,MATCH(P80,$K$31:$K$50,0),1)</f>
        <v>G</v>
      </c>
      <c r="P80" s="343">
        <f>+LARGE($K$31:$K$50,2)</f>
        <v>538367</v>
      </c>
      <c r="Q80" s="342" t="str">
        <f>+INDEX($B$31:$B$50,MATCH(R80,$L$31:$L$50,0),1)</f>
        <v>G</v>
      </c>
      <c r="R80" s="343">
        <f>+LARGE($L$31:$L$50,2)</f>
        <v>525816</v>
      </c>
      <c r="S80" s="342" t="str">
        <f>+INDEX($B$31:$B$50,MATCH(T80,$M$31:$M$50,0),1)</f>
        <v>G</v>
      </c>
      <c r="T80" s="343">
        <f>+LARGE($M$31:$M$50,2)</f>
        <v>533620</v>
      </c>
      <c r="U80" s="342" t="str">
        <f>+INDEX($B$31:$B$50,MATCH(V80,$N$31:$N$50,0),1)</f>
        <v>G</v>
      </c>
      <c r="V80" s="343">
        <f>+LARGE($N$31:$N$50,2)</f>
        <v>559353</v>
      </c>
      <c r="X80" s="454">
        <f>+V80/$BD$5</f>
        <v>0.17767690009392828</v>
      </c>
      <c r="Y80" s="460">
        <f t="shared" ref="Y80:Y83" si="11">+B80/$AT$5</f>
        <v>0.19298094233609478</v>
      </c>
      <c r="Z80" s="461" t="str">
        <f t="shared" ref="Z80:Z83" si="12">+A80</f>
        <v>G</v>
      </c>
      <c r="AA80" s="368"/>
      <c r="AB80" s="368"/>
      <c r="AD80" s="347"/>
      <c r="AE80" s="347"/>
      <c r="AF80" s="347"/>
      <c r="AG80" s="347"/>
      <c r="AH80" s="347"/>
      <c r="AI80" s="347"/>
      <c r="AJ80" s="347"/>
      <c r="AK80" s="347"/>
      <c r="AL80" s="347"/>
      <c r="AM80" s="347"/>
      <c r="AN80" s="347"/>
      <c r="AW80" s="334"/>
    </row>
    <row r="81" spans="1:49">
      <c r="A81" s="342" t="str">
        <f>+INDEX($B$31:$B$50,MATCH(B81,$D$31:$D$50,0),1)</f>
        <v>N</v>
      </c>
      <c r="B81" s="343">
        <f>+LARGE($D$31:$D$50,3)</f>
        <v>214023</v>
      </c>
      <c r="C81" s="342" t="str">
        <f>+INDEX($B$31:$B$50,MATCH(D81,$E$31:$E$50,0),1)</f>
        <v>N</v>
      </c>
      <c r="D81" s="343">
        <f>+LARGE($E$31:$E$50,3)</f>
        <v>225603</v>
      </c>
      <c r="E81" s="342" t="str">
        <f>+INDEX($B$31:$B$50,MATCH(F81,$F$31:$F$50,0),1)</f>
        <v>N</v>
      </c>
      <c r="F81" s="343">
        <f>+LARGE($F$31:$F$50,3)</f>
        <v>238916</v>
      </c>
      <c r="G81" s="342" t="str">
        <f>+INDEX($B$31:$B$50,MATCH(H81,$G$31:$G$50,0),1)</f>
        <v>N</v>
      </c>
      <c r="H81" s="343">
        <f>+LARGE($G$31:$G$50,3)</f>
        <v>246451</v>
      </c>
      <c r="I81" s="342" t="str">
        <f>+INDEX($B$31:$B$50,MATCH(J81,$H$31:$H$50,0),1)</f>
        <v>N</v>
      </c>
      <c r="J81" s="343">
        <f>+LARGE($H$31:$H$50,3)</f>
        <v>268226</v>
      </c>
      <c r="K81" s="342" t="str">
        <f>+INDEX($B$31:$B$50,MATCH(L81,$I$31:$I$50,0),1)</f>
        <v>N</v>
      </c>
      <c r="L81" s="343">
        <f>+LARGE($I$31:$I$50,3)</f>
        <v>294174</v>
      </c>
      <c r="M81" s="342" t="str">
        <f>+INDEX($B$31:$B$50,MATCH(N81,$J$31:$J$50,0),1)</f>
        <v>N</v>
      </c>
      <c r="N81" s="343">
        <f>+LARGE($J$31:$J$50,3)</f>
        <v>293550</v>
      </c>
      <c r="O81" s="342" t="str">
        <f>+INDEX($B$31:$B$50,MATCH(P81,$K$31:$K$50,0),1)</f>
        <v>N</v>
      </c>
      <c r="P81" s="343">
        <f>+LARGE($K$31:$K$50,3)</f>
        <v>293948</v>
      </c>
      <c r="Q81" s="342" t="str">
        <f>+INDEX($B$31:$B$50,MATCH(R81,$L$31:$L$50,0),1)</f>
        <v>N</v>
      </c>
      <c r="R81" s="343">
        <f>+LARGE($L$31:$L$50,3)</f>
        <v>285919</v>
      </c>
      <c r="S81" s="342" t="str">
        <f>+INDEX($B$31:$B$50,MATCH(T81,$M$31:$M$50,0),1)</f>
        <v>Q</v>
      </c>
      <c r="T81" s="343">
        <f>+LARGE($M$31:$M$50,3)</f>
        <v>286750</v>
      </c>
      <c r="U81" s="342" t="str">
        <f>+INDEX($B$31:$B$50,MATCH(V81,$N$31:$N$50,0),1)</f>
        <v>N</v>
      </c>
      <c r="V81" s="343">
        <f>+LARGE($N$31:$N$50,3)</f>
        <v>307876</v>
      </c>
      <c r="X81" s="454">
        <f>+V81/$BD$5</f>
        <v>9.779594154910809E-2</v>
      </c>
      <c r="Y81" s="460">
        <f t="shared" si="11"/>
        <v>8.964742190831311E-2</v>
      </c>
      <c r="Z81" s="461" t="str">
        <f t="shared" si="12"/>
        <v>N</v>
      </c>
      <c r="AW81" s="446"/>
    </row>
    <row r="82" spans="1:49">
      <c r="A82" s="342" t="str">
        <f>+INDEX($B$31:$B$50,MATCH(B82,$D$31:$D$50,0),1)</f>
        <v>Q</v>
      </c>
      <c r="B82" s="343">
        <f>+LARGE($D$31:$D$50,4)</f>
        <v>209941</v>
      </c>
      <c r="C82" s="342" t="str">
        <f>+INDEX($B$31:$B$50,MATCH(D82,$E$31:$E$50,0),1)</f>
        <v>Q</v>
      </c>
      <c r="D82" s="343">
        <f>+LARGE($E$31:$E$50,4)</f>
        <v>215109</v>
      </c>
      <c r="E82" s="342" t="str">
        <f>+INDEX($B$31:$B$50,MATCH(F82,$F$31:$F$50,0),1)</f>
        <v>Q</v>
      </c>
      <c r="F82" s="343">
        <f>+LARGE($F$31:$F$50,4)</f>
        <v>221126</v>
      </c>
      <c r="G82" s="342" t="str">
        <f>+INDEX($B$31:$B$50,MATCH(H82,$G$31:$G$50,0),1)</f>
        <v>Q</v>
      </c>
      <c r="H82" s="343">
        <f>+LARGE($G$31:$G$50,4)</f>
        <v>232717</v>
      </c>
      <c r="I82" s="342" t="str">
        <f>+INDEX($B$31:$B$50,MATCH(J82,$H$31:$H$50,0),1)</f>
        <v>Q</v>
      </c>
      <c r="J82" s="343">
        <f>+LARGE($H$31:$H$50,4)</f>
        <v>246800</v>
      </c>
      <c r="K82" s="342" t="str">
        <f>+INDEX($B$31:$B$50,MATCH(L82,$I$31:$I$50,0),1)</f>
        <v>Q</v>
      </c>
      <c r="L82" s="343">
        <f>+LARGE($I$31:$I$50,4)</f>
        <v>257306</v>
      </c>
      <c r="M82" s="342" t="str">
        <f>+INDEX($B$31:$B$50,MATCH(N82,$J$31:$J$50,0),1)</f>
        <v>Q</v>
      </c>
      <c r="N82" s="343">
        <f>+LARGE($J$31:$J$50,4)</f>
        <v>263021</v>
      </c>
      <c r="O82" s="342" t="str">
        <f>+INDEX($B$31:$B$50,MATCH(P82,$K$31:$K$50,0),1)</f>
        <v>Q</v>
      </c>
      <c r="P82" s="343">
        <f>+LARGE($K$31:$K$50,4)</f>
        <v>269760</v>
      </c>
      <c r="Q82" s="342" t="str">
        <f>+INDEX($B$31:$B$50,MATCH(R82,$L$31:$L$50,0),1)</f>
        <v>Q</v>
      </c>
      <c r="R82" s="343">
        <f>+LARGE($L$31:$L$50,4)</f>
        <v>280115</v>
      </c>
      <c r="S82" s="342" t="str">
        <f>+INDEX($B$31:$B$50,MATCH(T82,$M$31:$M$50,0),1)</f>
        <v>N</v>
      </c>
      <c r="T82" s="343">
        <f>+LARGE($M$31:$M$50,4)</f>
        <v>275843</v>
      </c>
      <c r="U82" s="342" t="str">
        <f>+INDEX($B$31:$B$50,MATCH(V82,$N$31:$N$50,0),1)</f>
        <v>Q</v>
      </c>
      <c r="V82" s="343">
        <f>+LARGE($N$31:$N$50,4)</f>
        <v>299622</v>
      </c>
      <c r="X82" s="347">
        <f>+V82/$BD$5</f>
        <v>9.5174081769371005E-2</v>
      </c>
      <c r="Y82" s="462">
        <f t="shared" si="11"/>
        <v>8.7937602046757421E-2</v>
      </c>
      <c r="Z82" s="463" t="str">
        <f t="shared" si="12"/>
        <v>Q</v>
      </c>
      <c r="AD82" s="369"/>
      <c r="AE82" s="369"/>
      <c r="AF82" s="369"/>
      <c r="AG82" s="369"/>
      <c r="AH82" s="369"/>
      <c r="AI82" s="369"/>
      <c r="AJ82" s="369"/>
      <c r="AK82" s="369"/>
      <c r="AL82" s="369"/>
      <c r="AM82" s="369"/>
      <c r="AN82" s="369"/>
    </row>
    <row r="83" spans="1:49" ht="13.5" thickBot="1">
      <c r="A83" s="342" t="str">
        <f>+INDEX($B$31:$B$50,MATCH(B83,$D$31:$D$50,0),1)</f>
        <v>F</v>
      </c>
      <c r="B83" s="343">
        <f>+LARGE($D$31:$D$50,5)</f>
        <v>191754</v>
      </c>
      <c r="C83" s="342" t="str">
        <f>+INDEX($B$31:$B$50,MATCH(D83,$E$31:$E$50,0),1)</f>
        <v>F</v>
      </c>
      <c r="D83" s="343">
        <f>+LARGE($E$31:$E$50,5)</f>
        <v>178328</v>
      </c>
      <c r="E83" s="342" t="str">
        <f>+INDEX($B$31:$B$50,MATCH(F83,$F$31:$F$50,0),1)</f>
        <v>F</v>
      </c>
      <c r="F83" s="343">
        <f>+LARGE($F$31:$F$50,5)</f>
        <v>178366</v>
      </c>
      <c r="G83" s="342" t="str">
        <f>+INDEX($B$31:$B$50,MATCH(H83,$G$31:$G$50,0),1)</f>
        <v>I</v>
      </c>
      <c r="H83" s="343">
        <f>+LARGE($G$31:$G$50,5)</f>
        <v>189219</v>
      </c>
      <c r="I83" s="342" t="str">
        <f>+INDEX($B$31:$B$50,MATCH(J83,$H$31:$H$50,0),1)</f>
        <v>I</v>
      </c>
      <c r="J83" s="343">
        <f>+LARGE($H$31:$H$50,5)</f>
        <v>204110</v>
      </c>
      <c r="K83" s="342" t="str">
        <f>+INDEX($B$31:$B$50,MATCH(L83,$I$31:$I$50,0),1)</f>
        <v>I</v>
      </c>
      <c r="L83" s="343">
        <f>+LARGE($I$31:$I$50,5)</f>
        <v>223805</v>
      </c>
      <c r="M83" s="342" t="str">
        <f>+INDEX($B$31:$B$50,MATCH(N83,$J$31:$J$50,0),1)</f>
        <v>I</v>
      </c>
      <c r="N83" s="343">
        <f>+LARGE($J$31:$J$50,5)</f>
        <v>241853</v>
      </c>
      <c r="O83" s="342" t="str">
        <f>+INDEX($B$31:$B$50,MATCH(P83,$K$31:$K$50,0),1)</f>
        <v>I</v>
      </c>
      <c r="P83" s="343">
        <f>+LARGE($K$31:$K$50,5)</f>
        <v>251350</v>
      </c>
      <c r="Q83" s="342" t="str">
        <f>+INDEX($B$31:$B$50,MATCH(R83,$L$31:$L$50,0),1)</f>
        <v>F</v>
      </c>
      <c r="R83" s="343">
        <f>+LARGE($L$31:$L$50,5)</f>
        <v>232381</v>
      </c>
      <c r="S83" s="342" t="str">
        <f>+INDEX($B$31:$B$50,MATCH(T83,$M$31:$M$50,0),1)</f>
        <v>F</v>
      </c>
      <c r="T83" s="343">
        <f>+LARGE($M$31:$M$50,5)</f>
        <v>234450</v>
      </c>
      <c r="U83" s="342" t="str">
        <f>+INDEX($B$31:$B$50,MATCH(V83,$N$31:$N$50,0),1)</f>
        <v>I</v>
      </c>
      <c r="V83" s="343">
        <f>+LARGE($N$31:$N$50,5)</f>
        <v>259660</v>
      </c>
      <c r="X83" s="347">
        <f>+V83/$BD$5</f>
        <v>8.2480265375155612E-2</v>
      </c>
      <c r="Y83" s="464">
        <f t="shared" si="11"/>
        <v>8.0319646676322978E-2</v>
      </c>
      <c r="Z83" s="465" t="str">
        <f t="shared" si="12"/>
        <v>F</v>
      </c>
      <c r="AN83" s="369"/>
    </row>
    <row r="85" spans="1:49">
      <c r="B85" s="127">
        <f>+B79+B80+B81</f>
        <v>1214313</v>
      </c>
      <c r="D85" s="127">
        <f>+D79+D80+D81</f>
        <v>1219135</v>
      </c>
      <c r="F85" s="127">
        <f>+F79+F80+F81</f>
        <v>1259912</v>
      </c>
      <c r="H85" s="127">
        <f>+H79+H80+H81</f>
        <v>1296914</v>
      </c>
      <c r="J85" s="127">
        <f>+J79+J80+J81</f>
        <v>1350079</v>
      </c>
      <c r="L85" s="127">
        <f>+L79+L80+L81</f>
        <v>1414913</v>
      </c>
      <c r="N85" s="127">
        <f>+N79+N80+N81</f>
        <v>1449818</v>
      </c>
      <c r="P85" s="127">
        <f>+P79+P80+P81</f>
        <v>1457948</v>
      </c>
      <c r="R85" s="127">
        <f>+R79+R80+R81</f>
        <v>1426409</v>
      </c>
      <c r="T85" s="127">
        <f>+T79+T80+T81</f>
        <v>1432424</v>
      </c>
      <c r="V85" s="127">
        <f>+V79+V80+V81</f>
        <v>1509583</v>
      </c>
    </row>
    <row r="86" spans="1:49">
      <c r="B86" s="359">
        <f>+B85/AT5</f>
        <v>0.50863706162304712</v>
      </c>
      <c r="D86" s="359">
        <f>+D85/AU5</f>
        <v>0.51135617697256142</v>
      </c>
      <c r="F86" s="359">
        <f>+F85/AV5</f>
        <v>0.51254208935697099</v>
      </c>
      <c r="H86" s="359">
        <f>+H85/AW5</f>
        <v>0.51106829814793431</v>
      </c>
      <c r="J86" s="359">
        <f>+J85/AX5</f>
        <v>0.51102210173741136</v>
      </c>
      <c r="L86" s="359">
        <f>+L85/AY5</f>
        <v>0.51125646381725742</v>
      </c>
      <c r="N86" s="359">
        <f>+N85/AZ5</f>
        <v>0.50377321383027596</v>
      </c>
      <c r="P86" s="359">
        <f>+P85/BA5</f>
        <v>0.49751133090051397</v>
      </c>
      <c r="R86" s="359">
        <f>+R85/BB5</f>
        <v>0.49138649419100361</v>
      </c>
      <c r="T86" s="359">
        <f>+T85/BC5</f>
        <v>0.49016285904837315</v>
      </c>
      <c r="V86" s="359">
        <f>+V85/BD5</f>
        <v>0.47951477488185906</v>
      </c>
    </row>
    <row r="87" spans="1:49">
      <c r="A87" s="334" t="s">
        <v>265</v>
      </c>
      <c r="D87" s="335">
        <f>+D6</f>
        <v>2012</v>
      </c>
      <c r="E87" s="335">
        <f t="shared" ref="E87:N87" si="13">+E6</f>
        <v>2013</v>
      </c>
      <c r="F87" s="335">
        <f t="shared" si="13"/>
        <v>2014</v>
      </c>
      <c r="G87" s="335">
        <f t="shared" si="13"/>
        <v>2015</v>
      </c>
      <c r="H87" s="335">
        <f t="shared" si="13"/>
        <v>2016</v>
      </c>
      <c r="I87" s="335">
        <f t="shared" si="13"/>
        <v>2017</v>
      </c>
      <c r="J87" s="335">
        <f t="shared" si="13"/>
        <v>2018</v>
      </c>
      <c r="K87" s="335">
        <f t="shared" si="13"/>
        <v>2019</v>
      </c>
      <c r="L87" s="335">
        <f t="shared" si="13"/>
        <v>2020</v>
      </c>
      <c r="M87" s="335">
        <f t="shared" si="13"/>
        <v>2021</v>
      </c>
      <c r="N87" s="335">
        <f t="shared" si="13"/>
        <v>2022</v>
      </c>
      <c r="AW87" s="449"/>
    </row>
    <row r="88" spans="1:49">
      <c r="B88" s="334" t="s">
        <v>283</v>
      </c>
      <c r="C88" s="334"/>
      <c r="D88">
        <f>+'q8'!$B$6+'q8'!$B$7</f>
        <v>821636</v>
      </c>
      <c r="E88">
        <f>+'q8'!$C$6+'q8'!$C$7</f>
        <v>807035</v>
      </c>
      <c r="F88">
        <f>+'q8'!$D$6+'q8'!$D$7</f>
        <v>817718</v>
      </c>
      <c r="G88">
        <f>+'q8'!$E$6+'q8'!$E$7</f>
        <v>828965</v>
      </c>
      <c r="H88">
        <f>+'q8'!$F$6+'q8'!$F$7</f>
        <v>840792</v>
      </c>
      <c r="I88">
        <f>+'q8'!$G$6+'q8'!$G$7</f>
        <v>849655</v>
      </c>
      <c r="J88">
        <f>+'q8'!$H$6+'q8'!$H$7</f>
        <v>861111</v>
      </c>
      <c r="K88">
        <f>+'q8'!$I$6+'q8'!$I$7</f>
        <v>845876</v>
      </c>
      <c r="L88">
        <f>+'q8'!$J$6+'q8'!$J$7</f>
        <v>853076</v>
      </c>
      <c r="M88">
        <f>+'q8'!$K$6+'q8'!$K$7</f>
        <v>837669</v>
      </c>
      <c r="N88">
        <f>+'q8'!$L$6+'q8'!$L$7</f>
        <v>873069</v>
      </c>
      <c r="R88" s="335" t="s">
        <v>500</v>
      </c>
    </row>
    <row r="89" spans="1:49">
      <c r="B89" s="334" t="s">
        <v>543</v>
      </c>
      <c r="C89" s="334"/>
      <c r="D89">
        <f>+'q8'!$B$8+'q8'!$B$9</f>
        <v>762692</v>
      </c>
      <c r="E89">
        <f>+'q8'!$C$8+'q8'!$C$9</f>
        <v>754503</v>
      </c>
      <c r="F89">
        <f>+'q8'!$D$8+'q8'!$D$9</f>
        <v>781002</v>
      </c>
      <c r="G89">
        <f>+'q8'!$E$8+'q8'!$E$9</f>
        <v>809264</v>
      </c>
      <c r="H89">
        <f>+'q8'!$F$8+'q8'!$F$9</f>
        <v>838406</v>
      </c>
      <c r="I89">
        <f>+'q8'!$G$8+'q8'!$G$9</f>
        <v>880167</v>
      </c>
      <c r="J89">
        <f>+'q8'!$H$8+'q8'!$H$9</f>
        <v>916605</v>
      </c>
      <c r="K89">
        <f>+'q8'!$I$8+'q8'!$I$9</f>
        <v>936633</v>
      </c>
      <c r="L89">
        <f>+'q8'!$J$8+'q8'!$J$9</f>
        <v>923119</v>
      </c>
      <c r="M89">
        <f>+'q8'!$K$8+'q8'!$K$9</f>
        <v>932577</v>
      </c>
      <c r="N89">
        <f>+'q8'!$L$8+'q8'!$L$9</f>
        <v>1004253</v>
      </c>
      <c r="R89" s="335" t="s">
        <v>327</v>
      </c>
    </row>
    <row r="90" spans="1:49">
      <c r="B90" s="334" t="s">
        <v>544</v>
      </c>
      <c r="C90" s="334"/>
      <c r="D90">
        <f>+'q8'!$B$10+'q8'!$B$11+'q8'!$B$12+'q8'!$B$13</f>
        <v>563520</v>
      </c>
      <c r="E90">
        <f>+'q8'!$C$10+'q8'!$C$11+'q8'!$C$12+'q8'!$C$13</f>
        <v>567809</v>
      </c>
      <c r="F90">
        <f>+'q8'!$D$10+'q8'!$D$11+'q8'!$D$12+'q8'!$D$13</f>
        <v>586678</v>
      </c>
      <c r="G90">
        <f>+'q8'!$E$10+'q8'!$E$11+'q8'!$E$12+'q8'!$E$13</f>
        <v>606103</v>
      </c>
      <c r="H90">
        <f>+'q8'!$F$10+'q8'!$F$11+'q8'!$F$12+'q8'!$F$13</f>
        <v>632612</v>
      </c>
      <c r="I90">
        <f>+'q8'!$G$10+'q8'!$G$11+'q8'!$G$12+'q8'!$G$13</f>
        <v>664431</v>
      </c>
      <c r="J90">
        <f>+'q8'!$H$10+'q8'!$H$11+'q8'!$H$12+'q8'!$H$13</f>
        <v>700099</v>
      </c>
      <c r="K90">
        <f>+'q8'!$I$10+'q8'!$I$11+'q8'!$I$12+'q8'!$I$13</f>
        <v>716788</v>
      </c>
      <c r="L90">
        <f>+'q8'!$J$10+'q8'!$J$11+'q8'!$J$12+'q8'!$J$13</f>
        <v>705873</v>
      </c>
      <c r="M90">
        <f>+'q8'!$K$10+'q8'!$K$11+'q8'!$K$12+'q8'!$K$13</f>
        <v>724835</v>
      </c>
      <c r="N90">
        <f>+'q8'!$L$10+'q8'!$L$11+'q8'!$L$12+'q8'!$L$13</f>
        <v>794196</v>
      </c>
      <c r="R90" s="335" t="s">
        <v>278</v>
      </c>
      <c r="Y90" s="335" t="s">
        <v>186</v>
      </c>
    </row>
    <row r="91" spans="1:49">
      <c r="B91" s="334" t="s">
        <v>292</v>
      </c>
      <c r="C91" s="334"/>
      <c r="D91">
        <f>+'q8'!$B$14+'q8'!$B$15+'q8'!$B$16</f>
        <v>409386</v>
      </c>
      <c r="E91">
        <f>+'q8'!$C$14+'q8'!$C$15+'q8'!$C$16</f>
        <v>424110</v>
      </c>
      <c r="F91">
        <f>+'q8'!$D$14+'q8'!$D$15+'q8'!$D$16</f>
        <v>449091</v>
      </c>
      <c r="G91">
        <f>+'q8'!$E$14+'q8'!$E$15+'q8'!$E$16</f>
        <v>469722</v>
      </c>
      <c r="H91">
        <f>+'q8'!$F$14+'q8'!$F$15+'q8'!$F$16</f>
        <v>506174</v>
      </c>
      <c r="I91">
        <f>+'q8'!$G$14+'q8'!$G$15+'q8'!$G$16</f>
        <v>550734</v>
      </c>
      <c r="J91">
        <f>+'q8'!$H$14+'q8'!$H$15+'q8'!$H$16</f>
        <v>580834</v>
      </c>
      <c r="K91">
        <f>+'q8'!$I$14+'q8'!$I$15+'q8'!$I$16</f>
        <v>609353</v>
      </c>
      <c r="L91">
        <f>+'q8'!$J$14+'q8'!$J$15+'q8'!$J$16</f>
        <v>599925</v>
      </c>
      <c r="M91">
        <f>+'q8'!$K$14+'q8'!$K$15+'q8'!$K$16</f>
        <v>604893</v>
      </c>
      <c r="N91">
        <f>+'q8'!$L$14+'q8'!$L$15+'q8'!$L$16</f>
        <v>663306</v>
      </c>
      <c r="R91" t="str">
        <f>+$D$6&amp;" - "&amp;$N$6&amp;":"</f>
        <v>2012 - 2022:</v>
      </c>
      <c r="Y91" t="str">
        <f>+$D$6&amp;" - "&amp;$N$6&amp;":"</f>
        <v>2012 - 2022:</v>
      </c>
    </row>
    <row r="92" spans="1:49">
      <c r="Q92" t="str">
        <f>+LEFT($B$88,FIND(" ",$B$88,1))</f>
        <v xml:space="preserve">Micro </v>
      </c>
      <c r="R92" t="str">
        <f>+Q92&amp;"e "&amp;Q93&amp;"estabelecimentos têm ao serviço mais de "</f>
        <v xml:space="preserve">Micro e Pequenos estabelecimentos têm ao serviço mais de </v>
      </c>
      <c r="X92" t="str">
        <f>+LEFT($B$101,FIND(" ",$B$101,1))</f>
        <v xml:space="preserve">Micro </v>
      </c>
      <c r="Y92" t="str">
        <f>+X92&amp;"e "&amp;X93&amp;"estabelecimentos têm ao serviço mais de "</f>
        <v xml:space="preserve">Micro e Pequenos estabelecimentos têm ao serviço mais de </v>
      </c>
    </row>
    <row r="93" spans="1:49">
      <c r="D93" s="347">
        <f>+D88/$AT$4</f>
        <v>0.32098516563452739</v>
      </c>
      <c r="E93" s="347">
        <f>+E88/$AU$4</f>
        <v>0.31578142143213772</v>
      </c>
      <c r="F93" s="347">
        <f>+F88/$AV$4</f>
        <v>0.31010804052211682</v>
      </c>
      <c r="G93" s="347">
        <f>+G88/$AW$4</f>
        <v>0.30521415414002373</v>
      </c>
      <c r="H93" s="347">
        <f>+H88/$AX$4</f>
        <v>0.29815551752531405</v>
      </c>
      <c r="I93" s="347">
        <f>+I88/$AY$4</f>
        <v>0.28832133259900311</v>
      </c>
      <c r="J93" s="347">
        <f>+J88/$AZ$4</f>
        <v>0.28136386048111922</v>
      </c>
      <c r="K93" s="347">
        <f>+K88/$BA$4</f>
        <v>0.2719028823680491</v>
      </c>
      <c r="L93" s="347">
        <f>+L88/$BB$4</f>
        <v>0.27647310088327393</v>
      </c>
      <c r="M93" s="347">
        <f>+M88/$BC$4</f>
        <v>0.27001155577474462</v>
      </c>
      <c r="N93" s="347">
        <f>+N88/$BD$4</f>
        <v>0.26162647486636531</v>
      </c>
      <c r="Q93" t="str">
        <f>+LEFT($B$89,FIND(" ",$B$89,1))</f>
        <v xml:space="preserve">Pequenos </v>
      </c>
      <c r="R93" t="str">
        <f>+TEXT($P$98,"##.###%")</f>
        <v>56%</v>
      </c>
      <c r="S93" s="334" t="s">
        <v>559</v>
      </c>
      <c r="T93" t="str">
        <f>+TEXT(SMALL($D$98:$N$98,1),"##.###,0%")</f>
        <v>56,3%</v>
      </c>
      <c r="U93" s="334" t="s">
        <v>554</v>
      </c>
      <c r="V93" t="str">
        <f>+TEXT(LARGE($D$98:$N$98,1),"##.###,0%")</f>
        <v>61,9%</v>
      </c>
      <c r="X93" t="str">
        <f>+LEFT($B$102,FIND(" ",$B$102,1))</f>
        <v xml:space="preserve">Pequenos </v>
      </c>
      <c r="Y93" t="str">
        <f>+TEXT(P111,"##.###%")</f>
        <v>54%</v>
      </c>
      <c r="Z93" t="s">
        <v>560</v>
      </c>
      <c r="AB93" t="str">
        <f>+TEXT(SMALL($D$111:$N$111,1),"##.###,0%")</f>
        <v>53,9%</v>
      </c>
      <c r="AC93" s="334" t="s">
        <v>554</v>
      </c>
      <c r="AD93" t="str">
        <f>+TEXT(LARGE($D$111:$N$111,1),"##.###,0%")</f>
        <v>59,3%</v>
      </c>
    </row>
    <row r="94" spans="1:49">
      <c r="D94" s="347">
        <f>+D89/$AT$4</f>
        <v>0.29795775495247157</v>
      </c>
      <c r="E94" s="347">
        <f>+E89/$AU$4</f>
        <v>0.29522639019969665</v>
      </c>
      <c r="F94" s="347">
        <f>+F89/$AV$4</f>
        <v>0.29618401437152453</v>
      </c>
      <c r="G94" s="347">
        <f>+G89/$AW$4</f>
        <v>0.29796050163272536</v>
      </c>
      <c r="H94" s="347">
        <f>+H89/$AX$4</f>
        <v>0.29730941163370778</v>
      </c>
      <c r="I94" s="347">
        <f>+I89/$AY$4</f>
        <v>0.29867525330830369</v>
      </c>
      <c r="J94" s="347">
        <f>+J89/$AZ$4</f>
        <v>0.29949625697069976</v>
      </c>
      <c r="K94" s="347">
        <f>+K89/$BA$4</f>
        <v>0.30107629536839081</v>
      </c>
      <c r="L94" s="347">
        <f>+L89/$BB$4</f>
        <v>0.29917331212490672</v>
      </c>
      <c r="M94" s="347">
        <f>+M89/$BC$4</f>
        <v>0.30060389801907911</v>
      </c>
      <c r="N94" s="347">
        <f>+N89/$BD$4</f>
        <v>0.30093746572604452</v>
      </c>
      <c r="R94" t="str">
        <f>+$Q$92&amp;"estabelecimentos: entre "</f>
        <v xml:space="preserve">Micro estabelecimentos: entre </v>
      </c>
      <c r="Y94" t="str">
        <f>+$X$92&amp;"estabelecimentos: entre "</f>
        <v xml:space="preserve">Micro estabelecimentos: entre </v>
      </c>
    </row>
    <row r="95" spans="1:49">
      <c r="D95" s="347">
        <f>+D90/$AT$4</f>
        <v>0.22014804674864399</v>
      </c>
      <c r="E95" s="347">
        <f>+E90/$AU$4</f>
        <v>0.22217565919936644</v>
      </c>
      <c r="F95" s="347">
        <f>+F90/$AV$4</f>
        <v>0.22248937286134643</v>
      </c>
      <c r="G95" s="347">
        <f>+G90/$AW$4</f>
        <v>0.22315925819151688</v>
      </c>
      <c r="H95" s="347">
        <f>+H90/$AX$4</f>
        <v>0.22433224656362569</v>
      </c>
      <c r="I95" s="347">
        <f>+I90/$AY$4</f>
        <v>0.2254675501704671</v>
      </c>
      <c r="J95" s="347">
        <f>+J90/$AZ$4</f>
        <v>0.22875396709480086</v>
      </c>
      <c r="K95" s="347">
        <f>+K90/$BA$4</f>
        <v>0.23040814876746613</v>
      </c>
      <c r="L95" s="347">
        <f>+L90/$BB$4</f>
        <v>0.22876613237247234</v>
      </c>
      <c r="M95" s="347">
        <f>+M90/$BC$4</f>
        <v>0.23364100382130293</v>
      </c>
      <c r="N95" s="347">
        <f>+N90/$BD$4</f>
        <v>0.23799115514692176</v>
      </c>
      <c r="Q95" t="str">
        <f>+RIGHT($B$88,13)</f>
        <v>(1-9 pessoas)</v>
      </c>
      <c r="R95" t="str">
        <f>+TEXT(SMALL($D$93:$N$93,1),"##.###,0%")</f>
        <v>26,2%</v>
      </c>
      <c r="S95" t="s">
        <v>554</v>
      </c>
      <c r="V95" t="str">
        <f>+RIGHT($B$105,13)</f>
        <v/>
      </c>
      <c r="Y95" t="str">
        <f>+TEXT(SMALL($D$106:$N$106,1),"##.###,0%")</f>
        <v>23,1%</v>
      </c>
      <c r="Z95" t="s">
        <v>554</v>
      </c>
    </row>
    <row r="96" spans="1:49">
      <c r="D96" s="347">
        <f>+D91/$AT$4</f>
        <v>0.15993314925156227</v>
      </c>
      <c r="E96" s="347">
        <f>+E91/$AU$4</f>
        <v>0.16594826574260588</v>
      </c>
      <c r="F96" s="347">
        <f>+F91/$AV$4</f>
        <v>0.17031143991708386</v>
      </c>
      <c r="G96" s="347">
        <f>+G91/$AW$4</f>
        <v>0.17294554403498366</v>
      </c>
      <c r="H96" s="347">
        <f>+H91/$AX$4</f>
        <v>0.17949572656240581</v>
      </c>
      <c r="I96" s="347">
        <f>+I91/$AY$4</f>
        <v>0.18688568982419848</v>
      </c>
      <c r="J96" s="347">
        <f>+J91/$AZ$4</f>
        <v>0.18978470433973132</v>
      </c>
      <c r="K96" s="347">
        <f>+K91/$BA$4</f>
        <v>0.19587367070305556</v>
      </c>
      <c r="L96" s="347">
        <f>+L91/$BB$4</f>
        <v>0.19442948230567747</v>
      </c>
      <c r="M96" s="347">
        <f>+M91/$BC$4</f>
        <v>0.19497928180134705</v>
      </c>
      <c r="N96" s="347">
        <f>+N91/$BD$4</f>
        <v>0.19876826520894603</v>
      </c>
      <c r="Q96" t="str">
        <f>+RIGHT($B$89,17)</f>
        <v>(10 - 49 pessoas)</v>
      </c>
      <c r="R96" t="str">
        <f>+TEXT(LARGE($D$93:$N$93,1),"##.###,0%")</f>
        <v>32,1%</v>
      </c>
      <c r="S96" t="s">
        <v>552</v>
      </c>
      <c r="V96" t="str">
        <f>+RIGHT($B$106,17)</f>
        <v/>
      </c>
      <c r="Y96" t="str">
        <f>+TEXT(LARGE($D$106:$N$106,1),"##.###,0%")</f>
        <v>28,5%</v>
      </c>
      <c r="Z96" t="s">
        <v>552</v>
      </c>
    </row>
    <row r="97" spans="1:26">
      <c r="R97" t="str">
        <f>+$Q$93&amp;"estabelecimentos: entre "</f>
        <v xml:space="preserve">Pequenos estabelecimentos: entre </v>
      </c>
      <c r="Y97" t="str">
        <f>+$X$93&amp;"estabelecimentos: entre "</f>
        <v xml:space="preserve">Pequenos estabelecimentos: entre </v>
      </c>
    </row>
    <row r="98" spans="1:26">
      <c r="D98" s="347">
        <f>+D93+D94</f>
        <v>0.61894292058699896</v>
      </c>
      <c r="E98" s="347">
        <f t="shared" ref="E98:N98" si="14">+E93+E94</f>
        <v>0.61100781163183437</v>
      </c>
      <c r="F98" s="347">
        <f t="shared" si="14"/>
        <v>0.60629205489364135</v>
      </c>
      <c r="G98" s="347">
        <f t="shared" si="14"/>
        <v>0.60317465577274909</v>
      </c>
      <c r="H98" s="347">
        <f t="shared" si="14"/>
        <v>0.59546492915902183</v>
      </c>
      <c r="I98" s="347">
        <f t="shared" si="14"/>
        <v>0.58699658590730674</v>
      </c>
      <c r="J98" s="347">
        <f t="shared" si="14"/>
        <v>0.58086011745181898</v>
      </c>
      <c r="K98" s="347">
        <f t="shared" si="14"/>
        <v>0.57297917773643992</v>
      </c>
      <c r="L98" s="347">
        <f t="shared" si="14"/>
        <v>0.57564641300818065</v>
      </c>
      <c r="M98" s="347">
        <f t="shared" si="14"/>
        <v>0.57061545379382372</v>
      </c>
      <c r="N98" s="347">
        <f t="shared" si="14"/>
        <v>0.56256394059240988</v>
      </c>
      <c r="O98" s="366"/>
      <c r="P98" s="500">
        <f>+SMALL($D$98:$N$98,1)</f>
        <v>0.56256394059240988</v>
      </c>
      <c r="Q98">
        <f>+HLOOKUP(P98,$D$98:$N$100,3,0)</f>
        <v>2022</v>
      </c>
      <c r="R98" t="str">
        <f>+TEXT(SMALL($D$94:$N$94,1),"##.###,0%")</f>
        <v>29,5%</v>
      </c>
      <c r="S98" t="s">
        <v>554</v>
      </c>
      <c r="Y98" t="str">
        <f>+TEXT(SMALL($D$107:$N$107,1),"##.###,0%")</f>
        <v>30,5%</v>
      </c>
      <c r="Z98" t="s">
        <v>554</v>
      </c>
    </row>
    <row r="99" spans="1:26">
      <c r="P99" s="500">
        <f>+LARGE($D$98:$N$98,1)</f>
        <v>0.61894292058699896</v>
      </c>
      <c r="Q99">
        <f>+HLOOKUP(P99,$D$98:$N$100,3,0)</f>
        <v>2012</v>
      </c>
      <c r="R99" t="str">
        <f>+TEXT(LARGE($D$94:$N$94,1),"##.###,0%")</f>
        <v>30,1%</v>
      </c>
      <c r="Y99" t="str">
        <f>+TEXT(LARGE($D$107:$N$107,1),"##.###,0%")</f>
        <v>30,8%</v>
      </c>
    </row>
    <row r="100" spans="1:26">
      <c r="A100" s="334" t="s">
        <v>186</v>
      </c>
      <c r="D100" s="335">
        <f>+D6</f>
        <v>2012</v>
      </c>
      <c r="E100" s="335">
        <f t="shared" ref="E100:N100" si="15">+E6</f>
        <v>2013</v>
      </c>
      <c r="F100" s="335">
        <f t="shared" si="15"/>
        <v>2014</v>
      </c>
      <c r="G100" s="335">
        <f t="shared" si="15"/>
        <v>2015</v>
      </c>
      <c r="H100" s="335">
        <f t="shared" si="15"/>
        <v>2016</v>
      </c>
      <c r="I100" s="335">
        <f t="shared" si="15"/>
        <v>2017</v>
      </c>
      <c r="J100" s="335">
        <f t="shared" si="15"/>
        <v>2018</v>
      </c>
      <c r="K100" s="335">
        <f t="shared" si="15"/>
        <v>2019</v>
      </c>
      <c r="L100" s="335">
        <f t="shared" si="15"/>
        <v>2020</v>
      </c>
      <c r="M100" s="335">
        <f t="shared" si="15"/>
        <v>2021</v>
      </c>
      <c r="N100" s="335">
        <f t="shared" si="15"/>
        <v>2022</v>
      </c>
    </row>
    <row r="101" spans="1:26">
      <c r="B101" s="334" t="s">
        <v>283</v>
      </c>
      <c r="C101" s="334"/>
      <c r="D101">
        <f>+'q11'!$C$8+'q11'!$C$11</f>
        <v>680793</v>
      </c>
      <c r="E101">
        <f>+'q11'!$D$8+'q11'!$D$11</f>
        <v>666913</v>
      </c>
      <c r="F101">
        <f>+'q11'!$E$8+'q11'!$E$11</f>
        <v>674602</v>
      </c>
      <c r="G101">
        <f>+'q11'!$F$8+'q11'!$F$11</f>
        <v>686838</v>
      </c>
      <c r="H101">
        <f>+'q11'!$G$8+'q11'!$G$11</f>
        <v>698455</v>
      </c>
      <c r="I101">
        <f>+'q11'!$H$8+'q11'!$H$11</f>
        <v>707551</v>
      </c>
      <c r="J101">
        <f>+'q11'!$I$8+'q11'!$I$11</f>
        <v>717867</v>
      </c>
      <c r="K101">
        <f>+'q11'!$J$8+'q11'!$J$11</f>
        <v>705572</v>
      </c>
      <c r="L101">
        <f>+'q11'!$K$8+'q11'!$K$11</f>
        <v>709290</v>
      </c>
      <c r="M101">
        <f>+'q11'!$L$8+'q11'!$L$11</f>
        <v>697277</v>
      </c>
      <c r="N101">
        <f>+'q11'!$M$8+'q11'!$M$11</f>
        <v>727177</v>
      </c>
    </row>
    <row r="102" spans="1:26">
      <c r="B102" s="334" t="s">
        <v>543</v>
      </c>
      <c r="C102" s="334"/>
      <c r="D102">
        <f>+'q11'!$C$14+'q11'!$C$17</f>
        <v>735582</v>
      </c>
      <c r="E102">
        <f>+'q11'!$D$14+'q11'!$D$17</f>
        <v>727923</v>
      </c>
      <c r="F102">
        <f>+'q11'!$E$14+'q11'!$E$17</f>
        <v>752242</v>
      </c>
      <c r="G102">
        <f>+'q11'!$F$14+'q11'!$F$17</f>
        <v>779942</v>
      </c>
      <c r="H102">
        <f>+'q11'!$G$14+'q11'!$G$17</f>
        <v>808880</v>
      </c>
      <c r="I102">
        <f>+'q11'!$H$14+'q11'!$H$17</f>
        <v>849173</v>
      </c>
      <c r="J102">
        <f>+'q11'!$I$14+'q11'!$I$17</f>
        <v>884241</v>
      </c>
      <c r="K102">
        <f>+'q11'!$J$14+'q11'!$J$17</f>
        <v>903699</v>
      </c>
      <c r="L102">
        <f>+'q11'!$K$14+'q11'!$K$17</f>
        <v>890723</v>
      </c>
      <c r="M102">
        <f>+'q11'!$L$14+'q11'!$L$17</f>
        <v>899808</v>
      </c>
      <c r="N102">
        <f>+'q11'!$M$14+'q11'!$M$17</f>
        <v>969158</v>
      </c>
    </row>
    <row r="103" spans="1:26">
      <c r="B103" s="334" t="s">
        <v>544</v>
      </c>
      <c r="C103" s="334"/>
      <c r="D103">
        <f>+'q11'!$C$20+'q11'!$C$23+'q11'!$C$26+'q11'!$C$29</f>
        <v>559939</v>
      </c>
      <c r="E103">
        <f>+'q11'!$D$20+'q11'!$D$23+'q11'!$D$26+'q11'!$D$29</f>
        <v>563970</v>
      </c>
      <c r="F103">
        <f>+'q11'!$E$20+'q11'!$E$23+'q11'!$E$26+'q11'!$E$29</f>
        <v>581774</v>
      </c>
      <c r="G103">
        <f>+'q11'!$F$20+'q11'!$F$23+'q11'!$F$26+'q11'!$F$29</f>
        <v>601283</v>
      </c>
      <c r="H103">
        <f>+'q11'!$G$20+'q11'!$G$23+'q11'!$G$26+'q11'!$G$29</f>
        <v>628036</v>
      </c>
      <c r="I103">
        <f>+'q11'!$H$20+'q11'!$H$23+'q11'!$H$26+'q11'!$H$29</f>
        <v>659773</v>
      </c>
      <c r="J103">
        <f>+'q11'!$I$20+'q11'!$I$23+'q11'!$I$26+'q11'!$I$29</f>
        <v>694825</v>
      </c>
      <c r="K103">
        <f>+'q11'!$J$20+'q11'!$J$23+'q11'!$J$26+'q11'!$J$29</f>
        <v>711328</v>
      </c>
      <c r="L103">
        <f>+'q11'!$K$20+'q11'!$K$23+'q11'!$K$26+'q11'!$K$29</f>
        <v>700769</v>
      </c>
      <c r="M103">
        <f>+'q11'!$L$20+'q11'!$L$23+'q11'!$L$26+'q11'!$L$29</f>
        <v>719552</v>
      </c>
      <c r="N103">
        <f>+'q11'!$M$20+'q11'!$M$23+'q11'!$M$26+'q11'!$M$29</f>
        <v>788139</v>
      </c>
      <c r="R103" s="334" t="s">
        <v>265</v>
      </c>
    </row>
    <row r="104" spans="1:26">
      <c r="B104" s="334" t="s">
        <v>292</v>
      </c>
      <c r="C104" s="334"/>
      <c r="D104">
        <f>+'q11'!$C$32+'q11'!$C$35+'q11'!$C$38</f>
        <v>408574</v>
      </c>
      <c r="E104">
        <f>+'q11'!$D$32+'q11'!$D$35+'q11'!$D$38</f>
        <v>423096</v>
      </c>
      <c r="F104">
        <f>+'q11'!$E$32+'q11'!$E$35+'q11'!$E$38</f>
        <v>447153</v>
      </c>
      <c r="G104">
        <f>+'q11'!$F$32+'q11'!$F$35+'q11'!$F$38</f>
        <v>467633</v>
      </c>
      <c r="H104">
        <f>+'q11'!$G$32+'q11'!$G$35+'q11'!$G$38</f>
        <v>504554</v>
      </c>
      <c r="I104">
        <f>+'q11'!$H$32+'q11'!$H$35+'q11'!$H$38</f>
        <v>549108</v>
      </c>
      <c r="J104">
        <f>+'q11'!$I$32+'q11'!$I$35+'q11'!$I$38</f>
        <v>579145</v>
      </c>
      <c r="K104">
        <f>+'q11'!$J$32+'q11'!$J$35+'q11'!$J$38</f>
        <v>607584</v>
      </c>
      <c r="L104">
        <f>+'q11'!$K$32+'q11'!$K$35+'q11'!$K$38</f>
        <v>598470</v>
      </c>
      <c r="M104">
        <f>+'q11'!$L$32+'q11'!$L$35+'q11'!$L$38</f>
        <v>603335</v>
      </c>
      <c r="N104">
        <f>+'q11'!$M$32+'q11'!$M$35+'q11'!$M$38</f>
        <v>661415</v>
      </c>
      <c r="R104" t="str">
        <f>+R91&amp;CHAR(10)&amp;R92&amp;R93&amp;S93&amp;T93&amp;U93&amp;V93&amp;");"&amp;CHAR(10)&amp;R94&amp;R95&amp;S95&amp;R96&amp;";"&amp;CHAR(10)&amp;R97&amp;R98&amp;S98&amp;R99&amp;"."</f>
        <v>2012 - 2022:
Micro e Pequenos estabelecimentos têm ao serviço mais de 56% das pessoas (entre 56,3% e 61,9%);
Micro estabelecimentos: entre 26,2% e 32,1%;
Pequenos estabelecimentos: entre 29,5% e 30,1%.</v>
      </c>
    </row>
    <row r="106" spans="1:26">
      <c r="D106" s="347">
        <f>+D101/$AT$5</f>
        <v>0.28516251666048137</v>
      </c>
      <c r="E106" s="347">
        <f>+E101/$AU$5</f>
        <v>0.27973118814019926</v>
      </c>
      <c r="F106" s="347">
        <f>+F101/$AV$5</f>
        <v>0.27443338785914523</v>
      </c>
      <c r="G106" s="347">
        <f>+G101/$AW$5</f>
        <v>0.27065875436870213</v>
      </c>
      <c r="H106" s="347">
        <f>+H101/$AX$5</f>
        <v>0.26437411593618126</v>
      </c>
      <c r="I106" s="347">
        <f>+I101/$AY$5</f>
        <v>0.25566237799098906</v>
      </c>
      <c r="J106" s="347">
        <f>+J101/$AZ$5</f>
        <v>0.24943969911581915</v>
      </c>
      <c r="K106" s="347">
        <f>+K101/$BA$5</f>
        <v>0.24076994842486663</v>
      </c>
      <c r="L106" s="347">
        <f>+L101/$BB$5</f>
        <v>0.2443447331478818</v>
      </c>
      <c r="M106" s="347">
        <f>+M101/$BC$5</f>
        <v>0.23860203952787198</v>
      </c>
      <c r="N106" s="347">
        <f>+N101/$BD$5</f>
        <v>0.2309857195359683</v>
      </c>
      <c r="R106" s="334" t="s">
        <v>186</v>
      </c>
    </row>
    <row r="107" spans="1:26">
      <c r="D107" s="347">
        <f>+D102/$AT$5</f>
        <v>0.30811188471407641</v>
      </c>
      <c r="E107" s="347">
        <f>+E102/$AU$5</f>
        <v>0.30532133226459562</v>
      </c>
      <c r="F107" s="347">
        <f>+F102/$AV$5</f>
        <v>0.30601794917586833</v>
      </c>
      <c r="G107" s="347">
        <f>+G102/$AW$5</f>
        <v>0.30734777371059008</v>
      </c>
      <c r="H107" s="347">
        <f>+H102/$AX$5</f>
        <v>0.30617138526957111</v>
      </c>
      <c r="I107" s="347">
        <f>+I102/$AY$5</f>
        <v>0.30683525075329149</v>
      </c>
      <c r="J107" s="347">
        <f>+J102/$AZ$5</f>
        <v>0.30725024132028778</v>
      </c>
      <c r="K107" s="347">
        <f>+K102/$BA$5</f>
        <v>0.30837896291463318</v>
      </c>
      <c r="L107" s="347">
        <f>+L102/$BB$5</f>
        <v>0.30684695081515423</v>
      </c>
      <c r="M107" s="347">
        <f>+M102/$BC$5</f>
        <v>0.30790636143669653</v>
      </c>
      <c r="N107" s="347">
        <f>+N102/$BD$5</f>
        <v>0.30785030051010959</v>
      </c>
      <c r="R107" t="str">
        <f>+Y91&amp;CHAR(10)&amp;Y92&amp;Y93&amp;Z93&amp;AA93&amp;AB93&amp;AC93&amp;AD93&amp;");"&amp;CHAR(10)&amp;Y94&amp;Y95&amp;Z95&amp;Y96&amp;Z96&amp;CHAR(10)&amp;Y97&amp;Y98&amp;Z98&amp;Y99&amp;"."</f>
        <v>2012 - 2022:
Micro e Pequenos estabelecimentos têm ao serviço mais de 54% dos TCO (entre 53,9% e 59,3%);
Micro estabelecimentos: entre 23,1% e 28,5%;
Pequenos estabelecimentos: entre 30,5% e 30,8%.</v>
      </c>
    </row>
    <row r="108" spans="1:26">
      <c r="D108" s="347">
        <f>+D103/$AT$5</f>
        <v>0.2345406230915319</v>
      </c>
      <c r="E108" s="347">
        <f>+E103/$AU$5</f>
        <v>0.23655259108073792</v>
      </c>
      <c r="F108" s="347">
        <f>+F103/$AV$5</f>
        <v>0.23667022894738876</v>
      </c>
      <c r="G108" s="347">
        <f>+G103/$AW$5</f>
        <v>0.23694453102926208</v>
      </c>
      <c r="H108" s="347">
        <f>+H103/$AX$5</f>
        <v>0.23771962728607501</v>
      </c>
      <c r="I108" s="347">
        <f>+I103/$AY$5</f>
        <v>0.23839855235064161</v>
      </c>
      <c r="J108" s="347">
        <f>+J103/$AZ$5</f>
        <v>0.24143321665176007</v>
      </c>
      <c r="K108" s="347">
        <f>+K103/$BA$5</f>
        <v>0.24273413042632577</v>
      </c>
      <c r="L108" s="347">
        <f>+L103/$BB$5</f>
        <v>0.24140931678623409</v>
      </c>
      <c r="M108" s="347">
        <f>+M103/$BC$5</f>
        <v>0.24622434806591834</v>
      </c>
      <c r="N108" s="347">
        <f>+N103/$BD$5</f>
        <v>0.25035012659828149</v>
      </c>
    </row>
    <row r="109" spans="1:26">
      <c r="D109" s="347">
        <f>+D104/$AT$5</f>
        <v>0.17113864285038113</v>
      </c>
      <c r="E109" s="347">
        <f>+E104/$AU$5</f>
        <v>0.17746414716367165</v>
      </c>
      <c r="F109" s="347">
        <f>+F104/$AV$5</f>
        <v>0.18190534964524321</v>
      </c>
      <c r="G109" s="347">
        <f>+G104/$AW$5</f>
        <v>0.18427775586339032</v>
      </c>
      <c r="H109" s="347">
        <f>+H104/$AX$5</f>
        <v>0.19098011710427154</v>
      </c>
      <c r="I109" s="347">
        <f>+I104/$AY$5</f>
        <v>0.1984115025685442</v>
      </c>
      <c r="J109" s="347">
        <f>+J104/$AZ$5</f>
        <v>0.20123749182568787</v>
      </c>
      <c r="K109" s="347">
        <f>+K104/$BA$5</f>
        <v>0.20733244565228517</v>
      </c>
      <c r="L109" s="347">
        <f>+L104/$BB$5</f>
        <v>0.20616812932229811</v>
      </c>
      <c r="M109" s="347">
        <f>+M104/$BC$5</f>
        <v>0.20645591568135568</v>
      </c>
      <c r="N109" s="347">
        <f>+N104/$BD$5</f>
        <v>0.21009660603523278</v>
      </c>
    </row>
    <row r="110" spans="1:26">
      <c r="R110" t="str">
        <f>+IF($Q$3=1,$R$104,$R$107)</f>
        <v>2012 - 2022:
Micro e Pequenos estabelecimentos têm ao serviço mais de 54% dos TCO (entre 53,9% e 59,3%);
Micro estabelecimentos: entre 23,1% e 28,5%;
Pequenos estabelecimentos: entre 30,5% e 30,8%.</v>
      </c>
    </row>
    <row r="111" spans="1:26">
      <c r="D111" s="347">
        <f>+D106+D107</f>
        <v>0.59327440137455778</v>
      </c>
      <c r="E111" s="347">
        <f t="shared" ref="E111:N111" si="16">+E106+E107</f>
        <v>0.58505252040479494</v>
      </c>
      <c r="F111" s="347">
        <f t="shared" si="16"/>
        <v>0.5804513370350135</v>
      </c>
      <c r="G111" s="347">
        <f t="shared" si="16"/>
        <v>0.5780065280792922</v>
      </c>
      <c r="H111" s="347">
        <f t="shared" si="16"/>
        <v>0.57054550120575231</v>
      </c>
      <c r="I111" s="347">
        <f t="shared" si="16"/>
        <v>0.56249762874428055</v>
      </c>
      <c r="J111" s="347">
        <f t="shared" si="16"/>
        <v>0.55668994043610698</v>
      </c>
      <c r="K111" s="347">
        <f t="shared" si="16"/>
        <v>0.54914891133949983</v>
      </c>
      <c r="L111" s="347">
        <f t="shared" si="16"/>
        <v>0.55119168396303597</v>
      </c>
      <c r="M111" s="347">
        <f t="shared" si="16"/>
        <v>0.54650840096456854</v>
      </c>
      <c r="N111" s="347">
        <f t="shared" si="16"/>
        <v>0.53883602004607789</v>
      </c>
      <c r="O111" s="370"/>
      <c r="P111" s="500">
        <f>+SMALL($D$111:$N$111,1)</f>
        <v>0.53883602004607789</v>
      </c>
    </row>
    <row r="112" spans="1:26">
      <c r="P112" s="500">
        <f>+LARGE($D$111:$N$111,1)</f>
        <v>0.59327440137455778</v>
      </c>
    </row>
    <row r="113" spans="2:24">
      <c r="X113" s="467" t="s">
        <v>548</v>
      </c>
    </row>
    <row r="114" spans="2:24">
      <c r="X114" s="467" t="s">
        <v>555</v>
      </c>
    </row>
    <row r="115" spans="2:24">
      <c r="B115" s="371"/>
      <c r="D115" s="469"/>
      <c r="E115" s="469"/>
      <c r="F115" s="469"/>
      <c r="G115" s="469"/>
      <c r="H115" s="469"/>
      <c r="I115" s="469"/>
      <c r="J115" s="469"/>
      <c r="K115" s="469"/>
    </row>
    <row r="116" spans="2:24">
      <c r="D116" s="469"/>
      <c r="E116" s="469"/>
      <c r="F116" s="469"/>
      <c r="G116" s="469"/>
      <c r="H116" s="469"/>
      <c r="I116" s="469"/>
      <c r="J116" s="469"/>
      <c r="K116" s="469"/>
    </row>
    <row r="117" spans="2:24">
      <c r="D117" s="469"/>
      <c r="E117" s="469"/>
      <c r="F117" s="469"/>
      <c r="G117" s="469"/>
      <c r="H117" s="469"/>
      <c r="I117" s="469"/>
      <c r="J117" s="469"/>
      <c r="K117" s="469"/>
    </row>
    <row r="118" spans="2:24">
      <c r="D118" s="469"/>
      <c r="E118" s="469"/>
      <c r="F118" s="469"/>
      <c r="G118" s="469"/>
      <c r="H118" s="469"/>
      <c r="I118" s="469"/>
      <c r="J118" s="469"/>
      <c r="K118" s="469"/>
    </row>
  </sheetData>
  <mergeCells count="7">
    <mergeCell ref="BW4:BX4"/>
    <mergeCell ref="Q39:Q40"/>
    <mergeCell ref="Y69:Z69"/>
    <mergeCell ref="Y78:Z78"/>
    <mergeCell ref="BQ4:BR4"/>
    <mergeCell ref="BS4:BT4"/>
    <mergeCell ref="BU4:BV4"/>
  </mergeCells>
  <conditionalFormatting sqref="B69:B74">
    <cfRule type="cellIs" dxfId="155" priority="52" operator="equal">
      <formula>0</formula>
    </cfRule>
  </conditionalFormatting>
  <conditionalFormatting sqref="B78:B83">
    <cfRule type="cellIs" dxfId="154" priority="31" operator="equal">
      <formula>0</formula>
    </cfRule>
  </conditionalFormatting>
  <conditionalFormatting sqref="D69:D74">
    <cfRule type="cellIs" dxfId="153" priority="10" operator="equal">
      <formula>0</formula>
    </cfRule>
  </conditionalFormatting>
  <conditionalFormatting sqref="D78:D83">
    <cfRule type="cellIs" dxfId="152" priority="20" operator="equal">
      <formula>0</formula>
    </cfRule>
  </conditionalFormatting>
  <conditionalFormatting sqref="F69:F74">
    <cfRule type="cellIs" dxfId="151" priority="9" operator="equal">
      <formula>0</formula>
    </cfRule>
  </conditionalFormatting>
  <conditionalFormatting sqref="F78:F83">
    <cfRule type="cellIs" dxfId="150" priority="19" operator="equal">
      <formula>0</formula>
    </cfRule>
  </conditionalFormatting>
  <conditionalFormatting sqref="H69:H74">
    <cfRule type="cellIs" dxfId="149" priority="8" operator="equal">
      <formula>0</formula>
    </cfRule>
  </conditionalFormatting>
  <conditionalFormatting sqref="H78:H83">
    <cfRule type="cellIs" dxfId="148" priority="18" operator="equal">
      <formula>0</formula>
    </cfRule>
  </conditionalFormatting>
  <conditionalFormatting sqref="J69:J74">
    <cfRule type="cellIs" dxfId="147" priority="7" operator="equal">
      <formula>0</formula>
    </cfRule>
  </conditionalFormatting>
  <conditionalFormatting sqref="J78:J83">
    <cfRule type="cellIs" dxfId="146" priority="17" operator="equal">
      <formula>0</formula>
    </cfRule>
  </conditionalFormatting>
  <conditionalFormatting sqref="L69:L74">
    <cfRule type="cellIs" dxfId="145" priority="6" operator="equal">
      <formula>0</formula>
    </cfRule>
  </conditionalFormatting>
  <conditionalFormatting sqref="L78:L83">
    <cfRule type="cellIs" dxfId="144" priority="16" operator="equal">
      <formula>0</formula>
    </cfRule>
  </conditionalFormatting>
  <conditionalFormatting sqref="N69:N74">
    <cfRule type="cellIs" dxfId="143" priority="5" operator="equal">
      <formula>0</formula>
    </cfRule>
  </conditionalFormatting>
  <conditionalFormatting sqref="N78:N83">
    <cfRule type="cellIs" dxfId="142" priority="15" operator="equal">
      <formula>0</formula>
    </cfRule>
  </conditionalFormatting>
  <conditionalFormatting sqref="P69:P74">
    <cfRule type="cellIs" dxfId="141" priority="4" operator="equal">
      <formula>0</formula>
    </cfRule>
  </conditionalFormatting>
  <conditionalFormatting sqref="P78:P83">
    <cfRule type="cellIs" dxfId="140" priority="14" operator="equal">
      <formula>0</formula>
    </cfRule>
  </conditionalFormatting>
  <conditionalFormatting sqref="R69:R74">
    <cfRule type="cellIs" dxfId="139" priority="3" operator="equal">
      <formula>0</formula>
    </cfRule>
  </conditionalFormatting>
  <conditionalFormatting sqref="R78:R83">
    <cfRule type="cellIs" dxfId="138" priority="13" operator="equal">
      <formula>0</formula>
    </cfRule>
  </conditionalFormatting>
  <conditionalFormatting sqref="T69:T74">
    <cfRule type="cellIs" dxfId="137" priority="2" operator="equal">
      <formula>0</formula>
    </cfRule>
  </conditionalFormatting>
  <conditionalFormatting sqref="T78:T83">
    <cfRule type="cellIs" dxfId="136" priority="12" operator="equal">
      <formula>0</formula>
    </cfRule>
  </conditionalFormatting>
  <conditionalFormatting sqref="V69:V74">
    <cfRule type="cellIs" dxfId="135" priority="1" operator="equal">
      <formula>0</formula>
    </cfRule>
  </conditionalFormatting>
  <conditionalFormatting sqref="V78:V83">
    <cfRule type="cellIs" dxfId="134" priority="11" operator="equal">
      <formula>0</formula>
    </cfRule>
  </conditionalFormatting>
  <conditionalFormatting sqref="AT3:BE4">
    <cfRule type="cellIs" dxfId="133" priority="53" operator="equal">
      <formula>0</formula>
    </cfRule>
  </conditionalFormatting>
  <conditionalFormatting sqref="BC3:BE3 BC5:BE5">
    <cfRule type="cellIs" dxfId="132" priority="5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4209" r:id="rId4" name="Drop Down 1">
              <controlPr defaultSize="0" autoLine="0" autoPict="0">
                <anchor moveWithCells="1">
                  <from>
                    <xdr:col>17</xdr:col>
                    <xdr:colOff>219075</xdr:colOff>
                    <xdr:row>2</xdr:row>
                    <xdr:rowOff>0</xdr:rowOff>
                  </from>
                  <to>
                    <xdr:col>17</xdr:col>
                    <xdr:colOff>1466850</xdr:colOff>
                    <xdr:row>3</xdr:row>
                    <xdr:rowOff>28575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8EA99-AD1A-4DC2-AA41-97726AB91717}">
  <sheetPr codeName="Folha9">
    <tabColor indexed="24"/>
  </sheetPr>
  <dimension ref="A1:CF119"/>
  <sheetViews>
    <sheetView topLeftCell="BB1" zoomScale="104" zoomScaleNormal="104" workbookViewId="0">
      <selection activeCell="BG3" sqref="BG3:BH3"/>
    </sheetView>
  </sheetViews>
  <sheetFormatPr defaultRowHeight="12.75"/>
  <cols>
    <col min="1" max="1" width="18.5703125" customWidth="1"/>
    <col min="2" max="2" width="15.140625" customWidth="1"/>
    <col min="3" max="9" width="11.5703125" bestFit="1" customWidth="1"/>
    <col min="10" max="14" width="10.5703125" bestFit="1" customWidth="1"/>
    <col min="18" max="18" width="25" bestFit="1" customWidth="1"/>
    <col min="46" max="52" width="10.85546875" bestFit="1" customWidth="1"/>
    <col min="53" max="53" width="8.140625" customWidth="1"/>
    <col min="54" max="54" width="16.140625" bestFit="1" customWidth="1"/>
    <col min="55" max="56" width="11" bestFit="1" customWidth="1"/>
    <col min="59" max="60" width="18.28515625" bestFit="1" customWidth="1"/>
    <col min="70" max="71" width="23.140625" customWidth="1"/>
  </cols>
  <sheetData>
    <row r="1" spans="1:84">
      <c r="A1" s="334"/>
      <c r="BL1" t="s">
        <v>262</v>
      </c>
    </row>
    <row r="2" spans="1:84">
      <c r="A2" s="334" t="s">
        <v>340</v>
      </c>
      <c r="B2">
        <v>1</v>
      </c>
      <c r="BL2">
        <f>+AT3</f>
        <v>2012</v>
      </c>
      <c r="BM2">
        <v>1</v>
      </c>
    </row>
    <row r="3" spans="1:84" ht="13.5" thickBot="1">
      <c r="A3" s="334" t="s">
        <v>341</v>
      </c>
      <c r="AS3" s="4"/>
      <c r="AT3" s="6">
        <f>+'q1'!$C$4</f>
        <v>2012</v>
      </c>
      <c r="AU3" s="6">
        <f>+'q1'!$D$4</f>
        <v>2013</v>
      </c>
      <c r="AV3" s="6">
        <f>+'q1'!$E$4</f>
        <v>2014</v>
      </c>
      <c r="AW3" s="6">
        <f>+'q1'!$F$4</f>
        <v>2015</v>
      </c>
      <c r="AX3" s="6">
        <f>+'q1'!$G$4</f>
        <v>2016</v>
      </c>
      <c r="AY3" s="6">
        <f>+'q1'!$H$4</f>
        <v>2017</v>
      </c>
      <c r="AZ3" s="6">
        <f>+'q1'!$I$4</f>
        <v>2018</v>
      </c>
      <c r="BA3" s="6">
        <f>+'q1'!$J$4</f>
        <v>2019</v>
      </c>
      <c r="BB3" s="6">
        <f>+'q1'!$K$4</f>
        <v>2020</v>
      </c>
      <c r="BC3" s="6">
        <f>+'q1'!$L$4</f>
        <v>2021</v>
      </c>
      <c r="BD3" s="6">
        <f>+'q1'!$M$4</f>
        <v>2022</v>
      </c>
      <c r="BE3" s="356"/>
      <c r="BF3" s="335" t="str">
        <f>+BD3&amp;"-"&amp;BC3</f>
        <v>2022-2021</v>
      </c>
      <c r="BG3" t="str">
        <f>+"variação "&amp;$BD$3&amp;"/"&amp;$BC$3</f>
        <v>variação 2022/2021</v>
      </c>
      <c r="BH3" t="str">
        <f>+"variação "&amp;$BD$3&amp;"/"&amp;$AT$3</f>
        <v>variação 2022/2012</v>
      </c>
      <c r="BL3">
        <f>+AU3</f>
        <v>2013</v>
      </c>
      <c r="BM3">
        <v>2</v>
      </c>
      <c r="BT3" s="443" t="s">
        <v>340</v>
      </c>
      <c r="BV3" s="335">
        <f>+'q18'!$C$4</f>
        <v>2012</v>
      </c>
      <c r="BW3" s="335">
        <f>+'q18'!$D$4</f>
        <v>2013</v>
      </c>
      <c r="BX3" s="335">
        <f>+'q18'!$E$4</f>
        <v>2014</v>
      </c>
      <c r="BY3" s="335">
        <f>+'q18'!$F$4</f>
        <v>2015</v>
      </c>
      <c r="BZ3" s="335">
        <f>+'q18'!$G$4</f>
        <v>2016</v>
      </c>
      <c r="CA3" s="335">
        <f>+'q18'!$H$4</f>
        <v>2017</v>
      </c>
      <c r="CB3" s="335">
        <f>+'q18'!$I$4</f>
        <v>2018</v>
      </c>
      <c r="CC3" s="335">
        <f>+'q18'!$J$4</f>
        <v>2019</v>
      </c>
      <c r="CD3" s="335">
        <f>+'q18'!$K$4</f>
        <v>2020</v>
      </c>
      <c r="CE3" s="335">
        <f>+'q18'!$L$4</f>
        <v>2021</v>
      </c>
      <c r="CF3" s="335">
        <f>+'q18'!$M$4</f>
        <v>2022</v>
      </c>
    </row>
    <row r="4" spans="1:84" ht="13.5" thickTop="1">
      <c r="R4" s="334"/>
      <c r="AS4" s="345" t="s">
        <v>346</v>
      </c>
      <c r="AT4" s="362">
        <f>+'q17'!$C$5</f>
        <v>915.01247006081212</v>
      </c>
      <c r="AU4" s="362">
        <f>+'q17'!$D$5</f>
        <v>912.18298170177309</v>
      </c>
      <c r="AV4" s="362">
        <f>+'q17'!$E$5</f>
        <v>909.49144915721399</v>
      </c>
      <c r="AW4" s="362">
        <f>+'q17'!$F$5</f>
        <v>913.92544791377406</v>
      </c>
      <c r="AX4" s="362">
        <f>+'q17'!$G$5</f>
        <v>924.9392153090821</v>
      </c>
      <c r="AY4" s="362">
        <f>+'q17'!$H$5</f>
        <v>943.00107511786211</v>
      </c>
      <c r="AZ4" s="362">
        <f>+'q17'!$I$5</f>
        <v>970.41689676342503</v>
      </c>
      <c r="BA4" s="362">
        <f>+'q17'!$J$5</f>
        <v>1005.08927925103</v>
      </c>
      <c r="BB4" s="362">
        <f>+'q17'!$K$5</f>
        <v>1041.9948771786001</v>
      </c>
      <c r="BC4" s="362">
        <f>+'q17'!$L$5</f>
        <v>1082.7724697513502</v>
      </c>
      <c r="BD4" s="473">
        <f>+'q17'!$M$5</f>
        <v>1143.44558285689</v>
      </c>
      <c r="BE4" s="233"/>
      <c r="BF4" s="475">
        <f>+BD4-BC4</f>
        <v>60.673113105539869</v>
      </c>
      <c r="BG4" s="454">
        <f>+(BD4/BC4-1)</f>
        <v>5.6034960991825811E-2</v>
      </c>
      <c r="BH4" s="347">
        <f>+(BD4/AT4-1)</f>
        <v>0.2496502728327803</v>
      </c>
      <c r="BL4">
        <f>+AV3</f>
        <v>2014</v>
      </c>
      <c r="BM4">
        <v>3</v>
      </c>
      <c r="BQ4" s="334"/>
      <c r="BR4" s="334"/>
      <c r="BS4" s="334"/>
      <c r="BT4" s="443" t="s">
        <v>116</v>
      </c>
      <c r="BU4" s="334" t="s">
        <v>283</v>
      </c>
      <c r="BV4" s="359">
        <f>+(q18_Aux!$R$9+q18_Aux!$R$12)/(q11a!$C$9+q11a!$C$12)</f>
        <v>787.68438922472012</v>
      </c>
      <c r="BW4" s="359">
        <f>+(q18_Aux!$S$9+q18_Aux!$S$12)/(q11a!$D$9+q11a!$D$12)</f>
        <v>782.84441089117661</v>
      </c>
      <c r="BX4" s="359">
        <f>+(q18_Aux!$T$9+q18_Aux!$T$12)/(q11a!$E$9+q11a!$E$12)</f>
        <v>781.06343242485821</v>
      </c>
      <c r="BY4" s="359">
        <f>+(q18_Aux!$U$9+q18_Aux!$U$12)/(q11a!$F$9+q11a!$F$12)</f>
        <v>778.75925850087071</v>
      </c>
      <c r="BZ4" s="359">
        <f>+(q18_Aux!$V$9+q18_Aux!$V$12)/(q11a!$G$9+q11a!$G$12)</f>
        <v>790.84249073655099</v>
      </c>
      <c r="CA4" s="359">
        <f>+(q18_Aux!$W$9+q18_Aux!$W$12)/(q11a!$H$9+q11a!$H$12)</f>
        <v>808.23178619118937</v>
      </c>
      <c r="CB4" s="359">
        <f>+(q18_Aux!$X$9+q18_Aux!$X$12)/(q11a!$I$9+q11a!$I$12)</f>
        <v>832.8822699883234</v>
      </c>
      <c r="CC4" s="359">
        <f>+(q18_Aux!$Y$9+q18_Aux!$Y$12)/(q11a!$J$9+q11a!$J$12)</f>
        <v>860.26216539203403</v>
      </c>
      <c r="CD4" s="359">
        <f>+(q18_Aux!$Z$9+q18_Aux!$Z$12)/(q11a!$K$9+q11a!$K$12)</f>
        <v>896.60285107693585</v>
      </c>
      <c r="CE4" s="359">
        <f>+(q18_Aux!$AA$9+q18_Aux!$AA$12)/(q11a!$L$9+q11a!$L$12)</f>
        <v>933.53722779670659</v>
      </c>
      <c r="CF4" s="359">
        <f>+(q18_Aux!$AB$9+q18_Aux!$AB$12)/(q11a!$M$9+q11a!$M$12)</f>
        <v>982.98366719001524</v>
      </c>
    </row>
    <row r="5" spans="1:84">
      <c r="AS5" s="345" t="s">
        <v>347</v>
      </c>
      <c r="AT5" s="363">
        <f>+'q25'!$C$5</f>
        <v>1095.58619281857</v>
      </c>
      <c r="AU5" s="363">
        <f>+'q25'!$D$5</f>
        <v>1093.8178723953499</v>
      </c>
      <c r="AV5" s="363">
        <f>+'q25'!$E$5</f>
        <v>1093.20854089105</v>
      </c>
      <c r="AW5" s="363">
        <f>+'q25'!$F$5</f>
        <v>1096.65734127991</v>
      </c>
      <c r="AX5" s="363">
        <f>+'q25'!$G$5</f>
        <v>1107.85636561875</v>
      </c>
      <c r="AY5" s="363">
        <f>+'q25'!$H$5</f>
        <v>1133.34288689707</v>
      </c>
      <c r="AZ5" s="363">
        <f>+'q25'!$I$5</f>
        <v>1170.2525051678801</v>
      </c>
      <c r="BA5" s="363">
        <f>+'q25'!$J$5</f>
        <v>1209.93900485576</v>
      </c>
      <c r="BB5" s="363">
        <f>+'q25'!$K$5</f>
        <v>1250.75197084447</v>
      </c>
      <c r="BC5" s="363">
        <f>+'q25'!$L$5</f>
        <v>1294.10894067238</v>
      </c>
      <c r="BD5" s="474">
        <f>+'q25'!$M$5</f>
        <v>1367.9952489883699</v>
      </c>
      <c r="BE5" s="344"/>
      <c r="BF5" s="475">
        <f>+BD5-BC5</f>
        <v>73.886308315989936</v>
      </c>
      <c r="BG5" s="454">
        <f>+(BD5/BC5-1)</f>
        <v>5.7094349628402208E-2</v>
      </c>
      <c r="BH5" s="347">
        <f>+(BD5/AT5-1)</f>
        <v>0.24864228661825694</v>
      </c>
      <c r="BL5">
        <f>+AW3</f>
        <v>2015</v>
      </c>
      <c r="BM5">
        <v>4</v>
      </c>
      <c r="BQ5" s="334"/>
      <c r="BR5" s="334"/>
      <c r="BS5" s="334"/>
      <c r="BU5" s="334" t="s">
        <v>543</v>
      </c>
      <c r="BV5" s="359">
        <f>+(q18_Aux!$R$15+q18_Aux!$R$18)/(q11a!$C$15+q11a!$C$18)</f>
        <v>964.22881641244487</v>
      </c>
      <c r="BW5" s="359">
        <f>+(q18_Aux!$S$15+q18_Aux!$S$18)/(q11a!$D$15+q11a!$D$18)</f>
        <v>957.39465203988414</v>
      </c>
      <c r="BX5" s="359">
        <f>+(q18_Aux!$T$15+q18_Aux!$T$18)/(q11a!$E$15+q11a!$E$18)</f>
        <v>946.85050724768666</v>
      </c>
      <c r="BY5" s="359">
        <f>+(q18_Aux!$U$15+q18_Aux!$U$18)/(q11a!$F$15+q11a!$F$18)</f>
        <v>945.27739782943229</v>
      </c>
      <c r="BZ5" s="359">
        <f>+(q18_Aux!$V$15+q18_Aux!$V$18)/(q11a!$G$15+q11a!$G$18)</f>
        <v>947.47025055059112</v>
      </c>
      <c r="CA5" s="359">
        <f>+(q18_Aux!$W$15+q18_Aux!$W$18)/(q11a!$H$15+q11a!$H$18)</f>
        <v>956.63214605054975</v>
      </c>
      <c r="CB5" s="359">
        <f>+(q18_Aux!$X$15+q18_Aux!$X$18)/(q11a!$I$15+q11a!$I$18)</f>
        <v>977.15298964512431</v>
      </c>
      <c r="CC5" s="359">
        <f>+(q18_Aux!$Y$15+q18_Aux!$Y$18)/(q11a!$J$15+q11a!$J$18)</f>
        <v>1006.1265081717156</v>
      </c>
      <c r="CD5" s="359">
        <f>+(q18_Aux!$Z$15+q18_Aux!$Z$18)/(q11a!$K$15+q11a!$K$18)</f>
        <v>1046.92051851988</v>
      </c>
      <c r="CE5" s="359">
        <f>+(q18_Aux!$AA$15+q18_Aux!$AA$18)/(q11a!$L$15+q11a!$L$18)</f>
        <v>1084.2817873280894</v>
      </c>
      <c r="CF5" s="359">
        <f>+(q18_Aux!$AB$15+q18_Aux!$AB$18)/(q11a!$M$15+q11a!$M$18)</f>
        <v>1130.8162900632708</v>
      </c>
    </row>
    <row r="6" spans="1:84">
      <c r="B6" s="334"/>
      <c r="D6">
        <f>+'q17'!$C$4</f>
        <v>2012</v>
      </c>
      <c r="E6">
        <f>+'q17'!$D$4</f>
        <v>2013</v>
      </c>
      <c r="F6">
        <f>+'q17'!$E$4</f>
        <v>2014</v>
      </c>
      <c r="G6">
        <f>+'q17'!$F$4</f>
        <v>2015</v>
      </c>
      <c r="H6">
        <f>+'q17'!$G$4</f>
        <v>2016</v>
      </c>
      <c r="I6">
        <f>+'q17'!$H$4</f>
        <v>2017</v>
      </c>
      <c r="J6">
        <f>+'q17'!$I$4</f>
        <v>2018</v>
      </c>
      <c r="K6">
        <f>+'q17'!$J$4</f>
        <v>2019</v>
      </c>
      <c r="L6">
        <f>+'q17'!$K$4</f>
        <v>2020</v>
      </c>
      <c r="M6">
        <f>+'q17'!$L$4</f>
        <v>2021</v>
      </c>
      <c r="N6">
        <f>+'q17'!$M$4</f>
        <v>2022</v>
      </c>
      <c r="BL6">
        <f>+AX3</f>
        <v>2016</v>
      </c>
      <c r="BM6">
        <v>5</v>
      </c>
      <c r="BT6" s="334"/>
      <c r="BU6" s="334" t="s">
        <v>544</v>
      </c>
      <c r="BV6" s="359">
        <f>+(q18_Aux!$R$21+q18_Aux!$R$24+q18_Aux!$R$27+q18_Aux!$R$30)/(q11a!$C$21+q11a!$C$24+q11a!$C$27+q11a!$C$30)</f>
        <v>1170.7459195847341</v>
      </c>
      <c r="BW6" s="359">
        <f>+(q18_Aux!$S$21+q18_Aux!$S$24+q18_Aux!$S$27+q18_Aux!$S$30)/(q11a!$D$21+q11a!$D$24+q11a!$D$27+q11a!$D$30)</f>
        <v>1159.4819603200485</v>
      </c>
      <c r="BX6" s="359">
        <f>+(q18_Aux!$T$21+q18_Aux!$T$24+q18_Aux!$T$27+q18_Aux!$T$30)/(q11a!$E$21+q11a!$E$24+q11a!$E$27+q11a!$E$30)</f>
        <v>1141.118669860949</v>
      </c>
      <c r="BY6" s="359">
        <f>+(q18_Aux!$U$21+q18_Aux!$U$24+q18_Aux!$U$27+q18_Aux!$U$30)/(q11a!$F$21+q11a!$F$24+q11a!$F$27+q11a!$F$30)</f>
        <v>1154.9691942687652</v>
      </c>
      <c r="BZ6" s="359">
        <f>+(q18_Aux!$V$21+q18_Aux!$V$24+q18_Aux!$V$27+q18_Aux!$V$30)/(q11a!$G$21+q11a!$G$24+q11a!$G$27+q11a!$G$30)</f>
        <v>1157.3462812902771</v>
      </c>
      <c r="CA6" s="359">
        <f>+(q18_Aux!$W$21+q18_Aux!$W$24+q18_Aux!$W$27+q18_Aux!$W$30)/(q11a!$H$21+q11a!$H$24+q11a!$H$27+q11a!$H$30)</f>
        <v>1171.7479397070113</v>
      </c>
      <c r="CB6" s="359">
        <f>+(q18_Aux!$X$21+q18_Aux!$X$24+q18_Aux!$X$27+q18_Aux!$X$30)/(q11a!$I$21+q11a!$I$24+q11a!$I$27+q11a!$I$30)</f>
        <v>1194.8600562733695</v>
      </c>
      <c r="CC6" s="359">
        <f>+(q18_Aux!$Y$21+q18_Aux!$Y$24+q18_Aux!$Y$27+q18_Aux!$Y$30)/(q11a!$J$21+q11a!$J$24+q11a!$J$27+q11a!$J$30)</f>
        <v>1219.6317334506894</v>
      </c>
      <c r="CD6" s="359">
        <f>+(q18_Aux!$Z$21+q18_Aux!$Z$24+q18_Aux!$Z$27+q18_Aux!$Z$30)/(q11a!$K$21+q11a!$K$24+q11a!$K$27+q11a!$K$30)</f>
        <v>1264.0566008425947</v>
      </c>
      <c r="CE6" s="359">
        <f>+(q18_Aux!$AA$21+q18_Aux!$AA$24+q18_Aux!$AA$27+q18_Aux!$AA$30)/(q11a!$L$21+q11a!$L$24+q11a!$L$27+q11a!$L$30)</f>
        <v>1288.0062516749199</v>
      </c>
      <c r="CF6" s="359">
        <f>+(q18_Aux!$AB$21+q18_Aux!$AB$24+q18_Aux!$AB$27+q18_Aux!$AB$30)/(q11a!$M$21+q11a!$M$24+q11a!$M$27+q11a!$M$30)</f>
        <v>1344.5117888914799</v>
      </c>
    </row>
    <row r="7" spans="1:84">
      <c r="A7" s="334" t="s">
        <v>333</v>
      </c>
      <c r="B7" t="str">
        <f>+'q17'!$A$6</f>
        <v>A</v>
      </c>
      <c r="C7" t="str">
        <f>+'q17'!$B$6</f>
        <v>Agr., pr. animal, caça, flor. pesca</v>
      </c>
      <c r="D7" s="359">
        <f>+'q17'!$C$6</f>
        <v>709.31408527707606</v>
      </c>
      <c r="E7" s="359">
        <f>+'q17'!$D$6</f>
        <v>684.70209934705304</v>
      </c>
      <c r="F7" s="359">
        <f>+'q17'!$E$6</f>
        <v>687.92314514818202</v>
      </c>
      <c r="G7" s="359">
        <f>+'q17'!$F$6</f>
        <v>701.34431736112913</v>
      </c>
      <c r="H7" s="359">
        <f>+'q17'!$G$6</f>
        <v>726.48589810017302</v>
      </c>
      <c r="I7" s="359">
        <f>+'q17'!$H$6</f>
        <v>738.39001875293002</v>
      </c>
      <c r="J7" s="359">
        <f>+'q17'!$I$6</f>
        <v>773.21816728332806</v>
      </c>
      <c r="K7" s="359">
        <f>+'q17'!$J$6</f>
        <v>823.08134849192106</v>
      </c>
      <c r="L7" s="359">
        <f>+'q17'!$K$6</f>
        <v>823.11781650322496</v>
      </c>
      <c r="M7" s="359">
        <f>+'q17'!$L$6</f>
        <v>872.68203826163904</v>
      </c>
      <c r="N7" s="359">
        <f>+'q17'!$M$6</f>
        <v>916.19425957124201</v>
      </c>
      <c r="P7" s="442"/>
      <c r="S7" s="359"/>
      <c r="T7" s="359"/>
      <c r="U7" s="359"/>
      <c r="V7" s="359"/>
      <c r="W7" s="359"/>
      <c r="X7" s="359"/>
      <c r="Y7" s="359"/>
      <c r="Z7" s="359"/>
      <c r="AA7" s="359"/>
      <c r="AB7" s="359"/>
      <c r="AC7" s="359"/>
      <c r="BF7" s="442">
        <v>1143.44558285689</v>
      </c>
      <c r="BL7">
        <f>+AY3</f>
        <v>2017</v>
      </c>
      <c r="BM7">
        <v>6</v>
      </c>
      <c r="BT7" s="334"/>
      <c r="BU7" s="334" t="s">
        <v>292</v>
      </c>
      <c r="BV7" s="359">
        <f>+(q18_Aux!$R$33+q18_Aux!$R$36+q18_Aux!$R$39)/(q11a!$C$33+q11a!$C$36+q11a!$C$39)</f>
        <v>1189.3910327446749</v>
      </c>
      <c r="BW7" s="359">
        <f>+(q18_Aux!$S$33+q18_Aux!$S$36+q18_Aux!$S$39)/(q11a!$D$33+q11a!$D$36+q11a!$D$39)</f>
        <v>1176.2411795167586</v>
      </c>
      <c r="BX7" s="359">
        <f>+(q18_Aux!$T$33+q18_Aux!$T$36+q18_Aux!$T$39)/(q11a!$E$33+q11a!$E$36+q11a!$E$39)</f>
        <v>1165.927427485462</v>
      </c>
      <c r="BY7" s="359">
        <f>+(q18_Aux!$U$33+q18_Aux!$U$36+q18_Aux!$U$39)/(q11a!$F$33+q11a!$F$36+q11a!$F$39)</f>
        <v>1172.1650092182297</v>
      </c>
      <c r="BZ7" s="359">
        <f>+(q18_Aux!$V$33+q18_Aux!$V$36+q18_Aux!$V$39)/(q11a!$G$33+q11a!$G$36+q11a!$G$39)</f>
        <v>1183.9131534319838</v>
      </c>
      <c r="CA7" s="359">
        <f>+(q18_Aux!$W$33+q18_Aux!$W$36+q18_Aux!$W$39)/(q11a!$H$33+q11a!$H$36+q11a!$H$39)</f>
        <v>1185.089891463088</v>
      </c>
      <c r="CB7" s="359">
        <f>+(q18_Aux!$X$33+q18_Aux!$X$36+q18_Aux!$X$39)/(q11a!$I$33+q11a!$I$36+q11a!$I$39)</f>
        <v>1217.826936036927</v>
      </c>
      <c r="CC7" s="359">
        <f>+(q18_Aux!$Y$33+q18_Aux!$Y$36+q18_Aux!$Y$39)/(q11a!$J$33+q11a!$J$36+q11a!$J$39)</f>
        <v>1271.0083216992448</v>
      </c>
      <c r="CD7" s="359">
        <f>+(q18_Aux!$Z$33+q18_Aux!$Z$36+q18_Aux!$Z$39)/(q11a!$K$33+q11a!$K$36+q11a!$K$39)</f>
        <v>1285.8137205317912</v>
      </c>
      <c r="CE7" s="359">
        <f>+(q18_Aux!$AA$33+q18_Aux!$AA$36+q18_Aux!$AA$39)/(q11a!$L$33+q11a!$L$36+q11a!$L$39)</f>
        <v>1366.284261135926</v>
      </c>
      <c r="CF7" s="359">
        <f>+(q18_Aux!$AB$33+q18_Aux!$AB$36+q18_Aux!$AB$39)/(q11a!$M$33+q11a!$M$36+q11a!$M$39)</f>
        <v>1469.7881888414699</v>
      </c>
    </row>
    <row r="8" spans="1:84" ht="13.5" thickBot="1">
      <c r="A8" s="334"/>
      <c r="B8" t="str">
        <f>+'q17'!$A$7</f>
        <v>B</v>
      </c>
      <c r="C8" t="str">
        <f>+'q17'!$B$7</f>
        <v>Indústrias extrativas</v>
      </c>
      <c r="D8" s="359">
        <f>+'q17'!$C$7</f>
        <v>909.41963441491703</v>
      </c>
      <c r="E8" s="359">
        <f>+'q17'!$D$7</f>
        <v>918.56127009883517</v>
      </c>
      <c r="F8" s="359">
        <f>+'q17'!$E$7</f>
        <v>934.73887812263411</v>
      </c>
      <c r="G8" s="359">
        <f>+'q17'!$F$7</f>
        <v>937.8072592368261</v>
      </c>
      <c r="H8" s="359">
        <f>+'q17'!$G$7</f>
        <v>958.09868165716898</v>
      </c>
      <c r="I8" s="359">
        <f>+'q17'!$H$7</f>
        <v>986.18185247921213</v>
      </c>
      <c r="J8" s="359">
        <f>+'q17'!$I$7</f>
        <v>1036.7307164880299</v>
      </c>
      <c r="K8" s="359">
        <f>+'q17'!$J$7</f>
        <v>1083.2395469646601</v>
      </c>
      <c r="L8" s="359">
        <f>+'q17'!$K$7</f>
        <v>1099.73007606333</v>
      </c>
      <c r="M8" s="359">
        <f>+'q17'!$L$7</f>
        <v>1159.4527605973801</v>
      </c>
      <c r="N8" s="359">
        <f>+'q17'!$M$7</f>
        <v>1221.0700789127602</v>
      </c>
      <c r="P8" s="442"/>
      <c r="S8" s="359"/>
      <c r="T8" s="359"/>
      <c r="U8" s="359"/>
      <c r="V8" s="359"/>
      <c r="W8" s="359"/>
      <c r="X8" s="359"/>
      <c r="Y8" s="359"/>
      <c r="Z8" s="359"/>
      <c r="AA8" s="359"/>
      <c r="AB8" s="359"/>
      <c r="AC8" s="359"/>
      <c r="BF8" s="442">
        <v>1367.9952489883699</v>
      </c>
      <c r="BL8">
        <f>+AZ3</f>
        <v>2018</v>
      </c>
      <c r="BM8">
        <v>7</v>
      </c>
      <c r="BU8" s="334" t="s">
        <v>12</v>
      </c>
      <c r="BV8" s="359">
        <f>+q18_Aux!$C$6</f>
        <v>999.85354294571812</v>
      </c>
      <c r="BW8" s="359">
        <f>+q18_Aux!$D$6</f>
        <v>993.79266174939096</v>
      </c>
      <c r="BX8" s="359">
        <f>+q18_Aux!$E$6</f>
        <v>985.0215081163841</v>
      </c>
      <c r="BY8" s="359">
        <f>+q18_Aux!$F$6</f>
        <v>990.04668016967901</v>
      </c>
      <c r="BZ8" s="359">
        <f>+q18_Aux!$G$6</f>
        <v>997.37861815735698</v>
      </c>
      <c r="CA8" s="359">
        <f>+q18_Aux!$H$6</f>
        <v>1012.2476626665</v>
      </c>
      <c r="CB8" s="359">
        <f>+q18_Aux!$I$6</f>
        <v>1039.08171517903</v>
      </c>
      <c r="CC8" s="359">
        <f>+q18_Aux!$J$6</f>
        <v>1073.8189900697198</v>
      </c>
      <c r="CD8" s="359">
        <f>+q18_Aux!$K$6</f>
        <v>1109.2123384778902</v>
      </c>
      <c r="CE8" s="359">
        <f>+q18_Aux!$L$6</f>
        <v>1152.2390834169501</v>
      </c>
      <c r="CF8" s="359">
        <f>+q18_Aux!$M$6</f>
        <v>1217.3282728682302</v>
      </c>
    </row>
    <row r="9" spans="1:84" ht="13.5" thickTop="1">
      <c r="A9" s="334"/>
      <c r="B9" t="str">
        <f>+'q17'!$A$8</f>
        <v>C</v>
      </c>
      <c r="C9" t="str">
        <f>+'q17'!$B$8</f>
        <v>Indústrias transformadoras</v>
      </c>
      <c r="D9" s="359">
        <f>+'q17'!$C$8</f>
        <v>836.46267618588308</v>
      </c>
      <c r="E9" s="359">
        <f>+'q17'!$D$8</f>
        <v>839.40630322254503</v>
      </c>
      <c r="F9" s="359">
        <f>+'q17'!$E$8</f>
        <v>844.00682901366599</v>
      </c>
      <c r="G9" s="359">
        <f>+'q17'!$F$8</f>
        <v>856.12305859116407</v>
      </c>
      <c r="H9" s="359">
        <f>+'q17'!$G$8</f>
        <v>870.08486223409204</v>
      </c>
      <c r="I9" s="359">
        <f>+'q17'!$H$8</f>
        <v>895.89243994149103</v>
      </c>
      <c r="J9" s="359">
        <f>+'q17'!$I$8</f>
        <v>929.15451693602415</v>
      </c>
      <c r="K9" s="359">
        <f>+'q17'!$J$8</f>
        <v>964.71261065318311</v>
      </c>
      <c r="L9" s="359">
        <f>+'q17'!$K$8</f>
        <v>1003.2084417479001</v>
      </c>
      <c r="M9" s="359">
        <f>+'q17'!$L$8</f>
        <v>1031.02559057797</v>
      </c>
      <c r="N9" s="359">
        <f>+'q17'!$M$8</f>
        <v>1095.17302564704</v>
      </c>
      <c r="S9" s="359"/>
      <c r="T9" s="359"/>
      <c r="U9" s="359"/>
      <c r="V9" s="359"/>
      <c r="W9" s="359"/>
      <c r="X9" s="359"/>
      <c r="Y9" s="359"/>
      <c r="Z9" s="359"/>
      <c r="AA9" s="359"/>
      <c r="AB9" s="359"/>
      <c r="AC9" s="359"/>
      <c r="BD9" s="440"/>
      <c r="BL9">
        <f>+BA3</f>
        <v>2019</v>
      </c>
      <c r="BM9">
        <v>8</v>
      </c>
    </row>
    <row r="10" spans="1:84">
      <c r="A10" s="334"/>
      <c r="B10" t="str">
        <f>+'q17'!$A$33</f>
        <v>D</v>
      </c>
      <c r="C10" t="str">
        <f>+'q17'!$B$33</f>
        <v>Eletr., gás, ág. quente/fria e ar frio</v>
      </c>
      <c r="D10" s="359">
        <f>+'q17'!$C$33</f>
        <v>2347.4893993855603</v>
      </c>
      <c r="E10" s="359">
        <f>+'q17'!$D$33</f>
        <v>2395.9176109432201</v>
      </c>
      <c r="F10" s="359">
        <f>+'q17'!$E$33</f>
        <v>2065.0708853992601</v>
      </c>
      <c r="G10" s="359">
        <f>+'q17'!$F$33</f>
        <v>2091.50311708861</v>
      </c>
      <c r="H10" s="359">
        <f>+'q17'!$G$33</f>
        <v>2075.6353677801499</v>
      </c>
      <c r="I10" s="359">
        <f>+'q17'!$H$33</f>
        <v>2070.1446386908601</v>
      </c>
      <c r="J10" s="359">
        <f>+'q17'!$I$33</f>
        <v>2080.65154713436</v>
      </c>
      <c r="K10" s="359">
        <f>+'q17'!$J$33</f>
        <v>2086.9000282131701</v>
      </c>
      <c r="L10" s="359">
        <f>+'q17'!$K$33</f>
        <v>2128.4663371176298</v>
      </c>
      <c r="M10" s="359">
        <f>+'q17'!$L$33</f>
        <v>2156.6853935813501</v>
      </c>
      <c r="N10" s="359">
        <f>+'q17'!$M$33</f>
        <v>2243.08646440129</v>
      </c>
      <c r="S10" s="359"/>
      <c r="T10" s="359"/>
      <c r="U10" s="359"/>
      <c r="V10" s="359"/>
      <c r="W10" s="359"/>
      <c r="X10" s="359"/>
      <c r="Y10" s="359"/>
      <c r="Z10" s="359"/>
      <c r="AA10" s="359"/>
      <c r="AB10" s="359"/>
      <c r="AC10" s="359"/>
      <c r="BD10" s="441"/>
      <c r="BL10">
        <f>+BB3</f>
        <v>2020</v>
      </c>
      <c r="BM10">
        <v>9</v>
      </c>
      <c r="BT10" s="444" t="s">
        <v>340</v>
      </c>
      <c r="BV10" s="335">
        <f>+'q18'!$C$4</f>
        <v>2012</v>
      </c>
      <c r="BW10" s="335">
        <f>+'q18'!$D$4</f>
        <v>2013</v>
      </c>
      <c r="BX10" s="335">
        <f>+'q18'!$E$4</f>
        <v>2014</v>
      </c>
      <c r="BY10" s="335">
        <f>+'q18'!$F$4</f>
        <v>2015</v>
      </c>
      <c r="BZ10" s="335">
        <f>+'q18'!$G$4</f>
        <v>2016</v>
      </c>
      <c r="CA10" s="335">
        <f>+'q18'!$H$4</f>
        <v>2017</v>
      </c>
      <c r="CB10" s="335">
        <f>+'q18'!$I$4</f>
        <v>2018</v>
      </c>
      <c r="CC10" s="335">
        <f>+'q18'!$J$4</f>
        <v>2019</v>
      </c>
      <c r="CD10" s="335">
        <f>+'q18'!$K$4</f>
        <v>2020</v>
      </c>
      <c r="CE10" s="335">
        <f>+'q18'!$L$4</f>
        <v>2021</v>
      </c>
      <c r="CF10" s="335">
        <f>+'q18'!$M$4</f>
        <v>2022</v>
      </c>
    </row>
    <row r="11" spans="1:84">
      <c r="A11" s="334"/>
      <c r="B11" t="str">
        <f>+'q17'!$A$34</f>
        <v>E</v>
      </c>
      <c r="C11" t="str">
        <f>+'q17'!$B$34</f>
        <v>Capt., trat. e d. água; san., resíd.</v>
      </c>
      <c r="D11" s="359">
        <f>+'q17'!$C$34</f>
        <v>879.21199829738896</v>
      </c>
      <c r="E11" s="359">
        <f>+'q17'!$D$34</f>
        <v>880.62721842149199</v>
      </c>
      <c r="F11" s="359">
        <f>+'q17'!$E$34</f>
        <v>885.35339179967298</v>
      </c>
      <c r="G11" s="359">
        <f>+'q17'!$F$34</f>
        <v>893.71437909950009</v>
      </c>
      <c r="H11" s="359">
        <f>+'q17'!$G$34</f>
        <v>883.84341588340908</v>
      </c>
      <c r="I11" s="359">
        <f>+'q17'!$H$34</f>
        <v>891.48590289564402</v>
      </c>
      <c r="J11" s="359">
        <f>+'q17'!$I$34</f>
        <v>920.04443925944702</v>
      </c>
      <c r="K11" s="359">
        <f>+'q17'!$J$34</f>
        <v>936.66852291208306</v>
      </c>
      <c r="L11" s="359">
        <f>+'q17'!$K$34</f>
        <v>970.37218146718101</v>
      </c>
      <c r="M11" s="359">
        <f>+'q17'!$L$34</f>
        <v>989.78848389665507</v>
      </c>
      <c r="N11" s="359">
        <f>+'q17'!$M$34</f>
        <v>1034.7815110133999</v>
      </c>
      <c r="S11" s="359"/>
      <c r="T11" s="359"/>
      <c r="U11" s="359"/>
      <c r="V11" s="359"/>
      <c r="W11" s="359"/>
      <c r="X11" s="359"/>
      <c r="Y11" s="359"/>
      <c r="Z11" s="359"/>
      <c r="AA11" s="359"/>
      <c r="AB11" s="359"/>
      <c r="AC11" s="359"/>
      <c r="BL11">
        <f>+BC3</f>
        <v>2021</v>
      </c>
      <c r="BM11">
        <v>10</v>
      </c>
      <c r="BT11" s="444" t="s">
        <v>117</v>
      </c>
      <c r="BU11" s="334" t="s">
        <v>283</v>
      </c>
      <c r="BV11" s="359">
        <f>+(q18_Aux!$R$10+q18_Aux!$R$13)/(q11a!$C$10+q11a!$C$13)</f>
        <v>695.14230012962935</v>
      </c>
      <c r="BW11" s="359">
        <f>+(q18_Aux!$S$10+q18_Aux!$S$13)/(q11a!$D$10+q11a!$D$13)</f>
        <v>694.73120810072078</v>
      </c>
      <c r="BX11" s="359">
        <f>+(q18_Aux!$T$10+q18_Aux!$T$13)/(q11a!$E$10+q11a!$E$13)</f>
        <v>701.65811873124869</v>
      </c>
      <c r="BY11" s="359">
        <f>+(q18_Aux!$U$10+q18_Aux!$U$13)/(q11a!$F$10+q11a!$F$13)</f>
        <v>701.82833274039342</v>
      </c>
      <c r="BZ11" s="359">
        <f>+(q18_Aux!$V$10+q18_Aux!$V$13)/(q11a!$G$10+q11a!$G$13)</f>
        <v>718.09276212146472</v>
      </c>
      <c r="CA11" s="359">
        <f>+(q18_Aux!$W$10+q18_Aux!$W$13)/(q11a!$H$10+q11a!$H$13)</f>
        <v>738.01770041798579</v>
      </c>
      <c r="CB11" s="359">
        <f>+(q18_Aux!$X$10+q18_Aux!$X$13)/(q11a!$I$10+q11a!$I$13)</f>
        <v>760.76858525688795</v>
      </c>
      <c r="CC11" s="359">
        <f>+(q18_Aux!$Y$10+q18_Aux!$Y$13)/(q11a!$J$10+q11a!$J$13)</f>
        <v>787.03031827369898</v>
      </c>
      <c r="CD11" s="359">
        <f>+(q18_Aux!$Z$10+q18_Aux!$Z$13)/(q11a!$K$10+q11a!$K$13)</f>
        <v>823.22684093385055</v>
      </c>
      <c r="CE11" s="359">
        <f>+(q18_Aux!$AA$10+q18_Aux!$AA$13)/(q11a!$L$10+q11a!$L$13)</f>
        <v>857.64485790766309</v>
      </c>
      <c r="CF11" s="359">
        <f>+(q18_Aux!$AB$10+q18_Aux!$AB$13)/(q11a!$M$10+q11a!$M$13)</f>
        <v>901.44201878089575</v>
      </c>
    </row>
    <row r="12" spans="1:84">
      <c r="A12" s="334"/>
      <c r="B12" t="str">
        <f>+'q17'!$A$35</f>
        <v>F</v>
      </c>
      <c r="C12" t="str">
        <f>+'q17'!$B$35</f>
        <v>Construção</v>
      </c>
      <c r="D12" s="359">
        <f>+'q17'!$C$35</f>
        <v>806.69803934794004</v>
      </c>
      <c r="E12" s="359">
        <f>+'q17'!$D$35</f>
        <v>805.13499129282297</v>
      </c>
      <c r="F12" s="359">
        <f>+'q17'!$E$35</f>
        <v>800.210134121686</v>
      </c>
      <c r="G12" s="359">
        <f>+'q17'!$F$35</f>
        <v>796.21899502653002</v>
      </c>
      <c r="H12" s="359">
        <f>+'q17'!$G$35</f>
        <v>798.871905025052</v>
      </c>
      <c r="I12" s="359">
        <f>+'q17'!$H$35</f>
        <v>808.62405783048507</v>
      </c>
      <c r="J12" s="359">
        <f>+'q17'!$I$35</f>
        <v>824.75819202702405</v>
      </c>
      <c r="K12" s="359">
        <f>+'q17'!$J$35</f>
        <v>853.91631065988611</v>
      </c>
      <c r="L12" s="359">
        <f>+'q17'!$K$35</f>
        <v>880.76837590518107</v>
      </c>
      <c r="M12" s="359">
        <f>+'q17'!$L$35</f>
        <v>934.51280997494007</v>
      </c>
      <c r="N12" s="359">
        <f>+'q17'!$M$35</f>
        <v>973.22021681295314</v>
      </c>
      <c r="S12" s="359"/>
      <c r="T12" s="359"/>
      <c r="U12" s="359"/>
      <c r="V12" s="359"/>
      <c r="W12" s="359"/>
      <c r="X12" s="359"/>
      <c r="Y12" s="359"/>
      <c r="Z12" s="359"/>
      <c r="AA12" s="359"/>
      <c r="AB12" s="359"/>
      <c r="AC12" s="359"/>
      <c r="BE12" s="350"/>
      <c r="BG12" s="349"/>
      <c r="BH12" s="350"/>
      <c r="BL12">
        <f>+BD3</f>
        <v>2022</v>
      </c>
      <c r="BM12">
        <v>11</v>
      </c>
      <c r="BU12" s="334" t="s">
        <v>543</v>
      </c>
      <c r="BV12" s="359">
        <f>+(q18_Aux!$R$16+q18_Aux!$R$19)/(q11a!$C$16+q11a!$C$19)</f>
        <v>791.7017660091534</v>
      </c>
      <c r="BW12" s="359">
        <f>+(q18_Aux!$S$16+q18_Aux!$S$19)/(q11a!$D$16+q11a!$D$19)</f>
        <v>789.48602385561742</v>
      </c>
      <c r="BX12" s="359">
        <f>+(q18_Aux!$T$16+q18_Aux!$T$19)/(q11a!$E$16+q11a!$E$19)</f>
        <v>790.8459820173606</v>
      </c>
      <c r="BY12" s="359">
        <f>+(q18_Aux!$U$16+q18_Aux!$U$19)/(q11a!$F$16+q11a!$F$19)</f>
        <v>794.07657528416485</v>
      </c>
      <c r="BZ12" s="359">
        <f>+(q18_Aux!$V$16+q18_Aux!$V$19)/(q11a!$G$16+q11a!$G$19)</f>
        <v>805.66216623270032</v>
      </c>
      <c r="CA12" s="359">
        <f>+(q18_Aux!$W$16+q18_Aux!$W$19)/(q11a!$H$16+q11a!$H$19)</f>
        <v>823.91824257401584</v>
      </c>
      <c r="CB12" s="359">
        <f>+(q18_Aux!$X$16+q18_Aux!$X$19)/(q11a!$I$16+q11a!$I$19)</f>
        <v>849.82200331684385</v>
      </c>
      <c r="CC12" s="359">
        <f>+(q18_Aux!$Y$16+q18_Aux!$Y$19)/(q11a!$J$16+q11a!$J$19)</f>
        <v>876.65707582921857</v>
      </c>
      <c r="CD12" s="359">
        <f>+(q18_Aux!$Z$16+q18_Aux!$Z$19)/(q11a!$K$16+q11a!$K$19)</f>
        <v>916.07956649232312</v>
      </c>
      <c r="CE12" s="359">
        <f>+(q18_Aux!$AA$16+q18_Aux!$AA$19)/(q11a!$L$16+q11a!$L$19)</f>
        <v>948.81383793683256</v>
      </c>
      <c r="CF12" s="359">
        <f>+(q18_Aux!$AB$16+q18_Aux!$AB$19)/(q11a!$M$16+q11a!$M$19)</f>
        <v>993.84864627030174</v>
      </c>
    </row>
    <row r="13" spans="1:84">
      <c r="A13" s="334"/>
      <c r="B13" t="str">
        <f>+'q17'!$A$36</f>
        <v>G</v>
      </c>
      <c r="C13" t="str">
        <f>+'q17'!$B$36</f>
        <v>Com. grosso e ret.; r.v.aut./moto.</v>
      </c>
      <c r="D13" s="359">
        <f>+'q17'!$C$36</f>
        <v>865.27399656330908</v>
      </c>
      <c r="E13" s="359">
        <f>+'q17'!$D$36</f>
        <v>861.46923289776305</v>
      </c>
      <c r="F13" s="359">
        <f>+'q17'!$E$36</f>
        <v>862.67048918128114</v>
      </c>
      <c r="G13" s="359">
        <f>+'q17'!$F$36</f>
        <v>867.89261905765204</v>
      </c>
      <c r="H13" s="359">
        <f>+'q17'!$G$36</f>
        <v>881.90021078892607</v>
      </c>
      <c r="I13" s="359">
        <f>+'q17'!$H$36</f>
        <v>900.402191994124</v>
      </c>
      <c r="J13" s="359">
        <f>+'q17'!$I$36</f>
        <v>924.91415517005908</v>
      </c>
      <c r="K13" s="359">
        <f>+'q17'!$J$36</f>
        <v>959.33335282434405</v>
      </c>
      <c r="L13" s="359">
        <f>+'q17'!$K$36</f>
        <v>989.90563296268704</v>
      </c>
      <c r="M13" s="359">
        <f>+'q17'!$L$36</f>
        <v>1031.8456251120601</v>
      </c>
      <c r="N13" s="359">
        <f>+'q17'!$M$36</f>
        <v>1075.6046225387602</v>
      </c>
      <c r="S13" s="359"/>
      <c r="T13" s="359"/>
      <c r="U13" s="359"/>
      <c r="V13" s="359"/>
      <c r="W13" s="359"/>
      <c r="X13" s="359"/>
      <c r="Y13" s="359"/>
      <c r="Z13" s="359"/>
      <c r="AA13" s="359"/>
      <c r="AB13" s="359"/>
      <c r="AC13" s="359"/>
      <c r="BT13" s="334"/>
      <c r="BU13" s="334" t="s">
        <v>544</v>
      </c>
      <c r="BV13" s="359">
        <f>+(q18_Aux!$R$22+q18_Aux!$R$25+q18_Aux!$R$28+q18_Aux!$R$31)/(q11a!$C$22+q11a!$C$25+q11a!$C$28+q11a!$C$31)</f>
        <v>899.26403792632186</v>
      </c>
      <c r="BW13" s="359">
        <f>+(q18_Aux!$S$22+q18_Aux!$S$25+q18_Aux!$S$28+q18_Aux!$S$31)/(q11a!$D$22+q11a!$D$25+q11a!$D$28+q11a!$D$31)</f>
        <v>898.71170685553329</v>
      </c>
      <c r="BX13" s="359">
        <f>+(q18_Aux!$T$22+q18_Aux!$T$25+q18_Aux!$T$28+q18_Aux!$T$31)/(q11a!$E$22+q11a!$E$25+q11a!$E$28+q11a!$E$31)</f>
        <v>900.35945620591451</v>
      </c>
      <c r="BY13" s="359">
        <f>+(q18_Aux!$U$22+q18_Aux!$U$25+q18_Aux!$U$28+q18_Aux!$U$31)/(q11a!$F$22+q11a!$F$25+q11a!$F$28+q11a!$F$31)</f>
        <v>907.41502371200716</v>
      </c>
      <c r="BZ13" s="359">
        <f>+(q18_Aux!$V$22+q18_Aux!$V$25+q18_Aux!$V$28+q18_Aux!$V$31)/(q11a!$G$22+q11a!$G$25+q11a!$G$28+q11a!$G$31)</f>
        <v>916.32430771516329</v>
      </c>
      <c r="CA13" s="359">
        <f>+(q18_Aux!$W$22+q18_Aux!$W$25+q18_Aux!$W$28+q18_Aux!$W$31)/(q11a!$H$22+q11a!$H$25+q11a!$H$28+q11a!$H$31)</f>
        <v>929.31746607418995</v>
      </c>
      <c r="CB13" s="359">
        <f>+(q18_Aux!$X$22+q18_Aux!$X$25+q18_Aux!$X$28+q18_Aux!$X$31)/(q11a!$I$22+q11a!$I$25+q11a!$I$28+q11a!$I$31)</f>
        <v>960.6169445190767</v>
      </c>
      <c r="CC13" s="359">
        <f>+(q18_Aux!$Y$22+q18_Aux!$Y$25+q18_Aux!$Y$28+q18_Aux!$Y$31)/(q11a!$J$22+q11a!$J$25+q11a!$J$28+q11a!$J$31)</f>
        <v>993.20122985260377</v>
      </c>
      <c r="CD13" s="359">
        <f>+(q18_Aux!$Z$22+q18_Aux!$Z$25+q18_Aux!$Z$28+q18_Aux!$Z$31)/(q11a!$K$22+q11a!$K$25+q11a!$K$28+q11a!$K$31)</f>
        <v>1038.9091193607976</v>
      </c>
      <c r="CE13" s="359">
        <f>+(q18_Aux!$AA$22+q18_Aux!$AA$25+q18_Aux!$AA$28+q18_Aux!$AA$31)/(q11a!$L$22+q11a!$L$25+q11a!$L$28+q11a!$L$31)</f>
        <v>1078.4421427218435</v>
      </c>
      <c r="CF13" s="359">
        <f>+(q18_Aux!$AB$22+q18_Aux!$AB$25+q18_Aux!$AB$28+q18_Aux!$AB$31)/(q11a!$M$22+q11a!$M$25+q11a!$M$28+q11a!$M$31)</f>
        <v>1136.4201496816147</v>
      </c>
    </row>
    <row r="14" spans="1:84">
      <c r="A14" s="334"/>
      <c r="B14" t="str">
        <f>+'q17'!$A$37</f>
        <v>H</v>
      </c>
      <c r="C14" t="str">
        <f>+'q17'!$B$37</f>
        <v>Transportes e armazenagem</v>
      </c>
      <c r="D14" s="359">
        <f>+'q17'!$C$37</f>
        <v>995.08957381331709</v>
      </c>
      <c r="E14" s="359">
        <f>+'q17'!$D$37</f>
        <v>990.1964324080991</v>
      </c>
      <c r="F14" s="359">
        <f>+'q17'!$E$37</f>
        <v>977.21577401380512</v>
      </c>
      <c r="G14" s="359">
        <f>+'q17'!$F$37</f>
        <v>988.24594925141707</v>
      </c>
      <c r="H14" s="359">
        <f>+'q17'!$G$37</f>
        <v>994.98019956187204</v>
      </c>
      <c r="I14" s="359">
        <f>+'q17'!$H$37</f>
        <v>1002.6356806408501</v>
      </c>
      <c r="J14" s="359">
        <f>+'q17'!$I$37</f>
        <v>1033.97434618229</v>
      </c>
      <c r="K14" s="359">
        <f>+'q17'!$J$37</f>
        <v>1071.3695109096002</v>
      </c>
      <c r="L14" s="359">
        <f>+'q17'!$K$37</f>
        <v>1033.2504809453701</v>
      </c>
      <c r="M14" s="359">
        <f>+'q17'!$L$37</f>
        <v>1056.1173564088701</v>
      </c>
      <c r="N14" s="359">
        <f>+'q17'!$M$37</f>
        <v>1184.2369983634701</v>
      </c>
      <c r="S14" s="359"/>
      <c r="T14" s="359"/>
      <c r="U14" s="359"/>
      <c r="V14" s="359"/>
      <c r="W14" s="359"/>
      <c r="X14" s="359"/>
      <c r="Y14" s="359"/>
      <c r="Z14" s="359"/>
      <c r="AA14" s="359"/>
      <c r="AB14" s="359"/>
      <c r="AC14" s="359"/>
      <c r="BB14" s="348"/>
      <c r="BT14" s="334"/>
      <c r="BU14" s="334" t="s">
        <v>292</v>
      </c>
      <c r="BV14" s="359">
        <f>+(q18_Aux!$R$34+q18_Aux!$R$37+q18_Aux!$R$40)/(q11a!$C$34+q11a!$C$37+q11a!$C$40)</f>
        <v>970.90620502497472</v>
      </c>
      <c r="BW14" s="359">
        <f>+(q18_Aux!$S$34+q18_Aux!$S$37+q18_Aux!$S$40)/(q11a!$D$34+q11a!$D$37+q11a!$D$40)</f>
        <v>977.16746610002338</v>
      </c>
      <c r="BX14" s="359">
        <f>+(q18_Aux!$T$34+q18_Aux!$T$37+q18_Aux!$T$40)/(q11a!$E$34+q11a!$E$37+q11a!$E$40)</f>
        <v>984.46414760922482</v>
      </c>
      <c r="BY14" s="359">
        <f>+(q18_Aux!$U$34+q18_Aux!$U$37+q18_Aux!$U$40)/(q11a!$F$34+q11a!$F$37+q11a!$F$40)</f>
        <v>987.79835691348478</v>
      </c>
      <c r="BZ14" s="359">
        <f>+(q18_Aux!$V$34+q18_Aux!$V$37+q18_Aux!$V$40)/(q11a!$G$34+q11a!$G$37+q11a!$G$40)</f>
        <v>1007.6761104666283</v>
      </c>
      <c r="CA14" s="359">
        <f>+(q18_Aux!$W$34+q18_Aux!$W$37+q18_Aux!$W$40)/(q11a!$H$34+q11a!$H$37+q11a!$H$40)</f>
        <v>1035.0658507556602</v>
      </c>
      <c r="CB14" s="359">
        <f>+(q18_Aux!$X$34+q18_Aux!$X$37+q18_Aux!$X$40)/(q11a!$I$34+q11a!$I$37+q11a!$I$40)</f>
        <v>1059.0658668477504</v>
      </c>
      <c r="CC14" s="359">
        <f>+(q18_Aux!$Y$34+q18_Aux!$Y$37+q18_Aux!$Y$40)/(q11a!$J$34+q11a!$J$37+q11a!$J$40)</f>
        <v>1100.3431358530217</v>
      </c>
      <c r="CD14" s="359">
        <f>+(q18_Aux!$Z$34+q18_Aux!$Z$37+q18_Aux!$Z$40)/(q11a!$K$34+q11a!$K$37+q11a!$K$40)</f>
        <v>1115.5462096974222</v>
      </c>
      <c r="CE14" s="359">
        <f>+(q18_Aux!$AA$34+q18_Aux!$AA$37+q18_Aux!$AA$40)/(q11a!$L$34+q11a!$L$37+q11a!$L$40)</f>
        <v>1170.6170701994911</v>
      </c>
      <c r="CF14" s="359">
        <f>+(q18_Aux!$AB$34+q18_Aux!$AB$37+q18_Aux!$AB$40)/(q11a!$M$34+q11a!$M$37+q11a!$M$40)</f>
        <v>1242.1348465562171</v>
      </c>
    </row>
    <row r="15" spans="1:84">
      <c r="A15" s="334"/>
      <c r="B15" t="str">
        <f>+'q17'!$A$38</f>
        <v>I</v>
      </c>
      <c r="C15" t="str">
        <f>+'q17'!$B$38</f>
        <v>Alojamento, restauração e sim.</v>
      </c>
      <c r="D15" s="359">
        <f>+'q17'!$C$38</f>
        <v>665.14247539857013</v>
      </c>
      <c r="E15" s="359">
        <f>+'q17'!$D$38</f>
        <v>663.49358903478503</v>
      </c>
      <c r="F15" s="359">
        <f>+'q17'!$E$38</f>
        <v>669.99232723917498</v>
      </c>
      <c r="G15" s="359">
        <f>+'q17'!$F$38</f>
        <v>673.94495034677914</v>
      </c>
      <c r="H15" s="359">
        <f>+'q17'!$G$38</f>
        <v>690.54060548259508</v>
      </c>
      <c r="I15" s="359">
        <f>+'q17'!$H$38</f>
        <v>713.45454855878506</v>
      </c>
      <c r="J15" s="359">
        <f>+'q17'!$I$38</f>
        <v>739.37179505964298</v>
      </c>
      <c r="K15" s="359">
        <f>+'q17'!$J$38</f>
        <v>764.07750352494998</v>
      </c>
      <c r="L15" s="359">
        <f>+'q17'!$K$38</f>
        <v>780.14158453833704</v>
      </c>
      <c r="M15" s="359">
        <f>+'q17'!$L$38</f>
        <v>822.385398330062</v>
      </c>
      <c r="N15" s="359">
        <f>+'q17'!$M$38</f>
        <v>872.72265913876606</v>
      </c>
      <c r="S15" s="359"/>
      <c r="T15" s="359"/>
      <c r="U15" s="359"/>
      <c r="V15" s="359"/>
      <c r="W15" s="359"/>
      <c r="X15" s="359"/>
      <c r="Y15" s="359"/>
      <c r="Z15" s="359"/>
      <c r="AA15" s="359"/>
      <c r="AB15" s="359"/>
      <c r="AC15" s="359"/>
      <c r="BB15" s="348"/>
      <c r="BU15" s="334" t="s">
        <v>12</v>
      </c>
      <c r="BV15" s="359">
        <f>+q18_Aux!$C$7</f>
        <v>814.53727639534998</v>
      </c>
      <c r="BW15" s="359">
        <f>+q18_Aux!$D$7</f>
        <v>816.21122210111105</v>
      </c>
      <c r="BX15" s="359">
        <f>+q18_Aux!$E$7</f>
        <v>820.25300466774809</v>
      </c>
      <c r="BY15" s="359">
        <f>+q18_Aux!$F$7</f>
        <v>824.99170229471508</v>
      </c>
      <c r="BZ15" s="359">
        <f>+q18_Aux!$G$7</f>
        <v>840.26183463405107</v>
      </c>
      <c r="CA15" s="359">
        <f>+q18_Aux!$H$7</f>
        <v>861.16674363485106</v>
      </c>
      <c r="CB15" s="359">
        <f>+q18_Aux!$I$7</f>
        <v>888.55773746998204</v>
      </c>
      <c r="CC15" s="359">
        <f>+q18_Aux!$J$7</f>
        <v>922.62610151052809</v>
      </c>
      <c r="CD15" s="359">
        <f>+q18_Aux!$K$7</f>
        <v>960.26781704583709</v>
      </c>
      <c r="CE15" s="359">
        <f>+q18_Aux!$L$7</f>
        <v>999.32524311817906</v>
      </c>
      <c r="CF15" s="359">
        <f>+q18_Aux!$M$7</f>
        <v>1054.3618671065601</v>
      </c>
    </row>
    <row r="16" spans="1:84">
      <c r="A16" s="334"/>
      <c r="B16" t="str">
        <f>+'q17'!$A$39</f>
        <v>J</v>
      </c>
      <c r="C16" t="str">
        <f>+'q17'!$B$39</f>
        <v xml:space="preserve">Ativ. Inform. e de comunicação </v>
      </c>
      <c r="D16" s="359">
        <f>+'q17'!$C$39</f>
        <v>1523.06483792322</v>
      </c>
      <c r="E16" s="359">
        <f>+'q17'!$D$39</f>
        <v>1515.3957406658599</v>
      </c>
      <c r="F16" s="359">
        <f>+'q17'!$E$39</f>
        <v>1500.69470452417</v>
      </c>
      <c r="G16" s="359">
        <f>+'q17'!$F$39</f>
        <v>1488.7321388029702</v>
      </c>
      <c r="H16" s="359">
        <f>+'q17'!$G$39</f>
        <v>1520.0864750285102</v>
      </c>
      <c r="I16" s="359">
        <f>+'q17'!$H$39</f>
        <v>1522.7872626272399</v>
      </c>
      <c r="J16" s="359">
        <f>+'q17'!$I$39</f>
        <v>1562.8561622751499</v>
      </c>
      <c r="K16" s="359">
        <f>+'q17'!$J$39</f>
        <v>1614.9740241059401</v>
      </c>
      <c r="L16" s="359">
        <f>+'q17'!$K$39</f>
        <v>1668.1161779340503</v>
      </c>
      <c r="M16" s="359">
        <f>+'q17'!$L$39</f>
        <v>1748.1088944124501</v>
      </c>
      <c r="N16" s="359">
        <f>+'q17'!$M$39</f>
        <v>1915.45167650083</v>
      </c>
      <c r="S16" s="359"/>
      <c r="T16" s="359"/>
      <c r="U16" s="359"/>
      <c r="V16" s="359"/>
      <c r="W16" s="359"/>
      <c r="X16" s="359"/>
      <c r="Y16" s="359"/>
      <c r="Z16" s="359"/>
      <c r="AA16" s="359"/>
      <c r="AB16" s="359"/>
      <c r="AC16" s="359"/>
      <c r="BL16">
        <v>11</v>
      </c>
    </row>
    <row r="17" spans="1:84">
      <c r="A17" s="334"/>
      <c r="B17" t="str">
        <f>+'q17'!$A$40</f>
        <v>K</v>
      </c>
      <c r="C17" t="str">
        <f>+'q17'!$B$40</f>
        <v>Ativ. financeiras e de seguros</v>
      </c>
      <c r="D17" s="359">
        <f>+'q17'!$C$40</f>
        <v>1580.93139130435</v>
      </c>
      <c r="E17" s="359">
        <f>+'q17'!$D$40</f>
        <v>1577.8276242433899</v>
      </c>
      <c r="F17" s="359">
        <f>+'q17'!$E$40</f>
        <v>1572.9612425125501</v>
      </c>
      <c r="G17" s="359">
        <f>+'q17'!$F$40</f>
        <v>1571.1204680148201</v>
      </c>
      <c r="H17" s="359">
        <f>+'q17'!$G$40</f>
        <v>1585.2929752966002</v>
      </c>
      <c r="I17" s="359">
        <f>+'q17'!$H$40</f>
        <v>1592.4439893747901</v>
      </c>
      <c r="J17" s="359">
        <f>+'q17'!$I$40</f>
        <v>1601.1210134726703</v>
      </c>
      <c r="K17" s="359">
        <f>+'q17'!$J$40</f>
        <v>1632.2589263661</v>
      </c>
      <c r="L17" s="359">
        <f>+'q17'!$K$40</f>
        <v>1651.3015192094701</v>
      </c>
      <c r="M17" s="359">
        <f>+'q17'!$L$40</f>
        <v>1674.12368130901</v>
      </c>
      <c r="N17" s="359">
        <f>+'q17'!$M$40</f>
        <v>1705.2331345150601</v>
      </c>
      <c r="S17" s="359"/>
      <c r="T17" s="359"/>
      <c r="U17" s="359"/>
      <c r="V17" s="359"/>
      <c r="W17" s="359"/>
      <c r="X17" s="359"/>
      <c r="Y17" s="359"/>
      <c r="Z17" s="359"/>
      <c r="AA17" s="359"/>
      <c r="AB17" s="359"/>
      <c r="AC17" s="359"/>
      <c r="BB17" s="348"/>
      <c r="BT17" s="443" t="s">
        <v>347</v>
      </c>
      <c r="BV17" s="335">
        <f>+'q26'!$C$4</f>
        <v>2012</v>
      </c>
      <c r="BW17" s="335">
        <f>+'q26'!$D$4</f>
        <v>2013</v>
      </c>
      <c r="BX17" s="335">
        <f>+'q26'!$E$4</f>
        <v>2014</v>
      </c>
      <c r="BY17" s="335">
        <f>+'q26'!$F$4</f>
        <v>2015</v>
      </c>
      <c r="BZ17" s="335">
        <f>+'q26'!$G$4</f>
        <v>2016</v>
      </c>
      <c r="CA17" s="335">
        <f>+'q26'!$H$4</f>
        <v>2017</v>
      </c>
      <c r="CB17" s="335">
        <f>+'q26'!$I$4</f>
        <v>2018</v>
      </c>
      <c r="CC17" s="335">
        <f>+'q26'!$J$4</f>
        <v>2019</v>
      </c>
      <c r="CD17" s="335">
        <f>+'q26'!$K$4</f>
        <v>2020</v>
      </c>
      <c r="CE17" s="335">
        <f>+'q26'!$L$4</f>
        <v>2021</v>
      </c>
      <c r="CF17" s="335">
        <f>+'q26'!$M$4</f>
        <v>2022</v>
      </c>
    </row>
    <row r="18" spans="1:84">
      <c r="A18" s="334"/>
      <c r="B18" t="str">
        <f>+'q17'!$A$41</f>
        <v>L</v>
      </c>
      <c r="C18" t="str">
        <f>+'q17'!$B$41</f>
        <v>Atividades imobiliárias</v>
      </c>
      <c r="D18" s="359">
        <f>+'q17'!$C$41</f>
        <v>974.00191556895709</v>
      </c>
      <c r="E18" s="359">
        <f>+'q17'!$D$41</f>
        <v>958.98461345422197</v>
      </c>
      <c r="F18" s="359">
        <f>+'q17'!$E$41</f>
        <v>951.85174810070009</v>
      </c>
      <c r="G18" s="359">
        <f>+'q17'!$F$41</f>
        <v>945.13983036707509</v>
      </c>
      <c r="H18" s="359">
        <f>+'q17'!$G$41</f>
        <v>969.55322791001004</v>
      </c>
      <c r="I18" s="359">
        <f>+'q17'!$H$41</f>
        <v>978.98750000000007</v>
      </c>
      <c r="J18" s="359">
        <f>+'q17'!$I$41</f>
        <v>1001.04499947028</v>
      </c>
      <c r="K18" s="359">
        <f>+'q17'!$J$41</f>
        <v>1045.9610219236199</v>
      </c>
      <c r="L18" s="359">
        <f>+'q17'!$K$41</f>
        <v>1091.6445527877802</v>
      </c>
      <c r="M18" s="359">
        <f>+'q17'!$L$41</f>
        <v>1129.1853103318101</v>
      </c>
      <c r="N18" s="359">
        <f>+'q17'!$M$41</f>
        <v>1185.3302392222101</v>
      </c>
      <c r="S18" s="359"/>
      <c r="T18" s="359"/>
      <c r="U18" s="359"/>
      <c r="V18" s="359"/>
      <c r="W18" s="359"/>
      <c r="X18" s="359"/>
      <c r="Y18" s="359"/>
      <c r="Z18" s="359"/>
      <c r="AA18" s="359"/>
      <c r="AB18" s="359"/>
      <c r="AC18" s="359"/>
      <c r="BB18" s="525"/>
      <c r="BT18" s="443" t="s">
        <v>116</v>
      </c>
      <c r="BU18" s="334" t="s">
        <v>283</v>
      </c>
      <c r="BV18" s="359">
        <f>+(q26_Aux!$R$9+q26_Aux!$R$12)/(q11a!$C$9+q11a!$C$12)</f>
        <v>931.12514107217476</v>
      </c>
      <c r="BW18" s="359">
        <f>+(q26_Aux!$S$9+q26_Aux!$S$12)/(q11a!$D$9+q11a!$D$12)</f>
        <v>926.3154581957516</v>
      </c>
      <c r="BX18" s="359">
        <f>+(q26_Aux!$T$9+q26_Aux!$T$12)/(q11a!$E$9+q11a!$E$12)</f>
        <v>924.96824917676724</v>
      </c>
      <c r="BY18" s="359">
        <f>+(q26_Aux!$U$9+q26_Aux!$U$12)/(q11a!$F$9+q11a!$F$12)</f>
        <v>918.54126783870493</v>
      </c>
      <c r="BZ18" s="359">
        <f>+(q26_Aux!$V$9+q26_Aux!$V$12)/(q11a!$G$9+q11a!$G$12)</f>
        <v>927.73418262180269</v>
      </c>
      <c r="CA18" s="359">
        <f>+(q26_Aux!$W$9+q26_Aux!$W$12)/(q11a!$H$9+q11a!$H$12)</f>
        <v>947.91073893946293</v>
      </c>
      <c r="CB18" s="359">
        <f>+(q26_Aux!$X$9+q26_Aux!$X$12)/(q11a!$I$9+q11a!$I$12)</f>
        <v>977.33358597061499</v>
      </c>
      <c r="CC18" s="359">
        <f>+(q26_Aux!$Y$9+q26_Aux!$Y$12)/(q11a!$J$9+q11a!$J$12)</f>
        <v>1009.4247207128881</v>
      </c>
      <c r="CD18" s="359">
        <f>+(q26_Aux!$Z$9+q26_Aux!$Z$12)/(q11a!$K$9+q11a!$K$12)</f>
        <v>1045.5402555992346</v>
      </c>
      <c r="CE18" s="359">
        <f>+(q26_Aux!$AA$9+q26_Aux!$AA$12)/(q11a!$L$9+q11a!$L$12)</f>
        <v>1083.7692244346517</v>
      </c>
      <c r="CF18" s="359">
        <f>+(q26_Aux!$AB$9+q26_Aux!$AB$12)/(q11a!$M$9+q11a!$M$12)</f>
        <v>1137.8086763707934</v>
      </c>
    </row>
    <row r="19" spans="1:84">
      <c r="A19" s="334"/>
      <c r="B19" t="str">
        <f>+'q17'!$A$42</f>
        <v>M</v>
      </c>
      <c r="C19" t="str">
        <f>+'q17'!$B$42</f>
        <v>Ativ. consultoria, cient.,téc. e sim.</v>
      </c>
      <c r="D19" s="359">
        <f>+'q17'!$C$42</f>
        <v>1203.5435557061401</v>
      </c>
      <c r="E19" s="359">
        <f>+'q17'!$D$42</f>
        <v>1193.0417860733301</v>
      </c>
      <c r="F19" s="359">
        <f>+'q17'!$E$42</f>
        <v>1170.24744384978</v>
      </c>
      <c r="G19" s="359">
        <f>+'q17'!$F$42</f>
        <v>1171.06011686806</v>
      </c>
      <c r="H19" s="359">
        <f>+'q17'!$G$42</f>
        <v>1183.3937842045102</v>
      </c>
      <c r="I19" s="359">
        <f>+'q17'!$H$42</f>
        <v>1225.5762643666399</v>
      </c>
      <c r="J19" s="359">
        <f>+'q17'!$I$42</f>
        <v>1249.7838320242101</v>
      </c>
      <c r="K19" s="359">
        <f>+'q17'!$J$42</f>
        <v>1288.0862269404499</v>
      </c>
      <c r="L19" s="359">
        <f>+'q17'!$K$42</f>
        <v>1335.14220475722</v>
      </c>
      <c r="M19" s="359">
        <f>+'q17'!$L$42</f>
        <v>1403.13461277088</v>
      </c>
      <c r="N19" s="359">
        <f>+'q17'!$M$42</f>
        <v>1491.9657939461799</v>
      </c>
      <c r="S19" s="359"/>
      <c r="T19" s="359"/>
      <c r="U19" s="359"/>
      <c r="V19" s="359"/>
      <c r="W19" s="359"/>
      <c r="X19" s="359"/>
      <c r="Y19" s="359"/>
      <c r="Z19" s="359"/>
      <c r="AA19" s="359"/>
      <c r="AB19" s="359"/>
      <c r="AC19" s="359"/>
      <c r="BK19">
        <f>INDEX($BL$2:$BL$12,$BL$16)</f>
        <v>2022</v>
      </c>
      <c r="BL19" s="375" t="s">
        <v>499</v>
      </c>
      <c r="BM19" s="404"/>
      <c r="BN19" s="404"/>
      <c r="BO19" s="404"/>
      <c r="BP19" s="404"/>
      <c r="BU19" s="334" t="s">
        <v>543</v>
      </c>
      <c r="BV19" s="359">
        <f>+(q26_Aux!$R$15+q26_Aux!$R$18)/(q11a!$C$15+q11a!$C$18)</f>
        <v>1150.6820121712174</v>
      </c>
      <c r="BW19" s="359">
        <f>+(q26_Aux!$S$15+q26_Aux!$S$18)/(q11a!$D$15+q11a!$D$18)</f>
        <v>1146.9734506276536</v>
      </c>
      <c r="BX19" s="359">
        <f>+(q26_Aux!$T$15+q26_Aux!$T$18)/(q11a!$E$15+q11a!$E$18)</f>
        <v>1141.0753810608278</v>
      </c>
      <c r="BY19" s="359">
        <f>+(q26_Aux!$U$15+q26_Aux!$U$18)/(q11a!$F$15+q11a!$F$18)</f>
        <v>1136.0813344584262</v>
      </c>
      <c r="BZ19" s="359">
        <f>+(q26_Aux!$V$15+q26_Aux!$V$18)/(q11a!$G$15+q11a!$G$18)</f>
        <v>1135.1593276445997</v>
      </c>
      <c r="CA19" s="359">
        <f>+(q26_Aux!$W$15+q26_Aux!$W$18)/(q11a!$H$15+q11a!$H$18)</f>
        <v>1151.6978816217891</v>
      </c>
      <c r="CB19" s="359">
        <f>+(q26_Aux!$X$15+q26_Aux!$X$18)/(q11a!$I$15+q11a!$I$18)</f>
        <v>1179.7278038817817</v>
      </c>
      <c r="CC19" s="359">
        <f>+(q26_Aux!$Y$15+q26_Aux!$Y$18)/(q11a!$J$15+q11a!$J$18)</f>
        <v>1215.0335037083767</v>
      </c>
      <c r="CD19" s="359">
        <f>+(q26_Aux!$Z$15+q26_Aux!$Z$18)/(q11a!$K$15+q11a!$K$18)</f>
        <v>1258.9435081447505</v>
      </c>
      <c r="CE19" s="359">
        <f>+(q26_Aux!$AA$15+q26_Aux!$AA$18)/(q11a!$L$15+q11a!$L$18)</f>
        <v>1298.7163926314304</v>
      </c>
      <c r="CF19" s="359">
        <f>+(q26_Aux!$AB$15+q26_Aux!$AB$18)/(q11a!$M$15+q11a!$M$18)</f>
        <v>1352.8319508155932</v>
      </c>
    </row>
    <row r="20" spans="1:84">
      <c r="A20" s="334"/>
      <c r="B20" t="str">
        <f>+'q17'!$A$43</f>
        <v>N</v>
      </c>
      <c r="C20" t="str">
        <f>+'q17'!$B$43</f>
        <v>Ativ. Adm. e serviços de apoio</v>
      </c>
      <c r="D20" s="359">
        <f>+'q17'!$C$43</f>
        <v>778.43652847668909</v>
      </c>
      <c r="E20" s="359">
        <f>+'q17'!$D$43</f>
        <v>767.09408516154303</v>
      </c>
      <c r="F20" s="359">
        <f>+'q17'!$E$43</f>
        <v>772.15337029394504</v>
      </c>
      <c r="G20" s="359">
        <f>+'q17'!$F$43</f>
        <v>768.27087521479302</v>
      </c>
      <c r="H20" s="359">
        <f>+'q17'!$G$43</f>
        <v>772.58567131477002</v>
      </c>
      <c r="I20" s="359">
        <f>+'q17'!$H$43</f>
        <v>787.929825874416</v>
      </c>
      <c r="J20" s="359">
        <f>+'q17'!$I$43</f>
        <v>807.44326051546705</v>
      </c>
      <c r="K20" s="359">
        <f>+'q17'!$J$43</f>
        <v>842.4761816352601</v>
      </c>
      <c r="L20" s="359">
        <f>+'q17'!$K$43</f>
        <v>864.18440446708109</v>
      </c>
      <c r="M20" s="359">
        <f>+'q17'!$L$43</f>
        <v>916.97032858433511</v>
      </c>
      <c r="N20" s="359">
        <f>+'q17'!$M$43</f>
        <v>970.39278583200996</v>
      </c>
      <c r="S20" s="359"/>
      <c r="T20" s="359"/>
      <c r="U20" s="359"/>
      <c r="V20" s="359"/>
      <c r="W20" s="359"/>
      <c r="X20" s="359"/>
      <c r="Y20" s="359"/>
      <c r="Z20" s="359"/>
      <c r="AA20" s="359"/>
      <c r="AB20" s="359"/>
      <c r="AC20" s="359"/>
      <c r="BL20" s="404"/>
      <c r="BM20" s="375" t="s">
        <v>456</v>
      </c>
      <c r="BN20" s="375" t="s">
        <v>460</v>
      </c>
      <c r="BO20" s="375" t="s">
        <v>457</v>
      </c>
      <c r="BP20" s="375" t="s">
        <v>461</v>
      </c>
      <c r="BQ20" s="375" t="s">
        <v>501</v>
      </c>
      <c r="BR20" s="375" t="s">
        <v>502</v>
      </c>
      <c r="BS20" s="375"/>
      <c r="BT20" s="334"/>
      <c r="BU20" s="334" t="s">
        <v>544</v>
      </c>
      <c r="BV20" s="359">
        <f>+(q26_Aux!$R$21+q26_Aux!$R$24+q26_Aux!$R$27+q26_Aux!$R$30)/(q11a!$C$21+q11a!$C$24+q11a!$C$27+q11a!$C$30)</f>
        <v>1428.0544033185699</v>
      </c>
      <c r="BW20" s="359">
        <f>+(q26_Aux!$S$21+q26_Aux!$S$24+q26_Aux!$S$27+q26_Aux!$S$30)/(q11a!$D$21+q11a!$D$24+q11a!$D$27+q11a!$D$30)</f>
        <v>1424.8560609574909</v>
      </c>
      <c r="BX20" s="359">
        <f>+(q26_Aux!$T$21+q26_Aux!$T$24+q26_Aux!$T$27+q26_Aux!$T$30)/(q11a!$E$21+q11a!$E$24+q11a!$E$27+q11a!$E$30)</f>
        <v>1409.7753234506099</v>
      </c>
      <c r="BY20" s="359">
        <f>+(q26_Aux!$U$21+q26_Aux!$U$24+q26_Aux!$U$27+q26_Aux!$U$30)/(q11a!$F$21+q11a!$F$24+q11a!$F$27+q11a!$F$30)</f>
        <v>1423.4811870647413</v>
      </c>
      <c r="BZ20" s="359">
        <f>+(q26_Aux!$V$21+q26_Aux!$V$24+q26_Aux!$V$27+q26_Aux!$V$30)/(q11a!$G$21+q11a!$G$24+q11a!$G$27+q11a!$G$30)</f>
        <v>1427.9375763891453</v>
      </c>
      <c r="CA20" s="359">
        <f>+(q26_Aux!$W$21+q26_Aux!$W$24+q26_Aux!$W$27+q26_Aux!$W$30)/(q11a!$H$21+q11a!$H$24+q11a!$H$27+q11a!$H$30)</f>
        <v>1448.7559413806362</v>
      </c>
      <c r="CB20" s="359">
        <f>+(q26_Aux!$X$21+q26_Aux!$X$24+q26_Aux!$X$27+q26_Aux!$X$30)/(q11a!$I$21+q11a!$I$24+q11a!$I$27+q11a!$I$30)</f>
        <v>1481.0595003719034</v>
      </c>
      <c r="CC20" s="359">
        <f>+(q26_Aux!$Y$21+q26_Aux!$Y$24+q26_Aux!$Y$27+q26_Aux!$Y$30)/(q11a!$J$21+q11a!$J$24+q11a!$J$27+q11a!$J$30)</f>
        <v>1501.6228815889988</v>
      </c>
      <c r="CD20" s="359">
        <f>+(q26_Aux!$Z$21+q26_Aux!$Z$24+q26_Aux!$Z$27+q26_Aux!$Z$30)/(q11a!$K$21+q11a!$K$24+q11a!$K$27+q11a!$K$30)</f>
        <v>1552.4896539615925</v>
      </c>
      <c r="CE20" s="359">
        <f>+(q26_Aux!$AA$21+q26_Aux!$AA$24+q26_Aux!$AA$27+q26_Aux!$AA$30)/(q11a!$L$21+q11a!$L$24+q11a!$L$27+q11a!$L$30)</f>
        <v>1580.2433242115362</v>
      </c>
      <c r="CF20" s="359">
        <f>+(q26_Aux!$AB$21+q26_Aux!$AB$24+q26_Aux!$AB$27+q26_Aux!$AB$30)/(q11a!$M$21+q11a!$M$24+q11a!$M$27+q11a!$M$30)</f>
        <v>1653.173529258532</v>
      </c>
    </row>
    <row r="21" spans="1:84">
      <c r="A21" s="334"/>
      <c r="B21" t="str">
        <f>+'q17'!$A$44</f>
        <v>O</v>
      </c>
      <c r="C21" t="str">
        <f>+'q17'!$B$44</f>
        <v xml:space="preserve">Adm. Púb. e defesa; seg. social </v>
      </c>
      <c r="D21" s="359">
        <f>+'q17'!$C$44</f>
        <v>898.74943544951009</v>
      </c>
      <c r="E21" s="359">
        <f>+'q17'!$D$44</f>
        <v>874.368605257441</v>
      </c>
      <c r="F21" s="359">
        <f>+'q17'!$E$44</f>
        <v>880.98849613859306</v>
      </c>
      <c r="G21" s="359">
        <f>+'q17'!$F$44</f>
        <v>849.19945606252611</v>
      </c>
      <c r="H21" s="359">
        <f>+'q17'!$G$44</f>
        <v>848.71251706395014</v>
      </c>
      <c r="I21" s="359">
        <f>+'q17'!$H$44</f>
        <v>866.69458366854406</v>
      </c>
      <c r="J21" s="359">
        <f>+'q17'!$I$44</f>
        <v>895.15834533073905</v>
      </c>
      <c r="K21" s="359">
        <f>+'q17'!$J$44</f>
        <v>950.41182258984611</v>
      </c>
      <c r="L21" s="359">
        <f>+'q17'!$K$44</f>
        <v>990.79099972459414</v>
      </c>
      <c r="M21" s="359">
        <f>+'q17'!$L$44</f>
        <v>1027.5082074060199</v>
      </c>
      <c r="N21" s="359">
        <f>+'q17'!$M$44</f>
        <v>1035.50470390484</v>
      </c>
      <c r="S21" s="359"/>
      <c r="T21" s="359"/>
      <c r="U21" s="359"/>
      <c r="V21" s="359"/>
      <c r="W21" s="359"/>
      <c r="X21" s="359"/>
      <c r="Y21" s="359"/>
      <c r="Z21" s="359"/>
      <c r="AA21" s="359"/>
      <c r="AB21" s="359"/>
      <c r="AC21" s="359"/>
      <c r="BL21" s="334" t="s">
        <v>283</v>
      </c>
      <c r="BM21" s="414">
        <f>INDEX($BU$3:$CF$8,MATCH($BL21,$BU$3:$BU$8,0),MATCH($BK$19,$BU$3:$CF$3,0))*-1</f>
        <v>-982.98366719001524</v>
      </c>
      <c r="BN21" s="414">
        <f>INDEX($BU$17:$CF$22,MATCH($BL21,$BU$17:$BU$22,0),MATCH($BK$19,$BU$17:$CF$17,0))*-1</f>
        <v>-1137.8086763707934</v>
      </c>
      <c r="BO21" s="414">
        <f>INDEX($BU$10:$CF$15,MATCH($BL21,$BU$10:$BU$15,0),MATCH($BK$19,$BU$10:$CF$10,0))</f>
        <v>901.44201878089575</v>
      </c>
      <c r="BP21" s="414">
        <f>INDEX($BU$24:$CF$29,MATCH($BL21,$BU$24:$BU$29,0),MATCH($BK$19,$BU$24:$CF$24,0))</f>
        <v>1035.1351519929417</v>
      </c>
      <c r="BQ21" s="438">
        <f>+ROUND(BO21/(BM21*-1)*100,1)</f>
        <v>91.7</v>
      </c>
      <c r="BR21" s="438">
        <f>+ROUND(BP21/(BN21*-1)*100,1)</f>
        <v>91</v>
      </c>
      <c r="BS21" s="334" t="s">
        <v>539</v>
      </c>
      <c r="BT21" s="334"/>
      <c r="BU21" s="334" t="s">
        <v>292</v>
      </c>
      <c r="BV21" s="359">
        <f>+(q26_Aux!$R$33+q26_Aux!$R$36+q26_Aux!$R$39)/(q11a!$C$33+q11a!$C$36+q11a!$C$39)</f>
        <v>1513.0487201405529</v>
      </c>
      <c r="BW21" s="359">
        <f>+(q26_Aux!$S$33+q26_Aux!$S$36+q26_Aux!$S$39)/(q11a!$D$33+q11a!$D$36+q11a!$D$39)</f>
        <v>1489.7790761032818</v>
      </c>
      <c r="BX21" s="359">
        <f>+(q26_Aux!$T$33+q26_Aux!$T$36+q26_Aux!$T$39)/(q11a!$E$33+q11a!$E$36+q11a!$E$39)</f>
        <v>1479.6829911371128</v>
      </c>
      <c r="BY21" s="359">
        <f>+(q26_Aux!$U$33+q26_Aux!$U$36+q26_Aux!$U$39)/(q11a!$F$33+q11a!$F$36+q11a!$F$39)</f>
        <v>1491.4668613600761</v>
      </c>
      <c r="BZ21" s="359">
        <f>+(q26_Aux!$V$33+q26_Aux!$V$36+q26_Aux!$V$39)/(q11a!$G$33+q11a!$G$36+q11a!$G$39)</f>
        <v>1508.6569572409653</v>
      </c>
      <c r="CA21" s="359">
        <f>+(q26_Aux!$W$33+q26_Aux!$W$36+q26_Aux!$W$39)/(q11a!$H$33+q11a!$H$36+q11a!$H$39)</f>
        <v>1512.3432513524667</v>
      </c>
      <c r="CB21" s="359">
        <f>+(q26_Aux!$X$33+q26_Aux!$X$36+q26_Aux!$X$39)/(q11a!$I$33+q11a!$I$36+q11a!$I$39)</f>
        <v>1563.3167031326366</v>
      </c>
      <c r="CC21" s="359">
        <f>+(q26_Aux!$Y$33+q26_Aux!$Y$36+q26_Aux!$Y$39)/(q11a!$J$33+q11a!$J$36+q11a!$J$39)</f>
        <v>1617.5813884167817</v>
      </c>
      <c r="CD21" s="359">
        <f>+(q26_Aux!$Z$33+q26_Aux!$Z$36+q26_Aux!$Z$39)/(q11a!$K$33+q11a!$K$36+q11a!$K$39)</f>
        <v>1627.5147215987329</v>
      </c>
      <c r="CE21" s="359">
        <f>+(q26_Aux!$AA$33+q26_Aux!$AA$36+q26_Aux!$AA$39)/(q11a!$L$33+q11a!$L$36+q11a!$L$39)</f>
        <v>1713.1095310375906</v>
      </c>
      <c r="CF21" s="359">
        <f>+(q26_Aux!$AB$33+q26_Aux!$AB$36+q26_Aux!$AB$39)/(q11a!$M$33+q11a!$M$36+q11a!$M$39)</f>
        <v>1846.9046497143181</v>
      </c>
    </row>
    <row r="22" spans="1:84">
      <c r="A22" s="334"/>
      <c r="B22" t="str">
        <f>+'q17'!$A$45</f>
        <v>P</v>
      </c>
      <c r="C22" t="str">
        <f>+'q17'!$B$45</f>
        <v>Educação</v>
      </c>
      <c r="D22" s="359">
        <f>+'q17'!$C$45</f>
        <v>1129.3833492752599</v>
      </c>
      <c r="E22" s="359">
        <f>+'q17'!$D$45</f>
        <v>1137.0320941376101</v>
      </c>
      <c r="F22" s="359">
        <f>+'q17'!$E$45</f>
        <v>1119.5386512001601</v>
      </c>
      <c r="G22" s="359">
        <f>+'q17'!$F$45</f>
        <v>1118.43869186047</v>
      </c>
      <c r="H22" s="359">
        <f>+'q17'!$G$45</f>
        <v>1121.57449204406</v>
      </c>
      <c r="I22" s="359">
        <f>+'q17'!$H$45</f>
        <v>1136.2709303330901</v>
      </c>
      <c r="J22" s="359">
        <f>+'q17'!$I$45</f>
        <v>1161.1423260459401</v>
      </c>
      <c r="K22" s="359">
        <f>+'q17'!$J$45</f>
        <v>1219.7930119299501</v>
      </c>
      <c r="L22" s="359">
        <f>+'q17'!$K$45</f>
        <v>1259.2832209786602</v>
      </c>
      <c r="M22" s="359">
        <f>+'q17'!$L$45</f>
        <v>1296.7184035308401</v>
      </c>
      <c r="N22" s="359">
        <f>+'q17'!$M$45</f>
        <v>1348.7300260772402</v>
      </c>
      <c r="S22" s="359"/>
      <c r="T22" s="359"/>
      <c r="U22" s="359"/>
      <c r="V22" s="359"/>
      <c r="W22" s="359"/>
      <c r="X22" s="359"/>
      <c r="Y22" s="359"/>
      <c r="Z22" s="359"/>
      <c r="AA22" s="359"/>
      <c r="AB22" s="359"/>
      <c r="AC22" s="359"/>
      <c r="BL22" s="334" t="s">
        <v>543</v>
      </c>
      <c r="BM22" s="414">
        <f t="shared" ref="BM22:BM25" si="0">INDEX($BU$3:$CF$8,MATCH($BL22,$BU$3:$BU$8,0),MATCH($BK$19,$BU$3:$CF$3,0))*-1</f>
        <v>-1130.8162900632708</v>
      </c>
      <c r="BN22" s="414">
        <f t="shared" ref="BN22:BN25" si="1">INDEX($BU$17:$CF$22,MATCH($BL22,$BU$17:$BU$22,0),MATCH($BK$19,$BU$17:$CF$17,0))*-1</f>
        <v>-1352.8319508155932</v>
      </c>
      <c r="BO22" s="414">
        <f t="shared" ref="BO22:BO25" si="2">INDEX($BU$10:$CF$15,MATCH($BL22,$BU$10:$BU$15,0),MATCH($BK$19,$BU$10:$CF$10,0))</f>
        <v>993.84864627030174</v>
      </c>
      <c r="BP22" s="414">
        <f t="shared" ref="BP22:BP25" si="3">INDEX($BU$24:$CF$29,MATCH($BL22,$BU$24:$BU$29,0),MATCH($BK$19,$BU$24:$CF$24,0))</f>
        <v>1150.6865329623424</v>
      </c>
      <c r="BQ22" s="438">
        <f t="shared" ref="BQ22:BQ25" si="4">+ROUND(BO22/(BM22*-1)*100,1)</f>
        <v>87.9</v>
      </c>
      <c r="BR22" s="438">
        <f t="shared" ref="BR22:BR25" si="5">+ROUND(BP22/(BN22*-1)*100,1)</f>
        <v>85.1</v>
      </c>
      <c r="BS22" s="334" t="s">
        <v>540</v>
      </c>
      <c r="BU22" s="334" t="s">
        <v>12</v>
      </c>
      <c r="BV22" s="359">
        <f>+q26_Aux!$C$6</f>
        <v>1213.0207353340002</v>
      </c>
      <c r="BW22" s="359">
        <f>+q26_Aux!$D$6</f>
        <v>1209.2112926836</v>
      </c>
      <c r="BX22" s="359">
        <f>+q26_Aux!$E$6</f>
        <v>1203.3163954215399</v>
      </c>
      <c r="BY22" s="359">
        <f>+q26_Aux!$F$6</f>
        <v>1207.7620848918802</v>
      </c>
      <c r="BZ22" s="359">
        <f>+q26_Aux!$G$6</f>
        <v>1215.1073571470499</v>
      </c>
      <c r="CA22" s="359">
        <f>+q26_Aux!$H$6</f>
        <v>1236.8510439336801</v>
      </c>
      <c r="CB22" s="359">
        <f>+q26_Aux!$I$6</f>
        <v>1273.9856646448</v>
      </c>
      <c r="CC22" s="359">
        <f>+q26_Aux!$J$6</f>
        <v>1312.4262476007902</v>
      </c>
      <c r="CD22" s="359">
        <f>+q26_Aux!$K$6</f>
        <v>1349.3525335819299</v>
      </c>
      <c r="CE22" s="359">
        <f>+q26_Aux!$L$6</f>
        <v>1395.6950744819503</v>
      </c>
      <c r="CF22" s="359">
        <f>+q26_Aux!$M$6</f>
        <v>1476.20345437132</v>
      </c>
    </row>
    <row r="23" spans="1:84">
      <c r="A23" s="334"/>
      <c r="B23" t="str">
        <f>+'q17'!$A$46</f>
        <v>Q</v>
      </c>
      <c r="C23" t="str">
        <f>+'q17'!$B$46</f>
        <v>Ativ. saúde humana e apoio social</v>
      </c>
      <c r="D23" s="359">
        <f>+'q17'!$C$46</f>
        <v>814.83935037014112</v>
      </c>
      <c r="E23" s="359">
        <f>+'q17'!$D$46</f>
        <v>820.32154632946106</v>
      </c>
      <c r="F23" s="359">
        <f>+'q17'!$E$46</f>
        <v>821.86181171729697</v>
      </c>
      <c r="G23" s="359">
        <f>+'q17'!$F$46</f>
        <v>833.43913617824001</v>
      </c>
      <c r="H23" s="359">
        <f>+'q17'!$G$46</f>
        <v>851.35971351443413</v>
      </c>
      <c r="I23" s="359">
        <f>+'q17'!$H$46</f>
        <v>871.00278517655204</v>
      </c>
      <c r="J23" s="359">
        <f>+'q17'!$I$46</f>
        <v>891.94092989525302</v>
      </c>
      <c r="K23" s="359">
        <f>+'q17'!$J$46</f>
        <v>923.59450725392105</v>
      </c>
      <c r="L23" s="359">
        <f>+'q17'!$K$46</f>
        <v>942.71178632846113</v>
      </c>
      <c r="M23" s="359">
        <f>+'q17'!$L$46</f>
        <v>974.57898527437214</v>
      </c>
      <c r="N23" s="359">
        <f>+'q17'!$M$46</f>
        <v>1004.81363273947</v>
      </c>
      <c r="S23" s="359"/>
      <c r="T23" s="359"/>
      <c r="U23" s="359"/>
      <c r="V23" s="359"/>
      <c r="W23" s="359"/>
      <c r="X23" s="359"/>
      <c r="Y23" s="359"/>
      <c r="Z23" s="359"/>
      <c r="AA23" s="359"/>
      <c r="AB23" s="359"/>
      <c r="AC23" s="359"/>
      <c r="BL23" s="334" t="s">
        <v>544</v>
      </c>
      <c r="BM23" s="414">
        <f t="shared" si="0"/>
        <v>-1344.5117888914799</v>
      </c>
      <c r="BN23" s="414">
        <f t="shared" si="1"/>
        <v>-1653.173529258532</v>
      </c>
      <c r="BO23" s="414">
        <f t="shared" si="2"/>
        <v>1136.4201496816147</v>
      </c>
      <c r="BP23" s="414">
        <f t="shared" si="3"/>
        <v>1337.0565016194626</v>
      </c>
      <c r="BQ23" s="438">
        <f t="shared" si="4"/>
        <v>84.5</v>
      </c>
      <c r="BR23" s="438">
        <f t="shared" si="5"/>
        <v>80.900000000000006</v>
      </c>
      <c r="BS23" s="334" t="s">
        <v>541</v>
      </c>
    </row>
    <row r="24" spans="1:84">
      <c r="A24" s="334"/>
      <c r="B24" t="str">
        <f>+'q17'!$A$47</f>
        <v>R</v>
      </c>
      <c r="C24" t="str">
        <f>+'q17'!$B$47</f>
        <v>Ativ. artíst., espet., desp. e recr.</v>
      </c>
      <c r="D24" s="359">
        <f>+'q17'!$C$47</f>
        <v>1516.9304159477399</v>
      </c>
      <c r="E24" s="359">
        <f>+'q17'!$D$47</f>
        <v>1457.94635679315</v>
      </c>
      <c r="F24" s="359">
        <f>+'q17'!$E$47</f>
        <v>1383.3723070947699</v>
      </c>
      <c r="G24" s="359">
        <f>+'q17'!$F$47</f>
        <v>1514.3955796677601</v>
      </c>
      <c r="H24" s="359">
        <f>+'q17'!$G$47</f>
        <v>1537.2510891254701</v>
      </c>
      <c r="I24" s="359">
        <f>+'q17'!$H$47</f>
        <v>1612.8990528532502</v>
      </c>
      <c r="J24" s="359">
        <f>+'q17'!$I$47</f>
        <v>1607.9499511987101</v>
      </c>
      <c r="K24" s="359">
        <f>+'q17'!$J$47</f>
        <v>1645.6621931894101</v>
      </c>
      <c r="L24" s="359">
        <f>+'q17'!$K$47</f>
        <v>1838.9745813040101</v>
      </c>
      <c r="M24" s="359">
        <f>+'q17'!$L$47</f>
        <v>1780.1012672638201</v>
      </c>
      <c r="N24" s="359">
        <f>+'q17'!$M$47</f>
        <v>1789.8588604859799</v>
      </c>
      <c r="S24" s="359"/>
      <c r="T24" s="359"/>
      <c r="U24" s="359"/>
      <c r="V24" s="359"/>
      <c r="W24" s="359"/>
      <c r="X24" s="359"/>
      <c r="Y24" s="359"/>
      <c r="Z24" s="359"/>
      <c r="AA24" s="359"/>
      <c r="AB24" s="359"/>
      <c r="AC24" s="359"/>
      <c r="BL24" s="334" t="s">
        <v>292</v>
      </c>
      <c r="BM24" s="414">
        <f t="shared" si="0"/>
        <v>-1469.7881888414699</v>
      </c>
      <c r="BN24" s="414">
        <f t="shared" si="1"/>
        <v>-1846.9046497143181</v>
      </c>
      <c r="BO24" s="414">
        <f t="shared" si="2"/>
        <v>1242.1348465562171</v>
      </c>
      <c r="BP24" s="414">
        <f t="shared" si="3"/>
        <v>1507.7277863076592</v>
      </c>
      <c r="BQ24" s="438">
        <f t="shared" si="4"/>
        <v>84.5</v>
      </c>
      <c r="BR24" s="438">
        <f t="shared" si="5"/>
        <v>81.599999999999994</v>
      </c>
      <c r="BS24" s="334" t="s">
        <v>284</v>
      </c>
      <c r="BT24" s="444" t="s">
        <v>347</v>
      </c>
      <c r="BV24" s="335">
        <f>+'q26'!$C$4</f>
        <v>2012</v>
      </c>
      <c r="BW24" s="335">
        <f>+'q26'!$D$4</f>
        <v>2013</v>
      </c>
      <c r="BX24" s="335">
        <f>+'q26'!$E$4</f>
        <v>2014</v>
      </c>
      <c r="BY24" s="335">
        <f>+'q26'!$F$4</f>
        <v>2015</v>
      </c>
      <c r="BZ24" s="335">
        <f>+'q26'!$G$4</f>
        <v>2016</v>
      </c>
      <c r="CA24" s="335">
        <f>+'q26'!$H$4</f>
        <v>2017</v>
      </c>
      <c r="CB24" s="335">
        <f>+'q26'!$I$4</f>
        <v>2018</v>
      </c>
      <c r="CC24" s="335">
        <f>+'q26'!$J$4</f>
        <v>2019</v>
      </c>
      <c r="CD24" s="335">
        <f>+'q26'!$K$4</f>
        <v>2020</v>
      </c>
      <c r="CE24" s="335">
        <f>+'q26'!$L$4</f>
        <v>2021</v>
      </c>
      <c r="CF24" s="335">
        <f>+'q26'!$M$4</f>
        <v>2022</v>
      </c>
    </row>
    <row r="25" spans="1:84">
      <c r="A25" s="334"/>
      <c r="B25" t="str">
        <f>+'q17'!$A$48</f>
        <v>S</v>
      </c>
      <c r="C25" t="str">
        <f>+'q17'!$B$48</f>
        <v>Outras atividades de serviços</v>
      </c>
      <c r="D25" s="359">
        <f>+'q17'!$C$48</f>
        <v>845.17285477785504</v>
      </c>
      <c r="E25" s="359">
        <f>+'q17'!$D$48</f>
        <v>843.58706719739598</v>
      </c>
      <c r="F25" s="359">
        <f>+'q17'!$E$48</f>
        <v>847.60340294025912</v>
      </c>
      <c r="G25" s="359">
        <f>+'q17'!$F$48</f>
        <v>847.05432379474996</v>
      </c>
      <c r="H25" s="359">
        <f>+'q17'!$G$48</f>
        <v>857.44158379820499</v>
      </c>
      <c r="I25" s="359">
        <f>+'q17'!$H$48</f>
        <v>877.33948986960002</v>
      </c>
      <c r="J25" s="359">
        <f>+'q17'!$I$48</f>
        <v>901.61593273478707</v>
      </c>
      <c r="K25" s="359">
        <f>+'q17'!$J$48</f>
        <v>932.374981835178</v>
      </c>
      <c r="L25" s="359">
        <f>+'q17'!$K$48</f>
        <v>987.51096645240398</v>
      </c>
      <c r="M25" s="359">
        <f>+'q17'!$L$48</f>
        <v>1012.5876791584501</v>
      </c>
      <c r="N25" s="359">
        <f>+'q17'!$M$48</f>
        <v>1053.4306588592303</v>
      </c>
      <c r="S25" s="359"/>
      <c r="T25" s="359"/>
      <c r="U25" s="359"/>
      <c r="V25" s="359"/>
      <c r="W25" s="359"/>
      <c r="X25" s="359"/>
      <c r="Y25" s="359"/>
      <c r="Z25" s="359"/>
      <c r="AA25" s="359"/>
      <c r="AB25" s="359"/>
      <c r="AC25" s="359"/>
      <c r="BL25" s="404" t="s">
        <v>12</v>
      </c>
      <c r="BM25" s="414">
        <f t="shared" si="0"/>
        <v>-1217.3282728682302</v>
      </c>
      <c r="BN25" s="414">
        <f t="shared" si="1"/>
        <v>-1476.20345437132</v>
      </c>
      <c r="BO25" s="414">
        <f t="shared" si="2"/>
        <v>1054.3618671065601</v>
      </c>
      <c r="BP25" s="414">
        <f t="shared" si="3"/>
        <v>1237.52369998673</v>
      </c>
      <c r="BQ25" s="438">
        <f t="shared" si="4"/>
        <v>86.6</v>
      </c>
      <c r="BR25" s="438">
        <f t="shared" si="5"/>
        <v>83.8</v>
      </c>
      <c r="BS25" s="334" t="str">
        <f t="shared" ref="BS25" si="6">+BL25</f>
        <v>Total</v>
      </c>
      <c r="BT25" s="444" t="s">
        <v>117</v>
      </c>
      <c r="BU25" s="334" t="s">
        <v>283</v>
      </c>
      <c r="BV25" s="359">
        <f>+(q26_Aux!$R$10+q26_Aux!$R$13)/(q11a!$C$10+q11a!$C$13)</f>
        <v>812.11226199448276</v>
      </c>
      <c r="BW25" s="359">
        <f>+(q26_Aux!$S$10+q26_Aux!$S$13)/(q11a!$D$10+q11a!$D$13)</f>
        <v>810.55809425547284</v>
      </c>
      <c r="BX25" s="359">
        <f>+(q26_Aux!$T$10+q26_Aux!$T$13)/(q11a!$E$10+q11a!$E$13)</f>
        <v>818.89598427314206</v>
      </c>
      <c r="BY25" s="359">
        <f>+(q26_Aux!$U$10+q26_Aux!$U$13)/(q11a!$F$10+q11a!$F$13)</f>
        <v>815.96604813673309</v>
      </c>
      <c r="BZ25" s="359">
        <f>+(q26_Aux!$V$10+q26_Aux!$V$13)/(q11a!$G$10+q11a!$G$13)</f>
        <v>831.0234436613207</v>
      </c>
      <c r="CA25" s="359">
        <f>+(q26_Aux!$W$10+q26_Aux!$W$13)/(q11a!$H$10+q11a!$H$13)</f>
        <v>856.13044662321397</v>
      </c>
      <c r="CB25" s="359">
        <f>+(q26_Aux!$X$10+q26_Aux!$X$13)/(q11a!$I$10+q11a!$I$13)</f>
        <v>883.98108065787744</v>
      </c>
      <c r="CC25" s="359">
        <f>+(q26_Aux!$Y$10+q26_Aux!$Y$13)/(q11a!$J$10+q11a!$J$13)</f>
        <v>915.70667561741584</v>
      </c>
      <c r="CD25" s="359">
        <f>+(q26_Aux!$Z$10+q26_Aux!$Z$13)/(q11a!$K$10+q11a!$K$13)</f>
        <v>951.10176836482447</v>
      </c>
      <c r="CE25" s="359">
        <f>+(q26_Aux!$AA$10+q26_Aux!$AA$13)/(q11a!$L$10+q11a!$L$13)</f>
        <v>986.80781562085804</v>
      </c>
      <c r="CF25" s="359">
        <f>+(q26_Aux!$AB$10+q26_Aux!$AB$13)/(q11a!$M$10+q11a!$M$13)</f>
        <v>1035.1351519929417</v>
      </c>
    </row>
    <row r="26" spans="1:84">
      <c r="A26" s="334"/>
      <c r="B26" t="str">
        <f>+'q17'!$A$49</f>
        <v>U</v>
      </c>
      <c r="C26" t="str">
        <f>+'q17'!$B$49</f>
        <v>Ativ. org. int. e o. inst. extra-territ.</v>
      </c>
      <c r="D26" s="359">
        <f>+'q17'!$C$49</f>
        <v>1975.48822222222</v>
      </c>
      <c r="E26" s="359">
        <f>+'q17'!$D$49</f>
        <v>1810.3555555555602</v>
      </c>
      <c r="F26" s="359">
        <f>+'q17'!$E$49</f>
        <v>1772.7097435897401</v>
      </c>
      <c r="G26" s="359">
        <f>+'q17'!$F$49</f>
        <v>1910.540375</v>
      </c>
      <c r="H26" s="359">
        <f>+'q17'!$G$49</f>
        <v>2028.9570967741902</v>
      </c>
      <c r="I26" s="359">
        <f>+'q17'!$H$49</f>
        <v>1986.43304878049</v>
      </c>
      <c r="J26" s="359">
        <f>+'q17'!$I$49</f>
        <v>2136.1323333333298</v>
      </c>
      <c r="K26" s="359">
        <f>+'q17'!$J$49</f>
        <v>2160.3618947368404</v>
      </c>
      <c r="L26" s="359">
        <f>+'q17'!$K$49</f>
        <v>1978.9849090909102</v>
      </c>
      <c r="M26" s="359">
        <f>+'q17'!$L$49</f>
        <v>1886.5118749999999</v>
      </c>
      <c r="N26" s="359">
        <f>+'q17'!$M$49</f>
        <v>3156.8388888888899</v>
      </c>
      <c r="S26" s="359"/>
      <c r="T26" s="359"/>
      <c r="U26" s="359"/>
      <c r="V26" s="359"/>
      <c r="W26" s="359"/>
      <c r="X26" s="359"/>
      <c r="Y26" s="359"/>
      <c r="Z26" s="359"/>
      <c r="AA26" s="359"/>
      <c r="AB26" s="359"/>
      <c r="AC26" s="359"/>
      <c r="BM26" s="414">
        <f>+BM25*-1</f>
        <v>1217.3282728682302</v>
      </c>
      <c r="BN26" s="414">
        <f>+BN25*-1</f>
        <v>1476.20345437132</v>
      </c>
      <c r="BQ26" s="438"/>
      <c r="BU26" s="334" t="s">
        <v>543</v>
      </c>
      <c r="BV26" s="359">
        <f>+(q26_Aux!$R$16+q26_Aux!$R$19)/(q11a!$C$16+q11a!$C$19)</f>
        <v>916.00419945138492</v>
      </c>
      <c r="BW26" s="359">
        <f>+(q26_Aux!$S$16+q26_Aux!$S$19)/(q11a!$D$16+q11a!$D$19)</f>
        <v>913.86063308855637</v>
      </c>
      <c r="BX26" s="359">
        <f>+(q26_Aux!$T$16+q26_Aux!$T$19)/(q11a!$E$16+q11a!$E$19)</f>
        <v>916.55195580877171</v>
      </c>
      <c r="BY26" s="359">
        <f>+(q26_Aux!$U$16+q26_Aux!$U$19)/(q11a!$F$16+q11a!$F$19)</f>
        <v>919.00572678673393</v>
      </c>
      <c r="BZ26" s="359">
        <f>+(q26_Aux!$V$16+q26_Aux!$V$19)/(q11a!$G$16+q11a!$G$19)</f>
        <v>930.69638946638963</v>
      </c>
      <c r="CA26" s="359">
        <f>+(q26_Aux!$W$16+q26_Aux!$W$19)/(q11a!$H$16+q11a!$H$19)</f>
        <v>956.2080728093224</v>
      </c>
      <c r="CB26" s="359">
        <f>+(q26_Aux!$X$16+q26_Aux!$X$19)/(q11a!$I$16+q11a!$I$19)</f>
        <v>988.11096853727963</v>
      </c>
      <c r="CC26" s="359">
        <f>+(q26_Aux!$Y$16+q26_Aux!$Y$19)/(q11a!$J$16+q11a!$J$19)</f>
        <v>1021.2122752571165</v>
      </c>
      <c r="CD26" s="359">
        <f>+(q26_Aux!$Z$16+q26_Aux!$Z$19)/(q11a!$K$16+q11a!$K$19)</f>
        <v>1063.4783960857064</v>
      </c>
      <c r="CE26" s="359">
        <f>+(q26_Aux!$AA$16+q26_Aux!$AA$19)/(q11a!$L$16+q11a!$L$19)</f>
        <v>1097.4995592241612</v>
      </c>
      <c r="CF26" s="359">
        <f>+(q26_Aux!$AB$16+q26_Aux!$AB$19)/(q11a!$M$16+q11a!$M$19)</f>
        <v>1150.6865329623424</v>
      </c>
    </row>
    <row r="27" spans="1:84">
      <c r="A27" s="334"/>
      <c r="B27" s="334" t="s">
        <v>283</v>
      </c>
      <c r="C27" s="334"/>
      <c r="D27" s="359">
        <f>+(q18_Aux!$R$8+q18_Aux!$R$11)/(q11a!$C$8+q11a!$C$11)</f>
        <v>743.58292049621616</v>
      </c>
      <c r="E27" s="359">
        <f>+(q18_Aux!$S$8+q18_Aux!$S$11)/(q11a!$D$8+q11a!$D$11)</f>
        <v>740.81113427879666</v>
      </c>
      <c r="F27" s="359">
        <f>+(q18_Aux!$T$8+q18_Aux!$T$11)/(q11a!$E$8+q11a!$E$11)</f>
        <v>743.1896559413243</v>
      </c>
      <c r="G27" s="359">
        <f>+(q18_Aux!$U$8+q18_Aux!$U$11)/(q11a!$F$8+q11a!$F$11)</f>
        <v>741.72346108913666</v>
      </c>
      <c r="H27" s="359">
        <f>+(q18_Aux!$V$8+q18_Aux!$V$11)/(q11a!$G$8+q11a!$G$11)</f>
        <v>755.98997789720329</v>
      </c>
      <c r="I27" s="359">
        <f>+(q18_Aux!$W$8+q18_Aux!$W$11)/(q11a!$H$8+q11a!$H$11)</f>
        <v>774.5510595915548</v>
      </c>
      <c r="J27" s="359">
        <f>+(q18_Aux!$X$8+q18_Aux!$X$11)/(q11a!$I$8+q11a!$I$11)</f>
        <v>798.39362542964363</v>
      </c>
      <c r="K27" s="359">
        <f>+(q18_Aux!$Y$8+q18_Aux!$Y$11)/(q11a!$J$8+q11a!$J$11)</f>
        <v>825.35989397402784</v>
      </c>
      <c r="L27" s="359">
        <f>+(q18_Aux!$Z$8+q18_Aux!$Z$11)/(q11a!$K$8+q11a!$K$11)</f>
        <v>862.12708824020444</v>
      </c>
      <c r="M27" s="359">
        <f>+(q18_Aux!$AA$8+q18_Aux!$AA$11)/(q11a!$L$8+q11a!$L$11)</f>
        <v>897.66026872455643</v>
      </c>
      <c r="N27" s="359">
        <f>+(q18_Aux!$AB$8+q18_Aux!$AB$11)/(q11a!$M$8+q11a!$M$11)</f>
        <v>944.24478854155598</v>
      </c>
      <c r="BT27" s="334"/>
      <c r="BU27" s="334" t="s">
        <v>544</v>
      </c>
      <c r="BV27" s="359">
        <f>+(q26_Aux!$R$22+q26_Aux!$R$25+q26_Aux!$R$28+q26_Aux!$R$31)/(q11a!$C$22+q11a!$C$25+q11a!$C$28+q11a!$C$31)</f>
        <v>1054.4701778606852</v>
      </c>
      <c r="BW27" s="359">
        <f>+(q26_Aux!$S$22+q26_Aux!$S$25+q26_Aux!$S$28+q26_Aux!$S$31)/(q11a!$D$22+q11a!$D$25+q11a!$D$28+q11a!$D$31)</f>
        <v>1058.0757209410897</v>
      </c>
      <c r="BX27" s="359">
        <f>+(q26_Aux!$T$22+q26_Aux!$T$25+q26_Aux!$T$28+q26_Aux!$T$31)/(q11a!$E$22+q11a!$E$25+q11a!$E$28+q11a!$E$31)</f>
        <v>1060.9630941341986</v>
      </c>
      <c r="BY27" s="359">
        <f>+(q26_Aux!$U$22+q26_Aux!$U$25+q26_Aux!$U$28+q26_Aux!$U$31)/(q11a!$F$22+q11a!$F$25+q11a!$F$28+q11a!$F$31)</f>
        <v>1068.3120769093803</v>
      </c>
      <c r="BZ27" s="359">
        <f>+(q26_Aux!$V$22+q26_Aux!$V$25+q26_Aux!$V$28+q26_Aux!$V$31)/(q11a!$G$22+q11a!$G$25+q11a!$G$28+q11a!$G$31)</f>
        <v>1076.5222200113451</v>
      </c>
      <c r="CA27" s="359">
        <f>+(q26_Aux!$W$22+q26_Aux!$W$25+q26_Aux!$W$28+q26_Aux!$W$31)/(q11a!$H$22+q11a!$H$25+q11a!$H$28+q11a!$H$31)</f>
        <v>1094.4529889564139</v>
      </c>
      <c r="CB27" s="359">
        <f>+(q26_Aux!$X$22+q26_Aux!$X$25+q26_Aux!$X$28+q26_Aux!$X$31)/(q11a!$I$22+q11a!$I$25+q11a!$I$28+q11a!$I$31)</f>
        <v>1134.1554920489643</v>
      </c>
      <c r="CC27" s="359">
        <f>+(q26_Aux!$Y$22+q26_Aux!$Y$25+q26_Aux!$Y$28+q26_Aux!$Y$31)/(q11a!$J$22+q11a!$J$25+q11a!$J$28+q11a!$J$31)</f>
        <v>1171.3133404608673</v>
      </c>
      <c r="CD27" s="359">
        <f>+(q26_Aux!$Z$22+q26_Aux!$Z$25+q26_Aux!$Z$28+q26_Aux!$Z$31)/(q11a!$K$22+q11a!$K$25+q11a!$K$28+q11a!$K$31)</f>
        <v>1225.7908796420718</v>
      </c>
      <c r="CE27" s="359">
        <f>+(q26_Aux!$AA$22+q26_Aux!$AA$25+q26_Aux!$AA$28+q26_Aux!$AA$31)/(q11a!$L$22+q11a!$L$25+q11a!$L$28+q11a!$L$31)</f>
        <v>1267.3776878319927</v>
      </c>
      <c r="CF27" s="359">
        <f>+(q26_Aux!$AB$22+q26_Aux!$AB$25+q26_Aux!$AB$28+q26_Aux!$AB$31)/(q11a!$M$22+q11a!$M$25+q11a!$M$28+q11a!$M$31)</f>
        <v>1337.0565016194626</v>
      </c>
    </row>
    <row r="28" spans="1:84">
      <c r="A28" s="334"/>
      <c r="B28" s="334" t="s">
        <v>543</v>
      </c>
      <c r="C28" s="334"/>
      <c r="D28" s="359">
        <f>+(q18_Aux!$R$14+q18_Aux!$R$17)/(q11a!$C$14+q11a!$C$17)</f>
        <v>886.03413030358979</v>
      </c>
      <c r="E28" s="359">
        <f>+(q18_Aux!$S$14+q18_Aux!$S$17)/(q11a!$D$14+q11a!$D$17)</f>
        <v>880.69844559663761</v>
      </c>
      <c r="F28" s="359">
        <f>+(q18_Aux!$T$14+q18_Aux!$T$17)/(q11a!$E$14+q11a!$E$17)</f>
        <v>875.5270905585777</v>
      </c>
      <c r="G28" s="359">
        <f>+(q18_Aux!$U$14+q18_Aux!$U$17)/(q11a!$F$14+q11a!$F$17)</f>
        <v>876.08013653293108</v>
      </c>
      <c r="H28" s="359">
        <f>+(q18_Aux!$V$14+q18_Aux!$V$17)/(q11a!$G$14+q11a!$G$17)</f>
        <v>882.80530988207897</v>
      </c>
      <c r="I28" s="359">
        <f>+(q18_Aux!$W$14+q18_Aux!$W$17)/(q11a!$H$14+q11a!$H$17)</f>
        <v>896.4722523640778</v>
      </c>
      <c r="J28" s="359">
        <f>+(q18_Aux!$X$14+q18_Aux!$X$17)/(q11a!$I$14+q11a!$I$17)</f>
        <v>919.58524604114712</v>
      </c>
      <c r="K28" s="359">
        <f>+(q18_Aux!$Y$14+q18_Aux!$Y$17)/(q11a!$J$14+q11a!$J$17)</f>
        <v>948.36081891733545</v>
      </c>
      <c r="L28" s="359">
        <f>+(q18_Aux!$Z$14+q18_Aux!$Z$17)/(q11a!$K$14+q11a!$K$17)</f>
        <v>989.62749356880101</v>
      </c>
      <c r="M28" s="359">
        <f>+(q18_Aux!$AA$14+q18_Aux!$AA$17)/(q11a!$L$14+q11a!$L$17)</f>
        <v>1024.3181100472259</v>
      </c>
      <c r="N28" s="359">
        <f>+(q18_Aux!$AB$14+q18_Aux!$AB$17)/(q11a!$M$14+q11a!$M$17)</f>
        <v>1070.1151648546956</v>
      </c>
      <c r="BT28" s="334"/>
      <c r="BU28" s="334" t="s">
        <v>292</v>
      </c>
      <c r="BV28" s="359">
        <f>+(q26_Aux!$R$34+q26_Aux!$R$37+q26_Aux!$R$40)/(q11a!$C$34+q11a!$C$37+q11a!$C$40)</f>
        <v>1178.7858965928563</v>
      </c>
      <c r="BW28" s="359">
        <f>+(q26_Aux!$S$34+q26_Aux!$S$37+q26_Aux!$S$40)/(q11a!$D$34+q11a!$D$37+q11a!$D$40)</f>
        <v>1177.4415753539697</v>
      </c>
      <c r="BX28" s="359">
        <f>+(q26_Aux!$T$34+q26_Aux!$T$37+q26_Aux!$T$40)/(q11a!$E$34+q11a!$E$37+q11a!$E$40)</f>
        <v>1184.1812293964556</v>
      </c>
      <c r="BY28" s="359">
        <f>+(q26_Aux!$U$34+q26_Aux!$U$37+q26_Aux!$U$40)/(q11a!$F$34+q11a!$F$37+q11a!$F$40)</f>
        <v>1184.9707223185126</v>
      </c>
      <c r="BZ28" s="359">
        <f>+(q26_Aux!$V$34+q26_Aux!$V$37+q26_Aux!$V$40)/(q11a!$G$34+q11a!$G$37+q11a!$G$40)</f>
        <v>1207.1756719218524</v>
      </c>
      <c r="CA28" s="359">
        <f>+(q26_Aux!$W$34+q26_Aux!$W$37+q26_Aux!$W$40)/(q11a!$H$34+q11a!$H$37+q11a!$H$40)</f>
        <v>1247.3618013557912</v>
      </c>
      <c r="CB28" s="359">
        <f>+(q26_Aux!$X$34+q26_Aux!$X$37+q26_Aux!$X$40)/(q11a!$I$34+q11a!$I$37+q11a!$I$40)</f>
        <v>1285.5941884956012</v>
      </c>
      <c r="CC28" s="359">
        <f>+(q26_Aux!$Y$34+q26_Aux!$Y$37+q26_Aux!$Y$40)/(q11a!$J$34+q11a!$J$37+q11a!$J$40)</f>
        <v>1330.2538431496068</v>
      </c>
      <c r="CD28" s="359">
        <f>+(q26_Aux!$Z$34+q26_Aux!$Z$37+q26_Aux!$Z$40)/(q11a!$K$34+q11a!$K$37+q11a!$K$40)</f>
        <v>1358.802689938824</v>
      </c>
      <c r="CE28" s="359">
        <f>+(q26_Aux!$AA$34+q26_Aux!$AA$37+q26_Aux!$AA$40)/(q11a!$L$34+q11a!$L$37+q11a!$L$40)</f>
        <v>1420.0367201142658</v>
      </c>
      <c r="CF28" s="359">
        <f>+(q26_Aux!$AB$34+q26_Aux!$AB$37+q26_Aux!$AB$40)/(q11a!$M$34+q11a!$M$37+q11a!$M$40)</f>
        <v>1507.7277863076592</v>
      </c>
    </row>
    <row r="29" spans="1:84">
      <c r="A29" s="334"/>
      <c r="B29" s="334" t="s">
        <v>544</v>
      </c>
      <c r="C29" s="334"/>
      <c r="D29" s="359">
        <f>+(q18_Aux!$R$20+q18_Aux!$R$23+q18_Aux!$R$26+q18_Aux!$R$29)/(q11a!$C$20+q11a!$C$23+q11a!$C$26+q11a!$C$29)</f>
        <v>1049.3663383300029</v>
      </c>
      <c r="E29" s="359">
        <f>+(q18_Aux!$S$20+q18_Aux!$S$23+q18_Aux!$S$26+q18_Aux!$S$29)/(q11a!$D$20+q11a!$D$23+q11a!$D$26+q11a!$D$29)</f>
        <v>1042.7234273191029</v>
      </c>
      <c r="F29" s="359">
        <f>+(q18_Aux!$T$20+q18_Aux!$T$23+q18_Aux!$T$26+q18_Aux!$T$29)/(q11a!$E$20+q11a!$E$23+q11a!$E$26+q11a!$E$29)</f>
        <v>1033.4462446703631</v>
      </c>
      <c r="G29" s="359">
        <f>+(q18_Aux!$U$20+q18_Aux!$U$23+q18_Aux!$U$26+q18_Aux!$U$29)/(q11a!$F$20+q11a!$F$23+q11a!$F$26+q11a!$F$29)</f>
        <v>1043.9948238642926</v>
      </c>
      <c r="H29" s="359">
        <f>+(q18_Aux!$V$20+q18_Aux!$V$23+q18_Aux!$V$26+q18_Aux!$V$29)/(q11a!$G$20+q11a!$G$23+q11a!$G$26+q11a!$G$29)</f>
        <v>1048.9024058545212</v>
      </c>
      <c r="I29" s="359">
        <f>+(q18_Aux!$W$20+q18_Aux!$W$23+q18_Aux!$W$26+q18_Aux!$W$29)/(q11a!$H$20+q11a!$H$23+q11a!$H$26+q11a!$H$29)</f>
        <v>1063.2205857493338</v>
      </c>
      <c r="J29" s="359">
        <f>+(q18_Aux!$X$20+q18_Aux!$X$23+q18_Aux!$X$26+q18_Aux!$X$29)/(q11a!$I$20+q11a!$I$23+q11a!$I$26+q11a!$I$29)</f>
        <v>1090.6277371485573</v>
      </c>
      <c r="K29" s="359">
        <f>+(q18_Aux!$Y$20+q18_Aux!$Y$23+q18_Aux!$Y$26+q18_Aux!$Y$29)/(q11a!$J$20+q11a!$J$23+q11a!$J$26+q11a!$J$29)</f>
        <v>1118.9973468408616</v>
      </c>
      <c r="L29" s="359">
        <f>+(q18_Aux!$Z$20+q18_Aux!$Z$23+q18_Aux!$Z$26+q18_Aux!$Z$29)/(q11a!$K$20+q11a!$K$23+q11a!$K$26+q11a!$K$29)</f>
        <v>1164.7308444214914</v>
      </c>
      <c r="M29" s="359">
        <f>+(q18_Aux!$AA$20+q18_Aux!$AA$23+q18_Aux!$AA$26+q18_Aux!$AA$29)/(q11a!$L$20+q11a!$L$23+q11a!$L$26+q11a!$L$29)</f>
        <v>1194.2578287563724</v>
      </c>
      <c r="N29" s="359">
        <f>+(q18_Aux!$AB$20+q18_Aux!$AB$23+q18_Aux!$AB$26+q18_Aux!$AB$29)/(q11a!$M$20+q11a!$M$23+q11a!$M$26+q11a!$M$29)</f>
        <v>1252.1737579991295</v>
      </c>
      <c r="BU29" s="334" t="s">
        <v>12</v>
      </c>
      <c r="BV29" s="359">
        <f>+q26_Aux!$C$7</f>
        <v>956.51135558425801</v>
      </c>
      <c r="BW29" s="359">
        <f>+q26_Aux!$D$7</f>
        <v>958.1169410237261</v>
      </c>
      <c r="BX29" s="359">
        <f>+q26_Aux!$E$7</f>
        <v>963.11657750883012</v>
      </c>
      <c r="BY29" s="359">
        <f>+q26_Aux!$F$7</f>
        <v>966.85175731037509</v>
      </c>
      <c r="BZ29" s="359">
        <f>+q26_Aux!$G$7</f>
        <v>982.48629518294808</v>
      </c>
      <c r="CA29" s="359">
        <f>+q26_Aux!$H$7</f>
        <v>1011.0188687181301</v>
      </c>
      <c r="CB29" s="359">
        <f>+q26_Aux!$I$7</f>
        <v>1046.5864208241201</v>
      </c>
      <c r="CC29" s="359">
        <f>+q26_Aux!$J$7</f>
        <v>1086.9729161883299</v>
      </c>
      <c r="CD29" s="359">
        <f>+q26_Aux!$K$7</f>
        <v>1130.8674354246</v>
      </c>
      <c r="CE29" s="359">
        <f>+q26_Aux!$L$7</f>
        <v>1172.0779291766798</v>
      </c>
      <c r="CF29" s="359">
        <f>+q26_Aux!$M$7</f>
        <v>1237.52369998673</v>
      </c>
    </row>
    <row r="30" spans="1:84">
      <c r="A30" s="334"/>
      <c r="B30" s="334" t="s">
        <v>292</v>
      </c>
      <c r="C30" s="334"/>
      <c r="D30" s="359">
        <f>+(q18_Aux!$R$32+q18_Aux!$R$35+q18_Aux!$R$38)/(q11a!$C$32+q11a!$C$35+q11a!$C$38)</f>
        <v>1091.4436407693956</v>
      </c>
      <c r="E30" s="359">
        <f>+(q18_Aux!$S$32+q18_Aux!$S$35+q18_Aux!$S$38)/(q11a!$D$32+q11a!$D$35+q11a!$D$38)</f>
        <v>1086.3858777541591</v>
      </c>
      <c r="F30" s="359">
        <f>+(q18_Aux!$T$32+q18_Aux!$T$35+q18_Aux!$T$38)/(q11a!$E$32+q11a!$E$35+q11a!$E$38)</f>
        <v>1085.2273360912188</v>
      </c>
      <c r="G30" s="359">
        <f>+(q18_Aux!$U$32+q18_Aux!$U$35+q18_Aux!$U$38)/(q11a!$F$32+q11a!$F$35+q11a!$F$38)</f>
        <v>1088.7322217053959</v>
      </c>
      <c r="H30" s="359">
        <f>+(q18_Aux!$V$32+q18_Aux!$V$35+q18_Aux!$V$38)/(q11a!$G$32+q11a!$G$35+q11a!$G$38)</f>
        <v>1103.3644691262884</v>
      </c>
      <c r="I30" s="359">
        <f>+(q18_Aux!$W$32+q18_Aux!$W$35+q18_Aux!$W$38)/(q11a!$H$32+q11a!$H$35+q11a!$H$38)</f>
        <v>1117.6163821959772</v>
      </c>
      <c r="J30" s="359">
        <f>+(q18_Aux!$X$32+q18_Aux!$X$35+q18_Aux!$X$38)/(q11a!$I$32+q11a!$I$35+q11a!$I$38)</f>
        <v>1146.9318293946403</v>
      </c>
      <c r="K30" s="359">
        <f>+(q18_Aux!$Y$32+q18_Aux!$Y$35+q18_Aux!$Y$38)/(q11a!$J$32+q11a!$J$35+q11a!$J$38)</f>
        <v>1193.8097437693536</v>
      </c>
      <c r="L30" s="359">
        <f>+(q18_Aux!$Z$32+q18_Aux!$Z$35+q18_Aux!$Z$38)/(q11a!$K$32+q11a!$K$35+q11a!$K$38)</f>
        <v>1207.2450165587788</v>
      </c>
      <c r="M30" s="359">
        <f>+(q18_Aux!$AA$32+q18_Aux!$AA$35+q18_Aux!$AA$38)/(q11a!$L$32+q11a!$L$35+q11a!$L$38)</f>
        <v>1276.5702814511374</v>
      </c>
      <c r="N30" s="359">
        <f>+(q18_Aux!$AB$32+q18_Aux!$AB$35+q18_Aux!$AB$38)/(q11a!$M$32+q11a!$M$35+q11a!$M$38)</f>
        <v>1366.1708828126364</v>
      </c>
      <c r="BV30" s="335"/>
      <c r="BW30" s="335"/>
      <c r="BX30" s="335"/>
      <c r="BY30" s="335"/>
      <c r="BZ30" s="335"/>
      <c r="CA30" s="335"/>
      <c r="CB30" s="335"/>
      <c r="CC30" s="335"/>
      <c r="CD30" s="335"/>
      <c r="CE30" s="335"/>
      <c r="CF30" s="335"/>
    </row>
    <row r="31" spans="1:84">
      <c r="A31" s="334" t="s">
        <v>334</v>
      </c>
      <c r="B31" t="str">
        <f>+'q25'!$A$6</f>
        <v>A</v>
      </c>
      <c r="C31" t="str">
        <f>+'q25'!$B$6</f>
        <v>Agr., pr. animal, caça, flor. pesca</v>
      </c>
      <c r="D31" s="359">
        <f>+'q25'!$C$6</f>
        <v>812.90857049472606</v>
      </c>
      <c r="E31" s="359">
        <f>+'q25'!$D$6</f>
        <v>789.23093644102801</v>
      </c>
      <c r="F31" s="359">
        <f>+'q25'!$E$6</f>
        <v>794.63238825377903</v>
      </c>
      <c r="G31" s="359">
        <f>+'q25'!$F$6</f>
        <v>802.67954439521611</v>
      </c>
      <c r="H31" s="359">
        <f>+'q25'!$G$6</f>
        <v>832.79572922663601</v>
      </c>
      <c r="I31" s="359">
        <f>+'q25'!$H$6</f>
        <v>850.3978954524141</v>
      </c>
      <c r="J31" s="359">
        <f>+'q25'!$I$6</f>
        <v>896.43205381769303</v>
      </c>
      <c r="K31" s="359">
        <f>+'q25'!$J$6</f>
        <v>945.56245115689808</v>
      </c>
      <c r="L31" s="359">
        <f>+'q25'!$K$6</f>
        <v>949.68727184380202</v>
      </c>
      <c r="M31" s="359">
        <f>+'q25'!$L$6</f>
        <v>1011.4266887095</v>
      </c>
      <c r="N31" s="359">
        <f>+'q25'!$M$6</f>
        <v>1058.36697089669</v>
      </c>
      <c r="R31" s="334"/>
      <c r="S31" s="359"/>
      <c r="T31" s="359"/>
      <c r="U31" s="359"/>
      <c r="V31" s="359"/>
      <c r="W31" s="359"/>
      <c r="X31" s="359"/>
      <c r="Y31" s="359"/>
      <c r="Z31" s="359"/>
      <c r="AA31" s="359"/>
      <c r="AB31" s="359"/>
      <c r="AC31" s="359"/>
      <c r="BU31" s="334"/>
      <c r="BV31" s="450"/>
      <c r="BW31" s="450"/>
      <c r="BX31" s="450"/>
      <c r="BY31" s="450"/>
      <c r="BZ31" s="450"/>
      <c r="CA31" s="450"/>
      <c r="CB31" s="450"/>
      <c r="CC31" s="450"/>
      <c r="CD31" s="450"/>
      <c r="CE31" s="450"/>
      <c r="CF31" s="450"/>
    </row>
    <row r="32" spans="1:84">
      <c r="A32" s="334"/>
      <c r="B32" t="str">
        <f>+'q25'!$A$7</f>
        <v>B</v>
      </c>
      <c r="C32" t="str">
        <f>+'q25'!$B$7</f>
        <v>Indústrias extrativas</v>
      </c>
      <c r="D32" s="359">
        <f>+'q25'!$C$7</f>
        <v>1189.99472764645</v>
      </c>
      <c r="E32" s="359">
        <f>+'q25'!$D$7</f>
        <v>1216.8668800708101</v>
      </c>
      <c r="F32" s="359">
        <f>+'q25'!$E$7</f>
        <v>1253.1919576078699</v>
      </c>
      <c r="G32" s="359">
        <f>+'q25'!$F$7</f>
        <v>1254.1148516050901</v>
      </c>
      <c r="H32" s="359">
        <f>+'q25'!$G$7</f>
        <v>1286.7811704913001</v>
      </c>
      <c r="I32" s="359">
        <f>+'q25'!$H$7</f>
        <v>1296.0436664613501</v>
      </c>
      <c r="J32" s="359">
        <f>+'q25'!$I$7</f>
        <v>1403.2348597856401</v>
      </c>
      <c r="K32" s="359">
        <f>+'q25'!$J$7</f>
        <v>1459.1081470854701</v>
      </c>
      <c r="L32" s="359">
        <f>+'q25'!$K$7</f>
        <v>1500.0902219807501</v>
      </c>
      <c r="M32" s="359">
        <f>+'q25'!$L$7</f>
        <v>1596.0346130638102</v>
      </c>
      <c r="N32" s="359">
        <f>+'q25'!$M$7</f>
        <v>1702.2394534560904</v>
      </c>
      <c r="R32" s="334"/>
      <c r="S32" s="359"/>
      <c r="T32" s="359"/>
      <c r="U32" s="359"/>
      <c r="V32" s="359"/>
      <c r="W32" s="359"/>
      <c r="X32" s="359"/>
      <c r="Y32" s="359"/>
      <c r="Z32" s="359"/>
      <c r="AA32" s="359"/>
      <c r="AB32" s="359"/>
      <c r="AC32" s="359"/>
      <c r="BU32" s="334"/>
      <c r="BV32" s="450"/>
      <c r="BW32" s="450"/>
      <c r="BX32" s="450"/>
      <c r="BY32" s="450"/>
      <c r="BZ32" s="450"/>
      <c r="CA32" s="450"/>
      <c r="CB32" s="450"/>
      <c r="CC32" s="450"/>
      <c r="CD32" s="450"/>
      <c r="CE32" s="450"/>
      <c r="CF32" s="450"/>
    </row>
    <row r="33" spans="1:84">
      <c r="A33" s="334"/>
      <c r="B33" t="str">
        <f>+'q25'!$A$8</f>
        <v>C</v>
      </c>
      <c r="C33" t="str">
        <f>+'q25'!$B$8</f>
        <v>Indústrias transformadoras</v>
      </c>
      <c r="D33" s="359">
        <f>+'q25'!$C$8</f>
        <v>988.75687182708407</v>
      </c>
      <c r="E33" s="359">
        <f>+'q25'!$D$8</f>
        <v>996.63412584612513</v>
      </c>
      <c r="F33" s="359">
        <f>+'q25'!$E$8</f>
        <v>1003.09180358052</v>
      </c>
      <c r="G33" s="359">
        <f>+'q25'!$F$8</f>
        <v>1015.8172835393801</v>
      </c>
      <c r="H33" s="359">
        <f>+'q25'!$G$8</f>
        <v>1031.59799499223</v>
      </c>
      <c r="I33" s="359">
        <f>+'q25'!$H$8</f>
        <v>1068.4328290201402</v>
      </c>
      <c r="J33" s="359">
        <f>+'q25'!$I$8</f>
        <v>1110.54337234992</v>
      </c>
      <c r="K33" s="359">
        <f>+'q25'!$J$8</f>
        <v>1154.9381361412102</v>
      </c>
      <c r="L33" s="359">
        <f>+'q25'!$K$8</f>
        <v>1198.0430402166501</v>
      </c>
      <c r="M33" s="359">
        <f>+'q25'!$L$8</f>
        <v>1224.7920291855</v>
      </c>
      <c r="N33" s="359">
        <f>+'q25'!$M$8</f>
        <v>1302.5883482423701</v>
      </c>
      <c r="R33" s="334"/>
      <c r="S33" s="359"/>
      <c r="T33" s="359"/>
      <c r="U33" s="359"/>
      <c r="V33" s="359"/>
      <c r="W33" s="359"/>
      <c r="X33" s="359"/>
      <c r="Y33" s="359"/>
      <c r="Z33" s="359"/>
      <c r="AA33" s="359"/>
      <c r="AB33" s="359"/>
      <c r="AC33" s="359"/>
      <c r="BU33" s="334"/>
      <c r="BV33" s="450"/>
      <c r="BW33" s="450"/>
      <c r="BX33" s="450"/>
      <c r="BY33" s="450"/>
      <c r="BZ33" s="450"/>
      <c r="CA33" s="450"/>
      <c r="CB33" s="450"/>
      <c r="CC33" s="450"/>
      <c r="CD33" s="450"/>
      <c r="CE33" s="450"/>
      <c r="CF33" s="450"/>
    </row>
    <row r="34" spans="1:84">
      <c r="A34" s="334"/>
      <c r="B34" t="str">
        <f>+'q25'!$A$33</f>
        <v>D</v>
      </c>
      <c r="C34" t="str">
        <f>+'q25'!$B$33</f>
        <v>Eletr., gás, ág. quente/fria e ar frio</v>
      </c>
      <c r="D34" s="359">
        <f>+'q25'!$C$33</f>
        <v>2770.7704915514601</v>
      </c>
      <c r="E34" s="359">
        <f>+'q25'!$D$33</f>
        <v>2907.09623190711</v>
      </c>
      <c r="F34" s="359">
        <f>+'q25'!$E$33</f>
        <v>2899.0310958904101</v>
      </c>
      <c r="G34" s="359">
        <f>+'q25'!$F$33</f>
        <v>2923.7819224683499</v>
      </c>
      <c r="H34" s="359">
        <f>+'q25'!$G$33</f>
        <v>2941.59584334376</v>
      </c>
      <c r="I34" s="359">
        <f>+'q25'!$H$33</f>
        <v>2914.6664646792001</v>
      </c>
      <c r="J34" s="359">
        <f>+'q25'!$I$33</f>
        <v>2948.54863921077</v>
      </c>
      <c r="K34" s="359">
        <f>+'q25'!$J$33</f>
        <v>2904.2006536050203</v>
      </c>
      <c r="L34" s="359">
        <f>+'q25'!$K$33</f>
        <v>2956.0488095238097</v>
      </c>
      <c r="M34" s="359">
        <f>+'q25'!$L$33</f>
        <v>2965.8420086220704</v>
      </c>
      <c r="N34" s="359">
        <f>+'q25'!$M$33</f>
        <v>3040.8869773462798</v>
      </c>
      <c r="R34" s="334"/>
      <c r="S34" s="359"/>
      <c r="T34" s="359"/>
      <c r="U34" s="359"/>
      <c r="V34" s="359"/>
      <c r="W34" s="359"/>
      <c r="X34" s="359"/>
      <c r="Y34" s="359"/>
      <c r="Z34" s="359"/>
      <c r="AA34" s="359"/>
      <c r="AB34" s="359"/>
      <c r="AC34" s="359"/>
      <c r="BU34" s="334"/>
      <c r="BV34" s="450"/>
      <c r="BW34" s="450"/>
      <c r="BX34" s="450"/>
      <c r="BY34" s="450"/>
      <c r="BZ34" s="450"/>
      <c r="CA34" s="450"/>
      <c r="CB34" s="450"/>
      <c r="CC34" s="450"/>
      <c r="CD34" s="450"/>
      <c r="CE34" s="450"/>
      <c r="CF34" s="450"/>
    </row>
    <row r="35" spans="1:84">
      <c r="A35" s="334"/>
      <c r="B35" t="str">
        <f>+'q25'!$A$34</f>
        <v>E</v>
      </c>
      <c r="C35" t="str">
        <f>+'q25'!$B$34</f>
        <v>Capt., trat. e d. água; san., resíd.</v>
      </c>
      <c r="D35" s="359">
        <f>+'q25'!$C$34</f>
        <v>1089.87289500568</v>
      </c>
      <c r="E35" s="359">
        <f>+'q25'!$D$34</f>
        <v>1084.1670131820501</v>
      </c>
      <c r="F35" s="359">
        <f>+'q25'!$E$34</f>
        <v>1091.92070723591</v>
      </c>
      <c r="G35" s="359">
        <f>+'q25'!$F$34</f>
        <v>1102.67372762646</v>
      </c>
      <c r="H35" s="359">
        <f>+'q25'!$G$34</f>
        <v>1092.50263491393</v>
      </c>
      <c r="I35" s="359">
        <f>+'q25'!$H$34</f>
        <v>1108.53806974232</v>
      </c>
      <c r="J35" s="359">
        <f>+'q25'!$I$34</f>
        <v>1150.6816799391302</v>
      </c>
      <c r="K35" s="359">
        <f>+'q25'!$J$34</f>
        <v>1174.8296254663701</v>
      </c>
      <c r="L35" s="359">
        <f>+'q25'!$K$34</f>
        <v>1204.9030087578901</v>
      </c>
      <c r="M35" s="359">
        <f>+'q25'!$L$34</f>
        <v>1227.2953897540301</v>
      </c>
      <c r="N35" s="359">
        <f>+'q25'!$M$34</f>
        <v>1275.5365974717802</v>
      </c>
      <c r="BU35" s="334"/>
      <c r="BV35" s="450"/>
      <c r="BW35" s="334"/>
      <c r="BX35" s="450"/>
      <c r="BY35" s="450"/>
      <c r="BZ35" s="450"/>
      <c r="CA35" s="450"/>
      <c r="CB35" s="450"/>
      <c r="CC35" s="450"/>
      <c r="CD35" s="450"/>
      <c r="CE35" s="450"/>
      <c r="CF35" s="450"/>
    </row>
    <row r="36" spans="1:84">
      <c r="A36" s="334"/>
      <c r="B36" t="str">
        <f>+'q25'!$A$35</f>
        <v>F</v>
      </c>
      <c r="C36" t="str">
        <f>+'q25'!$B$35</f>
        <v>Construção</v>
      </c>
      <c r="D36" s="359">
        <f>+'q25'!$C$35</f>
        <v>967.12898726268406</v>
      </c>
      <c r="E36" s="359">
        <f>+'q25'!$D$35</f>
        <v>966.06312656998909</v>
      </c>
      <c r="F36" s="359">
        <f>+'q25'!$E$35</f>
        <v>962.22910860194497</v>
      </c>
      <c r="G36" s="359">
        <f>+'q25'!$F$35</f>
        <v>958.60538910976402</v>
      </c>
      <c r="H36" s="359">
        <f>+'q25'!$G$35</f>
        <v>955.52471109637509</v>
      </c>
      <c r="I36" s="359">
        <f>+'q25'!$H$35</f>
        <v>967.03463446110902</v>
      </c>
      <c r="J36" s="359">
        <f>+'q25'!$I$35</f>
        <v>993.17572592162708</v>
      </c>
      <c r="K36" s="359">
        <f>+'q25'!$J$35</f>
        <v>1024.99794319735</v>
      </c>
      <c r="L36" s="359">
        <f>+'q25'!$K$35</f>
        <v>1042.36946738392</v>
      </c>
      <c r="M36" s="359">
        <f>+'q25'!$L$35</f>
        <v>1103.16576996042</v>
      </c>
      <c r="N36" s="359">
        <f>+'q25'!$M$35</f>
        <v>1149.6124082756401</v>
      </c>
    </row>
    <row r="37" spans="1:84" ht="12.75" customHeight="1">
      <c r="A37" s="334"/>
      <c r="B37" t="str">
        <f>+'q25'!$A$36</f>
        <v>G</v>
      </c>
      <c r="C37" t="str">
        <f>+'q25'!$B$36</f>
        <v>Com. grosso e ret.; r.v.aut./moto.</v>
      </c>
      <c r="D37" s="359">
        <f>+'q25'!$C$36</f>
        <v>1015.3315462450399</v>
      </c>
      <c r="E37" s="359">
        <f>+'q25'!$D$36</f>
        <v>1013.45563816727</v>
      </c>
      <c r="F37" s="359">
        <f>+'q25'!$E$36</f>
        <v>1014.14490737853</v>
      </c>
      <c r="G37" s="359">
        <f>+'q25'!$F$36</f>
        <v>1022.0122794384901</v>
      </c>
      <c r="H37" s="359">
        <f>+'q25'!$G$36</f>
        <v>1039.55172346421</v>
      </c>
      <c r="I37" s="359">
        <f>+'q25'!$H$36</f>
        <v>1066.6365917294902</v>
      </c>
      <c r="J37" s="359">
        <f>+'q25'!$I$36</f>
        <v>1099.0321763469101</v>
      </c>
      <c r="K37" s="359">
        <f>+'q25'!$J$36</f>
        <v>1140.3182487568401</v>
      </c>
      <c r="L37" s="359">
        <f>+'q25'!$K$36</f>
        <v>1176.3256930358502</v>
      </c>
      <c r="M37" s="359">
        <f>+'q25'!$L$36</f>
        <v>1224.1700947597201</v>
      </c>
      <c r="N37" s="359">
        <f>+'q25'!$M$36</f>
        <v>1280.54261879503</v>
      </c>
      <c r="BU37" s="335" t="s">
        <v>500</v>
      </c>
      <c r="BZ37" s="354" t="str">
        <f>CONCATENATE("Remunerações - ",BU38,BV38,CHAR(10),BU39," ",BV40,BU41,BV42,BU43,BU44,BU45," ",BV46,BU47,BU48,BU49,CHAR(10),BU50," ",BV51,BU52,BV53,BU54,BU55,BU56," ",BV57,BU58,BU59,BU60)</f>
        <v>Remunerações - 2022:
Base Mulheres = 86,6% da dos Homens (H), entre 84,5% da dos H (Médios) e 91,7% da dos H (Micro).
Ganho Mulheres = 83,8% da dos H, entre 80,9% da dos H (Médios) e 91,0% da dos H (Micro).</v>
      </c>
      <c r="CA37" s="354"/>
      <c r="CB37" s="354"/>
      <c r="CC37" s="354"/>
      <c r="CD37" s="354"/>
      <c r="CE37" s="354"/>
    </row>
    <row r="38" spans="1:84">
      <c r="A38" s="334"/>
      <c r="B38" t="str">
        <f>+'q25'!$A$37</f>
        <v>H</v>
      </c>
      <c r="C38" t="str">
        <f>+'q25'!$B$37</f>
        <v>Transportes e armazenagem</v>
      </c>
      <c r="D38" s="359">
        <f>+'q25'!$C$37</f>
        <v>1345.0375864594002</v>
      </c>
      <c r="E38" s="359">
        <f>+'q25'!$D$37</f>
        <v>1338.08136636621</v>
      </c>
      <c r="F38" s="359">
        <f>+'q25'!$E$37</f>
        <v>1335.4530394670901</v>
      </c>
      <c r="G38" s="359">
        <f>+'q25'!$F$37</f>
        <v>1342.5026202255901</v>
      </c>
      <c r="H38" s="359">
        <f>+'q25'!$G$37</f>
        <v>1359.02162036048</v>
      </c>
      <c r="I38" s="359">
        <f>+'q25'!$H$37</f>
        <v>1384.77090629181</v>
      </c>
      <c r="J38" s="359">
        <f>+'q25'!$I$37</f>
        <v>1425.9495335986801</v>
      </c>
      <c r="K38" s="359">
        <f>+'q25'!$J$37</f>
        <v>1489.52093930565</v>
      </c>
      <c r="L38" s="359">
        <f>+'q25'!$K$37</f>
        <v>1418.67501257139</v>
      </c>
      <c r="M38" s="359">
        <f>+'q25'!$L$37</f>
        <v>1463.6713251307001</v>
      </c>
      <c r="N38" s="359">
        <f>+'q25'!$M$37</f>
        <v>1651.3679565502002</v>
      </c>
      <c r="P38" s="334"/>
      <c r="BU38">
        <f>+$BK$19</f>
        <v>2022</v>
      </c>
      <c r="BV38" s="334" t="s">
        <v>506</v>
      </c>
      <c r="BZ38" s="354"/>
      <c r="CA38" s="354"/>
      <c r="CB38" s="354"/>
      <c r="CC38" s="354"/>
      <c r="CD38" s="354"/>
      <c r="CE38" s="354"/>
    </row>
    <row r="39" spans="1:84">
      <c r="A39" s="334"/>
      <c r="B39" t="str">
        <f>+'q25'!$A$38</f>
        <v>I</v>
      </c>
      <c r="C39" t="str">
        <f>+'q25'!$B$38</f>
        <v>Alojamento, restauração e sim.</v>
      </c>
      <c r="D39" s="359">
        <f>+'q25'!$C$38</f>
        <v>728.49473895673304</v>
      </c>
      <c r="E39" s="359">
        <f>+'q25'!$D$38</f>
        <v>724.30541273132212</v>
      </c>
      <c r="F39" s="359">
        <f>+'q25'!$E$38</f>
        <v>734.04489110133898</v>
      </c>
      <c r="G39" s="359">
        <f>+'q25'!$F$38</f>
        <v>736.79858403781805</v>
      </c>
      <c r="H39" s="359">
        <f>+'q25'!$G$38</f>
        <v>758.99435527316302</v>
      </c>
      <c r="I39" s="359">
        <f>+'q25'!$H$38</f>
        <v>788.28719674680099</v>
      </c>
      <c r="J39" s="359">
        <f>+'q25'!$I$38</f>
        <v>820.22052121490003</v>
      </c>
      <c r="K39" s="359">
        <f>+'q25'!$J$38</f>
        <v>851.314164465261</v>
      </c>
      <c r="L39" s="359">
        <f>+'q25'!$K$38</f>
        <v>858.92963088100407</v>
      </c>
      <c r="M39" s="359">
        <f>+'q25'!$L$38</f>
        <v>913.66424029182906</v>
      </c>
      <c r="N39" s="359">
        <f>+'q25'!$M$38</f>
        <v>977.82250189513604</v>
      </c>
      <c r="Q39" s="334"/>
      <c r="R39" s="334"/>
      <c r="BS39" s="334" t="s">
        <v>503</v>
      </c>
      <c r="BU39" s="334" t="s">
        <v>510</v>
      </c>
      <c r="BZ39" s="354"/>
      <c r="CA39" s="354"/>
      <c r="CB39" s="354"/>
      <c r="CC39" s="354"/>
      <c r="CD39" s="354"/>
      <c r="CE39" s="354"/>
    </row>
    <row r="40" spans="1:84">
      <c r="A40" s="334"/>
      <c r="B40" t="str">
        <f>+'q25'!$A$39</f>
        <v>J</v>
      </c>
      <c r="C40" t="str">
        <f>+'q25'!$B$39</f>
        <v xml:space="preserve">Ativ. Inform. e de comunicação </v>
      </c>
      <c r="D40" s="359">
        <f>+'q25'!$C$39</f>
        <v>1825.52362045876</v>
      </c>
      <c r="E40" s="359">
        <f>+'q25'!$D$39</f>
        <v>1821.2660136136899</v>
      </c>
      <c r="F40" s="359">
        <f>+'q25'!$E$39</f>
        <v>1779.8789245002702</v>
      </c>
      <c r="G40" s="359">
        <f>+'q25'!$F$39</f>
        <v>1770.6816329198703</v>
      </c>
      <c r="H40" s="359">
        <f>+'q25'!$G$39</f>
        <v>1797.9399188126501</v>
      </c>
      <c r="I40" s="359">
        <f>+'q25'!$H$39</f>
        <v>1808.5689214937399</v>
      </c>
      <c r="J40" s="359">
        <f>+'q25'!$I$39</f>
        <v>1867.0555663795303</v>
      </c>
      <c r="K40" s="359">
        <f>+'q25'!$J$39</f>
        <v>1919.5712354874802</v>
      </c>
      <c r="L40" s="359">
        <f>+'q25'!$K$39</f>
        <v>1970.0643236907999</v>
      </c>
      <c r="M40" s="359">
        <f>+'q25'!$L$39</f>
        <v>2046.0881796504</v>
      </c>
      <c r="N40" s="359">
        <f>+'q25'!$M$39</f>
        <v>2222.2609296519304</v>
      </c>
      <c r="Q40" s="334"/>
      <c r="R40" s="334"/>
      <c r="BS40">
        <f>COLUMN(BS21)</f>
        <v>71</v>
      </c>
      <c r="BU40" s="438">
        <f>+$BQ$25</f>
        <v>86.6</v>
      </c>
      <c r="BV40" t="str">
        <f>+TEXT(BU40,"##.###,0")</f>
        <v>86,6</v>
      </c>
      <c r="BZ40" s="354"/>
      <c r="CA40" s="354"/>
      <c r="CB40" s="354"/>
      <c r="CC40" s="354"/>
      <c r="CD40" s="354"/>
      <c r="CE40" s="354"/>
    </row>
    <row r="41" spans="1:84">
      <c r="A41" s="334"/>
      <c r="B41" t="str">
        <f>+'q25'!$A$40</f>
        <v>K</v>
      </c>
      <c r="C41" t="str">
        <f>+'q25'!$B$40</f>
        <v>Ativ. financeiras e de seguros</v>
      </c>
      <c r="D41" s="359">
        <f>+'q25'!$C$40</f>
        <v>2291.7364249070201</v>
      </c>
      <c r="E41" s="359">
        <f>+'q25'!$D$40</f>
        <v>2302.0398946055002</v>
      </c>
      <c r="F41" s="359">
        <f>+'q25'!$E$40</f>
        <v>2312.4883290162397</v>
      </c>
      <c r="G41" s="359">
        <f>+'q25'!$F$40</f>
        <v>2302.1329373065601</v>
      </c>
      <c r="H41" s="359">
        <f>+'q25'!$G$40</f>
        <v>2313.4637807378504</v>
      </c>
      <c r="I41" s="359">
        <f>+'q25'!$H$40</f>
        <v>2305.2142118672296</v>
      </c>
      <c r="J41" s="359">
        <f>+'q25'!$I$40</f>
        <v>2321.4127194346102</v>
      </c>
      <c r="K41" s="359">
        <f>+'q25'!$J$40</f>
        <v>2330.3591765705901</v>
      </c>
      <c r="L41" s="359">
        <f>+'q25'!$K$40</f>
        <v>2366.36621362714</v>
      </c>
      <c r="M41" s="359">
        <f>+'q25'!$L$40</f>
        <v>2374.4118925576204</v>
      </c>
      <c r="N41" s="359">
        <f>+'q25'!$M$40</f>
        <v>2429.0182829891</v>
      </c>
      <c r="Q41" s="334"/>
      <c r="R41" s="334"/>
      <c r="BS41" t="str">
        <f>VLOOKUP(BU42,BQ20:BS25,COLUMN(BS20)-68,0)</f>
        <v>Médios</v>
      </c>
      <c r="BU41" s="334" t="s">
        <v>507</v>
      </c>
      <c r="BZ41" s="354"/>
      <c r="CA41" s="354"/>
      <c r="CB41" s="354"/>
      <c r="CC41" s="354"/>
      <c r="CD41" s="354"/>
      <c r="CE41" s="354"/>
    </row>
    <row r="42" spans="1:84">
      <c r="A42" s="334"/>
      <c r="B42" t="str">
        <f>+'q25'!$A$41</f>
        <v>L</v>
      </c>
      <c r="C42" t="str">
        <f>+'q25'!$B$41</f>
        <v>Atividades imobiliárias</v>
      </c>
      <c r="D42" s="359">
        <f>+'q25'!$C$41</f>
        <v>1107.4774400888698</v>
      </c>
      <c r="E42" s="359">
        <f>+'q25'!$D$41</f>
        <v>1093.47232089371</v>
      </c>
      <c r="F42" s="359">
        <f>+'q25'!$E$41</f>
        <v>1087.2775927305202</v>
      </c>
      <c r="G42" s="359">
        <f>+'q25'!$F$41</f>
        <v>1080.5267512513901</v>
      </c>
      <c r="H42" s="359">
        <f>+'q25'!$G$41</f>
        <v>1101.5687968699101</v>
      </c>
      <c r="I42" s="359">
        <f>+'q25'!$H$41</f>
        <v>1115.00294096896</v>
      </c>
      <c r="J42" s="359">
        <f>+'q25'!$I$41</f>
        <v>1148.1650423773699</v>
      </c>
      <c r="K42" s="359">
        <f>+'q25'!$J$41</f>
        <v>1193.9758254192802</v>
      </c>
      <c r="L42" s="359">
        <f>+'q25'!$K$41</f>
        <v>1237.4717715996101</v>
      </c>
      <c r="M42" s="359">
        <f>+'q25'!$L$41</f>
        <v>1277.4853188275799</v>
      </c>
      <c r="N42" s="359">
        <f>+'q25'!$M$41</f>
        <v>1343.2863293676198</v>
      </c>
      <c r="Q42" s="334"/>
      <c r="R42" s="334"/>
      <c r="BU42">
        <f>+SMALL($BQ$21:$BQ$24,1)</f>
        <v>84.5</v>
      </c>
      <c r="BV42" t="str">
        <f>+TEXT(BU42,"##.###,0")</f>
        <v>84,5</v>
      </c>
      <c r="BZ42" s="354"/>
      <c r="CA42" s="354"/>
      <c r="CB42" s="354"/>
      <c r="CC42" s="354"/>
      <c r="CD42" s="354"/>
      <c r="CE42" s="354"/>
    </row>
    <row r="43" spans="1:84">
      <c r="A43" s="334"/>
      <c r="B43" t="str">
        <f>+'q25'!$A$42</f>
        <v>M</v>
      </c>
      <c r="C43" t="str">
        <f>+'q25'!$B$42</f>
        <v>Ativ. consultoria, cient.,téc. e sim.</v>
      </c>
      <c r="D43" s="359">
        <f>+'q25'!$C$42</f>
        <v>1366.9932704897201</v>
      </c>
      <c r="E43" s="359">
        <f>+'q25'!$D$42</f>
        <v>1357.6907430869301</v>
      </c>
      <c r="F43" s="359">
        <f>+'q25'!$E$42</f>
        <v>1347.8540544699501</v>
      </c>
      <c r="G43" s="359">
        <f>+'q25'!$F$42</f>
        <v>1352.5572876735901</v>
      </c>
      <c r="H43" s="359">
        <f>+'q25'!$G$42</f>
        <v>1358.5760158632702</v>
      </c>
      <c r="I43" s="359">
        <f>+'q25'!$H$42</f>
        <v>1414.0863794018601</v>
      </c>
      <c r="J43" s="359">
        <f>+'q25'!$I$42</f>
        <v>1446.1765328945501</v>
      </c>
      <c r="K43" s="359">
        <f>+'q25'!$J$42</f>
        <v>1498.2458890136202</v>
      </c>
      <c r="L43" s="359">
        <f>+'q25'!$K$42</f>
        <v>1543.3495667438001</v>
      </c>
      <c r="M43" s="359">
        <f>+'q25'!$L$42</f>
        <v>1612.7733123589501</v>
      </c>
      <c r="N43" s="359">
        <f>+'q25'!$M$42</f>
        <v>1708.7518058268201</v>
      </c>
      <c r="Q43" s="334"/>
      <c r="R43" s="334"/>
      <c r="BU43" s="334" t="s">
        <v>508</v>
      </c>
      <c r="BZ43" s="354"/>
      <c r="CA43" s="354"/>
      <c r="CB43" s="354"/>
      <c r="CC43" s="354"/>
      <c r="CD43" s="354"/>
      <c r="CE43" s="354"/>
    </row>
    <row r="44" spans="1:84">
      <c r="A44" s="334"/>
      <c r="B44" t="str">
        <f>+'q25'!$A$43</f>
        <v>N</v>
      </c>
      <c r="C44" t="str">
        <f>+'q25'!$B$43</f>
        <v>Ativ. Adm. e serviços de apoio</v>
      </c>
      <c r="D44" s="359">
        <f>+'q25'!$C$43</f>
        <v>923.59082589062609</v>
      </c>
      <c r="E44" s="359">
        <f>+'q25'!$D$43</f>
        <v>910.68893609215604</v>
      </c>
      <c r="F44" s="359">
        <f>+'q25'!$E$43</f>
        <v>915.76944928420608</v>
      </c>
      <c r="G44" s="359">
        <f>+'q25'!$F$43</f>
        <v>909.36321231429008</v>
      </c>
      <c r="H44" s="359">
        <f>+'q25'!$G$43</f>
        <v>915.80640676465907</v>
      </c>
      <c r="I44" s="359">
        <f>+'q25'!$H$43</f>
        <v>940.16393722782607</v>
      </c>
      <c r="J44" s="359">
        <f>+'q25'!$I$43</f>
        <v>974.19436712806203</v>
      </c>
      <c r="K44" s="359">
        <f>+'q25'!$J$43</f>
        <v>1006.82436356175</v>
      </c>
      <c r="L44" s="359">
        <f>+'q25'!$K$43</f>
        <v>1032.8774176774102</v>
      </c>
      <c r="M44" s="359">
        <f>+'q25'!$L$43</f>
        <v>1086.1392998818501</v>
      </c>
      <c r="N44" s="359">
        <f>+'q25'!$M$43</f>
        <v>1156.5086238350702</v>
      </c>
      <c r="Q44" s="334"/>
      <c r="R44" s="334"/>
      <c r="BU44" t="str">
        <f>VLOOKUP($BU$42,$BQ$20:$BS$25,COLUMN(BS$20)-68,0)</f>
        <v>Médios</v>
      </c>
    </row>
    <row r="45" spans="1:84">
      <c r="A45" s="334"/>
      <c r="B45" t="str">
        <f>+'q25'!$A$44</f>
        <v>O</v>
      </c>
      <c r="C45" t="str">
        <f>+'q25'!$B$44</f>
        <v xml:space="preserve">Adm. Púb. e defesa; seg. social </v>
      </c>
      <c r="D45" s="359">
        <f>+'q25'!$C$44</f>
        <v>1059.88956753302</v>
      </c>
      <c r="E45" s="359">
        <f>+'q25'!$D$44</f>
        <v>1035.19593200087</v>
      </c>
      <c r="F45" s="359">
        <f>+'q25'!$E$44</f>
        <v>1049.32293258192</v>
      </c>
      <c r="G45" s="359">
        <f>+'q25'!$F$44</f>
        <v>1055.0875042247601</v>
      </c>
      <c r="H45" s="359">
        <f>+'q25'!$G$44</f>
        <v>1031.67505197942</v>
      </c>
      <c r="I45" s="359">
        <f>+'q25'!$H$44</f>
        <v>1056.21944589702</v>
      </c>
      <c r="J45" s="359">
        <f>+'q25'!$I$44</f>
        <v>1099.6006488326798</v>
      </c>
      <c r="K45" s="359">
        <f>+'q25'!$J$44</f>
        <v>1161.4557663053802</v>
      </c>
      <c r="L45" s="359">
        <f>+'q25'!$K$44</f>
        <v>1222.7777967502102</v>
      </c>
      <c r="M45" s="359">
        <f>+'q25'!$L$44</f>
        <v>1269.2457733308402</v>
      </c>
      <c r="N45" s="359">
        <f>+'q25'!$M$44</f>
        <v>1293.63158607017</v>
      </c>
      <c r="Q45" s="334"/>
      <c r="R45" s="334"/>
      <c r="BU45" s="334" t="s">
        <v>504</v>
      </c>
    </row>
    <row r="46" spans="1:84">
      <c r="A46" s="334"/>
      <c r="B46" t="str">
        <f>+'q25'!$A$45</f>
        <v>P</v>
      </c>
      <c r="C46" t="str">
        <f>+'q25'!$B$45</f>
        <v>Educação</v>
      </c>
      <c r="D46" s="359">
        <f>+'q25'!$C$45</f>
        <v>1223.50627841954</v>
      </c>
      <c r="E46" s="359">
        <f>+'q25'!$D$45</f>
        <v>1234.62490528838</v>
      </c>
      <c r="F46" s="359">
        <f>+'q25'!$E$45</f>
        <v>1224.4207155769802</v>
      </c>
      <c r="G46" s="359">
        <f>+'q25'!$F$45</f>
        <v>1215.92411337209</v>
      </c>
      <c r="H46" s="359">
        <f>+'q25'!$G$45</f>
        <v>1218.1817671058602</v>
      </c>
      <c r="I46" s="359">
        <f>+'q25'!$H$45</f>
        <v>1243.13067985879</v>
      </c>
      <c r="J46" s="359">
        <f>+'q25'!$I$45</f>
        <v>1272.38788658307</v>
      </c>
      <c r="K46" s="359">
        <f>+'q25'!$J$45</f>
        <v>1336.3514178534801</v>
      </c>
      <c r="L46" s="359">
        <f>+'q25'!$K$45</f>
        <v>1375.0805769564502</v>
      </c>
      <c r="M46" s="359">
        <f>+'q25'!$L$45</f>
        <v>1415.0812555304901</v>
      </c>
      <c r="N46" s="359">
        <f>+'q25'!$M$45</f>
        <v>1477.6246249844801</v>
      </c>
      <c r="Q46" s="334"/>
      <c r="R46" s="334"/>
      <c r="BU46">
        <f>+LARGE($BQ$21:$BQ$24,1)</f>
        <v>91.7</v>
      </c>
      <c r="BV46" t="str">
        <f>+TEXT(BU46,"##.###,0")</f>
        <v>91,7</v>
      </c>
    </row>
    <row r="47" spans="1:84">
      <c r="A47" s="334"/>
      <c r="B47" t="str">
        <f>+'q25'!$A$46</f>
        <v>Q</v>
      </c>
      <c r="C47" t="str">
        <f>+'q25'!$B$46</f>
        <v>Ativ. saúde humana e apoio social</v>
      </c>
      <c r="D47" s="359">
        <f>+'q25'!$C$46</f>
        <v>944.07356880845805</v>
      </c>
      <c r="E47" s="359">
        <f>+'q25'!$D$46</f>
        <v>943.7641772179461</v>
      </c>
      <c r="F47" s="359">
        <f>+'q25'!$E$46</f>
        <v>941.14137819980408</v>
      </c>
      <c r="G47" s="359">
        <f>+'q25'!$F$46</f>
        <v>957.94542332007711</v>
      </c>
      <c r="H47" s="359">
        <f>+'q25'!$G$46</f>
        <v>977.40702239840505</v>
      </c>
      <c r="I47" s="359">
        <f>+'q25'!$H$46</f>
        <v>1008.96832155377</v>
      </c>
      <c r="J47" s="359">
        <f>+'q25'!$I$46</f>
        <v>1045.1200221992101</v>
      </c>
      <c r="K47" s="359">
        <f>+'q25'!$J$46</f>
        <v>1088.3376098952101</v>
      </c>
      <c r="L47" s="359">
        <f>+'q25'!$K$46</f>
        <v>1112.4913787528703</v>
      </c>
      <c r="M47" s="359">
        <f>+'q25'!$L$46</f>
        <v>1148.8005320596101</v>
      </c>
      <c r="N47" s="359">
        <f>+'q25'!$M$46</f>
        <v>1186.79376339175</v>
      </c>
      <c r="BU47" s="334" t="s">
        <v>508</v>
      </c>
    </row>
    <row r="48" spans="1:84">
      <c r="A48" s="334"/>
      <c r="B48" t="str">
        <f>+'q25'!$A$47</f>
        <v>R</v>
      </c>
      <c r="C48" t="str">
        <f>+'q25'!$B$47</f>
        <v>Ativ. artíst., espet., desp. e recr.</v>
      </c>
      <c r="D48" s="359">
        <f>+'q25'!$C$47</f>
        <v>1684.0991619423203</v>
      </c>
      <c r="E48" s="359">
        <f>+'q25'!$D$47</f>
        <v>1635.4713886168902</v>
      </c>
      <c r="F48" s="359">
        <f>+'q25'!$E$47</f>
        <v>1556.90374676334</v>
      </c>
      <c r="G48" s="359">
        <f>+'q25'!$F$47</f>
        <v>1683.8955504211501</v>
      </c>
      <c r="H48" s="359">
        <f>+'q25'!$G$47</f>
        <v>1710.9559155008103</v>
      </c>
      <c r="I48" s="359">
        <f>+'q25'!$H$47</f>
        <v>1798.9739390826401</v>
      </c>
      <c r="J48" s="359">
        <f>+'q25'!$I$47</f>
        <v>1800.7592513977104</v>
      </c>
      <c r="K48" s="359">
        <f>+'q25'!$J$47</f>
        <v>1856.5493808146002</v>
      </c>
      <c r="L48" s="359">
        <f>+'q25'!$K$47</f>
        <v>2043.8203294056002</v>
      </c>
      <c r="M48" s="359">
        <f>+'q25'!$L$47</f>
        <v>1981.6714508229302</v>
      </c>
      <c r="N48" s="359">
        <f>+'q25'!$M$47</f>
        <v>2006.93050921396</v>
      </c>
      <c r="BU48" t="str">
        <f>VLOOKUP($BU$46,$BQ$20:$BS$24,COLUMN(BS$20)-68,0)</f>
        <v>Micro</v>
      </c>
    </row>
    <row r="49" spans="1:74">
      <c r="A49" s="334"/>
      <c r="B49" t="str">
        <f>+'q25'!$A$48</f>
        <v>S</v>
      </c>
      <c r="C49" t="str">
        <f>+'q25'!$B$48</f>
        <v>Outras atividades de serviços</v>
      </c>
      <c r="D49" s="359">
        <f>+'q25'!$C$48</f>
        <v>951.27112535612503</v>
      </c>
      <c r="E49" s="359">
        <f>+'q25'!$D$48</f>
        <v>950.58962862016904</v>
      </c>
      <c r="F49" s="359">
        <f>+'q25'!$E$48</f>
        <v>957.11467633754501</v>
      </c>
      <c r="G49" s="359">
        <f>+'q25'!$F$48</f>
        <v>956.51286606523206</v>
      </c>
      <c r="H49" s="359">
        <f>+'q25'!$G$48</f>
        <v>964.6995149163231</v>
      </c>
      <c r="I49" s="359">
        <f>+'q25'!$H$48</f>
        <v>994.49167119738411</v>
      </c>
      <c r="J49" s="359">
        <f>+'q25'!$I$48</f>
        <v>1024.0020301716199</v>
      </c>
      <c r="K49" s="359">
        <f>+'q25'!$J$48</f>
        <v>1057.86755720325</v>
      </c>
      <c r="L49" s="359">
        <f>+'q25'!$K$48</f>
        <v>1115.8772046698602</v>
      </c>
      <c r="M49" s="359">
        <f>+'q25'!$L$48</f>
        <v>1140.1985733070298</v>
      </c>
      <c r="N49" s="359">
        <f>+'q25'!$M$48</f>
        <v>1185.85793238305</v>
      </c>
      <c r="BU49" s="334" t="s">
        <v>505</v>
      </c>
    </row>
    <row r="50" spans="1:74">
      <c r="A50" s="334"/>
      <c r="B50" t="str">
        <f>+'q25'!$A$49</f>
        <v>U</v>
      </c>
      <c r="C50" t="str">
        <f>+'q25'!$B$49</f>
        <v>Ativ. org. int. e o. inst. extra-territ.</v>
      </c>
      <c r="D50" s="359">
        <f>+'q25'!$C$49</f>
        <v>2095.20644444444</v>
      </c>
      <c r="E50" s="359">
        <f>+'q25'!$D$49</f>
        <v>1896.4293055555599</v>
      </c>
      <c r="F50" s="359">
        <f>+'q25'!$E$49</f>
        <v>1860.1865384615401</v>
      </c>
      <c r="G50" s="359">
        <f>+'q25'!$F$49</f>
        <v>2012.884</v>
      </c>
      <c r="H50" s="359">
        <f>+'q25'!$G$49</f>
        <v>2228.1706451612899</v>
      </c>
      <c r="I50" s="359">
        <f>+'q25'!$H$49</f>
        <v>2104.8762195122004</v>
      </c>
      <c r="J50" s="359">
        <f>+'q25'!$I$49</f>
        <v>2323.98544444444</v>
      </c>
      <c r="K50" s="359">
        <f>+'q25'!$J$49</f>
        <v>2299.36</v>
      </c>
      <c r="L50" s="359">
        <f>+'q25'!$K$49</f>
        <v>2045.6536363636401</v>
      </c>
      <c r="M50" s="359">
        <f>+'q25'!$L$49</f>
        <v>1997.503125</v>
      </c>
      <c r="N50" s="359">
        <f>+'q25'!$M$49</f>
        <v>3245.8867521367501</v>
      </c>
      <c r="Q50" s="333" t="s">
        <v>340</v>
      </c>
      <c r="S50" s="335">
        <f>+D6</f>
        <v>2012</v>
      </c>
      <c r="T50" s="335">
        <f t="shared" ref="T50:AC50" si="7">+E6</f>
        <v>2013</v>
      </c>
      <c r="U50" s="335">
        <f t="shared" si="7"/>
        <v>2014</v>
      </c>
      <c r="V50" s="335">
        <f t="shared" si="7"/>
        <v>2015</v>
      </c>
      <c r="W50" s="335">
        <f t="shared" si="7"/>
        <v>2016</v>
      </c>
      <c r="X50" s="335">
        <f t="shared" si="7"/>
        <v>2017</v>
      </c>
      <c r="Y50" s="335">
        <f t="shared" si="7"/>
        <v>2018</v>
      </c>
      <c r="Z50" s="335">
        <f t="shared" si="7"/>
        <v>2019</v>
      </c>
      <c r="AA50" s="335">
        <f t="shared" si="7"/>
        <v>2020</v>
      </c>
      <c r="AB50" s="335">
        <f t="shared" si="7"/>
        <v>2021</v>
      </c>
      <c r="AC50" s="335">
        <f t="shared" si="7"/>
        <v>2022</v>
      </c>
      <c r="BU50" s="334" t="s">
        <v>511</v>
      </c>
    </row>
    <row r="51" spans="1:74">
      <c r="A51" s="334"/>
      <c r="B51" s="334" t="s">
        <v>283</v>
      </c>
      <c r="C51" s="334"/>
      <c r="D51" s="359">
        <f>+(q26_Aux!$R$8+q26_Aux!$R$11)/(q11a!$C$8+q11a!$C$11)</f>
        <v>874.4088640110333</v>
      </c>
      <c r="E51" s="359">
        <f>+(q26_Aux!$S$8+q26_Aux!$S$11)/(q11a!$D$8+q11a!$D$11)</f>
        <v>871.09488801635575</v>
      </c>
      <c r="F51" s="359">
        <f>+(q26_Aux!$T$8+q26_Aux!$T$11)/(q11a!$E$8+q11a!$E$11)</f>
        <v>874.37519607753302</v>
      </c>
      <c r="G51" s="359">
        <f>+(q26_Aux!$U$8+q26_Aux!$U$11)/(q11a!$F$8+q11a!$F$11)</f>
        <v>869.15989072939612</v>
      </c>
      <c r="H51" s="359">
        <f>+(q26_Aux!$V$8+q26_Aux!$V$11)/(q11a!$G$8+q11a!$G$11)</f>
        <v>881.40256963178547</v>
      </c>
      <c r="I51" s="359">
        <f>+(q26_Aux!$W$8+q26_Aux!$W$11)/(q11a!$H$8+q11a!$H$11)</f>
        <v>903.88500110214306</v>
      </c>
      <c r="J51" s="359">
        <f>+(q26_Aux!$X$8+q26_Aux!$X$11)/(q11a!$I$8+q11a!$I$11)</f>
        <v>932.68739452465616</v>
      </c>
      <c r="K51" s="359">
        <f>+(q26_Aux!$Y$8+q26_Aux!$Y$11)/(q11a!$J$8+q11a!$J$11)</f>
        <v>964.75873486930425</v>
      </c>
      <c r="L51" s="359">
        <f>+(q26_Aux!$Z$8+q26_Aux!$Z$11)/(q11a!$K$8+q11a!$K$11)</f>
        <v>1001.1682751358071</v>
      </c>
      <c r="M51" s="359">
        <f>+(q26_Aux!$AA$8+q26_Aux!$AA$11)/(q11a!$L$8+q11a!$L$11)</f>
        <v>1037.9321989118446</v>
      </c>
      <c r="N51" s="359">
        <f>+(q26_Aux!$AB$8+q26_Aux!$AB$11)/(q11a!$M$8+q11a!$M$11)</f>
        <v>1089.0304473444785</v>
      </c>
      <c r="R51" s="334" t="str">
        <f>+B27</f>
        <v>Micro (1-9 pessoas)</v>
      </c>
      <c r="S51" s="359">
        <f>+D27</f>
        <v>743.58292049621616</v>
      </c>
      <c r="T51" s="359">
        <f t="shared" ref="T51:AB51" si="8">+E27</f>
        <v>740.81113427879666</v>
      </c>
      <c r="U51" s="359">
        <f t="shared" si="8"/>
        <v>743.1896559413243</v>
      </c>
      <c r="V51" s="359">
        <f t="shared" si="8"/>
        <v>741.72346108913666</v>
      </c>
      <c r="W51" s="359">
        <f t="shared" si="8"/>
        <v>755.98997789720329</v>
      </c>
      <c r="X51" s="359">
        <f t="shared" si="8"/>
        <v>774.5510595915548</v>
      </c>
      <c r="Y51" s="359">
        <f t="shared" si="8"/>
        <v>798.39362542964363</v>
      </c>
      <c r="Z51" s="359">
        <f t="shared" si="8"/>
        <v>825.35989397402784</v>
      </c>
      <c r="AA51" s="359">
        <f t="shared" si="8"/>
        <v>862.12708824020444</v>
      </c>
      <c r="AB51" s="359">
        <f t="shared" si="8"/>
        <v>897.66026872455643</v>
      </c>
      <c r="AC51" s="359">
        <f>+N27</f>
        <v>944.24478854155598</v>
      </c>
      <c r="AE51" s="359">
        <f>+(AC51/S51-1)*100</f>
        <v>26.985809183383601</v>
      </c>
      <c r="BU51" s="438">
        <f>+$BR$25</f>
        <v>83.8</v>
      </c>
      <c r="BV51" t="str">
        <f>+TEXT(BU51,"##.###,0")</f>
        <v>83,8</v>
      </c>
    </row>
    <row r="52" spans="1:74">
      <c r="A52" s="334"/>
      <c r="B52" s="334" t="s">
        <v>543</v>
      </c>
      <c r="C52" s="334"/>
      <c r="D52" s="359">
        <f>+(q26_Aux!$R$14+q26_Aux!$R$17)/(q11a!$C$14+q11a!$C$17)</f>
        <v>1044.3186456182934</v>
      </c>
      <c r="E52" s="359">
        <f>+(q26_Aux!$S$14+q26_Aux!$S$17)/(q11a!$D$14+q11a!$D$17)</f>
        <v>1040.4937004689864</v>
      </c>
      <c r="F52" s="359">
        <f>+(q26_Aux!$T$14+q26_Aux!$T$17)/(q11a!$E$14+q11a!$E$17)</f>
        <v>1038.4259368086427</v>
      </c>
      <c r="G52" s="359">
        <f>+(q26_Aux!$U$14+q26_Aux!$U$17)/(q11a!$F$14+q11a!$F$17)</f>
        <v>1036.736388496523</v>
      </c>
      <c r="H52" s="359">
        <f>+(q26_Aux!$V$14+q26_Aux!$V$17)/(q11a!$G$14+q11a!$G$17)</f>
        <v>1041.9235729286365</v>
      </c>
      <c r="I52" s="359">
        <f>+(q26_Aux!$W$14+q26_Aux!$W$17)/(q11a!$H$14+q11a!$H$17)</f>
        <v>1063.0813478083085</v>
      </c>
      <c r="J52" s="359">
        <f>+(q26_Aux!$X$14+q26_Aux!$X$17)/(q11a!$I$14+q11a!$I$17)</f>
        <v>1093.0957187514737</v>
      </c>
      <c r="K52" s="359">
        <f>+(q26_Aux!$Y$14+q26_Aux!$Y$17)/(q11a!$J$14+q11a!$J$17)</f>
        <v>1128.5558181957092</v>
      </c>
      <c r="L52" s="359">
        <f>+(q26_Aux!$Z$14+q26_Aux!$Z$17)/(q11a!$K$14+q11a!$K$17)</f>
        <v>1173.352663927217</v>
      </c>
      <c r="M52" s="359">
        <f>+(q26_Aux!$AA$14+q26_Aux!$AA$17)/(q11a!$L$14+q11a!$L$17)</f>
        <v>1209.6495593610559</v>
      </c>
      <c r="N52" s="359">
        <f>+(q26_Aux!$AB$14+q26_Aux!$AB$17)/(q11a!$M$14+q11a!$M$17)</f>
        <v>1263.2454325719268</v>
      </c>
      <c r="Q52" s="354"/>
      <c r="R52" s="334" t="str">
        <f t="shared" ref="R52:R54" si="9">+B28</f>
        <v>Pequenos (10 - 49 pessoas)</v>
      </c>
      <c r="S52" s="359">
        <f t="shared" ref="S52:S54" si="10">+D28</f>
        <v>886.03413030358979</v>
      </c>
      <c r="T52" s="359">
        <f t="shared" ref="T52:T54" si="11">+E28</f>
        <v>880.69844559663761</v>
      </c>
      <c r="U52" s="359">
        <f t="shared" ref="U52:U54" si="12">+F28</f>
        <v>875.5270905585777</v>
      </c>
      <c r="V52" s="359">
        <f t="shared" ref="V52:V54" si="13">+G28</f>
        <v>876.08013653293108</v>
      </c>
      <c r="W52" s="359">
        <f t="shared" ref="W52:W54" si="14">+H28</f>
        <v>882.80530988207897</v>
      </c>
      <c r="X52" s="359">
        <f t="shared" ref="X52:X54" si="15">+I28</f>
        <v>896.4722523640778</v>
      </c>
      <c r="Y52" s="359">
        <f t="shared" ref="Y52:Y54" si="16">+J28</f>
        <v>919.58524604114712</v>
      </c>
      <c r="Z52" s="359">
        <f t="shared" ref="Z52:Z54" si="17">+K28</f>
        <v>948.36081891733545</v>
      </c>
      <c r="AA52" s="359">
        <f t="shared" ref="AA52:AA54" si="18">+L28</f>
        <v>989.62749356880101</v>
      </c>
      <c r="AB52" s="359">
        <f t="shared" ref="AB52:AC54" si="19">+M28</f>
        <v>1024.3181100472259</v>
      </c>
      <c r="AC52" s="359">
        <f t="shared" si="19"/>
        <v>1070.1151648546956</v>
      </c>
      <c r="AE52" s="359">
        <f t="shared" ref="AE52:AE54" si="20">+(AC52/S52-1)*100</f>
        <v>20.775840146026049</v>
      </c>
      <c r="BU52" s="334" t="s">
        <v>509</v>
      </c>
    </row>
    <row r="53" spans="1:74">
      <c r="A53" s="334"/>
      <c r="B53" s="334" t="s">
        <v>544</v>
      </c>
      <c r="C53" s="334"/>
      <c r="D53" s="359">
        <f>+(q26_Aux!$R$20+q26_Aux!$R$23+q26_Aux!$R$26+q26_Aux!$R$29)/(q11a!$C$20+q11a!$C$23+q11a!$C$26+q11a!$C$29)</f>
        <v>1261.0248521291974</v>
      </c>
      <c r="E53" s="359">
        <f>+(q26_Aux!$S$20+q26_Aux!$S$23+q26_Aux!$S$26+q26_Aux!$S$29)/(q11a!$D$20+q11a!$D$23+q11a!$D$26+q11a!$D$29)</f>
        <v>1260.63205969605</v>
      </c>
      <c r="F53" s="359">
        <f>+(q26_Aux!$T$20+q26_Aux!$T$23+q26_Aux!$T$26+q26_Aux!$T$29)/(q11a!$E$20+q11a!$E$23+q11a!$E$26+q11a!$E$29)</f>
        <v>1253.7793883565216</v>
      </c>
      <c r="G53" s="359">
        <f>+(q26_Aux!$U$20+q26_Aux!$U$23+q26_Aux!$U$26+q26_Aux!$U$29)/(q11a!$F$20+q11a!$F$23+q11a!$F$26+q11a!$F$29)</f>
        <v>1264.2648494931959</v>
      </c>
      <c r="H53" s="359">
        <f>+(q26_Aux!$V$20+q26_Aux!$V$23+q26_Aux!$V$26+q26_Aux!$V$29)/(q11a!$G$20+q11a!$G$23+q11a!$G$26+q11a!$G$29)</f>
        <v>1269.8240128498057</v>
      </c>
      <c r="I53" s="359">
        <f>+(q26_Aux!$W$20+q26_Aux!$W$23+q26_Aux!$W$26+q26_Aux!$W$29)/(q11a!$H$20+q11a!$H$23+q11a!$H$26+q11a!$H$29)</f>
        <v>1290.1473252698147</v>
      </c>
      <c r="J53" s="359">
        <f>+(q26_Aux!$X$20+q26_Aux!$X$23+q26_Aux!$X$26+q26_Aux!$X$29)/(q11a!$I$20+q11a!$I$23+q11a!$I$26+q11a!$I$29)</f>
        <v>1326.6959033790447</v>
      </c>
      <c r="K53" s="359">
        <f>+(q26_Aux!$Y$20+q26_Aux!$Y$23+q26_Aux!$Y$26+q26_Aux!$Y$29)/(q11a!$J$20+q11a!$J$23+q11a!$J$26+q11a!$J$29)</f>
        <v>1354.8206728114872</v>
      </c>
      <c r="L53" s="359">
        <f>+(q26_Aux!$Z$20+q26_Aux!$Z$23+q26_Aux!$Z$26+q26_Aux!$Z$29)/(q11a!$K$20+q11a!$K$23+q11a!$K$26+q11a!$K$29)</f>
        <v>1408.3636674412585</v>
      </c>
      <c r="M53" s="359">
        <f>+(q26_Aux!$AA$20+q26_Aux!$AA$23+q26_Aux!$AA$26+q26_Aux!$AA$29)/(q11a!$L$20+q11a!$L$23+q11a!$L$26+q11a!$L$29)</f>
        <v>1440.2830030357516</v>
      </c>
      <c r="N53" s="359">
        <f>+(q26_Aux!$AB$20+q26_Aux!$AB$23+q26_Aux!$AB$26+q26_Aux!$AB$29)/(q11a!$M$20+q11a!$M$23+q11a!$M$26+q11a!$M$29)</f>
        <v>1512.9005996272995</v>
      </c>
      <c r="Q53" s="354"/>
      <c r="R53" s="334" t="str">
        <f t="shared" si="9"/>
        <v>Médios (50 - 249 pessoas)</v>
      </c>
      <c r="S53" s="359">
        <f t="shared" si="10"/>
        <v>1049.3663383300029</v>
      </c>
      <c r="T53" s="359">
        <f t="shared" si="11"/>
        <v>1042.7234273191029</v>
      </c>
      <c r="U53" s="359">
        <f t="shared" si="12"/>
        <v>1033.4462446703631</v>
      </c>
      <c r="V53" s="359">
        <f t="shared" si="13"/>
        <v>1043.9948238642926</v>
      </c>
      <c r="W53" s="359">
        <f t="shared" si="14"/>
        <v>1048.9024058545212</v>
      </c>
      <c r="X53" s="359">
        <f t="shared" si="15"/>
        <v>1063.2205857493338</v>
      </c>
      <c r="Y53" s="359">
        <f t="shared" si="16"/>
        <v>1090.6277371485573</v>
      </c>
      <c r="Z53" s="359">
        <f t="shared" si="17"/>
        <v>1118.9973468408616</v>
      </c>
      <c r="AA53" s="359">
        <f t="shared" si="18"/>
        <v>1164.7308444214914</v>
      </c>
      <c r="AB53" s="359">
        <f t="shared" si="19"/>
        <v>1194.2578287563724</v>
      </c>
      <c r="AC53" s="359">
        <f t="shared" ref="AC53:AC54" si="21">+N29</f>
        <v>1252.1737579991295</v>
      </c>
      <c r="AE53" s="359">
        <f t="shared" si="20"/>
        <v>19.326655740823661</v>
      </c>
      <c r="BU53">
        <f>+SMALL($BR$21:$BR$24,1)</f>
        <v>80.900000000000006</v>
      </c>
      <c r="BV53" t="str">
        <f>+TEXT(BU53,"##.###,0")</f>
        <v>80,9</v>
      </c>
    </row>
    <row r="54" spans="1:74">
      <c r="A54" s="334"/>
      <c r="B54" s="334" t="s">
        <v>292</v>
      </c>
      <c r="C54" s="334"/>
      <c r="D54" s="359">
        <f>+(q26_Aux!$R$32+q26_Aux!$R$35+q26_Aux!$R$38)/(q11a!$C$32+q11a!$C$35+q11a!$C$38)</f>
        <v>1363.1977115259285</v>
      </c>
      <c r="E54" s="359">
        <f>+(q26_Aux!$S$32+q26_Aux!$S$35+q26_Aux!$S$38)/(q11a!$D$32+q11a!$D$35+q11a!$D$38)</f>
        <v>1348.800240174025</v>
      </c>
      <c r="F54" s="359">
        <f>+(q26_Aux!$T$32+q26_Aux!$T$35+q26_Aux!$T$38)/(q11a!$E$32+q11a!$E$35+q11a!$E$38)</f>
        <v>1348.2678684968982</v>
      </c>
      <c r="G54" s="359">
        <f>+(q26_Aux!$U$32+q26_Aux!$U$35+q26_Aux!$U$38)/(q11a!$F$32+q11a!$F$35+q11a!$F$38)</f>
        <v>1352.765925358432</v>
      </c>
      <c r="H54" s="359">
        <f>+(q26_Aux!$V$32+q26_Aux!$V$35+q26_Aux!$V$38)/(q11a!$G$32+q11a!$G$35+q11a!$G$38)</f>
        <v>1370.865716156547</v>
      </c>
      <c r="I54" s="359">
        <f>+(q26_Aux!$W$32+q26_Aux!$W$35+q26_Aux!$W$38)/(q11a!$H$32+q11a!$H$35+q11a!$H$38)</f>
        <v>1393.1674963357668</v>
      </c>
      <c r="J54" s="359">
        <f>+(q26_Aux!$X$32+q26_Aux!$X$35+q26_Aux!$X$38)/(q11a!$I$32+q11a!$I$35+q11a!$I$38)</f>
        <v>1439.2990998706205</v>
      </c>
      <c r="K54" s="359">
        <f>+(q26_Aux!$Y$32+q26_Aux!$Y$35+q26_Aux!$Y$38)/(q11a!$J$32+q11a!$J$35+q11a!$J$38)</f>
        <v>1487.6118355479396</v>
      </c>
      <c r="L54" s="359">
        <f>+(q26_Aux!$Z$32+q26_Aux!$Z$35+q26_Aux!$Z$38)/(q11a!$K$32+q11a!$K$35+q11a!$K$38)</f>
        <v>1503.5195097934022</v>
      </c>
      <c r="M54" s="359">
        <f>+(q26_Aux!$AA$32+q26_Aux!$AA$35+q26_Aux!$AA$38)/(q11a!$L$32+q11a!$L$35+q11a!$L$38)</f>
        <v>1578.7347895211078</v>
      </c>
      <c r="N54" s="359">
        <f>+(q26_Aux!$AB$32+q26_Aux!$AB$35+q26_Aux!$AB$38)/(q11a!$M$32+q11a!$M$35+q11a!$M$38)</f>
        <v>1692.5269783798362</v>
      </c>
      <c r="Q54" s="354"/>
      <c r="R54" s="334" t="str">
        <f t="shared" si="9"/>
        <v>Grandes (250 ou + pessoas)</v>
      </c>
      <c r="S54" s="359">
        <f t="shared" si="10"/>
        <v>1091.4436407693956</v>
      </c>
      <c r="T54" s="359">
        <f t="shared" si="11"/>
        <v>1086.3858777541591</v>
      </c>
      <c r="U54" s="359">
        <f t="shared" si="12"/>
        <v>1085.2273360912188</v>
      </c>
      <c r="V54" s="359">
        <f t="shared" si="13"/>
        <v>1088.7322217053959</v>
      </c>
      <c r="W54" s="359">
        <f t="shared" si="14"/>
        <v>1103.3644691262884</v>
      </c>
      <c r="X54" s="359">
        <f t="shared" si="15"/>
        <v>1117.6163821959772</v>
      </c>
      <c r="Y54" s="359">
        <f t="shared" si="16"/>
        <v>1146.9318293946403</v>
      </c>
      <c r="Z54" s="359">
        <f t="shared" si="17"/>
        <v>1193.8097437693536</v>
      </c>
      <c r="AA54" s="359">
        <f t="shared" si="18"/>
        <v>1207.2450165587788</v>
      </c>
      <c r="AB54" s="359">
        <f t="shared" si="19"/>
        <v>1276.5702814511374</v>
      </c>
      <c r="AC54" s="359">
        <f t="shared" si="21"/>
        <v>1366.1708828126364</v>
      </c>
      <c r="AE54" s="359">
        <f t="shared" si="20"/>
        <v>25.170996630625496</v>
      </c>
      <c r="BU54" s="334" t="s">
        <v>508</v>
      </c>
    </row>
    <row r="55" spans="1:74">
      <c r="Q55" s="333"/>
      <c r="R55" s="334"/>
      <c r="BU55" t="str">
        <f>VLOOKUP($BU$53,$BR$20:$BS$25,COLUMN(BS$20)-69,0)</f>
        <v>Médios</v>
      </c>
    </row>
    <row r="56" spans="1:74">
      <c r="N56" s="442"/>
      <c r="Q56" s="354"/>
      <c r="R56" s="334"/>
      <c r="BU56" s="334" t="s">
        <v>504</v>
      </c>
    </row>
    <row r="57" spans="1:74">
      <c r="N57" s="442"/>
      <c r="Q57" s="354"/>
      <c r="R57" s="334"/>
      <c r="BU57">
        <f>+LARGE($BR$21:$BR$24,1)</f>
        <v>91</v>
      </c>
      <c r="BV57" t="str">
        <f>+TEXT(BU57,"##.###,0")</f>
        <v>91,0</v>
      </c>
    </row>
    <row r="58" spans="1:74">
      <c r="Q58" s="333" t="s">
        <v>341</v>
      </c>
      <c r="S58" s="335">
        <f>+S50</f>
        <v>2012</v>
      </c>
      <c r="T58" s="335">
        <f t="shared" ref="T58:AC58" si="22">+T50</f>
        <v>2013</v>
      </c>
      <c r="U58" s="335">
        <f t="shared" si="22"/>
        <v>2014</v>
      </c>
      <c r="V58" s="335">
        <f t="shared" si="22"/>
        <v>2015</v>
      </c>
      <c r="W58" s="335">
        <f t="shared" si="22"/>
        <v>2016</v>
      </c>
      <c r="X58" s="335">
        <f t="shared" si="22"/>
        <v>2017</v>
      </c>
      <c r="Y58" s="335">
        <f t="shared" si="22"/>
        <v>2018</v>
      </c>
      <c r="Z58" s="335">
        <f t="shared" si="22"/>
        <v>2019</v>
      </c>
      <c r="AA58" s="335">
        <f t="shared" si="22"/>
        <v>2020</v>
      </c>
      <c r="AB58" s="335">
        <f t="shared" si="22"/>
        <v>2021</v>
      </c>
      <c r="AC58" s="335">
        <f t="shared" si="22"/>
        <v>2022</v>
      </c>
      <c r="BU58" s="334" t="s">
        <v>508</v>
      </c>
    </row>
    <row r="59" spans="1:74">
      <c r="R59" s="334" t="str">
        <f>+B51</f>
        <v>Micro (1-9 pessoas)</v>
      </c>
      <c r="S59" s="359">
        <f>+D51</f>
        <v>874.4088640110333</v>
      </c>
      <c r="T59" s="359">
        <f t="shared" ref="T59:AC59" si="23">+E51</f>
        <v>871.09488801635575</v>
      </c>
      <c r="U59" s="359">
        <f t="shared" si="23"/>
        <v>874.37519607753302</v>
      </c>
      <c r="V59" s="359">
        <f t="shared" si="23"/>
        <v>869.15989072939612</v>
      </c>
      <c r="W59" s="359">
        <f t="shared" si="23"/>
        <v>881.40256963178547</v>
      </c>
      <c r="X59" s="359">
        <f t="shared" si="23"/>
        <v>903.88500110214306</v>
      </c>
      <c r="Y59" s="359">
        <f t="shared" si="23"/>
        <v>932.68739452465616</v>
      </c>
      <c r="Z59" s="359">
        <f t="shared" si="23"/>
        <v>964.75873486930425</v>
      </c>
      <c r="AA59" s="359">
        <f t="shared" si="23"/>
        <v>1001.1682751358071</v>
      </c>
      <c r="AB59" s="359">
        <f t="shared" si="23"/>
        <v>1037.9321989118446</v>
      </c>
      <c r="AC59" s="359">
        <f t="shared" si="23"/>
        <v>1089.0304473444785</v>
      </c>
      <c r="AE59" s="359">
        <f>+(AC59/S59-1)*100</f>
        <v>24.544763001251681</v>
      </c>
      <c r="BU59" t="str">
        <f>VLOOKUP($BU$57,$BR$20:$BS$24,COLUMN(BS$20)-69,0)</f>
        <v>Micro</v>
      </c>
    </row>
    <row r="60" spans="1:74">
      <c r="Q60" s="354"/>
      <c r="R60" s="334" t="str">
        <f t="shared" ref="R60:R62" si="24">+B52</f>
        <v>Pequenos (10 - 49 pessoas)</v>
      </c>
      <c r="S60" s="359">
        <f t="shared" ref="S60:S62" si="25">+D52</f>
        <v>1044.3186456182934</v>
      </c>
      <c r="T60" s="359">
        <f t="shared" ref="T60:T62" si="26">+E52</f>
        <v>1040.4937004689864</v>
      </c>
      <c r="U60" s="359">
        <f t="shared" ref="U60:U62" si="27">+F52</f>
        <v>1038.4259368086427</v>
      </c>
      <c r="V60" s="359">
        <f t="shared" ref="V60:V62" si="28">+G52</f>
        <v>1036.736388496523</v>
      </c>
      <c r="W60" s="359">
        <f t="shared" ref="W60:W62" si="29">+H52</f>
        <v>1041.9235729286365</v>
      </c>
      <c r="X60" s="359">
        <f t="shared" ref="X60:X62" si="30">+I52</f>
        <v>1063.0813478083085</v>
      </c>
      <c r="Y60" s="359">
        <f t="shared" ref="Y60:Y62" si="31">+J52</f>
        <v>1093.0957187514737</v>
      </c>
      <c r="Z60" s="359">
        <f t="shared" ref="Z60:Z62" si="32">+K52</f>
        <v>1128.5558181957092</v>
      </c>
      <c r="AA60" s="359">
        <f t="shared" ref="AA60:AA62" si="33">+L52</f>
        <v>1173.352663927217</v>
      </c>
      <c r="AB60" s="359">
        <f t="shared" ref="AB60:AB62" si="34">+M52</f>
        <v>1209.6495593610559</v>
      </c>
      <c r="AC60" s="359">
        <f t="shared" ref="AC60:AC62" si="35">+N52</f>
        <v>1263.2454325719268</v>
      </c>
      <c r="AE60" s="359">
        <f t="shared" ref="AE60:AE62" si="36">+(AC60/S60-1)*100</f>
        <v>20.963600321817189</v>
      </c>
      <c r="BU60" s="334" t="s">
        <v>505</v>
      </c>
    </row>
    <row r="61" spans="1:74">
      <c r="C61" s="467" t="s">
        <v>569</v>
      </c>
      <c r="Q61" s="354"/>
      <c r="R61" s="334" t="str">
        <f t="shared" si="24"/>
        <v>Médios (50 - 249 pessoas)</v>
      </c>
      <c r="S61" s="359">
        <f t="shared" si="25"/>
        <v>1261.0248521291974</v>
      </c>
      <c r="T61" s="359">
        <f t="shared" si="26"/>
        <v>1260.63205969605</v>
      </c>
      <c r="U61" s="359">
        <f t="shared" si="27"/>
        <v>1253.7793883565216</v>
      </c>
      <c r="V61" s="359">
        <f t="shared" si="28"/>
        <v>1264.2648494931959</v>
      </c>
      <c r="W61" s="359">
        <f t="shared" si="29"/>
        <v>1269.8240128498057</v>
      </c>
      <c r="X61" s="359">
        <f t="shared" si="30"/>
        <v>1290.1473252698147</v>
      </c>
      <c r="Y61" s="359">
        <f t="shared" si="31"/>
        <v>1326.6959033790447</v>
      </c>
      <c r="Z61" s="359">
        <f t="shared" si="32"/>
        <v>1354.8206728114872</v>
      </c>
      <c r="AA61" s="359">
        <f t="shared" si="33"/>
        <v>1408.3636674412585</v>
      </c>
      <c r="AB61" s="359">
        <f t="shared" si="34"/>
        <v>1440.2830030357516</v>
      </c>
      <c r="AC61" s="359">
        <f t="shared" si="35"/>
        <v>1512.9005996272995</v>
      </c>
      <c r="AE61" s="359">
        <f t="shared" si="36"/>
        <v>19.973892431447204</v>
      </c>
    </row>
    <row r="62" spans="1:74">
      <c r="Q62" s="354"/>
      <c r="R62" s="334" t="str">
        <f t="shared" si="24"/>
        <v>Grandes (250 ou + pessoas)</v>
      </c>
      <c r="S62" s="359">
        <f t="shared" si="25"/>
        <v>1363.1977115259285</v>
      </c>
      <c r="T62" s="359">
        <f t="shared" si="26"/>
        <v>1348.800240174025</v>
      </c>
      <c r="U62" s="359">
        <f t="shared" si="27"/>
        <v>1348.2678684968982</v>
      </c>
      <c r="V62" s="359">
        <f t="shared" si="28"/>
        <v>1352.765925358432</v>
      </c>
      <c r="W62" s="359">
        <f t="shared" si="29"/>
        <v>1370.865716156547</v>
      </c>
      <c r="X62" s="359">
        <f t="shared" si="30"/>
        <v>1393.1674963357668</v>
      </c>
      <c r="Y62" s="359">
        <f t="shared" si="31"/>
        <v>1439.2990998706205</v>
      </c>
      <c r="Z62" s="359">
        <f t="shared" si="32"/>
        <v>1487.6118355479396</v>
      </c>
      <c r="AA62" s="359">
        <f t="shared" si="33"/>
        <v>1503.5195097934022</v>
      </c>
      <c r="AB62" s="359">
        <f t="shared" si="34"/>
        <v>1578.7347895211078</v>
      </c>
      <c r="AC62" s="359">
        <f t="shared" si="35"/>
        <v>1692.5269783798362</v>
      </c>
      <c r="AE62" s="359">
        <f t="shared" si="36"/>
        <v>24.158584192843534</v>
      </c>
    </row>
    <row r="63" spans="1:74">
      <c r="C63" s="335" t="s">
        <v>566</v>
      </c>
      <c r="I63" s="335" t="s">
        <v>567</v>
      </c>
    </row>
    <row r="65" spans="1:18">
      <c r="R65" s="467" t="s">
        <v>565</v>
      </c>
    </row>
    <row r="67" spans="1:18">
      <c r="A67" s="335" t="s">
        <v>500</v>
      </c>
    </row>
    <row r="70" spans="1:18">
      <c r="A70" t="s">
        <v>357</v>
      </c>
      <c r="B70" t="s">
        <v>358</v>
      </c>
      <c r="D70" s="335" t="str">
        <f>+$N$6&amp;"/"&amp;$D$6</f>
        <v>2022/2012</v>
      </c>
      <c r="F70" s="335" t="s">
        <v>362</v>
      </c>
    </row>
    <row r="71" spans="1:18">
      <c r="C71" s="372" t="s">
        <v>283</v>
      </c>
      <c r="D71" s="478">
        <f>+N27/D27-1</f>
        <v>0.26985809183383602</v>
      </c>
      <c r="G71" t="s">
        <v>360</v>
      </c>
      <c r="I71" t="s">
        <v>361</v>
      </c>
      <c r="L71" s="334" t="s">
        <v>360</v>
      </c>
      <c r="M71" s="334" t="s">
        <v>361</v>
      </c>
    </row>
    <row r="72" spans="1:18">
      <c r="C72" s="372" t="s">
        <v>543</v>
      </c>
      <c r="D72" s="478">
        <f t="shared" ref="D72:D74" si="37">+N28/D28-1</f>
        <v>0.20775840146026048</v>
      </c>
      <c r="E72" s="335">
        <f>+$N$6</f>
        <v>2022</v>
      </c>
      <c r="F72" s="334" t="s">
        <v>345</v>
      </c>
      <c r="G72" s="477">
        <f>(LARGE($AC$51:$AC$54,1))</f>
        <v>1366.1708828126364</v>
      </c>
      <c r="H72" s="392" t="str">
        <f>INDEX($R$51:$AC$54,MATCH($G$72,$AC$51:$AC$54,0),1)</f>
        <v>Grandes (250 ou + pessoas)</v>
      </c>
      <c r="I72" s="477">
        <f>SMALL($AC$51:$AC$54,1)</f>
        <v>944.24478854155598</v>
      </c>
      <c r="J72" s="392" t="str">
        <f>INDEX($R$51:$AC$54,MATCH($I$72,$AC$51:$AC$54,0),1)</f>
        <v>Micro (1-9 pessoas)</v>
      </c>
      <c r="L72" s="477" t="str">
        <f>TEXT(LARGE($AC$51:$AC$54,1),"##.### €")</f>
        <v>1.366 €</v>
      </c>
      <c r="M72" s="477" t="str">
        <f>TEXT(SMALL($AC$51:$AC$54,1),"##.### €")</f>
        <v>944 €</v>
      </c>
    </row>
    <row r="73" spans="1:18">
      <c r="C73" s="372" t="s">
        <v>544</v>
      </c>
      <c r="D73" s="478">
        <f t="shared" si="37"/>
        <v>0.19326655740823662</v>
      </c>
      <c r="E73" s="335" t="str">
        <f>+$N$6&amp;" vs "&amp;$D$6</f>
        <v>2022 vs 2012</v>
      </c>
      <c r="F73" t="s">
        <v>327</v>
      </c>
      <c r="G73" s="479">
        <f>LARGE($D$71:$D$74,1)</f>
        <v>0.26985809183383602</v>
      </c>
      <c r="H73" s="392" t="str">
        <f>INDEX($C$71:$D$74,MATCH($G$73,$D$71:$D$74,0),1)</f>
        <v>Micro (1-9 pessoas)</v>
      </c>
      <c r="I73" s="479">
        <f>SMALL($D$71:$D$74,1)</f>
        <v>0.19326655740823662</v>
      </c>
      <c r="J73" s="392" t="str">
        <f>INDEX($C$71:$D$74,MATCH($I$73,$D$71:$D$74,0),1)</f>
        <v>Médios (50 - 249 pessoas)</v>
      </c>
      <c r="L73" s="368" t="str">
        <f>TEXT(LARGE($D$71:$D$74,1),"###%")</f>
        <v>27%</v>
      </c>
      <c r="M73" s="368" t="str">
        <f>TEXT(SMALL($D$71:$D$74,1),"###%")</f>
        <v>19%</v>
      </c>
    </row>
    <row r="74" spans="1:18">
      <c r="C74" s="372" t="s">
        <v>292</v>
      </c>
      <c r="D74" s="478">
        <f t="shared" si="37"/>
        <v>0.25170996630625497</v>
      </c>
      <c r="I74" s="368"/>
    </row>
    <row r="75" spans="1:18">
      <c r="D75" s="368"/>
    </row>
    <row r="76" spans="1:18">
      <c r="B76" t="s">
        <v>359</v>
      </c>
      <c r="D76" s="335" t="str">
        <f>+$N$6&amp;"/"&amp;$D$6</f>
        <v>2022/2012</v>
      </c>
    </row>
    <row r="77" spans="1:18">
      <c r="C77" s="372" t="s">
        <v>283</v>
      </c>
      <c r="D77" s="478">
        <f>+N51/D51-1</f>
        <v>0.24544763001251679</v>
      </c>
      <c r="F77" s="335" t="s">
        <v>363</v>
      </c>
    </row>
    <row r="78" spans="1:18">
      <c r="C78" s="372" t="s">
        <v>543</v>
      </c>
      <c r="D78" s="478">
        <f t="shared" ref="D78:D80" si="38">+N52/D52-1</f>
        <v>0.20963600321817188</v>
      </c>
      <c r="G78" t="s">
        <v>360</v>
      </c>
      <c r="I78" t="s">
        <v>361</v>
      </c>
      <c r="L78" s="334" t="s">
        <v>360</v>
      </c>
      <c r="M78" s="334" t="s">
        <v>361</v>
      </c>
    </row>
    <row r="79" spans="1:18">
      <c r="C79" s="372" t="s">
        <v>544</v>
      </c>
      <c r="D79" s="478">
        <f t="shared" si="38"/>
        <v>0.19973892431447204</v>
      </c>
      <c r="E79" s="335">
        <f>+$N$6</f>
        <v>2022</v>
      </c>
      <c r="F79" s="334" t="s">
        <v>345</v>
      </c>
      <c r="G79" s="477">
        <f>LARGE($AC$59:$AC$62,1)</f>
        <v>1692.5269783798362</v>
      </c>
      <c r="H79" s="392" t="str">
        <f>INDEX($R$59:$AC$62,MATCH($G$79,$AC$59:$AC$62,0),1)</f>
        <v>Grandes (250 ou + pessoas)</v>
      </c>
      <c r="I79" s="477">
        <f>SMALL($AC$59:$AC$62,1)</f>
        <v>1089.0304473444785</v>
      </c>
      <c r="J79" s="392" t="str">
        <f>INDEX($R$59:$AC$62,MATCH($I$79,$AC$59:$AC$62,0),1)</f>
        <v>Micro (1-9 pessoas)</v>
      </c>
      <c r="L79" s="477" t="str">
        <f>TEXT(LARGE($AC$59:$AC$62,1),"##.### €")</f>
        <v>1.693 €</v>
      </c>
      <c r="M79" s="477" t="str">
        <f>TEXT(SMALL($AC$59:$AC$62,1),"##.### €")</f>
        <v>1.089 €</v>
      </c>
    </row>
    <row r="80" spans="1:18">
      <c r="C80" s="372" t="s">
        <v>292</v>
      </c>
      <c r="D80" s="478">
        <f t="shared" si="38"/>
        <v>0.24158584192843535</v>
      </c>
      <c r="E80" s="335" t="str">
        <f>+$N$6&amp;" vs "&amp;$D$6</f>
        <v>2022 vs 2012</v>
      </c>
      <c r="F80" t="s">
        <v>327</v>
      </c>
      <c r="G80" s="479">
        <f>LARGE($D$77:$D$80,1)</f>
        <v>0.24544763001251679</v>
      </c>
      <c r="H80" s="392" t="str">
        <f>INDEX($C$77:$D$80,MATCH($G$80,$D$77:$D$80,0),1)</f>
        <v>Micro (1-9 pessoas)</v>
      </c>
      <c r="I80" s="479">
        <f>SMALL($D$77:$D$80,1)</f>
        <v>0.19973892431447204</v>
      </c>
      <c r="J80" s="392" t="str">
        <f>INDEX($C$77:$D$80,MATCH($I$80,$D$77:$D$80,0),1)</f>
        <v>Médios (50 - 249 pessoas)</v>
      </c>
      <c r="L80" s="368" t="str">
        <f>TEXT(LARGE($D$77:$D$80,1),"###%")</f>
        <v>25%</v>
      </c>
      <c r="M80" s="368" t="str">
        <f>TEXT(SMALL($D$77:$D$80,1),"###%")</f>
        <v>20%</v>
      </c>
    </row>
    <row r="81" spans="3:4">
      <c r="D81" s="368"/>
    </row>
    <row r="82" spans="3:4">
      <c r="D82" s="368"/>
    </row>
    <row r="83" spans="3:4">
      <c r="C83" s="372" t="s">
        <v>568</v>
      </c>
      <c r="D83" s="368"/>
    </row>
    <row r="84" spans="3:4">
      <c r="C84" s="335" t="s">
        <v>352</v>
      </c>
      <c r="D84" s="368" t="str">
        <f>+E72&amp;":"&amp;CHAR(10)&amp;"Entre "&amp;M72&amp;" "&amp;J72&amp;" e "&amp;L72&amp;" "&amp;H72&amp;CHAR(10)&amp;E73&amp;":"&amp;CHAR(10)&amp;"Variações entre "&amp;M73&amp;" "&amp;J73&amp;" e "&amp;L73&amp;" "&amp;H73&amp;"."</f>
        <v>2022:
Entre 944 € Micro (1-9 pessoas) e 1.366 € Grandes (250 ou + pessoas)
2022 vs 2012:
Variações entre 19% Médios (50 - 249 pessoas) e 27% Micro (1-9 pessoas).</v>
      </c>
    </row>
    <row r="85" spans="3:4">
      <c r="D85" s="368"/>
    </row>
    <row r="90" spans="3:4">
      <c r="D90" s="368"/>
    </row>
    <row r="94" spans="3:4">
      <c r="C94" s="335" t="s">
        <v>353</v>
      </c>
      <c r="D94" s="368" t="str">
        <f>+E79&amp;":"&amp;CHAR(10)&amp;"Entre "&amp;M79&amp;" "&amp;J79&amp;" e "&amp;L79&amp;" "&amp;H79&amp;CHAR(10)&amp;E80&amp;":"&amp;CHAR(10)&amp;"Variações entre "&amp;M80&amp;" "&amp;J80&amp;" e "&amp;L80&amp;" "&amp;H80&amp;"."</f>
        <v>2022:
Entre 1.089 € Micro (1-9 pessoas) e 1.693 € Grandes (250 ou + pessoas)
2022 vs 2012:
Variações entre 20% Médios (50 - 249 pessoas) e 25% Micro (1-9 pessoas).</v>
      </c>
    </row>
    <row r="97" spans="1:9">
      <c r="D97" s="368"/>
    </row>
    <row r="98" spans="1:9">
      <c r="D98" s="368"/>
    </row>
    <row r="99" spans="1:9">
      <c r="D99" s="368"/>
    </row>
    <row r="100" spans="1:9">
      <c r="D100" s="368"/>
    </row>
    <row r="101" spans="1:9">
      <c r="D101" s="368"/>
    </row>
    <row r="102" spans="1:9">
      <c r="D102" s="368"/>
    </row>
    <row r="103" spans="1:9">
      <c r="D103" s="368"/>
    </row>
    <row r="104" spans="1:9">
      <c r="D104" s="368"/>
    </row>
    <row r="105" spans="1:9">
      <c r="D105" s="368"/>
    </row>
    <row r="106" spans="1:9">
      <c r="D106" s="368"/>
    </row>
    <row r="107" spans="1:9">
      <c r="D107" s="368"/>
      <c r="F107" s="579"/>
      <c r="G107" s="579"/>
      <c r="H107" s="579"/>
      <c r="I107" s="579"/>
    </row>
    <row r="108" spans="1:9">
      <c r="A108" s="334"/>
      <c r="D108" s="368"/>
    </row>
    <row r="109" spans="1:9">
      <c r="D109" s="368"/>
      <c r="E109" s="368"/>
      <c r="F109" s="368"/>
      <c r="G109" s="368"/>
      <c r="H109" s="368"/>
      <c r="I109" s="368"/>
    </row>
    <row r="110" spans="1:9">
      <c r="D110" s="368"/>
      <c r="E110" s="368"/>
      <c r="F110" s="368"/>
      <c r="G110" s="368"/>
      <c r="H110" s="368"/>
      <c r="I110" s="368"/>
    </row>
    <row r="111" spans="1:9">
      <c r="D111" s="368"/>
      <c r="E111" s="368"/>
      <c r="F111" s="368"/>
      <c r="G111" s="368"/>
      <c r="H111" s="368"/>
      <c r="I111" s="368"/>
    </row>
    <row r="112" spans="1:9">
      <c r="D112" s="368"/>
      <c r="E112" s="368"/>
      <c r="F112" s="368"/>
      <c r="G112" s="368"/>
      <c r="H112" s="368"/>
      <c r="I112" s="368"/>
    </row>
    <row r="113" spans="4:9">
      <c r="D113" s="368"/>
      <c r="E113" s="368"/>
      <c r="F113" s="368"/>
      <c r="G113" s="368"/>
      <c r="H113" s="368"/>
      <c r="I113" s="368"/>
    </row>
    <row r="114" spans="4:9">
      <c r="D114" s="368"/>
      <c r="E114" s="368"/>
      <c r="F114" s="368"/>
      <c r="G114" s="368"/>
      <c r="H114" s="368"/>
      <c r="I114" s="368"/>
    </row>
    <row r="115" spans="4:9">
      <c r="D115" s="368"/>
      <c r="E115" s="368"/>
      <c r="F115" s="368"/>
      <c r="G115" s="368"/>
      <c r="H115" s="368"/>
      <c r="I115" s="368"/>
    </row>
    <row r="116" spans="4:9">
      <c r="D116" s="368"/>
      <c r="E116" s="368"/>
      <c r="F116" s="368"/>
      <c r="G116" s="368"/>
      <c r="H116" s="368"/>
      <c r="I116" s="368"/>
    </row>
    <row r="117" spans="4:9">
      <c r="E117" s="368"/>
      <c r="F117" s="368"/>
      <c r="G117" s="368"/>
      <c r="H117" s="368"/>
      <c r="I117" s="368"/>
    </row>
    <row r="118" spans="4:9">
      <c r="E118" s="368"/>
      <c r="F118" s="368"/>
      <c r="G118" s="368"/>
      <c r="H118" s="368"/>
      <c r="I118" s="368"/>
    </row>
    <row r="119" spans="4:9">
      <c r="E119" s="368"/>
      <c r="F119" s="368"/>
      <c r="G119" s="368"/>
      <c r="H119" s="368"/>
      <c r="I119" s="368"/>
    </row>
  </sheetData>
  <mergeCells count="1">
    <mergeCell ref="F107:I107"/>
  </mergeCells>
  <conditionalFormatting sqref="AT3:BE4">
    <cfRule type="cellIs" dxfId="131" priority="45" operator="equal">
      <formula>0</formula>
    </cfRule>
  </conditionalFormatting>
  <conditionalFormatting sqref="BC3:BE3 BC5:BE5">
    <cfRule type="cellIs" dxfId="130" priority="47" operator="equal">
      <formula>0</formula>
    </cfRule>
  </conditionalFormatting>
  <conditionalFormatting sqref="BD9:BD10">
    <cfRule type="cellIs" dxfId="129" priority="1"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5234" r:id="rId4" name="Drop Down 2">
              <controlPr defaultSize="0" autoLine="0" autoPict="0">
                <anchor moveWithCells="1">
                  <from>
                    <xdr:col>64</xdr:col>
                    <xdr:colOff>47625</xdr:colOff>
                    <xdr:row>14</xdr:row>
                    <xdr:rowOff>133350</xdr:rowOff>
                  </from>
                  <to>
                    <xdr:col>65</xdr:col>
                    <xdr:colOff>85725</xdr:colOff>
                    <xdr:row>16</xdr:row>
                    <xdr:rowOff>9525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055CA-26E3-498A-8B95-8E0687174B32}">
  <dimension ref="A2:H129"/>
  <sheetViews>
    <sheetView topLeftCell="A79" workbookViewId="0">
      <selection activeCell="BG3" sqref="BG3:BH3"/>
    </sheetView>
  </sheetViews>
  <sheetFormatPr defaultRowHeight="12.75"/>
  <cols>
    <col min="1" max="1" width="18.7109375" bestFit="1" customWidth="1"/>
    <col min="2" max="2" width="20.140625" bestFit="1" customWidth="1"/>
    <col min="3" max="3" width="12" bestFit="1" customWidth="1"/>
    <col min="4" max="7" width="11.85546875" bestFit="1" customWidth="1"/>
    <col min="8" max="8" width="12" bestFit="1" customWidth="1"/>
    <col min="9" max="9" width="25.7109375" bestFit="1" customWidth="1"/>
    <col min="10" max="10" width="12" bestFit="1" customWidth="1"/>
  </cols>
  <sheetData>
    <row r="2" spans="1:5">
      <c r="A2" s="334" t="s">
        <v>498</v>
      </c>
    </row>
    <row r="4" spans="1:5">
      <c r="A4" s="334" t="s">
        <v>262</v>
      </c>
      <c r="B4" s="334" t="s">
        <v>446</v>
      </c>
      <c r="C4" s="334" t="s">
        <v>349</v>
      </c>
      <c r="D4" s="334" t="s">
        <v>345</v>
      </c>
    </row>
    <row r="5" spans="1:5">
      <c r="A5">
        <f>+'q18'!$C$4</f>
        <v>2012</v>
      </c>
      <c r="B5" t="s">
        <v>352</v>
      </c>
      <c r="C5" t="str">
        <f>Aux!$B$50</f>
        <v>Total</v>
      </c>
      <c r="D5" s="359">
        <f>+'q18'!$C$5</f>
        <v>915.01247006081212</v>
      </c>
    </row>
    <row r="6" spans="1:5">
      <c r="A6">
        <f>+'q18'!$C$4</f>
        <v>2012</v>
      </c>
      <c r="B6" t="s">
        <v>352</v>
      </c>
      <c r="C6" t="str">
        <f>Aux!$B$51</f>
        <v>Homens</v>
      </c>
      <c r="D6" s="359">
        <f>+'q18'!$C$6</f>
        <v>999.85354294571812</v>
      </c>
    </row>
    <row r="7" spans="1:5">
      <c r="A7">
        <f>+'q18'!$C$4</f>
        <v>2012</v>
      </c>
      <c r="B7" t="s">
        <v>352</v>
      </c>
      <c r="C7" t="str">
        <f>Aux!$B$52</f>
        <v>Mulheres</v>
      </c>
      <c r="D7" s="359">
        <f>+'q18'!$C$7</f>
        <v>814.53727639534998</v>
      </c>
      <c r="E7" s="368"/>
    </row>
    <row r="8" spans="1:5">
      <c r="A8">
        <f>+'q18'!$D$4</f>
        <v>2013</v>
      </c>
      <c r="B8" t="s">
        <v>352</v>
      </c>
      <c r="C8" t="str">
        <f>Aux!$B$50</f>
        <v>Total</v>
      </c>
      <c r="D8" s="359">
        <f>+'q18'!$D$5</f>
        <v>912.18298170177309</v>
      </c>
      <c r="E8" s="368"/>
    </row>
    <row r="9" spans="1:5">
      <c r="A9">
        <f>+'q18'!$D$4</f>
        <v>2013</v>
      </c>
      <c r="B9" t="s">
        <v>352</v>
      </c>
      <c r="C9" t="str">
        <f>Aux!$B$51</f>
        <v>Homens</v>
      </c>
      <c r="D9" s="359">
        <f>+'q18'!$D$6</f>
        <v>993.79266174939096</v>
      </c>
      <c r="E9" s="368"/>
    </row>
    <row r="10" spans="1:5">
      <c r="A10">
        <f>+'q18'!$D$4</f>
        <v>2013</v>
      </c>
      <c r="B10" t="s">
        <v>352</v>
      </c>
      <c r="C10" t="str">
        <f>Aux!$B$52</f>
        <v>Mulheres</v>
      </c>
      <c r="D10" s="359">
        <f>+'q18'!$D$7</f>
        <v>816.21122210111105</v>
      </c>
      <c r="E10" s="368"/>
    </row>
    <row r="11" spans="1:5">
      <c r="A11">
        <f>+'q18'!$E$4</f>
        <v>2014</v>
      </c>
      <c r="B11" t="s">
        <v>352</v>
      </c>
      <c r="C11" t="str">
        <f>Aux!$B$50</f>
        <v>Total</v>
      </c>
      <c r="D11" s="359">
        <f>+'q18'!$E$5</f>
        <v>909.49144915721399</v>
      </c>
      <c r="E11" s="368"/>
    </row>
    <row r="12" spans="1:5">
      <c r="A12">
        <f>+'q18'!$E$4</f>
        <v>2014</v>
      </c>
      <c r="B12" t="s">
        <v>352</v>
      </c>
      <c r="C12" t="str">
        <f>Aux!$B$51</f>
        <v>Homens</v>
      </c>
      <c r="D12" s="359">
        <f>+'q18'!$E$6</f>
        <v>985.0215081163841</v>
      </c>
      <c r="E12" s="368"/>
    </row>
    <row r="13" spans="1:5">
      <c r="A13">
        <f>+'q18'!$E$4</f>
        <v>2014</v>
      </c>
      <c r="B13" t="s">
        <v>352</v>
      </c>
      <c r="C13" t="str">
        <f>Aux!$B$52</f>
        <v>Mulheres</v>
      </c>
      <c r="D13" s="359">
        <f>+'q18'!$E$7</f>
        <v>820.25300466774809</v>
      </c>
      <c r="E13" s="368"/>
    </row>
    <row r="14" spans="1:5">
      <c r="A14">
        <f>+'q18'!$F$4</f>
        <v>2015</v>
      </c>
      <c r="B14" t="s">
        <v>352</v>
      </c>
      <c r="C14" t="str">
        <f>Aux!$B$50</f>
        <v>Total</v>
      </c>
      <c r="D14" s="359">
        <f>+'q18'!$F$5</f>
        <v>913.92544791377406</v>
      </c>
      <c r="E14" s="368"/>
    </row>
    <row r="15" spans="1:5">
      <c r="A15">
        <f>+'q18'!$F$4</f>
        <v>2015</v>
      </c>
      <c r="B15" t="s">
        <v>352</v>
      </c>
      <c r="C15" t="str">
        <f>Aux!$B$51</f>
        <v>Homens</v>
      </c>
      <c r="D15" s="359">
        <f>+'q18'!$F$6</f>
        <v>990.04668016967901</v>
      </c>
      <c r="E15" s="368"/>
    </row>
    <row r="16" spans="1:5">
      <c r="A16">
        <f>+'q18'!$F$4</f>
        <v>2015</v>
      </c>
      <c r="B16" t="s">
        <v>352</v>
      </c>
      <c r="C16" t="str">
        <f>Aux!$B$52</f>
        <v>Mulheres</v>
      </c>
      <c r="D16" s="359">
        <f>+'q18'!$F$7</f>
        <v>824.99170229471508</v>
      </c>
      <c r="E16" s="368"/>
    </row>
    <row r="17" spans="1:5">
      <c r="A17">
        <f>+'q18'!$G$4</f>
        <v>2016</v>
      </c>
      <c r="B17" t="s">
        <v>352</v>
      </c>
      <c r="C17" t="str">
        <f>Aux!$B$50</f>
        <v>Total</v>
      </c>
      <c r="D17" s="359">
        <f>+'q18'!$G$5</f>
        <v>924.9392153090821</v>
      </c>
      <c r="E17" s="368"/>
    </row>
    <row r="18" spans="1:5">
      <c r="A18">
        <f>+'q18'!$G$4</f>
        <v>2016</v>
      </c>
      <c r="B18" t="s">
        <v>352</v>
      </c>
      <c r="C18" t="str">
        <f>Aux!$B$51</f>
        <v>Homens</v>
      </c>
      <c r="D18" s="359">
        <f>+'q18'!$G$6</f>
        <v>997.37861815735698</v>
      </c>
      <c r="E18" s="368"/>
    </row>
    <row r="19" spans="1:5">
      <c r="A19">
        <f>+'q18'!$G$4</f>
        <v>2016</v>
      </c>
      <c r="B19" t="s">
        <v>352</v>
      </c>
      <c r="C19" t="str">
        <f>Aux!$B$52</f>
        <v>Mulheres</v>
      </c>
      <c r="D19" s="359">
        <f>+'q18'!$G$7</f>
        <v>840.26183463405107</v>
      </c>
      <c r="E19" s="368"/>
    </row>
    <row r="20" spans="1:5">
      <c r="A20">
        <f>+'q18'!$H$4</f>
        <v>2017</v>
      </c>
      <c r="B20" t="s">
        <v>352</v>
      </c>
      <c r="C20" t="str">
        <f>Aux!$B$50</f>
        <v>Total</v>
      </c>
      <c r="D20" s="359">
        <f>+'q18'!$H$5</f>
        <v>943.00107511786211</v>
      </c>
      <c r="E20" s="368"/>
    </row>
    <row r="21" spans="1:5">
      <c r="A21">
        <f>+'q18'!$H$4</f>
        <v>2017</v>
      </c>
      <c r="B21" t="s">
        <v>352</v>
      </c>
      <c r="C21" t="str">
        <f>Aux!$B$51</f>
        <v>Homens</v>
      </c>
      <c r="D21" s="359">
        <f>+'q18'!$H$6</f>
        <v>1012.2476626665</v>
      </c>
      <c r="E21" s="368"/>
    </row>
    <row r="22" spans="1:5">
      <c r="A22">
        <f>+'q18'!$H$4</f>
        <v>2017</v>
      </c>
      <c r="B22" t="s">
        <v>352</v>
      </c>
      <c r="C22" t="str">
        <f>Aux!$B$52</f>
        <v>Mulheres</v>
      </c>
      <c r="D22" s="359">
        <f>+'q18'!$H$7</f>
        <v>861.16674363485106</v>
      </c>
      <c r="E22" s="368"/>
    </row>
    <row r="23" spans="1:5">
      <c r="A23">
        <f>+'q18'!$I$4</f>
        <v>2018</v>
      </c>
      <c r="B23" t="s">
        <v>352</v>
      </c>
      <c r="C23" t="str">
        <f>Aux!$B$50</f>
        <v>Total</v>
      </c>
      <c r="D23" s="359">
        <f>+'q18'!$I$5</f>
        <v>970.41689676342503</v>
      </c>
      <c r="E23" s="368"/>
    </row>
    <row r="24" spans="1:5">
      <c r="A24">
        <f>+'q18'!$I$4</f>
        <v>2018</v>
      </c>
      <c r="B24" t="s">
        <v>352</v>
      </c>
      <c r="C24" t="str">
        <f>Aux!$B$51</f>
        <v>Homens</v>
      </c>
      <c r="D24" s="359">
        <f>+'q18'!$I$6</f>
        <v>1039.08171517903</v>
      </c>
      <c r="E24" s="368"/>
    </row>
    <row r="25" spans="1:5">
      <c r="A25">
        <f>+'q18'!$I$4</f>
        <v>2018</v>
      </c>
      <c r="B25" t="s">
        <v>352</v>
      </c>
      <c r="C25" t="str">
        <f>Aux!$B$52</f>
        <v>Mulheres</v>
      </c>
      <c r="D25" s="359">
        <f>+'q18'!$I$7</f>
        <v>888.55773746998204</v>
      </c>
      <c r="E25" s="368"/>
    </row>
    <row r="26" spans="1:5">
      <c r="A26">
        <f>+'q18'!$J$4</f>
        <v>2019</v>
      </c>
      <c r="B26" t="s">
        <v>352</v>
      </c>
      <c r="C26" t="str">
        <f>Aux!$B$50</f>
        <v>Total</v>
      </c>
      <c r="D26" s="359">
        <f>+'q18'!$J$5</f>
        <v>1005.08927925103</v>
      </c>
      <c r="E26" s="368"/>
    </row>
    <row r="27" spans="1:5">
      <c r="A27">
        <f>+'q18'!$J$4</f>
        <v>2019</v>
      </c>
      <c r="B27" t="s">
        <v>352</v>
      </c>
      <c r="C27" t="str">
        <f>Aux!$B$51</f>
        <v>Homens</v>
      </c>
      <c r="D27" s="359">
        <f>+'q18'!$J$6</f>
        <v>1073.8189900697198</v>
      </c>
      <c r="E27" s="368"/>
    </row>
    <row r="28" spans="1:5">
      <c r="A28">
        <f>+'q18'!$J$4</f>
        <v>2019</v>
      </c>
      <c r="B28" t="s">
        <v>352</v>
      </c>
      <c r="C28" t="str">
        <f>Aux!$B$52</f>
        <v>Mulheres</v>
      </c>
      <c r="D28" s="359">
        <f>+'q18'!$J$7</f>
        <v>922.62610151052809</v>
      </c>
      <c r="E28" s="368"/>
    </row>
    <row r="29" spans="1:5">
      <c r="A29">
        <f>+'q18'!$K$4</f>
        <v>2020</v>
      </c>
      <c r="B29" t="s">
        <v>352</v>
      </c>
      <c r="C29" t="str">
        <f>Aux!$B$50</f>
        <v>Total</v>
      </c>
      <c r="D29" s="359">
        <f>+'q18'!$K$5</f>
        <v>1041.9948771786001</v>
      </c>
      <c r="E29" s="368"/>
    </row>
    <row r="30" spans="1:5">
      <c r="A30">
        <f>+'q18'!$K$4</f>
        <v>2020</v>
      </c>
      <c r="B30" t="s">
        <v>352</v>
      </c>
      <c r="C30" t="str">
        <f>Aux!$B$51</f>
        <v>Homens</v>
      </c>
      <c r="D30" s="359">
        <f>+'q18'!$K$6</f>
        <v>1109.2123384778902</v>
      </c>
      <c r="E30" s="368"/>
    </row>
    <row r="31" spans="1:5">
      <c r="A31">
        <f>+'q18'!$K$4</f>
        <v>2020</v>
      </c>
      <c r="B31" t="s">
        <v>352</v>
      </c>
      <c r="C31" t="str">
        <f>Aux!$B$52</f>
        <v>Mulheres</v>
      </c>
      <c r="D31" s="359">
        <f>+'q18'!$K$7</f>
        <v>960.26781704583709</v>
      </c>
      <c r="E31" s="368"/>
    </row>
    <row r="32" spans="1:5">
      <c r="A32">
        <f>+'q18'!$L$4</f>
        <v>2021</v>
      </c>
      <c r="B32" t="s">
        <v>352</v>
      </c>
      <c r="C32" t="str">
        <f>Aux!$B$50</f>
        <v>Total</v>
      </c>
      <c r="D32" s="359">
        <f>+'q18'!$L$5</f>
        <v>1082.7724697513502</v>
      </c>
      <c r="E32" s="368"/>
    </row>
    <row r="33" spans="1:8">
      <c r="A33">
        <f>+'q18'!$L$4</f>
        <v>2021</v>
      </c>
      <c r="B33" t="s">
        <v>352</v>
      </c>
      <c r="C33" t="str">
        <f>Aux!$B$51</f>
        <v>Homens</v>
      </c>
      <c r="D33" s="359">
        <f>+'q18'!$L$6</f>
        <v>1152.2390834169501</v>
      </c>
      <c r="E33" s="368"/>
    </row>
    <row r="34" spans="1:8">
      <c r="A34">
        <f>+'q18'!$L$4</f>
        <v>2021</v>
      </c>
      <c r="B34" t="s">
        <v>352</v>
      </c>
      <c r="C34" t="str">
        <f>Aux!$B$52</f>
        <v>Mulheres</v>
      </c>
      <c r="D34" s="359">
        <f>+'q18'!$L$7</f>
        <v>999.32524311817906</v>
      </c>
      <c r="E34" s="368"/>
    </row>
    <row r="35" spans="1:8">
      <c r="A35">
        <f>+'q18'!$M$4</f>
        <v>2022</v>
      </c>
      <c r="B35" t="s">
        <v>352</v>
      </c>
      <c r="C35" t="str">
        <f>Aux!$B$50</f>
        <v>Total</v>
      </c>
      <c r="D35" s="359">
        <f>+'q18'!$M$5</f>
        <v>1143.44558285689</v>
      </c>
      <c r="E35" s="368"/>
    </row>
    <row r="36" spans="1:8">
      <c r="A36">
        <f>+'q18'!$M$4</f>
        <v>2022</v>
      </c>
      <c r="B36" t="s">
        <v>352</v>
      </c>
      <c r="C36" t="str">
        <f>Aux!$B$51</f>
        <v>Homens</v>
      </c>
      <c r="D36" s="359">
        <f>+'q18'!$M$6</f>
        <v>1217.3282728682302</v>
      </c>
      <c r="E36" s="368"/>
      <c r="F36" s="359"/>
      <c r="G36" s="368"/>
      <c r="H36" s="368"/>
    </row>
    <row r="37" spans="1:8">
      <c r="A37">
        <f>+'q18'!$M$4</f>
        <v>2022</v>
      </c>
      <c r="B37" t="s">
        <v>352</v>
      </c>
      <c r="C37" t="str">
        <f>Aux!$B$52</f>
        <v>Mulheres</v>
      </c>
      <c r="D37" s="359">
        <f>+'q18'!$M$7</f>
        <v>1054.3618671065601</v>
      </c>
      <c r="E37" s="368"/>
      <c r="F37" s="359"/>
      <c r="G37" s="368"/>
      <c r="H37" s="368"/>
    </row>
    <row r="38" spans="1:8">
      <c r="A38">
        <f>+'q26'!$C$4</f>
        <v>2012</v>
      </c>
      <c r="B38" t="s">
        <v>353</v>
      </c>
      <c r="C38" t="str">
        <f>Aux!$B$50</f>
        <v>Total</v>
      </c>
      <c r="D38" s="359">
        <f>+'q26'!$C$5</f>
        <v>1095.58619281857</v>
      </c>
      <c r="E38" s="368"/>
      <c r="F38" s="359"/>
      <c r="G38" s="368"/>
      <c r="H38" s="368"/>
    </row>
    <row r="39" spans="1:8">
      <c r="A39">
        <f>+'q26'!$C$4</f>
        <v>2012</v>
      </c>
      <c r="B39" t="s">
        <v>353</v>
      </c>
      <c r="C39" t="str">
        <f>Aux!$B$51</f>
        <v>Homens</v>
      </c>
      <c r="D39" s="359">
        <f>+'q26'!$C$6</f>
        <v>1213.0207353340002</v>
      </c>
      <c r="E39" s="368"/>
    </row>
    <row r="40" spans="1:8">
      <c r="A40">
        <f>+'q26'!$C$4</f>
        <v>2012</v>
      </c>
      <c r="B40" t="s">
        <v>353</v>
      </c>
      <c r="C40" t="str">
        <f>Aux!$B$52</f>
        <v>Mulheres</v>
      </c>
      <c r="D40" s="359">
        <f>+'q26'!$C$7</f>
        <v>956.51135558425801</v>
      </c>
      <c r="E40" s="368"/>
    </row>
    <row r="41" spans="1:8">
      <c r="A41">
        <f>+'q26'!$D$4</f>
        <v>2013</v>
      </c>
      <c r="B41" t="s">
        <v>353</v>
      </c>
      <c r="C41" t="str">
        <f>Aux!$B$50</f>
        <v>Total</v>
      </c>
      <c r="D41" s="359">
        <f>+'q26'!$D$5</f>
        <v>1093.8178723953499</v>
      </c>
      <c r="E41" s="368"/>
    </row>
    <row r="42" spans="1:8">
      <c r="A42">
        <f>+'q26'!$D$4</f>
        <v>2013</v>
      </c>
      <c r="B42" t="s">
        <v>353</v>
      </c>
      <c r="C42" t="str">
        <f>Aux!$B$51</f>
        <v>Homens</v>
      </c>
      <c r="D42" s="359">
        <f>+'q26'!$D$6</f>
        <v>1209.2112926836</v>
      </c>
      <c r="E42" s="368"/>
    </row>
    <row r="43" spans="1:8">
      <c r="A43">
        <f>+'q26'!$D$4</f>
        <v>2013</v>
      </c>
      <c r="B43" t="s">
        <v>353</v>
      </c>
      <c r="C43" t="str">
        <f>Aux!$B$52</f>
        <v>Mulheres</v>
      </c>
      <c r="D43" s="359">
        <f>+'q26'!$D$7</f>
        <v>958.1169410237261</v>
      </c>
      <c r="E43" s="368"/>
    </row>
    <row r="44" spans="1:8">
      <c r="A44">
        <f>+'q26'!$E$4</f>
        <v>2014</v>
      </c>
      <c r="B44" t="s">
        <v>353</v>
      </c>
      <c r="C44" t="str">
        <f>Aux!$B$50</f>
        <v>Total</v>
      </c>
      <c r="D44" s="359">
        <f>+'q26'!$E$5</f>
        <v>1093.20854089105</v>
      </c>
      <c r="E44" s="368"/>
    </row>
    <row r="45" spans="1:8">
      <c r="A45">
        <f>+'q26'!$E$4</f>
        <v>2014</v>
      </c>
      <c r="B45" t="s">
        <v>353</v>
      </c>
      <c r="C45" t="str">
        <f>Aux!$B$51</f>
        <v>Homens</v>
      </c>
      <c r="D45" s="359">
        <f>+'q26'!$E$6</f>
        <v>1203.3163954215399</v>
      </c>
      <c r="E45" s="368"/>
    </row>
    <row r="46" spans="1:8">
      <c r="A46">
        <f>+'q26'!$E$4</f>
        <v>2014</v>
      </c>
      <c r="B46" t="s">
        <v>353</v>
      </c>
      <c r="C46" t="str">
        <f>Aux!$B$52</f>
        <v>Mulheres</v>
      </c>
      <c r="D46" s="359">
        <f>+'q26'!$E$7</f>
        <v>963.11657750883012</v>
      </c>
      <c r="E46" s="368"/>
    </row>
    <row r="47" spans="1:8">
      <c r="A47">
        <f>+'q26'!$F$4</f>
        <v>2015</v>
      </c>
      <c r="B47" t="s">
        <v>353</v>
      </c>
      <c r="C47" t="str">
        <f>Aux!$B$50</f>
        <v>Total</v>
      </c>
      <c r="D47" s="359">
        <f>+'q26'!$F$5</f>
        <v>1096.65734127991</v>
      </c>
      <c r="E47" s="368"/>
    </row>
    <row r="48" spans="1:8">
      <c r="A48">
        <f>+'q26'!$F$4</f>
        <v>2015</v>
      </c>
      <c r="B48" t="s">
        <v>353</v>
      </c>
      <c r="C48" t="str">
        <f>Aux!$B$51</f>
        <v>Homens</v>
      </c>
      <c r="D48" s="359">
        <f>+'q26'!$F$6</f>
        <v>1207.7620848918802</v>
      </c>
      <c r="E48" s="368"/>
    </row>
    <row r="49" spans="1:5">
      <c r="A49">
        <f>+'q26'!$F$4</f>
        <v>2015</v>
      </c>
      <c r="B49" t="s">
        <v>353</v>
      </c>
      <c r="C49" t="str">
        <f>Aux!$B$52</f>
        <v>Mulheres</v>
      </c>
      <c r="D49" s="359">
        <f>+'q26'!$F$7</f>
        <v>966.85175731037509</v>
      </c>
      <c r="E49" s="368"/>
    </row>
    <row r="50" spans="1:5">
      <c r="A50">
        <f>+'q26'!$G$4</f>
        <v>2016</v>
      </c>
      <c r="B50" t="s">
        <v>353</v>
      </c>
      <c r="C50" t="str">
        <f>Aux!$B$50</f>
        <v>Total</v>
      </c>
      <c r="D50" s="359">
        <f>+'q26'!$G$5</f>
        <v>1107.85636561875</v>
      </c>
      <c r="E50" s="368"/>
    </row>
    <row r="51" spans="1:5">
      <c r="A51">
        <f>+'q26'!$G$4</f>
        <v>2016</v>
      </c>
      <c r="B51" t="s">
        <v>353</v>
      </c>
      <c r="C51" t="str">
        <f>Aux!$B$51</f>
        <v>Homens</v>
      </c>
      <c r="D51" s="359">
        <f>+'q26'!$G$6</f>
        <v>1215.1073571470499</v>
      </c>
      <c r="E51" s="368"/>
    </row>
    <row r="52" spans="1:5">
      <c r="A52">
        <f>+'q26'!$G$4</f>
        <v>2016</v>
      </c>
      <c r="B52" t="s">
        <v>353</v>
      </c>
      <c r="C52" t="str">
        <f>Aux!$B$52</f>
        <v>Mulheres</v>
      </c>
      <c r="D52" s="359">
        <f>+'q26'!$G$7</f>
        <v>982.48629518294808</v>
      </c>
      <c r="E52" s="368"/>
    </row>
    <row r="53" spans="1:5">
      <c r="A53">
        <f>+'q26'!$H$4</f>
        <v>2017</v>
      </c>
      <c r="B53" t="s">
        <v>353</v>
      </c>
      <c r="C53" t="str">
        <f>Aux!$B$50</f>
        <v>Total</v>
      </c>
      <c r="D53" s="359">
        <f>+'q26'!$H$5</f>
        <v>1133.34288689707</v>
      </c>
      <c r="E53" s="368"/>
    </row>
    <row r="54" spans="1:5">
      <c r="A54">
        <f>+'q26'!$H$4</f>
        <v>2017</v>
      </c>
      <c r="B54" t="s">
        <v>353</v>
      </c>
      <c r="C54" t="str">
        <f>Aux!$B$51</f>
        <v>Homens</v>
      </c>
      <c r="D54" s="359">
        <f>+'q26'!$H$6</f>
        <v>1236.8510439336801</v>
      </c>
      <c r="E54" s="368"/>
    </row>
    <row r="55" spans="1:5">
      <c r="A55">
        <f>+'q26'!$H$4</f>
        <v>2017</v>
      </c>
      <c r="B55" t="s">
        <v>353</v>
      </c>
      <c r="C55" t="str">
        <f>Aux!$B$52</f>
        <v>Mulheres</v>
      </c>
      <c r="D55" s="359">
        <f>+'q26'!$H$7</f>
        <v>1011.0188687181301</v>
      </c>
      <c r="E55" s="368"/>
    </row>
    <row r="56" spans="1:5">
      <c r="A56">
        <f>+'q26'!$I$4</f>
        <v>2018</v>
      </c>
      <c r="B56" t="s">
        <v>353</v>
      </c>
      <c r="C56" t="str">
        <f>Aux!$B$50</f>
        <v>Total</v>
      </c>
      <c r="D56" s="359">
        <f>+'q26'!$I$5</f>
        <v>1170.2525051678801</v>
      </c>
      <c r="E56" s="368"/>
    </row>
    <row r="57" spans="1:5">
      <c r="A57">
        <f>+'q26'!$I$4</f>
        <v>2018</v>
      </c>
      <c r="B57" t="s">
        <v>353</v>
      </c>
      <c r="C57" t="str">
        <f>Aux!$B$51</f>
        <v>Homens</v>
      </c>
      <c r="D57" s="359">
        <f>+'q26'!$I$6</f>
        <v>1273.9856646448</v>
      </c>
      <c r="E57" s="368"/>
    </row>
    <row r="58" spans="1:5">
      <c r="A58">
        <f>+'q26'!$I$4</f>
        <v>2018</v>
      </c>
      <c r="B58" t="s">
        <v>353</v>
      </c>
      <c r="C58" t="str">
        <f>Aux!$B$52</f>
        <v>Mulheres</v>
      </c>
      <c r="D58" s="359">
        <f>+'q26'!$I$7</f>
        <v>1046.5864208241201</v>
      </c>
      <c r="E58" s="368"/>
    </row>
    <row r="59" spans="1:5">
      <c r="A59">
        <f>+'q26'!$J$4</f>
        <v>2019</v>
      </c>
      <c r="B59" t="s">
        <v>353</v>
      </c>
      <c r="C59" t="str">
        <f>Aux!$B$50</f>
        <v>Total</v>
      </c>
      <c r="D59" s="359">
        <f>+'q26'!$J$5</f>
        <v>1209.93900485576</v>
      </c>
      <c r="E59" s="368"/>
    </row>
    <row r="60" spans="1:5">
      <c r="A60">
        <f>+'q26'!$J$4</f>
        <v>2019</v>
      </c>
      <c r="B60" t="s">
        <v>353</v>
      </c>
      <c r="C60" t="str">
        <f>Aux!$B$51</f>
        <v>Homens</v>
      </c>
      <c r="D60" s="359">
        <f>+'q26'!$J$6</f>
        <v>1312.4262476007902</v>
      </c>
      <c r="E60" s="368"/>
    </row>
    <row r="61" spans="1:5">
      <c r="A61">
        <f>+'q26'!$J$4</f>
        <v>2019</v>
      </c>
      <c r="B61" t="s">
        <v>353</v>
      </c>
      <c r="C61" t="str">
        <f>Aux!$B$52</f>
        <v>Mulheres</v>
      </c>
      <c r="D61" s="359">
        <f>+'q26'!$J$7</f>
        <v>1086.9729161883299</v>
      </c>
      <c r="E61" s="368"/>
    </row>
    <row r="62" spans="1:5">
      <c r="A62">
        <f>+'q26'!$K$4</f>
        <v>2020</v>
      </c>
      <c r="B62" t="s">
        <v>353</v>
      </c>
      <c r="C62" t="str">
        <f>Aux!$B$50</f>
        <v>Total</v>
      </c>
      <c r="D62" s="359">
        <f>+'q26'!$K$5</f>
        <v>1250.75197084447</v>
      </c>
      <c r="E62" s="368"/>
    </row>
    <row r="63" spans="1:5">
      <c r="A63">
        <f>+'q26'!$K$4</f>
        <v>2020</v>
      </c>
      <c r="B63" t="s">
        <v>353</v>
      </c>
      <c r="C63" t="str">
        <f>Aux!$B$51</f>
        <v>Homens</v>
      </c>
      <c r="D63" s="359">
        <f>+'q26'!$K$6</f>
        <v>1349.3525335819299</v>
      </c>
      <c r="E63" s="368"/>
    </row>
    <row r="64" spans="1:5">
      <c r="A64">
        <f>+'q26'!$K$4</f>
        <v>2020</v>
      </c>
      <c r="B64" t="s">
        <v>353</v>
      </c>
      <c r="C64" t="str">
        <f>Aux!$B$52</f>
        <v>Mulheres</v>
      </c>
      <c r="D64" s="359">
        <f>+'q26'!$K$7</f>
        <v>1130.8674354246</v>
      </c>
      <c r="E64" s="368"/>
    </row>
    <row r="65" spans="1:7">
      <c r="A65">
        <f>+'q26'!$L$4</f>
        <v>2021</v>
      </c>
      <c r="B65" t="s">
        <v>353</v>
      </c>
      <c r="C65" t="str">
        <f>Aux!$B$50</f>
        <v>Total</v>
      </c>
      <c r="D65" s="359">
        <f>+'q26'!$L$5</f>
        <v>1294.10894067238</v>
      </c>
      <c r="E65" s="368"/>
    </row>
    <row r="66" spans="1:7">
      <c r="A66">
        <f>+'q26'!$L$4</f>
        <v>2021</v>
      </c>
      <c r="B66" t="s">
        <v>353</v>
      </c>
      <c r="C66" t="str">
        <f>Aux!$B$51</f>
        <v>Homens</v>
      </c>
      <c r="D66" s="359">
        <f>+'q26'!$L$6</f>
        <v>1395.6950744819503</v>
      </c>
      <c r="E66" s="368"/>
    </row>
    <row r="67" spans="1:7">
      <c r="A67">
        <f>+'q26'!$L$4</f>
        <v>2021</v>
      </c>
      <c r="B67" t="s">
        <v>353</v>
      </c>
      <c r="C67" t="str">
        <f>Aux!$B$52</f>
        <v>Mulheres</v>
      </c>
      <c r="D67" s="359">
        <f>+'q26'!$L$7</f>
        <v>1172.0779291766798</v>
      </c>
      <c r="E67" s="368"/>
    </row>
    <row r="68" spans="1:7">
      <c r="A68">
        <f>+'q26'!$M$4</f>
        <v>2022</v>
      </c>
      <c r="B68" t="s">
        <v>353</v>
      </c>
      <c r="C68" t="str">
        <f>Aux!$B$50</f>
        <v>Total</v>
      </c>
      <c r="D68" s="359">
        <f>+'q26'!$M$5</f>
        <v>1367.9952489883699</v>
      </c>
      <c r="E68" s="368"/>
    </row>
    <row r="69" spans="1:7">
      <c r="A69">
        <f>+'q26'!$M$4</f>
        <v>2022</v>
      </c>
      <c r="B69" t="s">
        <v>353</v>
      </c>
      <c r="C69" t="str">
        <f>Aux!$B$51</f>
        <v>Homens</v>
      </c>
      <c r="D69" s="359">
        <f>+'q26'!$M$6</f>
        <v>1476.20345437132</v>
      </c>
      <c r="E69" s="368"/>
    </row>
    <row r="70" spans="1:7">
      <c r="A70">
        <f>+'q26'!$M$4</f>
        <v>2022</v>
      </c>
      <c r="B70" t="s">
        <v>353</v>
      </c>
      <c r="C70" t="str">
        <f>Aux!$B$52</f>
        <v>Mulheres</v>
      </c>
      <c r="D70" s="359">
        <f>+'q26'!$M$7</f>
        <v>1237.52369998673</v>
      </c>
      <c r="E70" s="368"/>
      <c r="F70" s="359"/>
      <c r="G70" s="368"/>
    </row>
    <row r="71" spans="1:7">
      <c r="F71" s="368"/>
    </row>
    <row r="72" spans="1:7">
      <c r="F72" s="368"/>
    </row>
    <row r="80" spans="1:7">
      <c r="A80" s="357" t="s">
        <v>348</v>
      </c>
      <c r="B80" s="357" t="s">
        <v>330</v>
      </c>
    </row>
    <row r="81" spans="1:3">
      <c r="B81" t="s">
        <v>352</v>
      </c>
      <c r="C81" t="s">
        <v>353</v>
      </c>
    </row>
    <row r="82" spans="1:3">
      <c r="A82" s="357" t="s">
        <v>328</v>
      </c>
      <c r="B82" t="s">
        <v>12</v>
      </c>
      <c r="C82" t="s">
        <v>12</v>
      </c>
    </row>
    <row r="83" spans="1:3">
      <c r="A83" s="358">
        <v>2012</v>
      </c>
      <c r="B83">
        <v>915.01247006081212</v>
      </c>
      <c r="C83">
        <v>1095.58619281857</v>
      </c>
    </row>
    <row r="84" spans="1:3">
      <c r="A84" s="358">
        <v>2013</v>
      </c>
      <c r="B84">
        <v>912.18298170177309</v>
      </c>
      <c r="C84">
        <v>1093.8178723953499</v>
      </c>
    </row>
    <row r="85" spans="1:3">
      <c r="A85" s="358">
        <v>2014</v>
      </c>
      <c r="B85">
        <v>909.49144915721399</v>
      </c>
      <c r="C85">
        <v>1093.20854089105</v>
      </c>
    </row>
    <row r="86" spans="1:3">
      <c r="A86" s="358">
        <v>2015</v>
      </c>
      <c r="B86">
        <v>913.92544791377406</v>
      </c>
      <c r="C86">
        <v>1096.65734127991</v>
      </c>
    </row>
    <row r="87" spans="1:3">
      <c r="A87" s="358">
        <v>2016</v>
      </c>
      <c r="B87">
        <v>924.9392153090821</v>
      </c>
      <c r="C87">
        <v>1107.85636561875</v>
      </c>
    </row>
    <row r="88" spans="1:3">
      <c r="A88" s="358">
        <v>2017</v>
      </c>
      <c r="B88">
        <v>943.00107511786211</v>
      </c>
      <c r="C88">
        <v>1133.34288689707</v>
      </c>
    </row>
    <row r="89" spans="1:3">
      <c r="A89" s="358">
        <v>2018</v>
      </c>
      <c r="B89">
        <v>970.41689676342503</v>
      </c>
      <c r="C89">
        <v>1170.2525051678801</v>
      </c>
    </row>
    <row r="90" spans="1:3">
      <c r="A90" s="358">
        <v>2019</v>
      </c>
      <c r="B90">
        <v>1005.08927925103</v>
      </c>
      <c r="C90">
        <v>1209.93900485576</v>
      </c>
    </row>
    <row r="91" spans="1:3">
      <c r="A91" s="358">
        <v>2020</v>
      </c>
      <c r="B91">
        <v>1041.9948771786001</v>
      </c>
      <c r="C91">
        <v>1250.75197084447</v>
      </c>
    </row>
    <row r="92" spans="1:3">
      <c r="A92" s="358">
        <v>2021</v>
      </c>
      <c r="B92">
        <v>1082.7724697513502</v>
      </c>
      <c r="C92">
        <v>1294.10894067238</v>
      </c>
    </row>
    <row r="93" spans="1:3">
      <c r="A93" s="358">
        <v>2022</v>
      </c>
      <c r="B93">
        <v>1143.44558285689</v>
      </c>
      <c r="C93">
        <v>1367.9952489883699</v>
      </c>
    </row>
    <row r="128" spans="1:1">
      <c r="A128" s="476" t="s">
        <v>561</v>
      </c>
    </row>
    <row r="129" spans="1:1">
      <c r="A129" s="476" t="s">
        <v>562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A71B7-F442-46E3-822B-115B23A1B9F6}">
  <sheetPr codeName="Folha10"/>
  <dimension ref="A1:P444"/>
  <sheetViews>
    <sheetView topLeftCell="D47" zoomScaleNormal="100" workbookViewId="0">
      <selection activeCell="J56" sqref="J56"/>
    </sheetView>
  </sheetViews>
  <sheetFormatPr defaultRowHeight="12.75"/>
  <cols>
    <col min="4" max="4" width="13.5703125" customWidth="1"/>
    <col min="9" max="9" width="18.7109375" bestFit="1" customWidth="1"/>
    <col min="10" max="10" width="23.42578125" bestFit="1" customWidth="1"/>
    <col min="11" max="11" width="9.7109375" bestFit="1" customWidth="1"/>
    <col min="12" max="13" width="11.140625" bestFit="1" customWidth="1"/>
    <col min="14" max="18" width="9.42578125" bestFit="1" customWidth="1"/>
    <col min="19" max="19" width="10.42578125" bestFit="1" customWidth="1"/>
    <col min="20" max="24" width="9.42578125" bestFit="1" customWidth="1"/>
    <col min="25" max="25" width="8.42578125" bestFit="1" customWidth="1"/>
    <col min="26" max="33" width="9.42578125" bestFit="1" customWidth="1"/>
    <col min="34" max="35" width="8.42578125" bestFit="1" customWidth="1"/>
    <col min="36" max="48" width="9.42578125" bestFit="1" customWidth="1"/>
    <col min="49" max="49" width="8.42578125" bestFit="1" customWidth="1"/>
    <col min="50" max="57" width="9.42578125" bestFit="1" customWidth="1"/>
    <col min="58" max="58" width="8.42578125" bestFit="1" customWidth="1"/>
    <col min="59" max="69" width="9.42578125" bestFit="1" customWidth="1"/>
    <col min="70" max="70" width="10.42578125" bestFit="1" customWidth="1"/>
  </cols>
  <sheetData>
    <row r="1" spans="1:14">
      <c r="N1" s="334" t="s">
        <v>351</v>
      </c>
    </row>
    <row r="2" spans="1:14">
      <c r="A2" s="334" t="s">
        <v>342</v>
      </c>
    </row>
    <row r="4" spans="1:14">
      <c r="A4" s="334" t="s">
        <v>262</v>
      </c>
      <c r="B4" s="334" t="s">
        <v>343</v>
      </c>
      <c r="C4" s="334" t="s">
        <v>263</v>
      </c>
      <c r="D4" s="334" t="s">
        <v>344</v>
      </c>
      <c r="E4" s="334" t="s">
        <v>345</v>
      </c>
    </row>
    <row r="5" spans="1:14">
      <c r="A5">
        <f>+'q17'!$C$4</f>
        <v>2012</v>
      </c>
      <c r="B5" t="str">
        <f>+Aux!$A$14</f>
        <v xml:space="preserve">A - Agricultura, produção animal, caça, floresta e pesca </v>
      </c>
      <c r="C5" t="str">
        <f>+LEFT(B5,1)</f>
        <v>A</v>
      </c>
      <c r="D5" s="334" t="s">
        <v>352</v>
      </c>
      <c r="E5" s="390">
        <f>+'q17'!$C$6</f>
        <v>709.31408527707606</v>
      </c>
      <c r="I5" s="357" t="s">
        <v>348</v>
      </c>
      <c r="J5" s="357" t="s">
        <v>330</v>
      </c>
    </row>
    <row r="6" spans="1:14">
      <c r="A6">
        <f>+'q17'!$C$4</f>
        <v>2012</v>
      </c>
      <c r="B6" t="str">
        <f>+Aux!$A$15</f>
        <v>B - Indústrias extrativas</v>
      </c>
      <c r="C6" t="str">
        <f t="shared" ref="C6:C69" si="0">+LEFT(B6,1)</f>
        <v>B</v>
      </c>
      <c r="D6" s="334" t="s">
        <v>352</v>
      </c>
      <c r="E6" s="390">
        <f>+'q17'!$C$7</f>
        <v>909.41963441491703</v>
      </c>
      <c r="J6" t="s">
        <v>75</v>
      </c>
      <c r="L6" t="s">
        <v>727</v>
      </c>
      <c r="M6" t="s">
        <v>329</v>
      </c>
    </row>
    <row r="7" spans="1:14">
      <c r="A7">
        <f>+'q17'!$C$4</f>
        <v>2012</v>
      </c>
      <c r="B7" t="str">
        <f>+Aux!$A$16</f>
        <v>C - Ind. transformadoras</v>
      </c>
      <c r="C7" t="str">
        <f t="shared" si="0"/>
        <v>C</v>
      </c>
      <c r="D7" s="334" t="s">
        <v>352</v>
      </c>
      <c r="E7" s="390">
        <f>+'q17'!$C$8</f>
        <v>836.46267618588308</v>
      </c>
      <c r="I7" s="357" t="s">
        <v>328</v>
      </c>
      <c r="J7" t="s">
        <v>352</v>
      </c>
      <c r="K7" t="s">
        <v>353</v>
      </c>
    </row>
    <row r="8" spans="1:14">
      <c r="A8">
        <f>+'q17'!$C$4</f>
        <v>2012</v>
      </c>
      <c r="B8" t="str">
        <f>+Aux!$A$17</f>
        <v>D - Eletricidade, gás, vapor, água quente e fria e ar frio</v>
      </c>
      <c r="C8" t="str">
        <f t="shared" si="0"/>
        <v>D</v>
      </c>
      <c r="D8" s="334" t="s">
        <v>352</v>
      </c>
      <c r="E8" s="390">
        <f>+'q17'!$C$33</f>
        <v>2347.4893993855603</v>
      </c>
      <c r="I8" s="358">
        <v>2012</v>
      </c>
      <c r="J8" s="390">
        <v>836.46267618588308</v>
      </c>
      <c r="K8" s="390">
        <v>988.75687182708407</v>
      </c>
      <c r="L8" s="390">
        <v>1825.2195480129672</v>
      </c>
      <c r="M8" s="390">
        <v>1825.2195480129672</v>
      </c>
    </row>
    <row r="9" spans="1:14">
      <c r="A9">
        <f>+'q17'!$C$4</f>
        <v>2012</v>
      </c>
      <c r="B9" t="str">
        <f>+Aux!$A$18</f>
        <v>E - Captação, trat. e dist. água; saneam., gest. resíduos e desp.</v>
      </c>
      <c r="C9" t="str">
        <f t="shared" si="0"/>
        <v>E</v>
      </c>
      <c r="D9" s="334" t="s">
        <v>352</v>
      </c>
      <c r="E9" s="390">
        <f>+'q17'!$C$34</f>
        <v>879.21199829738896</v>
      </c>
      <c r="I9" s="358">
        <v>2013</v>
      </c>
      <c r="J9" s="390">
        <v>839.40630322254503</v>
      </c>
      <c r="K9" s="390">
        <v>996.63412584612513</v>
      </c>
      <c r="L9" s="390">
        <v>1836.0404290686702</v>
      </c>
      <c r="M9" s="390">
        <v>1836.0404290686702</v>
      </c>
    </row>
    <row r="10" spans="1:14">
      <c r="A10">
        <f>+'q17'!$C$4</f>
        <v>2012</v>
      </c>
      <c r="B10" t="str">
        <f>+Aux!$A$19</f>
        <v>F - Construção</v>
      </c>
      <c r="C10" t="str">
        <f t="shared" si="0"/>
        <v>F</v>
      </c>
      <c r="D10" s="334" t="s">
        <v>352</v>
      </c>
      <c r="E10" s="390">
        <f>+'q17'!$C$35</f>
        <v>806.69803934794004</v>
      </c>
      <c r="I10" s="358">
        <v>2014</v>
      </c>
      <c r="J10" s="390">
        <v>844.00682901366599</v>
      </c>
      <c r="K10" s="390">
        <v>1003.09180358052</v>
      </c>
      <c r="L10" s="390">
        <v>1847.098632594186</v>
      </c>
      <c r="M10" s="390">
        <v>1847.098632594186</v>
      </c>
    </row>
    <row r="11" spans="1:14">
      <c r="A11">
        <f>+'q17'!$C$4</f>
        <v>2012</v>
      </c>
      <c r="B11" t="str">
        <f>+Aux!$A$20</f>
        <v>G - Com. por grosso e a ret.; rep. de veíc. autom. e mot.</v>
      </c>
      <c r="C11" t="str">
        <f t="shared" si="0"/>
        <v>G</v>
      </c>
      <c r="D11" s="334" t="s">
        <v>352</v>
      </c>
      <c r="E11" s="390">
        <f>+'q17'!$C$36</f>
        <v>865.27399656330908</v>
      </c>
      <c r="I11" s="358">
        <v>2015</v>
      </c>
      <c r="J11" s="390">
        <v>856.12305859116407</v>
      </c>
      <c r="K11" s="390">
        <v>1015.8172835393801</v>
      </c>
      <c r="L11" s="390">
        <v>1871.9403421305442</v>
      </c>
      <c r="M11" s="390">
        <v>1871.9403421305442</v>
      </c>
    </row>
    <row r="12" spans="1:14">
      <c r="A12">
        <f>+'q17'!$C$4</f>
        <v>2012</v>
      </c>
      <c r="B12" t="str">
        <f>+Aux!$A$21</f>
        <v>H - Transportes e armazenagem</v>
      </c>
      <c r="C12" t="str">
        <f t="shared" si="0"/>
        <v>H</v>
      </c>
      <c r="D12" s="334" t="s">
        <v>352</v>
      </c>
      <c r="E12" s="390">
        <f>+'q17'!$C$37</f>
        <v>995.08957381331709</v>
      </c>
      <c r="I12" s="358">
        <v>2016</v>
      </c>
      <c r="J12" s="390">
        <v>870.08486223409204</v>
      </c>
      <c r="K12" s="390">
        <v>1031.59799499223</v>
      </c>
      <c r="L12" s="390">
        <v>1901.6828572263221</v>
      </c>
      <c r="M12" s="390">
        <v>1901.6828572263221</v>
      </c>
    </row>
    <row r="13" spans="1:14">
      <c r="A13">
        <f>+'q17'!$C$4</f>
        <v>2012</v>
      </c>
      <c r="B13" t="str">
        <f>+Aux!$A$22</f>
        <v>I - Alojamento, rest. e sim.</v>
      </c>
      <c r="C13" t="str">
        <f t="shared" si="0"/>
        <v>I</v>
      </c>
      <c r="D13" s="334" t="s">
        <v>352</v>
      </c>
      <c r="E13" s="390">
        <f>+'q17'!$C$38</f>
        <v>665.14247539857013</v>
      </c>
      <c r="I13" s="358">
        <v>2017</v>
      </c>
      <c r="J13" s="390">
        <v>895.89243994149103</v>
      </c>
      <c r="K13" s="390">
        <v>1068.4328290201402</v>
      </c>
      <c r="L13" s="390">
        <v>1964.3252689616311</v>
      </c>
      <c r="M13" s="390">
        <v>1964.3252689616311</v>
      </c>
    </row>
    <row r="14" spans="1:14">
      <c r="A14">
        <f>+'q17'!$C$4</f>
        <v>2012</v>
      </c>
      <c r="B14" t="str">
        <f>+Aux!$A$23</f>
        <v>J - Atividades de informação e de comunicação</v>
      </c>
      <c r="C14" t="str">
        <f t="shared" si="0"/>
        <v>J</v>
      </c>
      <c r="D14" s="334" t="s">
        <v>352</v>
      </c>
      <c r="E14" s="390">
        <f>+'q17'!$C$39</f>
        <v>1523.06483792322</v>
      </c>
      <c r="I14" s="358">
        <v>2018</v>
      </c>
      <c r="J14" s="390">
        <v>929.15451693602415</v>
      </c>
      <c r="K14" s="390">
        <v>1110.54337234992</v>
      </c>
      <c r="L14" s="390">
        <v>2039.6978892859443</v>
      </c>
      <c r="M14" s="390">
        <v>2039.6978892859443</v>
      </c>
    </row>
    <row r="15" spans="1:14">
      <c r="A15">
        <f>+'q17'!$C$4</f>
        <v>2012</v>
      </c>
      <c r="B15" t="str">
        <f>+Aux!$A$24</f>
        <v>K - Atividades financeiras e de seguros</v>
      </c>
      <c r="C15" t="str">
        <f t="shared" si="0"/>
        <v>K</v>
      </c>
      <c r="D15" s="334" t="s">
        <v>352</v>
      </c>
      <c r="E15" s="390">
        <f>+'q17'!$C$40</f>
        <v>1580.93139130435</v>
      </c>
      <c r="I15" s="358">
        <v>2019</v>
      </c>
      <c r="J15" s="390">
        <v>964.71261065318311</v>
      </c>
      <c r="K15" s="390">
        <v>1154.9381361412102</v>
      </c>
      <c r="L15" s="390">
        <v>2119.6507467943934</v>
      </c>
      <c r="M15" s="390">
        <v>2119.6507467943934</v>
      </c>
    </row>
    <row r="16" spans="1:14">
      <c r="A16">
        <f>+'q17'!$C$4</f>
        <v>2012</v>
      </c>
      <c r="B16" t="str">
        <f>+Aux!$A$25</f>
        <v>L - Atividades imobiliárias</v>
      </c>
      <c r="C16" t="str">
        <f t="shared" si="0"/>
        <v>L</v>
      </c>
      <c r="D16" s="334" t="s">
        <v>352</v>
      </c>
      <c r="E16" s="390">
        <f>+'q17'!$C$41</f>
        <v>974.00191556895709</v>
      </c>
      <c r="I16" s="358">
        <v>2020</v>
      </c>
      <c r="J16" s="390">
        <v>1003.2084417479001</v>
      </c>
      <c r="K16" s="390">
        <v>1198.0430402166501</v>
      </c>
      <c r="L16" s="390">
        <v>2201.2514819645503</v>
      </c>
      <c r="M16" s="390">
        <v>2201.2514819645503</v>
      </c>
    </row>
    <row r="17" spans="1:13">
      <c r="A17">
        <f>+'q17'!$C$4</f>
        <v>2012</v>
      </c>
      <c r="B17" t="str">
        <f>+Aux!$A$26</f>
        <v>M - Atividades de consultoria, científicas, técnicas e similares</v>
      </c>
      <c r="C17" t="str">
        <f t="shared" si="0"/>
        <v>M</v>
      </c>
      <c r="D17" s="334" t="s">
        <v>352</v>
      </c>
      <c r="E17" s="390">
        <f>+'q17'!$C$42</f>
        <v>1203.5435557061401</v>
      </c>
      <c r="I17" s="358">
        <v>2021</v>
      </c>
      <c r="J17" s="390">
        <v>1031.02559057797</v>
      </c>
      <c r="K17" s="390">
        <v>1224.7920291855</v>
      </c>
      <c r="L17" s="390">
        <v>2255.8176197634702</v>
      </c>
      <c r="M17" s="390">
        <v>2255.8176197634702</v>
      </c>
    </row>
    <row r="18" spans="1:13">
      <c r="A18">
        <f>+'q17'!$C$4</f>
        <v>2012</v>
      </c>
      <c r="B18" t="str">
        <f>+Aux!$A$27</f>
        <v>N - Atividades administrativas e dos serviços de apoio</v>
      </c>
      <c r="C18" t="str">
        <f t="shared" si="0"/>
        <v>N</v>
      </c>
      <c r="D18" s="334" t="s">
        <v>352</v>
      </c>
      <c r="E18" s="390">
        <f>+'q17'!$C$43</f>
        <v>778.43652847668909</v>
      </c>
      <c r="I18" s="358">
        <v>2022</v>
      </c>
      <c r="J18" s="390">
        <v>1095.17302564704</v>
      </c>
      <c r="K18" s="390">
        <v>1302.5883482423701</v>
      </c>
      <c r="L18" s="390">
        <v>2397.7613738894102</v>
      </c>
      <c r="M18" s="390">
        <v>2397.7613738894102</v>
      </c>
    </row>
    <row r="19" spans="1:13">
      <c r="A19">
        <f>+'q17'!$C$4</f>
        <v>2012</v>
      </c>
      <c r="B19" t="str">
        <f>+Aux!$A$28</f>
        <v>O - Administração pública e defesa; segurança social obrigatória</v>
      </c>
      <c r="C19" t="str">
        <f t="shared" si="0"/>
        <v>O</v>
      </c>
      <c r="D19" s="334" t="s">
        <v>352</v>
      </c>
      <c r="E19" s="390">
        <f>+'q17'!$C$44</f>
        <v>898.74943544951009</v>
      </c>
      <c r="I19" s="358" t="s">
        <v>329</v>
      </c>
      <c r="J19" s="390">
        <v>10165.250354750959</v>
      </c>
      <c r="K19" s="390">
        <v>12095.23583494113</v>
      </c>
      <c r="L19" s="390">
        <v>22260.486189692092</v>
      </c>
      <c r="M19" s="390">
        <v>22260.486189692092</v>
      </c>
    </row>
    <row r="20" spans="1:13">
      <c r="A20">
        <f>+'q17'!$C$4</f>
        <v>2012</v>
      </c>
      <c r="B20" t="str">
        <f>+Aux!$A$29</f>
        <v>P - Educação</v>
      </c>
      <c r="C20" t="str">
        <f t="shared" si="0"/>
        <v>P</v>
      </c>
      <c r="D20" s="334" t="s">
        <v>352</v>
      </c>
      <c r="E20" s="390">
        <f>+'q17'!$C$45</f>
        <v>1129.3833492752599</v>
      </c>
    </row>
    <row r="21" spans="1:13">
      <c r="A21">
        <f>+'q17'!$C$4</f>
        <v>2012</v>
      </c>
      <c r="B21" t="str">
        <f>+Aux!$A$30</f>
        <v>Q - Ativ. de saúde humana e apoio social</v>
      </c>
      <c r="C21" t="str">
        <f t="shared" si="0"/>
        <v>Q</v>
      </c>
      <c r="D21" s="334" t="s">
        <v>352</v>
      </c>
      <c r="E21" s="390">
        <f>+'q17'!$C$46</f>
        <v>814.83935037014112</v>
      </c>
    </row>
    <row r="22" spans="1:13">
      <c r="A22">
        <f>+'q17'!$C$4</f>
        <v>2012</v>
      </c>
      <c r="B22" t="str">
        <f>+Aux!$A$31</f>
        <v>R - Atividades artísticas, de espectáculos, desp. e recreativas</v>
      </c>
      <c r="C22" t="str">
        <f t="shared" si="0"/>
        <v>R</v>
      </c>
      <c r="D22" s="334" t="s">
        <v>352</v>
      </c>
      <c r="E22" s="390">
        <f>+'q17'!$C$47</f>
        <v>1516.9304159477399</v>
      </c>
    </row>
    <row r="23" spans="1:13">
      <c r="A23">
        <f>+'q17'!$C$4</f>
        <v>2012</v>
      </c>
      <c r="B23" t="str">
        <f>+Aux!$A$32</f>
        <v>S - Outras atividades de serviços</v>
      </c>
      <c r="C23" t="str">
        <f t="shared" si="0"/>
        <v>S</v>
      </c>
      <c r="D23" s="334" t="s">
        <v>352</v>
      </c>
      <c r="E23" s="390">
        <f>+'q17'!$C$48</f>
        <v>845.17285477785504</v>
      </c>
    </row>
    <row r="24" spans="1:13">
      <c r="A24">
        <f>+'q17'!$C$4</f>
        <v>2012</v>
      </c>
      <c r="B24" t="str">
        <f>+Aux!$A$33</f>
        <v>U - Ativ. org. interna. e outras instituições extra-territoriais</v>
      </c>
      <c r="C24" t="str">
        <f t="shared" si="0"/>
        <v>U</v>
      </c>
      <c r="D24" s="334" t="s">
        <v>352</v>
      </c>
      <c r="E24" s="390">
        <f>+'q17'!$C$49</f>
        <v>1975.48822222222</v>
      </c>
    </row>
    <row r="25" spans="1:13">
      <c r="A25">
        <f>+'q17'!$D$4</f>
        <v>2013</v>
      </c>
      <c r="B25" t="str">
        <f>+Aux!$A$14</f>
        <v xml:space="preserve">A - Agricultura, produção animal, caça, floresta e pesca </v>
      </c>
      <c r="C25" t="str">
        <f t="shared" si="0"/>
        <v>A</v>
      </c>
      <c r="D25" s="334" t="s">
        <v>352</v>
      </c>
      <c r="E25" s="390">
        <f>+'q17'!$D$6</f>
        <v>684.70209934705304</v>
      </c>
      <c r="I25" s="357" t="s">
        <v>348</v>
      </c>
      <c r="J25" s="357" t="s">
        <v>330</v>
      </c>
    </row>
    <row r="26" spans="1:13">
      <c r="A26">
        <f>+'q17'!$D$4</f>
        <v>2013</v>
      </c>
      <c r="B26" t="str">
        <f>+Aux!$A$15</f>
        <v>B - Indústrias extrativas</v>
      </c>
      <c r="C26" t="str">
        <f t="shared" si="0"/>
        <v>B</v>
      </c>
      <c r="D26" s="334" t="s">
        <v>352</v>
      </c>
      <c r="E26" s="390">
        <f>+'q17'!$D$7</f>
        <v>918.56127009883517</v>
      </c>
      <c r="I26" s="357" t="s">
        <v>328</v>
      </c>
      <c r="J26" t="s">
        <v>352</v>
      </c>
      <c r="K26" t="s">
        <v>353</v>
      </c>
      <c r="L26" t="s">
        <v>329</v>
      </c>
    </row>
    <row r="27" spans="1:13">
      <c r="A27">
        <f>+'q17'!$D$4</f>
        <v>2013</v>
      </c>
      <c r="B27" t="str">
        <f>+Aux!$A$16</f>
        <v>C - Ind. transformadoras</v>
      </c>
      <c r="C27" t="str">
        <f t="shared" si="0"/>
        <v>C</v>
      </c>
      <c r="D27" s="334" t="s">
        <v>352</v>
      </c>
      <c r="E27" s="390">
        <f>+'q17'!$D$8</f>
        <v>839.40630322254503</v>
      </c>
      <c r="I27" s="358">
        <v>2012</v>
      </c>
      <c r="J27" s="390">
        <v>836.46267618588308</v>
      </c>
      <c r="K27" s="390">
        <v>988.75687182708407</v>
      </c>
      <c r="L27" s="390">
        <v>1825.2195480129672</v>
      </c>
    </row>
    <row r="28" spans="1:13">
      <c r="A28">
        <f>+'q17'!$D$4</f>
        <v>2013</v>
      </c>
      <c r="B28" t="str">
        <f>+Aux!$A$17</f>
        <v>D - Eletricidade, gás, vapor, água quente e fria e ar frio</v>
      </c>
      <c r="C28" t="str">
        <f t="shared" si="0"/>
        <v>D</v>
      </c>
      <c r="D28" s="334" t="s">
        <v>352</v>
      </c>
      <c r="E28" s="390">
        <f>+'q17'!$D$33</f>
        <v>2395.9176109432201</v>
      </c>
      <c r="I28" s="358">
        <v>2013</v>
      </c>
      <c r="J28" s="390">
        <v>839.40630322254503</v>
      </c>
      <c r="K28" s="390">
        <v>996.63412584612513</v>
      </c>
      <c r="L28" s="390">
        <v>1836.0404290686702</v>
      </c>
    </row>
    <row r="29" spans="1:13">
      <c r="A29">
        <f>+'q17'!$D$4</f>
        <v>2013</v>
      </c>
      <c r="B29" t="str">
        <f>+Aux!$A$18</f>
        <v>E - Captação, trat. e dist. água; saneam., gest. resíduos e desp.</v>
      </c>
      <c r="C29" t="str">
        <f t="shared" si="0"/>
        <v>E</v>
      </c>
      <c r="D29" s="334" t="s">
        <v>352</v>
      </c>
      <c r="E29" s="390">
        <f>+'q17'!$D$34</f>
        <v>880.62721842149199</v>
      </c>
      <c r="I29" s="358">
        <v>2014</v>
      </c>
      <c r="J29" s="390">
        <v>844.00682901366599</v>
      </c>
      <c r="K29" s="390">
        <v>1003.09180358052</v>
      </c>
      <c r="L29" s="390">
        <v>1847.098632594186</v>
      </c>
    </row>
    <row r="30" spans="1:13">
      <c r="A30">
        <f>+'q17'!$D$4</f>
        <v>2013</v>
      </c>
      <c r="B30" t="str">
        <f>+Aux!$A$19</f>
        <v>F - Construção</v>
      </c>
      <c r="C30" t="str">
        <f t="shared" si="0"/>
        <v>F</v>
      </c>
      <c r="D30" s="334" t="s">
        <v>352</v>
      </c>
      <c r="E30" s="390">
        <f>+'q17'!$D$35</f>
        <v>805.13499129282297</v>
      </c>
      <c r="I30" s="358">
        <v>2015</v>
      </c>
      <c r="J30" s="390">
        <v>856.12305859116407</v>
      </c>
      <c r="K30" s="390">
        <v>1015.8172835393801</v>
      </c>
      <c r="L30" s="390">
        <v>1871.9403421305442</v>
      </c>
    </row>
    <row r="31" spans="1:13">
      <c r="A31">
        <f>+'q17'!$D$4</f>
        <v>2013</v>
      </c>
      <c r="B31" t="str">
        <f>+Aux!$A$20</f>
        <v>G - Com. por grosso e a ret.; rep. de veíc. autom. e mot.</v>
      </c>
      <c r="C31" t="str">
        <f t="shared" si="0"/>
        <v>G</v>
      </c>
      <c r="D31" s="334" t="s">
        <v>352</v>
      </c>
      <c r="E31" s="390">
        <f>+'q17'!$D$36</f>
        <v>861.46923289776305</v>
      </c>
      <c r="I31" s="358">
        <v>2016</v>
      </c>
      <c r="J31" s="390">
        <v>870.08486223409204</v>
      </c>
      <c r="K31" s="390">
        <v>1031.59799499223</v>
      </c>
      <c r="L31" s="390">
        <v>1901.6828572263221</v>
      </c>
    </row>
    <row r="32" spans="1:13">
      <c r="A32">
        <f>+'q17'!$D$4</f>
        <v>2013</v>
      </c>
      <c r="B32" t="str">
        <f>+Aux!$A$21</f>
        <v>H - Transportes e armazenagem</v>
      </c>
      <c r="C32" t="str">
        <f t="shared" si="0"/>
        <v>H</v>
      </c>
      <c r="D32" s="334" t="s">
        <v>352</v>
      </c>
      <c r="E32" s="390">
        <f>+'q17'!$D$37</f>
        <v>990.1964324080991</v>
      </c>
      <c r="I32" s="358">
        <v>2017</v>
      </c>
      <c r="J32" s="390">
        <v>895.89243994149103</v>
      </c>
      <c r="K32" s="390">
        <v>1068.4328290201402</v>
      </c>
      <c r="L32" s="390">
        <v>1964.3252689616311</v>
      </c>
    </row>
    <row r="33" spans="1:12">
      <c r="A33">
        <f>+'q17'!$D$4</f>
        <v>2013</v>
      </c>
      <c r="B33" t="str">
        <f>+Aux!$A$22</f>
        <v>I - Alojamento, rest. e sim.</v>
      </c>
      <c r="C33" t="str">
        <f t="shared" si="0"/>
        <v>I</v>
      </c>
      <c r="D33" s="334" t="s">
        <v>352</v>
      </c>
      <c r="E33" s="390">
        <f>+'q17'!$D$38</f>
        <v>663.49358903478503</v>
      </c>
      <c r="I33" s="358">
        <v>2018</v>
      </c>
      <c r="J33" s="390">
        <v>929.15451693602415</v>
      </c>
      <c r="K33" s="390">
        <v>1110.54337234992</v>
      </c>
      <c r="L33" s="390">
        <v>2039.6978892859443</v>
      </c>
    </row>
    <row r="34" spans="1:12">
      <c r="A34">
        <f>+'q17'!$D$4</f>
        <v>2013</v>
      </c>
      <c r="B34" t="str">
        <f>+Aux!$A$23</f>
        <v>J - Atividades de informação e de comunicação</v>
      </c>
      <c r="C34" t="str">
        <f t="shared" si="0"/>
        <v>J</v>
      </c>
      <c r="D34" s="334" t="s">
        <v>352</v>
      </c>
      <c r="E34" s="390">
        <f>+'q17'!$D$39</f>
        <v>1515.3957406658599</v>
      </c>
      <c r="I34" s="358">
        <v>2019</v>
      </c>
      <c r="J34" s="390">
        <v>964.71261065318311</v>
      </c>
      <c r="K34" s="390">
        <v>1154.9381361412102</v>
      </c>
      <c r="L34" s="390">
        <v>2119.6507467943934</v>
      </c>
    </row>
    <row r="35" spans="1:12">
      <c r="A35">
        <f>+'q17'!$D$4</f>
        <v>2013</v>
      </c>
      <c r="B35" t="str">
        <f>+Aux!$A$24</f>
        <v>K - Atividades financeiras e de seguros</v>
      </c>
      <c r="C35" t="str">
        <f t="shared" si="0"/>
        <v>K</v>
      </c>
      <c r="D35" s="334" t="s">
        <v>352</v>
      </c>
      <c r="E35" s="390">
        <f>+'q17'!$D$40</f>
        <v>1577.8276242433899</v>
      </c>
      <c r="I35" s="358">
        <v>2020</v>
      </c>
      <c r="J35" s="390">
        <v>1003.2084417479001</v>
      </c>
      <c r="K35" s="390">
        <v>1198.0430402166501</v>
      </c>
      <c r="L35" s="390">
        <v>2201.2514819645503</v>
      </c>
    </row>
    <row r="36" spans="1:12">
      <c r="A36">
        <f>+'q17'!$D$4</f>
        <v>2013</v>
      </c>
      <c r="B36" t="str">
        <f>+Aux!$A$25</f>
        <v>L - Atividades imobiliárias</v>
      </c>
      <c r="C36" t="str">
        <f t="shared" si="0"/>
        <v>L</v>
      </c>
      <c r="D36" s="334" t="s">
        <v>352</v>
      </c>
      <c r="E36" s="390">
        <f>+'q17'!$D$41</f>
        <v>958.98461345422197</v>
      </c>
      <c r="I36" s="358">
        <v>2021</v>
      </c>
      <c r="J36" s="390">
        <v>1031.02559057797</v>
      </c>
      <c r="K36" s="390">
        <v>1224.7920291855</v>
      </c>
      <c r="L36" s="390">
        <v>2255.8176197634702</v>
      </c>
    </row>
    <row r="37" spans="1:12">
      <c r="A37">
        <f>+'q17'!$D$4</f>
        <v>2013</v>
      </c>
      <c r="B37" t="str">
        <f>+Aux!$A$26</f>
        <v>M - Atividades de consultoria, científicas, técnicas e similares</v>
      </c>
      <c r="C37" t="str">
        <f t="shared" si="0"/>
        <v>M</v>
      </c>
      <c r="D37" s="334" t="s">
        <v>352</v>
      </c>
      <c r="E37" s="390">
        <f>+'q17'!$D$42</f>
        <v>1193.0417860733301</v>
      </c>
      <c r="I37" s="358">
        <v>2022</v>
      </c>
      <c r="J37" s="390">
        <v>1095.17302564704</v>
      </c>
      <c r="K37" s="390">
        <v>1302.5883482423701</v>
      </c>
      <c r="L37" s="390">
        <v>2397.7613738894102</v>
      </c>
    </row>
    <row r="38" spans="1:12">
      <c r="A38">
        <f>+'q17'!$D$4</f>
        <v>2013</v>
      </c>
      <c r="B38" t="str">
        <f>+Aux!$A$27</f>
        <v>N - Atividades administrativas e dos serviços de apoio</v>
      </c>
      <c r="C38" t="str">
        <f t="shared" si="0"/>
        <v>N</v>
      </c>
      <c r="D38" s="334" t="s">
        <v>352</v>
      </c>
      <c r="E38" s="390">
        <f>+'q17'!$D$43</f>
        <v>767.09408516154303</v>
      </c>
      <c r="I38" s="358" t="s">
        <v>329</v>
      </c>
      <c r="J38" s="390">
        <v>10165.250354750959</v>
      </c>
      <c r="K38" s="390">
        <v>12095.23583494113</v>
      </c>
      <c r="L38" s="390">
        <v>22260.486189692092</v>
      </c>
    </row>
    <row r="39" spans="1:12">
      <c r="A39">
        <f>+'q17'!$D$4</f>
        <v>2013</v>
      </c>
      <c r="B39" t="str">
        <f>+Aux!$A$28</f>
        <v>O - Administração pública e defesa; segurança social obrigatória</v>
      </c>
      <c r="C39" t="str">
        <f t="shared" si="0"/>
        <v>O</v>
      </c>
      <c r="D39" s="334" t="s">
        <v>352</v>
      </c>
      <c r="E39" s="390">
        <f>+'q17'!$D$44</f>
        <v>874.368605257441</v>
      </c>
    </row>
    <row r="40" spans="1:12">
      <c r="A40">
        <f>+'q17'!$D$4</f>
        <v>2013</v>
      </c>
      <c r="B40" t="str">
        <f>+Aux!$A$29</f>
        <v>P - Educação</v>
      </c>
      <c r="C40" t="str">
        <f t="shared" si="0"/>
        <v>P</v>
      </c>
      <c r="D40" s="334" t="s">
        <v>352</v>
      </c>
      <c r="E40" s="390">
        <f>+'q17'!$D$45</f>
        <v>1137.0320941376101</v>
      </c>
    </row>
    <row r="41" spans="1:12">
      <c r="A41">
        <f>+'q17'!$D$4</f>
        <v>2013</v>
      </c>
      <c r="B41" t="str">
        <f>+Aux!$A$30</f>
        <v>Q - Ativ. de saúde humana e apoio social</v>
      </c>
      <c r="C41" t="str">
        <f t="shared" si="0"/>
        <v>Q</v>
      </c>
      <c r="D41" s="334" t="s">
        <v>352</v>
      </c>
      <c r="E41" s="390">
        <f>+'q17'!$D$46</f>
        <v>820.32154632946106</v>
      </c>
      <c r="I41" s="357" t="s">
        <v>343</v>
      </c>
      <c r="J41" t="s">
        <v>728</v>
      </c>
    </row>
    <row r="42" spans="1:12">
      <c r="A42">
        <f>+'q17'!$D$4</f>
        <v>2013</v>
      </c>
      <c r="B42" t="str">
        <f>+Aux!$A$31</f>
        <v>R - Atividades artísticas, de espectáculos, desp. e recreativas</v>
      </c>
      <c r="C42" t="str">
        <f t="shared" si="0"/>
        <v>R</v>
      </c>
      <c r="D42" s="334" t="s">
        <v>352</v>
      </c>
      <c r="E42" s="390">
        <f>+'q17'!$D$47</f>
        <v>1457.94635679315</v>
      </c>
    </row>
    <row r="43" spans="1:12">
      <c r="A43">
        <f>+'q17'!$D$4</f>
        <v>2013</v>
      </c>
      <c r="B43" t="str">
        <f>+Aux!$A$32</f>
        <v>S - Outras atividades de serviços</v>
      </c>
      <c r="C43" t="str">
        <f t="shared" si="0"/>
        <v>S</v>
      </c>
      <c r="D43" s="334" t="s">
        <v>352</v>
      </c>
      <c r="E43" s="390">
        <f>+'q17'!$D$48</f>
        <v>843.58706719739598</v>
      </c>
      <c r="I43" s="357" t="s">
        <v>348</v>
      </c>
      <c r="J43" s="357" t="s">
        <v>330</v>
      </c>
    </row>
    <row r="44" spans="1:12">
      <c r="A44">
        <f>+'q17'!$D$4</f>
        <v>2013</v>
      </c>
      <c r="B44" t="str">
        <f>+Aux!$A$33</f>
        <v>U - Ativ. org. interna. e outras instituições extra-territoriais</v>
      </c>
      <c r="C44" t="str">
        <f t="shared" si="0"/>
        <v>U</v>
      </c>
      <c r="D44" s="334" t="s">
        <v>352</v>
      </c>
      <c r="E44" s="390">
        <f>+'q17'!$D$49</f>
        <v>1810.3555555555602</v>
      </c>
      <c r="I44" s="357" t="s">
        <v>328</v>
      </c>
    </row>
    <row r="45" spans="1:12">
      <c r="A45">
        <f>+'q17'!$E$4</f>
        <v>2014</v>
      </c>
      <c r="B45" t="str">
        <f>+Aux!$A$14</f>
        <v xml:space="preserve">A - Agricultura, produção animal, caça, floresta e pesca </v>
      </c>
      <c r="C45" t="str">
        <f t="shared" si="0"/>
        <v>A</v>
      </c>
      <c r="D45" s="334" t="s">
        <v>352</v>
      </c>
      <c r="E45" s="390">
        <f>+'q17'!$E$6</f>
        <v>687.92314514818202</v>
      </c>
    </row>
    <row r="46" spans="1:12">
      <c r="A46">
        <f>+'q17'!$E$4</f>
        <v>2014</v>
      </c>
      <c r="B46" t="str">
        <f>+Aux!$A$15</f>
        <v>B - Indústrias extrativas</v>
      </c>
      <c r="C46" t="str">
        <f t="shared" si="0"/>
        <v>B</v>
      </c>
      <c r="D46" s="334" t="s">
        <v>352</v>
      </c>
      <c r="E46" s="390">
        <f>+'q17'!$E$7</f>
        <v>934.73887812263411</v>
      </c>
    </row>
    <row r="47" spans="1:12">
      <c r="A47">
        <f>+'q17'!$E$4</f>
        <v>2014</v>
      </c>
      <c r="B47" t="str">
        <f>+Aux!$A$16</f>
        <v>C - Ind. transformadoras</v>
      </c>
      <c r="C47" t="str">
        <f t="shared" si="0"/>
        <v>C</v>
      </c>
      <c r="D47" s="334" t="s">
        <v>352</v>
      </c>
      <c r="E47" s="390">
        <f>+'q17'!$E$8</f>
        <v>844.00682901366599</v>
      </c>
    </row>
    <row r="48" spans="1:12">
      <c r="A48">
        <f>+'q17'!$E$4</f>
        <v>2014</v>
      </c>
      <c r="B48" t="str">
        <f>+Aux!$A$17</f>
        <v>D - Eletricidade, gás, vapor, água quente e fria e ar frio</v>
      </c>
      <c r="C48" t="str">
        <f t="shared" si="0"/>
        <v>D</v>
      </c>
      <c r="D48" s="334" t="s">
        <v>352</v>
      </c>
      <c r="E48" s="390">
        <f>+'q17'!$E$33</f>
        <v>2065.0708853992601</v>
      </c>
    </row>
    <row r="49" spans="1:5">
      <c r="A49">
        <f>+'q17'!$E$4</f>
        <v>2014</v>
      </c>
      <c r="B49" t="str">
        <f>+Aux!$A$18</f>
        <v>E - Captação, trat. e dist. água; saneam., gest. resíduos e desp.</v>
      </c>
      <c r="C49" t="str">
        <f t="shared" si="0"/>
        <v>E</v>
      </c>
      <c r="D49" s="334" t="s">
        <v>352</v>
      </c>
      <c r="E49" s="390">
        <f>+'q17'!$E$34</f>
        <v>885.35339179967298</v>
      </c>
    </row>
    <row r="50" spans="1:5">
      <c r="A50">
        <f>+'q17'!$E$4</f>
        <v>2014</v>
      </c>
      <c r="B50" t="str">
        <f>+Aux!$A$19</f>
        <v>F - Construção</v>
      </c>
      <c r="C50" t="str">
        <f t="shared" si="0"/>
        <v>F</v>
      </c>
      <c r="D50" s="334" t="s">
        <v>352</v>
      </c>
      <c r="E50" s="390">
        <f>+'q17'!$E$35</f>
        <v>800.210134121686</v>
      </c>
    </row>
    <row r="51" spans="1:5">
      <c r="A51">
        <f>+'q17'!$E$4</f>
        <v>2014</v>
      </c>
      <c r="B51" t="str">
        <f>+Aux!$A$20</f>
        <v>G - Com. por grosso e a ret.; rep. de veíc. autom. e mot.</v>
      </c>
      <c r="C51" t="str">
        <f t="shared" si="0"/>
        <v>G</v>
      </c>
      <c r="D51" s="334" t="s">
        <v>352</v>
      </c>
      <c r="E51" s="390">
        <f>+'q17'!$E$36</f>
        <v>862.67048918128114</v>
      </c>
    </row>
    <row r="52" spans="1:5">
      <c r="A52">
        <f>+'q17'!$E$4</f>
        <v>2014</v>
      </c>
      <c r="B52" t="str">
        <f>+Aux!$A$21</f>
        <v>H - Transportes e armazenagem</v>
      </c>
      <c r="C52" t="str">
        <f t="shared" si="0"/>
        <v>H</v>
      </c>
      <c r="D52" s="334" t="s">
        <v>352</v>
      </c>
      <c r="E52" s="390">
        <f>+'q17'!$E$37</f>
        <v>977.21577401380512</v>
      </c>
    </row>
    <row r="53" spans="1:5">
      <c r="A53">
        <f>+'q17'!$E$4</f>
        <v>2014</v>
      </c>
      <c r="B53" t="str">
        <f>+Aux!$A$22</f>
        <v>I - Alojamento, rest. e sim.</v>
      </c>
      <c r="C53" t="str">
        <f t="shared" si="0"/>
        <v>I</v>
      </c>
      <c r="D53" s="334" t="s">
        <v>352</v>
      </c>
      <c r="E53" s="390">
        <f>+'q17'!$E$38</f>
        <v>669.99232723917498</v>
      </c>
    </row>
    <row r="54" spans="1:5">
      <c r="A54">
        <f>+'q17'!$E$4</f>
        <v>2014</v>
      </c>
      <c r="B54" t="str">
        <f>+Aux!$A$23</f>
        <v>J - Atividades de informação e de comunicação</v>
      </c>
      <c r="C54" t="str">
        <f t="shared" si="0"/>
        <v>J</v>
      </c>
      <c r="D54" s="334" t="s">
        <v>352</v>
      </c>
      <c r="E54" s="390">
        <f>+'q17'!$E$39</f>
        <v>1500.69470452417</v>
      </c>
    </row>
    <row r="55" spans="1:5">
      <c r="A55">
        <f>+'q17'!$E$4</f>
        <v>2014</v>
      </c>
      <c r="B55" t="str">
        <f>+Aux!$A$24</f>
        <v>K - Atividades financeiras e de seguros</v>
      </c>
      <c r="C55" t="str">
        <f t="shared" si="0"/>
        <v>K</v>
      </c>
      <c r="D55" s="334" t="s">
        <v>352</v>
      </c>
      <c r="E55" s="390">
        <f>+'q17'!$E$40</f>
        <v>1572.9612425125501</v>
      </c>
    </row>
    <row r="56" spans="1:5">
      <c r="A56">
        <f>+'q17'!$E$4</f>
        <v>2014</v>
      </c>
      <c r="B56" t="str">
        <f>+Aux!$A$25</f>
        <v>L - Atividades imobiliárias</v>
      </c>
      <c r="C56" t="str">
        <f t="shared" si="0"/>
        <v>L</v>
      </c>
      <c r="D56" s="334" t="s">
        <v>352</v>
      </c>
      <c r="E56" s="390">
        <f>+'q17'!$E$41</f>
        <v>951.85174810070009</v>
      </c>
    </row>
    <row r="57" spans="1:5">
      <c r="A57">
        <f>+'q17'!$E$4</f>
        <v>2014</v>
      </c>
      <c r="B57" t="str">
        <f>+Aux!$A$26</f>
        <v>M - Atividades de consultoria, científicas, técnicas e similares</v>
      </c>
      <c r="C57" t="str">
        <f t="shared" si="0"/>
        <v>M</v>
      </c>
      <c r="D57" s="334" t="s">
        <v>352</v>
      </c>
      <c r="E57" s="390">
        <f>+'q17'!$E$42</f>
        <v>1170.24744384978</v>
      </c>
    </row>
    <row r="58" spans="1:5">
      <c r="A58">
        <f>+'q17'!$E$4</f>
        <v>2014</v>
      </c>
      <c r="B58" t="str">
        <f>+Aux!$A$27</f>
        <v>N - Atividades administrativas e dos serviços de apoio</v>
      </c>
      <c r="C58" t="str">
        <f t="shared" si="0"/>
        <v>N</v>
      </c>
      <c r="D58" s="334" t="s">
        <v>352</v>
      </c>
      <c r="E58" s="390">
        <f>+'q17'!$E$43</f>
        <v>772.15337029394504</v>
      </c>
    </row>
    <row r="59" spans="1:5">
      <c r="A59">
        <f>+'q17'!$E$4</f>
        <v>2014</v>
      </c>
      <c r="B59" t="str">
        <f>+Aux!$A$28</f>
        <v>O - Administração pública e defesa; segurança social obrigatória</v>
      </c>
      <c r="C59" t="str">
        <f t="shared" si="0"/>
        <v>O</v>
      </c>
      <c r="D59" s="334" t="s">
        <v>352</v>
      </c>
      <c r="E59" s="390">
        <f>+'q17'!$E$44</f>
        <v>880.98849613859306</v>
      </c>
    </row>
    <row r="60" spans="1:5">
      <c r="A60">
        <f>+'q17'!$E$4</f>
        <v>2014</v>
      </c>
      <c r="B60" t="str">
        <f>+Aux!$A$29</f>
        <v>P - Educação</v>
      </c>
      <c r="C60" t="str">
        <f t="shared" si="0"/>
        <v>P</v>
      </c>
      <c r="D60" s="334" t="s">
        <v>352</v>
      </c>
      <c r="E60" s="390">
        <f>+'q17'!$E$45</f>
        <v>1119.5386512001601</v>
      </c>
    </row>
    <row r="61" spans="1:5">
      <c r="A61">
        <f>+'q17'!$E$4</f>
        <v>2014</v>
      </c>
      <c r="B61" t="str">
        <f>+Aux!$A$30</f>
        <v>Q - Ativ. de saúde humana e apoio social</v>
      </c>
      <c r="C61" t="str">
        <f t="shared" si="0"/>
        <v>Q</v>
      </c>
      <c r="D61" s="334" t="s">
        <v>352</v>
      </c>
      <c r="E61" s="390">
        <f>+'q17'!$E$46</f>
        <v>821.86181171729697</v>
      </c>
    </row>
    <row r="62" spans="1:5">
      <c r="A62">
        <f>+'q17'!$E$4</f>
        <v>2014</v>
      </c>
      <c r="B62" t="str">
        <f>+Aux!$A$31</f>
        <v>R - Atividades artísticas, de espectáculos, desp. e recreativas</v>
      </c>
      <c r="C62" t="str">
        <f t="shared" si="0"/>
        <v>R</v>
      </c>
      <c r="D62" s="334" t="s">
        <v>352</v>
      </c>
      <c r="E62" s="390">
        <f>+'q17'!$E$47</f>
        <v>1383.3723070947699</v>
      </c>
    </row>
    <row r="63" spans="1:5">
      <c r="A63">
        <f>+'q17'!$E$4</f>
        <v>2014</v>
      </c>
      <c r="B63" t="str">
        <f>+Aux!$A$32</f>
        <v>S - Outras atividades de serviços</v>
      </c>
      <c r="C63" t="str">
        <f t="shared" si="0"/>
        <v>S</v>
      </c>
      <c r="D63" s="334" t="s">
        <v>352</v>
      </c>
      <c r="E63" s="390">
        <f>+'q17'!$E$48</f>
        <v>847.60340294025912</v>
      </c>
    </row>
    <row r="64" spans="1:5">
      <c r="A64">
        <f>+'q17'!$E$4</f>
        <v>2014</v>
      </c>
      <c r="B64" t="str">
        <f>+Aux!$A$33</f>
        <v>U - Ativ. org. interna. e outras instituições extra-territoriais</v>
      </c>
      <c r="C64" t="str">
        <f t="shared" si="0"/>
        <v>U</v>
      </c>
      <c r="D64" s="334" t="s">
        <v>352</v>
      </c>
      <c r="E64" s="390">
        <f>+'q17'!$E$49</f>
        <v>1772.7097435897401</v>
      </c>
    </row>
    <row r="65" spans="1:16">
      <c r="A65">
        <f>+'q17'!$F$4</f>
        <v>2015</v>
      </c>
      <c r="B65" t="str">
        <f>+Aux!$A$14</f>
        <v xml:space="preserve">A - Agricultura, produção animal, caça, floresta e pesca </v>
      </c>
      <c r="C65" t="str">
        <f t="shared" si="0"/>
        <v>A</v>
      </c>
      <c r="D65" s="334" t="s">
        <v>352</v>
      </c>
      <c r="E65" s="390">
        <f>+'q17'!$F$6</f>
        <v>701.34431736112913</v>
      </c>
    </row>
    <row r="66" spans="1:16">
      <c r="A66">
        <f>+'q17'!$F$4</f>
        <v>2015</v>
      </c>
      <c r="B66" t="str">
        <f>+Aux!$A$15</f>
        <v>B - Indústrias extrativas</v>
      </c>
      <c r="C66" t="str">
        <f t="shared" si="0"/>
        <v>B</v>
      </c>
      <c r="D66" s="334" t="s">
        <v>352</v>
      </c>
      <c r="E66" s="390">
        <f>+'q17'!$F$7</f>
        <v>937.8072592368261</v>
      </c>
    </row>
    <row r="67" spans="1:16">
      <c r="A67">
        <f>+'q17'!$F$4</f>
        <v>2015</v>
      </c>
      <c r="B67" t="str">
        <f>+Aux!$A$16</f>
        <v>C - Ind. transformadoras</v>
      </c>
      <c r="C67" t="str">
        <f t="shared" si="0"/>
        <v>C</v>
      </c>
      <c r="D67" s="334" t="s">
        <v>352</v>
      </c>
      <c r="E67" s="390">
        <f>+'q17'!$F$8</f>
        <v>856.12305859116407</v>
      </c>
    </row>
    <row r="68" spans="1:16">
      <c r="A68">
        <f>+'q17'!$F$4</f>
        <v>2015</v>
      </c>
      <c r="B68" t="str">
        <f>+Aux!$A$17</f>
        <v>D - Eletricidade, gás, vapor, água quente e fria e ar frio</v>
      </c>
      <c r="C68" t="str">
        <f t="shared" si="0"/>
        <v>D</v>
      </c>
      <c r="D68" s="334" t="s">
        <v>352</v>
      </c>
      <c r="E68" s="390">
        <f>+'q17'!$F$33</f>
        <v>2091.50311708861</v>
      </c>
    </row>
    <row r="69" spans="1:16">
      <c r="A69">
        <f>+'q17'!$F$4</f>
        <v>2015</v>
      </c>
      <c r="B69" t="str">
        <f>+Aux!$A$18</f>
        <v>E - Captação, trat. e dist. água; saneam., gest. resíduos e desp.</v>
      </c>
      <c r="C69" t="str">
        <f t="shared" si="0"/>
        <v>E</v>
      </c>
      <c r="D69" s="334" t="s">
        <v>352</v>
      </c>
      <c r="E69" s="390">
        <f>+'q17'!$F$34</f>
        <v>893.71437909950009</v>
      </c>
      <c r="I69" s="334"/>
    </row>
    <row r="70" spans="1:16">
      <c r="A70">
        <f>+'q17'!$F$4</f>
        <v>2015</v>
      </c>
      <c r="B70" t="str">
        <f>+Aux!$A$19</f>
        <v>F - Construção</v>
      </c>
      <c r="C70" t="str">
        <f t="shared" ref="C70:C133" si="1">+LEFT(B70,1)</f>
        <v>F</v>
      </c>
      <c r="D70" s="334" t="s">
        <v>352</v>
      </c>
      <c r="E70" s="390">
        <f>+'q17'!$F$35</f>
        <v>796.21899502653002</v>
      </c>
    </row>
    <row r="71" spans="1:16">
      <c r="A71">
        <f>+'q17'!$F$4</f>
        <v>2015</v>
      </c>
      <c r="B71" t="str">
        <f>+Aux!$A$20</f>
        <v>G - Com. por grosso e a ret.; rep. de veíc. autom. e mot.</v>
      </c>
      <c r="C71" t="str">
        <f t="shared" si="1"/>
        <v>G</v>
      </c>
      <c r="D71" s="334" t="s">
        <v>352</v>
      </c>
      <c r="E71" s="390">
        <f>+'q17'!$F$36</f>
        <v>867.89261905765204</v>
      </c>
    </row>
    <row r="72" spans="1:16">
      <c r="A72">
        <f>+'q17'!$F$4</f>
        <v>2015</v>
      </c>
      <c r="B72" t="str">
        <f>+Aux!$A$21</f>
        <v>H - Transportes e armazenagem</v>
      </c>
      <c r="C72" t="str">
        <f t="shared" si="1"/>
        <v>H</v>
      </c>
      <c r="D72" s="334" t="s">
        <v>352</v>
      </c>
      <c r="E72" s="390">
        <f>+'q17'!$F$37</f>
        <v>988.24594925141707</v>
      </c>
      <c r="P72" s="389"/>
    </row>
    <row r="73" spans="1:16">
      <c r="A73">
        <f>+'q17'!$F$4</f>
        <v>2015</v>
      </c>
      <c r="B73" t="str">
        <f>+Aux!$A$22</f>
        <v>I - Alojamento, rest. e sim.</v>
      </c>
      <c r="C73" t="str">
        <f t="shared" si="1"/>
        <v>I</v>
      </c>
      <c r="D73" s="334" t="s">
        <v>352</v>
      </c>
      <c r="E73" s="390">
        <f>+'q17'!$F$38</f>
        <v>673.94495034677914</v>
      </c>
    </row>
    <row r="74" spans="1:16">
      <c r="A74">
        <f>+'q17'!$F$4</f>
        <v>2015</v>
      </c>
      <c r="B74" t="str">
        <f>+Aux!$A$23</f>
        <v>J - Atividades de informação e de comunicação</v>
      </c>
      <c r="C74" t="str">
        <f t="shared" si="1"/>
        <v>J</v>
      </c>
      <c r="D74" s="334" t="s">
        <v>352</v>
      </c>
      <c r="E74" s="390">
        <f>+'q17'!$F$39</f>
        <v>1488.7321388029702</v>
      </c>
    </row>
    <row r="75" spans="1:16">
      <c r="A75">
        <f>+'q17'!$F$4</f>
        <v>2015</v>
      </c>
      <c r="B75" t="str">
        <f>+Aux!$A$24</f>
        <v>K - Atividades financeiras e de seguros</v>
      </c>
      <c r="C75" t="str">
        <f t="shared" si="1"/>
        <v>K</v>
      </c>
      <c r="D75" s="334" t="s">
        <v>352</v>
      </c>
      <c r="E75" s="390">
        <f>+'q17'!$F$40</f>
        <v>1571.1204680148201</v>
      </c>
    </row>
    <row r="76" spans="1:16">
      <c r="A76">
        <f>+'q17'!$F$4</f>
        <v>2015</v>
      </c>
      <c r="B76" t="str">
        <f>+Aux!$A$25</f>
        <v>L - Atividades imobiliárias</v>
      </c>
      <c r="C76" t="str">
        <f t="shared" si="1"/>
        <v>L</v>
      </c>
      <c r="D76" s="334" t="s">
        <v>352</v>
      </c>
      <c r="E76" s="390">
        <f>+'q17'!$F$41</f>
        <v>945.13983036707509</v>
      </c>
    </row>
    <row r="77" spans="1:16">
      <c r="A77">
        <f>+'q17'!$F$4</f>
        <v>2015</v>
      </c>
      <c r="B77" t="str">
        <f>+Aux!$A$26</f>
        <v>M - Atividades de consultoria, científicas, técnicas e similares</v>
      </c>
      <c r="C77" t="str">
        <f t="shared" si="1"/>
        <v>M</v>
      </c>
      <c r="D77" s="334" t="s">
        <v>352</v>
      </c>
      <c r="E77" s="390">
        <f>+'q17'!$F$42</f>
        <v>1171.06011686806</v>
      </c>
    </row>
    <row r="78" spans="1:16">
      <c r="A78">
        <f>+'q17'!$F$4</f>
        <v>2015</v>
      </c>
      <c r="B78" t="str">
        <f>+Aux!$A$27</f>
        <v>N - Atividades administrativas e dos serviços de apoio</v>
      </c>
      <c r="C78" t="str">
        <f t="shared" si="1"/>
        <v>N</v>
      </c>
      <c r="D78" s="334" t="s">
        <v>352</v>
      </c>
      <c r="E78" s="390">
        <f>+'q17'!$F$43</f>
        <v>768.27087521479302</v>
      </c>
    </row>
    <row r="79" spans="1:16">
      <c r="A79">
        <f>+'q17'!$F$4</f>
        <v>2015</v>
      </c>
      <c r="B79" t="str">
        <f>+Aux!$A$28</f>
        <v>O - Administração pública e defesa; segurança social obrigatória</v>
      </c>
      <c r="C79" t="str">
        <f t="shared" si="1"/>
        <v>O</v>
      </c>
      <c r="D79" s="334" t="s">
        <v>352</v>
      </c>
      <c r="E79" s="390">
        <f>+'q17'!$F$44</f>
        <v>849.19945606252611</v>
      </c>
    </row>
    <row r="80" spans="1:16">
      <c r="A80">
        <f>+'q17'!$F$4</f>
        <v>2015</v>
      </c>
      <c r="B80" t="str">
        <f>+Aux!$A$29</f>
        <v>P - Educação</v>
      </c>
      <c r="C80" t="str">
        <f t="shared" si="1"/>
        <v>P</v>
      </c>
      <c r="D80" s="334" t="s">
        <v>352</v>
      </c>
      <c r="E80" s="390">
        <f>+'q17'!$F$45</f>
        <v>1118.43869186047</v>
      </c>
    </row>
    <row r="81" spans="1:9">
      <c r="A81">
        <f>+'q17'!$F$4</f>
        <v>2015</v>
      </c>
      <c r="B81" t="str">
        <f>+Aux!$A$30</f>
        <v>Q - Ativ. de saúde humana e apoio social</v>
      </c>
      <c r="C81" t="str">
        <f t="shared" si="1"/>
        <v>Q</v>
      </c>
      <c r="D81" s="334" t="s">
        <v>352</v>
      </c>
      <c r="E81" s="390">
        <f>+'q17'!$F$46</f>
        <v>833.43913617824001</v>
      </c>
    </row>
    <row r="82" spans="1:9">
      <c r="A82">
        <f>+'q17'!$F$4</f>
        <v>2015</v>
      </c>
      <c r="B82" t="str">
        <f>+Aux!$A$31</f>
        <v>R - Atividades artísticas, de espectáculos, desp. e recreativas</v>
      </c>
      <c r="C82" t="str">
        <f t="shared" si="1"/>
        <v>R</v>
      </c>
      <c r="D82" s="334" t="s">
        <v>352</v>
      </c>
      <c r="E82" s="390">
        <f>+'q17'!$F$47</f>
        <v>1514.3955796677601</v>
      </c>
    </row>
    <row r="83" spans="1:9">
      <c r="A83">
        <f>+'q17'!$F$4</f>
        <v>2015</v>
      </c>
      <c r="B83" t="str">
        <f>+Aux!$A$32</f>
        <v>S - Outras atividades de serviços</v>
      </c>
      <c r="C83" t="str">
        <f t="shared" si="1"/>
        <v>S</v>
      </c>
      <c r="D83" s="334" t="s">
        <v>352</v>
      </c>
      <c r="E83" s="390">
        <f>+'q17'!$F$48</f>
        <v>847.05432379474996</v>
      </c>
      <c r="I83" s="476" t="s">
        <v>564</v>
      </c>
    </row>
    <row r="84" spans="1:9">
      <c r="A84">
        <f>+'q17'!$F$4</f>
        <v>2015</v>
      </c>
      <c r="B84" t="str">
        <f>+Aux!$A$33</f>
        <v>U - Ativ. org. interna. e outras instituições extra-territoriais</v>
      </c>
      <c r="C84" t="str">
        <f t="shared" si="1"/>
        <v>U</v>
      </c>
      <c r="D84" s="334" t="s">
        <v>352</v>
      </c>
      <c r="E84" s="390">
        <f>+'q17'!$F$49</f>
        <v>1910.540375</v>
      </c>
      <c r="I84" s="476" t="s">
        <v>562</v>
      </c>
    </row>
    <row r="85" spans="1:9">
      <c r="A85">
        <f>+'q17'!$G$4</f>
        <v>2016</v>
      </c>
      <c r="B85" t="str">
        <f>+Aux!$A$14</f>
        <v xml:space="preserve">A - Agricultura, produção animal, caça, floresta e pesca </v>
      </c>
      <c r="C85" t="str">
        <f t="shared" si="1"/>
        <v>A</v>
      </c>
      <c r="D85" s="334" t="s">
        <v>352</v>
      </c>
      <c r="E85" s="390">
        <f>+'q17'!$G$6</f>
        <v>726.48589810017302</v>
      </c>
    </row>
    <row r="86" spans="1:9">
      <c r="A86">
        <f>+'q17'!$G$4</f>
        <v>2016</v>
      </c>
      <c r="B86" t="str">
        <f>+Aux!$A$15</f>
        <v>B - Indústrias extrativas</v>
      </c>
      <c r="C86" t="str">
        <f t="shared" si="1"/>
        <v>B</v>
      </c>
      <c r="D86" s="334" t="s">
        <v>352</v>
      </c>
      <c r="E86" s="390">
        <f>+'q17'!$G$7</f>
        <v>958.09868165716898</v>
      </c>
    </row>
    <row r="87" spans="1:9">
      <c r="A87">
        <f>+'q17'!$G$4</f>
        <v>2016</v>
      </c>
      <c r="B87" t="str">
        <f>+Aux!$A$16</f>
        <v>C - Ind. transformadoras</v>
      </c>
      <c r="C87" t="str">
        <f t="shared" si="1"/>
        <v>C</v>
      </c>
      <c r="D87" s="334" t="s">
        <v>352</v>
      </c>
      <c r="E87" s="390">
        <f>+'q17'!$G$8</f>
        <v>870.08486223409204</v>
      </c>
    </row>
    <row r="88" spans="1:9">
      <c r="A88">
        <f>+'q17'!$G$4</f>
        <v>2016</v>
      </c>
      <c r="B88" t="str">
        <f>+Aux!$A$17</f>
        <v>D - Eletricidade, gás, vapor, água quente e fria e ar frio</v>
      </c>
      <c r="C88" t="str">
        <f t="shared" si="1"/>
        <v>D</v>
      </c>
      <c r="D88" s="334" t="s">
        <v>352</v>
      </c>
      <c r="E88" s="390">
        <f>+'q17'!$G$33</f>
        <v>2075.6353677801499</v>
      </c>
    </row>
    <row r="89" spans="1:9">
      <c r="A89">
        <f>+'q17'!$G$4</f>
        <v>2016</v>
      </c>
      <c r="B89" t="str">
        <f>+Aux!$A$18</f>
        <v>E - Captação, trat. e dist. água; saneam., gest. resíduos e desp.</v>
      </c>
      <c r="C89" t="str">
        <f t="shared" si="1"/>
        <v>E</v>
      </c>
      <c r="D89" s="334" t="s">
        <v>352</v>
      </c>
      <c r="E89" s="390">
        <f>+'q17'!$G$34</f>
        <v>883.84341588340908</v>
      </c>
    </row>
    <row r="90" spans="1:9">
      <c r="A90">
        <f>+'q17'!$G$4</f>
        <v>2016</v>
      </c>
      <c r="B90" t="str">
        <f>+Aux!$A$19</f>
        <v>F - Construção</v>
      </c>
      <c r="C90" t="str">
        <f t="shared" si="1"/>
        <v>F</v>
      </c>
      <c r="D90" s="334" t="s">
        <v>352</v>
      </c>
      <c r="E90" s="390">
        <f>+'q17'!$G$35</f>
        <v>798.871905025052</v>
      </c>
    </row>
    <row r="91" spans="1:9">
      <c r="A91">
        <f>+'q17'!$G$4</f>
        <v>2016</v>
      </c>
      <c r="B91" t="str">
        <f>+Aux!$A$20</f>
        <v>G - Com. por grosso e a ret.; rep. de veíc. autom. e mot.</v>
      </c>
      <c r="C91" t="str">
        <f t="shared" si="1"/>
        <v>G</v>
      </c>
      <c r="D91" s="334" t="s">
        <v>352</v>
      </c>
      <c r="E91" s="390">
        <f>+'q17'!$G$36</f>
        <v>881.90021078892607</v>
      </c>
    </row>
    <row r="92" spans="1:9">
      <c r="A92">
        <f>+'q17'!$G$4</f>
        <v>2016</v>
      </c>
      <c r="B92" t="str">
        <f>+Aux!$A$21</f>
        <v>H - Transportes e armazenagem</v>
      </c>
      <c r="C92" t="str">
        <f t="shared" si="1"/>
        <v>H</v>
      </c>
      <c r="D92" s="334" t="s">
        <v>352</v>
      </c>
      <c r="E92" s="390">
        <f>+'q17'!$G$37</f>
        <v>994.98019956187204</v>
      </c>
    </row>
    <row r="93" spans="1:9">
      <c r="A93">
        <f>+'q17'!$G$4</f>
        <v>2016</v>
      </c>
      <c r="B93" t="str">
        <f>+Aux!$A$22</f>
        <v>I - Alojamento, rest. e sim.</v>
      </c>
      <c r="C93" t="str">
        <f t="shared" si="1"/>
        <v>I</v>
      </c>
      <c r="D93" s="334" t="s">
        <v>352</v>
      </c>
      <c r="E93" s="390">
        <f>+'q17'!$G$38</f>
        <v>690.54060548259508</v>
      </c>
    </row>
    <row r="94" spans="1:9">
      <c r="A94">
        <f>+'q17'!$G$4</f>
        <v>2016</v>
      </c>
      <c r="B94" t="str">
        <f>+Aux!$A$23</f>
        <v>J - Atividades de informação e de comunicação</v>
      </c>
      <c r="C94" t="str">
        <f t="shared" si="1"/>
        <v>J</v>
      </c>
      <c r="D94" s="334" t="s">
        <v>352</v>
      </c>
      <c r="E94" s="390">
        <f>+'q17'!$G$39</f>
        <v>1520.0864750285102</v>
      </c>
    </row>
    <row r="95" spans="1:9">
      <c r="A95">
        <f>+'q17'!$G$4</f>
        <v>2016</v>
      </c>
      <c r="B95" t="str">
        <f>+Aux!$A$24</f>
        <v>K - Atividades financeiras e de seguros</v>
      </c>
      <c r="C95" t="str">
        <f t="shared" si="1"/>
        <v>K</v>
      </c>
      <c r="D95" s="334" t="s">
        <v>352</v>
      </c>
      <c r="E95" s="390">
        <f>+'q17'!$G$40</f>
        <v>1585.2929752966002</v>
      </c>
    </row>
    <row r="96" spans="1:9">
      <c r="A96">
        <f>+'q17'!$G$4</f>
        <v>2016</v>
      </c>
      <c r="B96" t="str">
        <f>+Aux!$A$25</f>
        <v>L - Atividades imobiliárias</v>
      </c>
      <c r="C96" t="str">
        <f t="shared" si="1"/>
        <v>L</v>
      </c>
      <c r="D96" s="334" t="s">
        <v>352</v>
      </c>
      <c r="E96" s="390">
        <f>+'q17'!$G$41</f>
        <v>969.55322791001004</v>
      </c>
    </row>
    <row r="97" spans="1:12">
      <c r="A97">
        <f>+'q17'!$G$4</f>
        <v>2016</v>
      </c>
      <c r="B97" t="str">
        <f>+Aux!$A$26</f>
        <v>M - Atividades de consultoria, científicas, técnicas e similares</v>
      </c>
      <c r="C97" t="str">
        <f t="shared" si="1"/>
        <v>M</v>
      </c>
      <c r="D97" s="334" t="s">
        <v>352</v>
      </c>
      <c r="E97" s="390">
        <f>+'q17'!$G$42</f>
        <v>1183.3937842045102</v>
      </c>
    </row>
    <row r="98" spans="1:12">
      <c r="A98">
        <f>+'q17'!$G$4</f>
        <v>2016</v>
      </c>
      <c r="B98" t="str">
        <f>+Aux!$A$27</f>
        <v>N - Atividades administrativas e dos serviços de apoio</v>
      </c>
      <c r="C98" t="str">
        <f t="shared" si="1"/>
        <v>N</v>
      </c>
      <c r="D98" s="334" t="s">
        <v>352</v>
      </c>
      <c r="E98" s="390">
        <f>+'q17'!$G$43</f>
        <v>772.58567131477002</v>
      </c>
    </row>
    <row r="99" spans="1:12">
      <c r="A99">
        <f>+'q17'!$G$4</f>
        <v>2016</v>
      </c>
      <c r="B99" t="str">
        <f>+Aux!$A$28</f>
        <v>O - Administração pública e defesa; segurança social obrigatória</v>
      </c>
      <c r="C99" t="str">
        <f t="shared" si="1"/>
        <v>O</v>
      </c>
      <c r="D99" s="334" t="s">
        <v>352</v>
      </c>
      <c r="E99" s="390">
        <f>+'q17'!$G$44</f>
        <v>848.71251706395014</v>
      </c>
    </row>
    <row r="100" spans="1:12">
      <c r="A100">
        <f>+'q17'!$G$4</f>
        <v>2016</v>
      </c>
      <c r="B100" t="str">
        <f>+Aux!$A$29</f>
        <v>P - Educação</v>
      </c>
      <c r="C100" t="str">
        <f t="shared" si="1"/>
        <v>P</v>
      </c>
      <c r="D100" s="334" t="s">
        <v>352</v>
      </c>
      <c r="E100" s="390">
        <f>+'q17'!$G$45</f>
        <v>1121.57449204406</v>
      </c>
    </row>
    <row r="101" spans="1:12">
      <c r="A101">
        <f>+'q17'!$G$4</f>
        <v>2016</v>
      </c>
      <c r="B101" t="str">
        <f>+Aux!$A$30</f>
        <v>Q - Ativ. de saúde humana e apoio social</v>
      </c>
      <c r="C101" t="str">
        <f t="shared" si="1"/>
        <v>Q</v>
      </c>
      <c r="D101" s="334" t="s">
        <v>352</v>
      </c>
      <c r="E101" s="390">
        <f>+'q17'!$G$46</f>
        <v>851.35971351443413</v>
      </c>
    </row>
    <row r="102" spans="1:12">
      <c r="A102">
        <f>+'q17'!$G$4</f>
        <v>2016</v>
      </c>
      <c r="B102" t="str">
        <f>+Aux!$A$31</f>
        <v>R - Atividades artísticas, de espectáculos, desp. e recreativas</v>
      </c>
      <c r="C102" t="str">
        <f t="shared" si="1"/>
        <v>R</v>
      </c>
      <c r="D102" s="334" t="s">
        <v>352</v>
      </c>
      <c r="E102" s="390">
        <f>+'q17'!$G$47</f>
        <v>1537.2510891254701</v>
      </c>
      <c r="I102" s="357" t="s">
        <v>343</v>
      </c>
      <c r="J102" t="s">
        <v>563</v>
      </c>
    </row>
    <row r="103" spans="1:12">
      <c r="A103">
        <f>+'q17'!$G$4</f>
        <v>2016</v>
      </c>
      <c r="B103" t="str">
        <f>+Aux!$A$32</f>
        <v>S - Outras atividades de serviços</v>
      </c>
      <c r="C103" t="str">
        <f t="shared" si="1"/>
        <v>S</v>
      </c>
      <c r="D103" s="334" t="s">
        <v>352</v>
      </c>
      <c r="E103" s="390">
        <f>+'q17'!$G$48</f>
        <v>857.44158379820499</v>
      </c>
    </row>
    <row r="104" spans="1:12">
      <c r="A104">
        <f>+'q17'!$G$4</f>
        <v>2016</v>
      </c>
      <c r="B104" t="str">
        <f>+Aux!$A$33</f>
        <v>U - Ativ. org. interna. e outras instituições extra-territoriais</v>
      </c>
      <c r="C104" t="str">
        <f t="shared" si="1"/>
        <v>U</v>
      </c>
      <c r="D104" s="334" t="s">
        <v>352</v>
      </c>
      <c r="E104" s="390">
        <f>+'q17'!$G$49</f>
        <v>2028.9570967741902</v>
      </c>
      <c r="I104" s="357" t="s">
        <v>348</v>
      </c>
      <c r="J104" s="357" t="s">
        <v>330</v>
      </c>
    </row>
    <row r="105" spans="1:12">
      <c r="A105">
        <f>+'q17'!$H$4</f>
        <v>2017</v>
      </c>
      <c r="B105" t="str">
        <f>+Aux!$A$14</f>
        <v xml:space="preserve">A - Agricultura, produção animal, caça, floresta e pesca </v>
      </c>
      <c r="C105" t="str">
        <f t="shared" si="1"/>
        <v>A</v>
      </c>
      <c r="D105" s="334" t="s">
        <v>352</v>
      </c>
      <c r="E105" s="390">
        <f>+'q17'!$H$6</f>
        <v>738.39001875293002</v>
      </c>
      <c r="I105" s="357" t="s">
        <v>328</v>
      </c>
      <c r="J105" t="s">
        <v>73</v>
      </c>
      <c r="K105" t="s">
        <v>74</v>
      </c>
      <c r="L105" t="s">
        <v>329</v>
      </c>
    </row>
    <row r="106" spans="1:12">
      <c r="A106">
        <f>+'q17'!$H$4</f>
        <v>2017</v>
      </c>
      <c r="B106" t="str">
        <f>+Aux!$A$15</f>
        <v>B - Indústrias extrativas</v>
      </c>
      <c r="C106" t="str">
        <f t="shared" si="1"/>
        <v>B</v>
      </c>
      <c r="D106" s="334" t="s">
        <v>352</v>
      </c>
      <c r="E106" s="390">
        <f>+'q17'!$H$7</f>
        <v>986.18185247921213</v>
      </c>
      <c r="I106" s="358">
        <v>2012</v>
      </c>
      <c r="J106">
        <v>1522.2226557718022</v>
      </c>
      <c r="K106">
        <v>2099.4143620613668</v>
      </c>
      <c r="L106">
        <v>3621.637017833169</v>
      </c>
    </row>
    <row r="107" spans="1:12">
      <c r="A107">
        <f>+'q17'!$H$4</f>
        <v>2017</v>
      </c>
      <c r="B107" t="str">
        <f>+Aux!$A$16</f>
        <v>C - Ind. transformadoras</v>
      </c>
      <c r="C107" t="str">
        <f t="shared" si="1"/>
        <v>C</v>
      </c>
      <c r="D107" s="334" t="s">
        <v>352</v>
      </c>
      <c r="E107" s="390">
        <f>+'q17'!$H$8</f>
        <v>895.89243994149103</v>
      </c>
      <c r="I107" s="358">
        <v>2013</v>
      </c>
      <c r="J107">
        <v>1473.933035788081</v>
      </c>
      <c r="K107">
        <v>2135.4281501696451</v>
      </c>
      <c r="L107">
        <v>3609.3611859577259</v>
      </c>
    </row>
    <row r="108" spans="1:12">
      <c r="A108">
        <f>+'q17'!$H$4</f>
        <v>2017</v>
      </c>
      <c r="B108" t="str">
        <f>+Aux!$A$17</f>
        <v>D - Eletricidade, gás, vapor, água quente e fria e ar frio</v>
      </c>
      <c r="C108" t="str">
        <f t="shared" si="1"/>
        <v>D</v>
      </c>
      <c r="D108" s="334" t="s">
        <v>352</v>
      </c>
      <c r="E108" s="390">
        <f>+'q17'!$H$33</f>
        <v>2070.1446386908601</v>
      </c>
      <c r="I108" s="358">
        <v>2014</v>
      </c>
      <c r="J108">
        <v>1482.5555334019609</v>
      </c>
      <c r="K108">
        <v>2187.930835730504</v>
      </c>
      <c r="L108">
        <v>3670.4863691324649</v>
      </c>
    </row>
    <row r="109" spans="1:12">
      <c r="A109">
        <f>+'q17'!$H$4</f>
        <v>2017</v>
      </c>
      <c r="B109" t="str">
        <f>+Aux!$A$18</f>
        <v>E - Captação, trat. e dist. água; saneam., gest. resíduos e desp.</v>
      </c>
      <c r="C109" t="str">
        <f t="shared" si="1"/>
        <v>E</v>
      </c>
      <c r="D109" s="334" t="s">
        <v>352</v>
      </c>
      <c r="E109" s="390">
        <f>+'q17'!$H$34</f>
        <v>891.48590289564402</v>
      </c>
      <c r="I109" s="358">
        <v>2015</v>
      </c>
      <c r="J109">
        <v>1504.0238617563452</v>
      </c>
      <c r="K109">
        <v>2191.922110841916</v>
      </c>
      <c r="L109">
        <v>3695.9459725982615</v>
      </c>
    </row>
    <row r="110" spans="1:12">
      <c r="A110">
        <f>+'q17'!$H$4</f>
        <v>2017</v>
      </c>
      <c r="B110" t="str">
        <f>+Aux!$A$19</f>
        <v>F - Construção</v>
      </c>
      <c r="C110" t="str">
        <f t="shared" si="1"/>
        <v>F</v>
      </c>
      <c r="D110" s="334" t="s">
        <v>352</v>
      </c>
      <c r="E110" s="390">
        <f>+'q17'!$H$35</f>
        <v>808.62405783048507</v>
      </c>
      <c r="I110" s="358">
        <v>2016</v>
      </c>
      <c r="J110">
        <v>1559.281627326809</v>
      </c>
      <c r="K110">
        <v>2244.8798521484691</v>
      </c>
      <c r="L110">
        <v>3804.1614794752782</v>
      </c>
    </row>
    <row r="111" spans="1:12">
      <c r="A111">
        <f>+'q17'!$H$4</f>
        <v>2017</v>
      </c>
      <c r="B111" t="str">
        <f>+Aux!$A$20</f>
        <v>G - Com. por grosso e a ret.; rep. de veíc. autom. e mot.</v>
      </c>
      <c r="C111" t="str">
        <f t="shared" si="1"/>
        <v>G</v>
      </c>
      <c r="D111" s="334" t="s">
        <v>352</v>
      </c>
      <c r="E111" s="390">
        <f>+'q17'!$H$36</f>
        <v>900.402191994124</v>
      </c>
      <c r="I111" s="358">
        <v>2017</v>
      </c>
      <c r="J111">
        <v>1588.7879142053441</v>
      </c>
      <c r="K111">
        <v>2282.2255189405623</v>
      </c>
      <c r="L111">
        <v>3871.0134331459067</v>
      </c>
    </row>
    <row r="112" spans="1:12">
      <c r="A112">
        <f>+'q17'!$H$4</f>
        <v>2017</v>
      </c>
      <c r="B112" t="str">
        <f>+Aux!$A$21</f>
        <v>H - Transportes e armazenagem</v>
      </c>
      <c r="C112" t="str">
        <f t="shared" si="1"/>
        <v>H</v>
      </c>
      <c r="D112" s="334" t="s">
        <v>352</v>
      </c>
      <c r="E112" s="390">
        <f>+'q17'!$H$37</f>
        <v>1002.6356806408501</v>
      </c>
      <c r="I112" s="358">
        <v>2018</v>
      </c>
      <c r="J112">
        <v>1669.6502211010211</v>
      </c>
      <c r="K112">
        <v>2439.9655762736702</v>
      </c>
      <c r="L112">
        <v>4109.6157973746913</v>
      </c>
    </row>
    <row r="113" spans="1:12">
      <c r="A113">
        <f>+'q17'!$H$4</f>
        <v>2017</v>
      </c>
      <c r="B113" t="str">
        <f>+Aux!$A$22</f>
        <v>I - Alojamento, rest. e sim.</v>
      </c>
      <c r="C113" t="str">
        <f t="shared" si="1"/>
        <v>I</v>
      </c>
      <c r="D113" s="334" t="s">
        <v>352</v>
      </c>
      <c r="E113" s="390">
        <f>+'q17'!$H$38</f>
        <v>713.45454855878506</v>
      </c>
      <c r="I113" s="358">
        <v>2019</v>
      </c>
      <c r="J113">
        <v>1768.6437996488191</v>
      </c>
      <c r="K113">
        <v>2542.3476940501305</v>
      </c>
      <c r="L113">
        <v>4310.9914936989499</v>
      </c>
    </row>
    <row r="114" spans="1:12">
      <c r="A114">
        <f>+'q17'!$H$4</f>
        <v>2017</v>
      </c>
      <c r="B114" t="str">
        <f>+Aux!$A$23</f>
        <v>J - Atividades de informação e de comunicação</v>
      </c>
      <c r="C114" t="str">
        <f t="shared" si="1"/>
        <v>J</v>
      </c>
      <c r="D114" s="334" t="s">
        <v>352</v>
      </c>
      <c r="E114" s="390">
        <f>+'q17'!$H$39</f>
        <v>1522.7872626272399</v>
      </c>
      <c r="I114" s="358">
        <v>2020</v>
      </c>
      <c r="J114">
        <v>1772.8050883470269</v>
      </c>
      <c r="K114">
        <v>2599.8202980440801</v>
      </c>
      <c r="L114">
        <v>4372.625386391107</v>
      </c>
    </row>
    <row r="115" spans="1:12">
      <c r="A115">
        <f>+'q17'!$H$4</f>
        <v>2017</v>
      </c>
      <c r="B115" t="str">
        <f>+Aux!$A$24</f>
        <v>K - Atividades financeiras e de seguros</v>
      </c>
      <c r="C115" t="str">
        <f t="shared" si="1"/>
        <v>K</v>
      </c>
      <c r="D115" s="334" t="s">
        <v>352</v>
      </c>
      <c r="E115" s="390">
        <f>+'q17'!$H$40</f>
        <v>1592.4439893747901</v>
      </c>
      <c r="I115" s="358">
        <v>2021</v>
      </c>
      <c r="J115">
        <v>1884.108726971139</v>
      </c>
      <c r="K115">
        <v>2755.4873736611903</v>
      </c>
      <c r="L115">
        <v>4639.5961006323296</v>
      </c>
    </row>
    <row r="116" spans="1:12">
      <c r="A116">
        <f>+'q17'!$H$4</f>
        <v>2017</v>
      </c>
      <c r="B116" t="str">
        <f>+Aux!$A$25</f>
        <v>L - Atividades imobiliárias</v>
      </c>
      <c r="C116" t="str">
        <f t="shared" si="1"/>
        <v>L</v>
      </c>
      <c r="D116" s="334" t="s">
        <v>352</v>
      </c>
      <c r="E116" s="390">
        <f>+'q17'!$H$41</f>
        <v>978.98750000000007</v>
      </c>
      <c r="I116" s="358">
        <v>2022</v>
      </c>
      <c r="J116">
        <v>1974.5612304679321</v>
      </c>
      <c r="K116">
        <v>2923.3095323688503</v>
      </c>
      <c r="L116">
        <v>4897.8707628367829</v>
      </c>
    </row>
    <row r="117" spans="1:12">
      <c r="A117">
        <f>+'q17'!$H$4</f>
        <v>2017</v>
      </c>
      <c r="B117" t="str">
        <f>+Aux!$A$26</f>
        <v>M - Atividades de consultoria, científicas, técnicas e similares</v>
      </c>
      <c r="C117" t="str">
        <f t="shared" si="1"/>
        <v>M</v>
      </c>
      <c r="D117" s="334" t="s">
        <v>352</v>
      </c>
      <c r="E117" s="390">
        <f>+'q17'!$H$42</f>
        <v>1225.5762643666399</v>
      </c>
      <c r="I117" s="358" t="s">
        <v>329</v>
      </c>
      <c r="J117">
        <v>18200.573694786279</v>
      </c>
      <c r="K117">
        <v>26402.731304290388</v>
      </c>
      <c r="L117">
        <v>44603.304999076659</v>
      </c>
    </row>
    <row r="118" spans="1:12">
      <c r="A118">
        <f>+'q17'!$H$4</f>
        <v>2017</v>
      </c>
      <c r="B118" t="str">
        <f>+Aux!$A$27</f>
        <v>N - Atividades administrativas e dos serviços de apoio</v>
      </c>
      <c r="C118" t="str">
        <f t="shared" si="1"/>
        <v>N</v>
      </c>
      <c r="D118" s="334" t="s">
        <v>352</v>
      </c>
      <c r="E118" s="390">
        <f>+'q17'!$H$43</f>
        <v>787.929825874416</v>
      </c>
    </row>
    <row r="119" spans="1:12">
      <c r="A119">
        <f>+'q17'!$H$4</f>
        <v>2017</v>
      </c>
      <c r="B119" t="str">
        <f>+Aux!$A$28</f>
        <v>O - Administração pública e defesa; segurança social obrigatória</v>
      </c>
      <c r="C119" t="str">
        <f t="shared" si="1"/>
        <v>O</v>
      </c>
      <c r="D119" s="334" t="s">
        <v>352</v>
      </c>
      <c r="E119" s="390">
        <f>+'q17'!$H$44</f>
        <v>866.69458366854406</v>
      </c>
    </row>
    <row r="120" spans="1:12">
      <c r="A120">
        <f>+'q17'!$H$4</f>
        <v>2017</v>
      </c>
      <c r="B120" t="str">
        <f>+Aux!$A$29</f>
        <v>P - Educação</v>
      </c>
      <c r="C120" t="str">
        <f t="shared" si="1"/>
        <v>P</v>
      </c>
      <c r="D120" s="334" t="s">
        <v>352</v>
      </c>
      <c r="E120" s="390">
        <f>+'q17'!$H$45</f>
        <v>1136.2709303330901</v>
      </c>
    </row>
    <row r="121" spans="1:12">
      <c r="A121">
        <f>+'q17'!$H$4</f>
        <v>2017</v>
      </c>
      <c r="B121" t="str">
        <f>+Aux!$A$30</f>
        <v>Q - Ativ. de saúde humana e apoio social</v>
      </c>
      <c r="C121" t="str">
        <f t="shared" si="1"/>
        <v>Q</v>
      </c>
      <c r="D121" s="334" t="s">
        <v>352</v>
      </c>
      <c r="E121" s="390">
        <f>+'q17'!$H$46</f>
        <v>871.00278517655204</v>
      </c>
    </row>
    <row r="122" spans="1:12">
      <c r="A122">
        <f>+'q17'!$H$4</f>
        <v>2017</v>
      </c>
      <c r="B122" t="str">
        <f>+Aux!$A$31</f>
        <v>R - Atividades artísticas, de espectáculos, desp. e recreativas</v>
      </c>
      <c r="C122" t="str">
        <f t="shared" si="1"/>
        <v>R</v>
      </c>
      <c r="D122" s="334" t="s">
        <v>352</v>
      </c>
      <c r="E122" s="390">
        <f>+'q17'!$H$47</f>
        <v>1612.8990528532502</v>
      </c>
    </row>
    <row r="123" spans="1:12">
      <c r="A123">
        <f>+'q17'!$H$4</f>
        <v>2017</v>
      </c>
      <c r="B123" t="str">
        <f>+Aux!$A$32</f>
        <v>S - Outras atividades de serviços</v>
      </c>
      <c r="C123" t="str">
        <f t="shared" si="1"/>
        <v>S</v>
      </c>
      <c r="D123" s="334" t="s">
        <v>352</v>
      </c>
      <c r="E123" s="390">
        <f>+'q17'!$H$48</f>
        <v>877.33948986960002</v>
      </c>
    </row>
    <row r="124" spans="1:12">
      <c r="A124">
        <f>+'q17'!$H$4</f>
        <v>2017</v>
      </c>
      <c r="B124" t="str">
        <f>+Aux!$A$33</f>
        <v>U - Ativ. org. interna. e outras instituições extra-territoriais</v>
      </c>
      <c r="C124" t="str">
        <f t="shared" si="1"/>
        <v>U</v>
      </c>
      <c r="D124" s="334" t="s">
        <v>352</v>
      </c>
      <c r="E124" s="390">
        <f>+'q17'!$H$49</f>
        <v>1986.43304878049</v>
      </c>
    </row>
    <row r="125" spans="1:12">
      <c r="A125">
        <f>+'q17'!$I$4</f>
        <v>2018</v>
      </c>
      <c r="B125" t="str">
        <f>+Aux!$A$14</f>
        <v xml:space="preserve">A - Agricultura, produção animal, caça, floresta e pesca </v>
      </c>
      <c r="C125" t="str">
        <f t="shared" si="1"/>
        <v>A</v>
      </c>
      <c r="D125" s="334" t="s">
        <v>352</v>
      </c>
      <c r="E125" s="390">
        <f>+'q17'!$I$6</f>
        <v>773.21816728332806</v>
      </c>
    </row>
    <row r="126" spans="1:12">
      <c r="A126">
        <f>+'q17'!$I$4</f>
        <v>2018</v>
      </c>
      <c r="B126" t="str">
        <f>+Aux!$A$15</f>
        <v>B - Indústrias extrativas</v>
      </c>
      <c r="C126" t="str">
        <f t="shared" si="1"/>
        <v>B</v>
      </c>
      <c r="D126" s="334" t="s">
        <v>352</v>
      </c>
      <c r="E126" s="390">
        <f>+'q17'!$I$7</f>
        <v>1036.7307164880299</v>
      </c>
    </row>
    <row r="127" spans="1:12">
      <c r="A127">
        <f>+'q17'!$I$4</f>
        <v>2018</v>
      </c>
      <c r="B127" t="str">
        <f>+Aux!$A$16</f>
        <v>C - Ind. transformadoras</v>
      </c>
      <c r="C127" t="str">
        <f t="shared" si="1"/>
        <v>C</v>
      </c>
      <c r="D127" s="334" t="s">
        <v>352</v>
      </c>
      <c r="E127" s="390">
        <f>+'q17'!$I$8</f>
        <v>929.15451693602415</v>
      </c>
    </row>
    <row r="128" spans="1:12">
      <c r="A128">
        <f>+'q17'!$I$4</f>
        <v>2018</v>
      </c>
      <c r="B128" t="str">
        <f>+Aux!$A$17</f>
        <v>D - Eletricidade, gás, vapor, água quente e fria e ar frio</v>
      </c>
      <c r="C128" t="str">
        <f t="shared" si="1"/>
        <v>D</v>
      </c>
      <c r="D128" s="334" t="s">
        <v>352</v>
      </c>
      <c r="E128" s="390">
        <f>+'q17'!$I$33</f>
        <v>2080.65154713436</v>
      </c>
    </row>
    <row r="129" spans="1:5">
      <c r="A129">
        <f>+'q17'!$I$4</f>
        <v>2018</v>
      </c>
      <c r="B129" t="str">
        <f>+Aux!$A$18</f>
        <v>E - Captação, trat. e dist. água; saneam., gest. resíduos e desp.</v>
      </c>
      <c r="C129" t="str">
        <f t="shared" si="1"/>
        <v>E</v>
      </c>
      <c r="D129" s="334" t="s">
        <v>352</v>
      </c>
      <c r="E129" s="390">
        <f>+'q17'!$I$34</f>
        <v>920.04443925944702</v>
      </c>
    </row>
    <row r="130" spans="1:5">
      <c r="A130">
        <f>+'q17'!$I$4</f>
        <v>2018</v>
      </c>
      <c r="B130" t="str">
        <f>+Aux!$A$19</f>
        <v>F - Construção</v>
      </c>
      <c r="C130" t="str">
        <f t="shared" si="1"/>
        <v>F</v>
      </c>
      <c r="D130" s="334" t="s">
        <v>352</v>
      </c>
      <c r="E130" s="390">
        <f>+'q17'!$I$35</f>
        <v>824.75819202702405</v>
      </c>
    </row>
    <row r="131" spans="1:5">
      <c r="A131">
        <f>+'q17'!$I$4</f>
        <v>2018</v>
      </c>
      <c r="B131" t="str">
        <f>+Aux!$A$20</f>
        <v>G - Com. por grosso e a ret.; rep. de veíc. autom. e mot.</v>
      </c>
      <c r="C131" t="str">
        <f t="shared" si="1"/>
        <v>G</v>
      </c>
      <c r="D131" s="334" t="s">
        <v>352</v>
      </c>
      <c r="E131" s="390">
        <f>+'q17'!$I$36</f>
        <v>924.91415517005908</v>
      </c>
    </row>
    <row r="132" spans="1:5">
      <c r="A132">
        <f>+'q17'!$I$4</f>
        <v>2018</v>
      </c>
      <c r="B132" t="str">
        <f>+Aux!$A$21</f>
        <v>H - Transportes e armazenagem</v>
      </c>
      <c r="C132" t="str">
        <f t="shared" si="1"/>
        <v>H</v>
      </c>
      <c r="D132" s="334" t="s">
        <v>352</v>
      </c>
      <c r="E132" s="390">
        <f>+'q17'!$I$37</f>
        <v>1033.97434618229</v>
      </c>
    </row>
    <row r="133" spans="1:5">
      <c r="A133">
        <f>+'q17'!$I$4</f>
        <v>2018</v>
      </c>
      <c r="B133" t="str">
        <f>+Aux!$A$22</f>
        <v>I - Alojamento, rest. e sim.</v>
      </c>
      <c r="C133" t="str">
        <f t="shared" si="1"/>
        <v>I</v>
      </c>
      <c r="D133" s="334" t="s">
        <v>352</v>
      </c>
      <c r="E133" s="390">
        <f>+'q17'!$I$38</f>
        <v>739.37179505964298</v>
      </c>
    </row>
    <row r="134" spans="1:5">
      <c r="A134">
        <f>+'q17'!$I$4</f>
        <v>2018</v>
      </c>
      <c r="B134" t="str">
        <f>+Aux!$A$23</f>
        <v>J - Atividades de informação e de comunicação</v>
      </c>
      <c r="C134" t="str">
        <f t="shared" ref="C134:C197" si="2">+LEFT(B134,1)</f>
        <v>J</v>
      </c>
      <c r="D134" s="334" t="s">
        <v>352</v>
      </c>
      <c r="E134" s="390">
        <f>+'q17'!$I$39</f>
        <v>1562.8561622751499</v>
      </c>
    </row>
    <row r="135" spans="1:5">
      <c r="A135">
        <f>+'q17'!$I$4</f>
        <v>2018</v>
      </c>
      <c r="B135" t="str">
        <f>+Aux!$A$24</f>
        <v>K - Atividades financeiras e de seguros</v>
      </c>
      <c r="C135" t="str">
        <f t="shared" si="2"/>
        <v>K</v>
      </c>
      <c r="D135" s="334" t="s">
        <v>352</v>
      </c>
      <c r="E135" s="390">
        <f>+'q17'!$I$40</f>
        <v>1601.1210134726703</v>
      </c>
    </row>
    <row r="136" spans="1:5">
      <c r="A136">
        <f>+'q17'!$I$4</f>
        <v>2018</v>
      </c>
      <c r="B136" t="str">
        <f>+Aux!$A$25</f>
        <v>L - Atividades imobiliárias</v>
      </c>
      <c r="C136" t="str">
        <f t="shared" si="2"/>
        <v>L</v>
      </c>
      <c r="D136" s="334" t="s">
        <v>352</v>
      </c>
      <c r="E136" s="390">
        <f>+'q17'!$I$41</f>
        <v>1001.04499947028</v>
      </c>
    </row>
    <row r="137" spans="1:5">
      <c r="A137">
        <f>+'q17'!$I$4</f>
        <v>2018</v>
      </c>
      <c r="B137" t="str">
        <f>+Aux!$A$26</f>
        <v>M - Atividades de consultoria, científicas, técnicas e similares</v>
      </c>
      <c r="C137" t="str">
        <f t="shared" si="2"/>
        <v>M</v>
      </c>
      <c r="D137" s="334" t="s">
        <v>352</v>
      </c>
      <c r="E137" s="390">
        <f>+'q17'!$I$42</f>
        <v>1249.7838320242101</v>
      </c>
    </row>
    <row r="138" spans="1:5">
      <c r="A138">
        <f>+'q17'!$I$4</f>
        <v>2018</v>
      </c>
      <c r="B138" t="str">
        <f>+Aux!$A$27</f>
        <v>N - Atividades administrativas e dos serviços de apoio</v>
      </c>
      <c r="C138" t="str">
        <f t="shared" si="2"/>
        <v>N</v>
      </c>
      <c r="D138" s="334" t="s">
        <v>352</v>
      </c>
      <c r="E138" s="390">
        <f>+'q17'!$I$43</f>
        <v>807.44326051546705</v>
      </c>
    </row>
    <row r="139" spans="1:5">
      <c r="A139">
        <f>+'q17'!$I$4</f>
        <v>2018</v>
      </c>
      <c r="B139" t="str">
        <f>+Aux!$A$28</f>
        <v>O - Administração pública e defesa; segurança social obrigatória</v>
      </c>
      <c r="C139" t="str">
        <f t="shared" si="2"/>
        <v>O</v>
      </c>
      <c r="D139" s="334" t="s">
        <v>352</v>
      </c>
      <c r="E139" s="390">
        <f>+'q17'!$I$44</f>
        <v>895.15834533073905</v>
      </c>
    </row>
    <row r="140" spans="1:5">
      <c r="A140">
        <f>+'q17'!$I$4</f>
        <v>2018</v>
      </c>
      <c r="B140" t="str">
        <f>+Aux!$A$29</f>
        <v>P - Educação</v>
      </c>
      <c r="C140" t="str">
        <f t="shared" si="2"/>
        <v>P</v>
      </c>
      <c r="D140" s="334" t="s">
        <v>352</v>
      </c>
      <c r="E140" s="390">
        <f>+'q17'!$I$45</f>
        <v>1161.1423260459401</v>
      </c>
    </row>
    <row r="141" spans="1:5">
      <c r="A141">
        <f>+'q17'!$I$4</f>
        <v>2018</v>
      </c>
      <c r="B141" t="str">
        <f>+Aux!$A$30</f>
        <v>Q - Ativ. de saúde humana e apoio social</v>
      </c>
      <c r="C141" t="str">
        <f t="shared" si="2"/>
        <v>Q</v>
      </c>
      <c r="D141" s="334" t="s">
        <v>352</v>
      </c>
      <c r="E141" s="390">
        <f>+'q17'!$I$46</f>
        <v>891.94092989525302</v>
      </c>
    </row>
    <row r="142" spans="1:5">
      <c r="A142">
        <f>+'q17'!$I$4</f>
        <v>2018</v>
      </c>
      <c r="B142" t="str">
        <f>+Aux!$A$31</f>
        <v>R - Atividades artísticas, de espectáculos, desp. e recreativas</v>
      </c>
      <c r="C142" t="str">
        <f t="shared" si="2"/>
        <v>R</v>
      </c>
      <c r="D142" s="334" t="s">
        <v>352</v>
      </c>
      <c r="E142" s="390">
        <f>+'q17'!$I$47</f>
        <v>1607.9499511987101</v>
      </c>
    </row>
    <row r="143" spans="1:5">
      <c r="A143">
        <f>+'q17'!$I$4</f>
        <v>2018</v>
      </c>
      <c r="B143" t="str">
        <f>+Aux!$A$32</f>
        <v>S - Outras atividades de serviços</v>
      </c>
      <c r="C143" t="str">
        <f t="shared" si="2"/>
        <v>S</v>
      </c>
      <c r="D143" s="334" t="s">
        <v>352</v>
      </c>
      <c r="E143" s="390">
        <f>+'q17'!$I$48</f>
        <v>901.61593273478707</v>
      </c>
    </row>
    <row r="144" spans="1:5">
      <c r="A144">
        <f>+'q17'!$I$4</f>
        <v>2018</v>
      </c>
      <c r="B144" t="str">
        <f>+Aux!$A$33</f>
        <v>U - Ativ. org. interna. e outras instituições extra-territoriais</v>
      </c>
      <c r="C144" t="str">
        <f t="shared" si="2"/>
        <v>U</v>
      </c>
      <c r="D144" s="334" t="s">
        <v>352</v>
      </c>
      <c r="E144" s="390">
        <f>+'q17'!$I$49</f>
        <v>2136.1323333333298</v>
      </c>
    </row>
    <row r="145" spans="1:5">
      <c r="A145">
        <f>+'q17'!$J$4</f>
        <v>2019</v>
      </c>
      <c r="B145" t="str">
        <f>+Aux!$A$14</f>
        <v xml:space="preserve">A - Agricultura, produção animal, caça, floresta e pesca </v>
      </c>
      <c r="C145" t="str">
        <f t="shared" si="2"/>
        <v>A</v>
      </c>
      <c r="D145" s="334" t="s">
        <v>352</v>
      </c>
      <c r="E145" s="390">
        <f>+'q17'!$J$6</f>
        <v>823.08134849192106</v>
      </c>
    </row>
    <row r="146" spans="1:5">
      <c r="A146">
        <f>+'q17'!$J$4</f>
        <v>2019</v>
      </c>
      <c r="B146" t="str">
        <f>+Aux!$A$15</f>
        <v>B - Indústrias extrativas</v>
      </c>
      <c r="C146" t="str">
        <f t="shared" si="2"/>
        <v>B</v>
      </c>
      <c r="D146" s="334" t="s">
        <v>352</v>
      </c>
      <c r="E146" s="390">
        <f>+'q17'!$J$7</f>
        <v>1083.2395469646601</v>
      </c>
    </row>
    <row r="147" spans="1:5">
      <c r="A147">
        <f>+'q17'!$J$4</f>
        <v>2019</v>
      </c>
      <c r="B147" t="str">
        <f>+Aux!$A$16</f>
        <v>C - Ind. transformadoras</v>
      </c>
      <c r="C147" t="str">
        <f t="shared" si="2"/>
        <v>C</v>
      </c>
      <c r="D147" s="334" t="s">
        <v>352</v>
      </c>
      <c r="E147" s="390">
        <f>+'q17'!$J$8</f>
        <v>964.71261065318311</v>
      </c>
    </row>
    <row r="148" spans="1:5">
      <c r="A148">
        <f>+'q17'!$J$4</f>
        <v>2019</v>
      </c>
      <c r="B148" t="str">
        <f>+Aux!$A$17</f>
        <v>D - Eletricidade, gás, vapor, água quente e fria e ar frio</v>
      </c>
      <c r="C148" t="str">
        <f t="shared" si="2"/>
        <v>D</v>
      </c>
      <c r="D148" s="334" t="s">
        <v>352</v>
      </c>
      <c r="E148" s="390">
        <f>+'q17'!$J$33</f>
        <v>2086.9000282131701</v>
      </c>
    </row>
    <row r="149" spans="1:5">
      <c r="A149">
        <f>+'q17'!$J$4</f>
        <v>2019</v>
      </c>
      <c r="B149" t="str">
        <f>+Aux!$A$18</f>
        <v>E - Captação, trat. e dist. água; saneam., gest. resíduos e desp.</v>
      </c>
      <c r="C149" t="str">
        <f t="shared" si="2"/>
        <v>E</v>
      </c>
      <c r="D149" s="334" t="s">
        <v>352</v>
      </c>
      <c r="E149" s="390">
        <f>+'q17'!$J$34</f>
        <v>936.66852291208306</v>
      </c>
    </row>
    <row r="150" spans="1:5">
      <c r="A150">
        <f>+'q17'!$J$4</f>
        <v>2019</v>
      </c>
      <c r="B150" t="str">
        <f>+Aux!$A$19</f>
        <v>F - Construção</v>
      </c>
      <c r="C150" t="str">
        <f t="shared" si="2"/>
        <v>F</v>
      </c>
      <c r="D150" s="334" t="s">
        <v>352</v>
      </c>
      <c r="E150" s="390">
        <f>+'q17'!$J$35</f>
        <v>853.91631065988611</v>
      </c>
    </row>
    <row r="151" spans="1:5">
      <c r="A151">
        <f>+'q17'!$J$4</f>
        <v>2019</v>
      </c>
      <c r="B151" t="str">
        <f>+Aux!$A$20</f>
        <v>G - Com. por grosso e a ret.; rep. de veíc. autom. e mot.</v>
      </c>
      <c r="C151" t="str">
        <f t="shared" si="2"/>
        <v>G</v>
      </c>
      <c r="D151" s="334" t="s">
        <v>352</v>
      </c>
      <c r="E151" s="390">
        <f>+'q17'!$J$36</f>
        <v>959.33335282434405</v>
      </c>
    </row>
    <row r="152" spans="1:5">
      <c r="A152">
        <f>+'q17'!$J$4</f>
        <v>2019</v>
      </c>
      <c r="B152" t="str">
        <f>+Aux!$A$21</f>
        <v>H - Transportes e armazenagem</v>
      </c>
      <c r="C152" t="str">
        <f t="shared" si="2"/>
        <v>H</v>
      </c>
      <c r="D152" s="334" t="s">
        <v>352</v>
      </c>
      <c r="E152" s="390">
        <f>+'q17'!$J$37</f>
        <v>1071.3695109096002</v>
      </c>
    </row>
    <row r="153" spans="1:5">
      <c r="A153">
        <f>+'q17'!$J$4</f>
        <v>2019</v>
      </c>
      <c r="B153" t="str">
        <f>+Aux!$A$22</f>
        <v>I - Alojamento, rest. e sim.</v>
      </c>
      <c r="C153" t="str">
        <f t="shared" si="2"/>
        <v>I</v>
      </c>
      <c r="D153" s="334" t="s">
        <v>352</v>
      </c>
      <c r="E153" s="390">
        <f>+'q17'!$J$38</f>
        <v>764.07750352494998</v>
      </c>
    </row>
    <row r="154" spans="1:5">
      <c r="A154">
        <f>+'q17'!$J$4</f>
        <v>2019</v>
      </c>
      <c r="B154" t="str">
        <f>+Aux!$A$23</f>
        <v>J - Atividades de informação e de comunicação</v>
      </c>
      <c r="C154" t="str">
        <f t="shared" si="2"/>
        <v>J</v>
      </c>
      <c r="D154" s="334" t="s">
        <v>352</v>
      </c>
      <c r="E154" s="390">
        <f>+'q17'!$J$39</f>
        <v>1614.9740241059401</v>
      </c>
    </row>
    <row r="155" spans="1:5">
      <c r="A155">
        <f>+'q17'!$J$4</f>
        <v>2019</v>
      </c>
      <c r="B155" t="str">
        <f>+Aux!$A$24</f>
        <v>K - Atividades financeiras e de seguros</v>
      </c>
      <c r="C155" t="str">
        <f t="shared" si="2"/>
        <v>K</v>
      </c>
      <c r="D155" s="334" t="s">
        <v>352</v>
      </c>
      <c r="E155" s="390">
        <f>+'q17'!$J$40</f>
        <v>1632.2589263661</v>
      </c>
    </row>
    <row r="156" spans="1:5">
      <c r="A156">
        <f>+'q17'!$J$4</f>
        <v>2019</v>
      </c>
      <c r="B156" t="str">
        <f>+Aux!$A$25</f>
        <v>L - Atividades imobiliárias</v>
      </c>
      <c r="C156" t="str">
        <f t="shared" si="2"/>
        <v>L</v>
      </c>
      <c r="D156" s="334" t="s">
        <v>352</v>
      </c>
      <c r="E156" s="390">
        <f>+'q17'!$J$41</f>
        <v>1045.9610219236199</v>
      </c>
    </row>
    <row r="157" spans="1:5">
      <c r="A157">
        <f>+'q17'!$J$4</f>
        <v>2019</v>
      </c>
      <c r="B157" t="str">
        <f>+Aux!$A$26</f>
        <v>M - Atividades de consultoria, científicas, técnicas e similares</v>
      </c>
      <c r="C157" t="str">
        <f t="shared" si="2"/>
        <v>M</v>
      </c>
      <c r="D157" s="334" t="s">
        <v>352</v>
      </c>
      <c r="E157" s="390">
        <f>+'q17'!$J$42</f>
        <v>1288.0862269404499</v>
      </c>
    </row>
    <row r="158" spans="1:5">
      <c r="A158">
        <f>+'q17'!$J$4</f>
        <v>2019</v>
      </c>
      <c r="B158" t="str">
        <f>+Aux!$A$27</f>
        <v>N - Atividades administrativas e dos serviços de apoio</v>
      </c>
      <c r="C158" t="str">
        <f t="shared" si="2"/>
        <v>N</v>
      </c>
      <c r="D158" s="334" t="s">
        <v>352</v>
      </c>
      <c r="E158" s="390">
        <f>+'q17'!$J$43</f>
        <v>842.4761816352601</v>
      </c>
    </row>
    <row r="159" spans="1:5">
      <c r="A159">
        <f>+'q17'!$J$4</f>
        <v>2019</v>
      </c>
      <c r="B159" t="str">
        <f>+Aux!$A$28</f>
        <v>O - Administração pública e defesa; segurança social obrigatória</v>
      </c>
      <c r="C159" t="str">
        <f t="shared" si="2"/>
        <v>O</v>
      </c>
      <c r="D159" s="334" t="s">
        <v>352</v>
      </c>
      <c r="E159" s="390">
        <f>+'q17'!$J$44</f>
        <v>950.41182258984611</v>
      </c>
    </row>
    <row r="160" spans="1:5">
      <c r="A160">
        <f>+'q17'!$J$4</f>
        <v>2019</v>
      </c>
      <c r="B160" t="str">
        <f>+Aux!$A$29</f>
        <v>P - Educação</v>
      </c>
      <c r="C160" t="str">
        <f t="shared" si="2"/>
        <v>P</v>
      </c>
      <c r="D160" s="334" t="s">
        <v>352</v>
      </c>
      <c r="E160" s="390">
        <f>+'q17'!$J$45</f>
        <v>1219.7930119299501</v>
      </c>
    </row>
    <row r="161" spans="1:5">
      <c r="A161">
        <f>+'q17'!$J$4</f>
        <v>2019</v>
      </c>
      <c r="B161" t="str">
        <f>+Aux!$A$30</f>
        <v>Q - Ativ. de saúde humana e apoio social</v>
      </c>
      <c r="C161" t="str">
        <f t="shared" si="2"/>
        <v>Q</v>
      </c>
      <c r="D161" s="334" t="s">
        <v>352</v>
      </c>
      <c r="E161" s="390">
        <f>+'q17'!$J$46</f>
        <v>923.59450725392105</v>
      </c>
    </row>
    <row r="162" spans="1:5">
      <c r="A162">
        <f>+'q17'!$J$4</f>
        <v>2019</v>
      </c>
      <c r="B162" t="str">
        <f>+Aux!$A$31</f>
        <v>R - Atividades artísticas, de espectáculos, desp. e recreativas</v>
      </c>
      <c r="C162" t="str">
        <f t="shared" si="2"/>
        <v>R</v>
      </c>
      <c r="D162" s="334" t="s">
        <v>352</v>
      </c>
      <c r="E162" s="390">
        <f>+'q17'!$J$47</f>
        <v>1645.6621931894101</v>
      </c>
    </row>
    <row r="163" spans="1:5">
      <c r="A163">
        <f>+'q17'!$J$4</f>
        <v>2019</v>
      </c>
      <c r="B163" t="str">
        <f>+Aux!$A$32</f>
        <v>S - Outras atividades de serviços</v>
      </c>
      <c r="C163" t="str">
        <f t="shared" si="2"/>
        <v>S</v>
      </c>
      <c r="D163" s="334" t="s">
        <v>352</v>
      </c>
      <c r="E163" s="390">
        <f>+'q17'!$J$48</f>
        <v>932.374981835178</v>
      </c>
    </row>
    <row r="164" spans="1:5">
      <c r="A164">
        <f>+'q17'!$J$4</f>
        <v>2019</v>
      </c>
      <c r="B164" t="str">
        <f>+Aux!$A$33</f>
        <v>U - Ativ. org. interna. e outras instituições extra-territoriais</v>
      </c>
      <c r="C164" t="str">
        <f t="shared" si="2"/>
        <v>U</v>
      </c>
      <c r="D164" s="334" t="s">
        <v>352</v>
      </c>
      <c r="E164" s="390">
        <f>+'q17'!$J$49</f>
        <v>2160.3618947368404</v>
      </c>
    </row>
    <row r="165" spans="1:5">
      <c r="A165">
        <f>+'q17'!$K$4</f>
        <v>2020</v>
      </c>
      <c r="B165" t="str">
        <f>+Aux!$A$14</f>
        <v xml:space="preserve">A - Agricultura, produção animal, caça, floresta e pesca </v>
      </c>
      <c r="C165" t="str">
        <f t="shared" si="2"/>
        <v>A</v>
      </c>
      <c r="D165" s="334" t="s">
        <v>352</v>
      </c>
      <c r="E165" s="390">
        <f>+'q17'!$K$6</f>
        <v>823.11781650322496</v>
      </c>
    </row>
    <row r="166" spans="1:5">
      <c r="A166">
        <f>+'q17'!$K$4</f>
        <v>2020</v>
      </c>
      <c r="B166" t="str">
        <f>+Aux!$A$15</f>
        <v>B - Indústrias extrativas</v>
      </c>
      <c r="C166" t="str">
        <f t="shared" si="2"/>
        <v>B</v>
      </c>
      <c r="D166" s="334" t="s">
        <v>352</v>
      </c>
      <c r="E166" s="390">
        <f>+'q17'!$K$7</f>
        <v>1099.73007606333</v>
      </c>
    </row>
    <row r="167" spans="1:5">
      <c r="A167">
        <f>+'q17'!$K$4</f>
        <v>2020</v>
      </c>
      <c r="B167" t="str">
        <f>+Aux!$A$16</f>
        <v>C - Ind. transformadoras</v>
      </c>
      <c r="C167" t="str">
        <f t="shared" si="2"/>
        <v>C</v>
      </c>
      <c r="D167" s="334" t="s">
        <v>352</v>
      </c>
      <c r="E167" s="390">
        <f>+'q17'!$K$8</f>
        <v>1003.2084417479001</v>
      </c>
    </row>
    <row r="168" spans="1:5">
      <c r="A168">
        <f>+'q17'!$K$4</f>
        <v>2020</v>
      </c>
      <c r="B168" t="str">
        <f>+Aux!$A$17</f>
        <v>D - Eletricidade, gás, vapor, água quente e fria e ar frio</v>
      </c>
      <c r="C168" t="str">
        <f t="shared" si="2"/>
        <v>D</v>
      </c>
      <c r="D168" s="334" t="s">
        <v>352</v>
      </c>
      <c r="E168" s="390">
        <f>+'q17'!$K$33</f>
        <v>2128.4663371176298</v>
      </c>
    </row>
    <row r="169" spans="1:5">
      <c r="A169">
        <f>+'q17'!$K$4</f>
        <v>2020</v>
      </c>
      <c r="B169" t="str">
        <f>+Aux!$A$18</f>
        <v>E - Captação, trat. e dist. água; saneam., gest. resíduos e desp.</v>
      </c>
      <c r="C169" t="str">
        <f t="shared" si="2"/>
        <v>E</v>
      </c>
      <c r="D169" s="334" t="s">
        <v>352</v>
      </c>
      <c r="E169" s="390">
        <f>+'q17'!$K$34</f>
        <v>970.37218146718101</v>
      </c>
    </row>
    <row r="170" spans="1:5">
      <c r="A170">
        <f>+'q17'!$K$4</f>
        <v>2020</v>
      </c>
      <c r="B170" t="str">
        <f>+Aux!$A$19</f>
        <v>F - Construção</v>
      </c>
      <c r="C170" t="str">
        <f t="shared" si="2"/>
        <v>F</v>
      </c>
      <c r="D170" s="334" t="s">
        <v>352</v>
      </c>
      <c r="E170" s="390">
        <f>+'q17'!$K$35</f>
        <v>880.76837590518107</v>
      </c>
    </row>
    <row r="171" spans="1:5">
      <c r="A171">
        <f>+'q17'!$K$4</f>
        <v>2020</v>
      </c>
      <c r="B171" t="str">
        <f>+Aux!$A$20</f>
        <v>G - Com. por grosso e a ret.; rep. de veíc. autom. e mot.</v>
      </c>
      <c r="C171" t="str">
        <f t="shared" si="2"/>
        <v>G</v>
      </c>
      <c r="D171" s="334" t="s">
        <v>352</v>
      </c>
      <c r="E171" s="390">
        <f>+'q17'!$K$36</f>
        <v>989.90563296268704</v>
      </c>
    </row>
    <row r="172" spans="1:5">
      <c r="A172">
        <f>+'q17'!$K$4</f>
        <v>2020</v>
      </c>
      <c r="B172" t="str">
        <f>+Aux!$A$21</f>
        <v>H - Transportes e armazenagem</v>
      </c>
      <c r="C172" t="str">
        <f t="shared" si="2"/>
        <v>H</v>
      </c>
      <c r="D172" s="334" t="s">
        <v>352</v>
      </c>
      <c r="E172" s="390">
        <f>+'q17'!$K$37</f>
        <v>1033.2504809453701</v>
      </c>
    </row>
    <row r="173" spans="1:5">
      <c r="A173">
        <f>+'q17'!$K$4</f>
        <v>2020</v>
      </c>
      <c r="B173" t="str">
        <f>+Aux!$A$22</f>
        <v>I - Alojamento, rest. e sim.</v>
      </c>
      <c r="C173" t="str">
        <f t="shared" si="2"/>
        <v>I</v>
      </c>
      <c r="D173" s="334" t="s">
        <v>352</v>
      </c>
      <c r="E173" s="390">
        <f>+'q17'!$K$38</f>
        <v>780.14158453833704</v>
      </c>
    </row>
    <row r="174" spans="1:5">
      <c r="A174">
        <f>+'q17'!$K$4</f>
        <v>2020</v>
      </c>
      <c r="B174" t="str">
        <f>+Aux!$A$23</f>
        <v>J - Atividades de informação e de comunicação</v>
      </c>
      <c r="C174" t="str">
        <f t="shared" si="2"/>
        <v>J</v>
      </c>
      <c r="D174" s="334" t="s">
        <v>352</v>
      </c>
      <c r="E174" s="390">
        <f>+'q17'!$K$39</f>
        <v>1668.1161779340503</v>
      </c>
    </row>
    <row r="175" spans="1:5">
      <c r="A175">
        <f>+'q17'!$K$4</f>
        <v>2020</v>
      </c>
      <c r="B175" t="str">
        <f>+Aux!$A$24</f>
        <v>K - Atividades financeiras e de seguros</v>
      </c>
      <c r="C175" t="str">
        <f t="shared" si="2"/>
        <v>K</v>
      </c>
      <c r="D175" s="334" t="s">
        <v>352</v>
      </c>
      <c r="E175" s="390">
        <f>+'q17'!$K$40</f>
        <v>1651.3015192094701</v>
      </c>
    </row>
    <row r="176" spans="1:5">
      <c r="A176">
        <f>+'q17'!$K$4</f>
        <v>2020</v>
      </c>
      <c r="B176" t="str">
        <f>+Aux!$A$25</f>
        <v>L - Atividades imobiliárias</v>
      </c>
      <c r="C176" t="str">
        <f t="shared" si="2"/>
        <v>L</v>
      </c>
      <c r="D176" s="334" t="s">
        <v>352</v>
      </c>
      <c r="E176" s="390">
        <f>+'q17'!$K$41</f>
        <v>1091.6445527877802</v>
      </c>
    </row>
    <row r="177" spans="1:5">
      <c r="A177">
        <f>+'q17'!$K$4</f>
        <v>2020</v>
      </c>
      <c r="B177" t="str">
        <f>+Aux!$A$26</f>
        <v>M - Atividades de consultoria, científicas, técnicas e similares</v>
      </c>
      <c r="C177" t="str">
        <f t="shared" si="2"/>
        <v>M</v>
      </c>
      <c r="D177" s="334" t="s">
        <v>352</v>
      </c>
      <c r="E177" s="390">
        <f>+'q17'!$K$42</f>
        <v>1335.14220475722</v>
      </c>
    </row>
    <row r="178" spans="1:5">
      <c r="A178">
        <f>+'q17'!$K$4</f>
        <v>2020</v>
      </c>
      <c r="B178" t="str">
        <f>+Aux!$A$27</f>
        <v>N - Atividades administrativas e dos serviços de apoio</v>
      </c>
      <c r="C178" t="str">
        <f t="shared" si="2"/>
        <v>N</v>
      </c>
      <c r="D178" s="334" t="s">
        <v>352</v>
      </c>
      <c r="E178" s="390">
        <f>+'q17'!$K$43</f>
        <v>864.18440446708109</v>
      </c>
    </row>
    <row r="179" spans="1:5">
      <c r="A179">
        <f>+'q17'!$K$4</f>
        <v>2020</v>
      </c>
      <c r="B179" t="str">
        <f>+Aux!$A$28</f>
        <v>O - Administração pública e defesa; segurança social obrigatória</v>
      </c>
      <c r="C179" t="str">
        <f t="shared" si="2"/>
        <v>O</v>
      </c>
      <c r="D179" s="334" t="s">
        <v>352</v>
      </c>
      <c r="E179" s="390">
        <f>+'q17'!$K$44</f>
        <v>990.79099972459414</v>
      </c>
    </row>
    <row r="180" spans="1:5">
      <c r="A180">
        <f>+'q17'!$K$4</f>
        <v>2020</v>
      </c>
      <c r="B180" t="str">
        <f>+Aux!$A$29</f>
        <v>P - Educação</v>
      </c>
      <c r="C180" t="str">
        <f t="shared" si="2"/>
        <v>P</v>
      </c>
      <c r="D180" s="334" t="s">
        <v>352</v>
      </c>
      <c r="E180" s="390">
        <f>+'q17'!$K$45</f>
        <v>1259.2832209786602</v>
      </c>
    </row>
    <row r="181" spans="1:5">
      <c r="A181">
        <f>+'q17'!$K$4</f>
        <v>2020</v>
      </c>
      <c r="B181" t="str">
        <f>+Aux!$A$30</f>
        <v>Q - Ativ. de saúde humana e apoio social</v>
      </c>
      <c r="C181" t="str">
        <f t="shared" si="2"/>
        <v>Q</v>
      </c>
      <c r="D181" s="334" t="s">
        <v>352</v>
      </c>
      <c r="E181" s="390">
        <f>+'q17'!$K$46</f>
        <v>942.71178632846113</v>
      </c>
    </row>
    <row r="182" spans="1:5">
      <c r="A182">
        <f>+'q17'!$K$4</f>
        <v>2020</v>
      </c>
      <c r="B182" t="str">
        <f>+Aux!$A$31</f>
        <v>R - Atividades artísticas, de espectáculos, desp. e recreativas</v>
      </c>
      <c r="C182" t="str">
        <f t="shared" si="2"/>
        <v>R</v>
      </c>
      <c r="D182" s="334" t="s">
        <v>352</v>
      </c>
      <c r="E182" s="390">
        <f>+'q17'!$K$47</f>
        <v>1838.9745813040101</v>
      </c>
    </row>
    <row r="183" spans="1:5">
      <c r="A183">
        <f>+'q17'!$K$4</f>
        <v>2020</v>
      </c>
      <c r="B183" t="str">
        <f>+Aux!$A$32</f>
        <v>S - Outras atividades de serviços</v>
      </c>
      <c r="C183" t="str">
        <f t="shared" si="2"/>
        <v>S</v>
      </c>
      <c r="D183" s="334" t="s">
        <v>352</v>
      </c>
      <c r="E183" s="390">
        <f>+'q17'!$K$48</f>
        <v>987.51096645240398</v>
      </c>
    </row>
    <row r="184" spans="1:5">
      <c r="A184">
        <f>+'q17'!$K$4</f>
        <v>2020</v>
      </c>
      <c r="B184" t="str">
        <f>+Aux!$A$33</f>
        <v>U - Ativ. org. interna. e outras instituições extra-territoriais</v>
      </c>
      <c r="C184" t="str">
        <f t="shared" si="2"/>
        <v>U</v>
      </c>
      <c r="D184" s="334" t="s">
        <v>352</v>
      </c>
      <c r="E184" s="390">
        <f>+'q17'!$K$49</f>
        <v>1978.9849090909102</v>
      </c>
    </row>
    <row r="185" spans="1:5">
      <c r="A185">
        <f>+'q17'!$L$4</f>
        <v>2021</v>
      </c>
      <c r="B185" t="str">
        <f>+Aux!$A$14</f>
        <v xml:space="preserve">A - Agricultura, produção animal, caça, floresta e pesca </v>
      </c>
      <c r="C185" t="str">
        <f t="shared" si="2"/>
        <v>A</v>
      </c>
      <c r="D185" s="334" t="s">
        <v>352</v>
      </c>
      <c r="E185" s="390">
        <f>+'q17'!$L$6</f>
        <v>872.68203826163904</v>
      </c>
    </row>
    <row r="186" spans="1:5">
      <c r="A186">
        <f>+'q17'!$L$4</f>
        <v>2021</v>
      </c>
      <c r="B186" t="str">
        <f>+Aux!$A$15</f>
        <v>B - Indústrias extrativas</v>
      </c>
      <c r="C186" t="str">
        <f t="shared" si="2"/>
        <v>B</v>
      </c>
      <c r="D186" s="334" t="s">
        <v>352</v>
      </c>
      <c r="E186" s="390">
        <f>+'q17'!$L$7</f>
        <v>1159.4527605973801</v>
      </c>
    </row>
    <row r="187" spans="1:5">
      <c r="A187">
        <f>+'q17'!$L$4</f>
        <v>2021</v>
      </c>
      <c r="B187" t="str">
        <f>+Aux!$A$16</f>
        <v>C - Ind. transformadoras</v>
      </c>
      <c r="C187" t="str">
        <f t="shared" si="2"/>
        <v>C</v>
      </c>
      <c r="D187" s="334" t="s">
        <v>352</v>
      </c>
      <c r="E187" s="390">
        <f>+'q17'!$L$8</f>
        <v>1031.02559057797</v>
      </c>
    </row>
    <row r="188" spans="1:5">
      <c r="A188">
        <f>+'q17'!$L$4</f>
        <v>2021</v>
      </c>
      <c r="B188" t="str">
        <f>+Aux!$A$17</f>
        <v>D - Eletricidade, gás, vapor, água quente e fria e ar frio</v>
      </c>
      <c r="C188" t="str">
        <f t="shared" si="2"/>
        <v>D</v>
      </c>
      <c r="D188" s="334" t="s">
        <v>352</v>
      </c>
      <c r="E188" s="390">
        <f>+'q17'!$L$33</f>
        <v>2156.6853935813501</v>
      </c>
    </row>
    <row r="189" spans="1:5">
      <c r="A189">
        <f>+'q17'!$L$4</f>
        <v>2021</v>
      </c>
      <c r="B189" t="str">
        <f>+Aux!$A$18</f>
        <v>E - Captação, trat. e dist. água; saneam., gest. resíduos e desp.</v>
      </c>
      <c r="C189" t="str">
        <f t="shared" si="2"/>
        <v>E</v>
      </c>
      <c r="D189" s="334" t="s">
        <v>352</v>
      </c>
      <c r="E189" s="390">
        <f>+'q17'!$L$34</f>
        <v>989.78848389665507</v>
      </c>
    </row>
    <row r="190" spans="1:5">
      <c r="A190">
        <f>+'q17'!$L$4</f>
        <v>2021</v>
      </c>
      <c r="B190" t="str">
        <f>+Aux!$A$19</f>
        <v>F - Construção</v>
      </c>
      <c r="C190" t="str">
        <f t="shared" si="2"/>
        <v>F</v>
      </c>
      <c r="D190" s="334" t="s">
        <v>352</v>
      </c>
      <c r="E190" s="390">
        <f>+'q17'!$L$35</f>
        <v>934.51280997494007</v>
      </c>
    </row>
    <row r="191" spans="1:5">
      <c r="A191">
        <f>+'q17'!$L$4</f>
        <v>2021</v>
      </c>
      <c r="B191" t="str">
        <f>+Aux!$A$20</f>
        <v>G - Com. por grosso e a ret.; rep. de veíc. autom. e mot.</v>
      </c>
      <c r="C191" t="str">
        <f t="shared" si="2"/>
        <v>G</v>
      </c>
      <c r="D191" s="334" t="s">
        <v>352</v>
      </c>
      <c r="E191" s="390">
        <f>+'q17'!$L$36</f>
        <v>1031.8456251120601</v>
      </c>
    </row>
    <row r="192" spans="1:5">
      <c r="A192">
        <f>+'q17'!$L$4</f>
        <v>2021</v>
      </c>
      <c r="B192" t="str">
        <f>+Aux!$A$21</f>
        <v>H - Transportes e armazenagem</v>
      </c>
      <c r="C192" t="str">
        <f t="shared" si="2"/>
        <v>H</v>
      </c>
      <c r="D192" s="334" t="s">
        <v>352</v>
      </c>
      <c r="E192" s="390">
        <f>+'q17'!$L$37</f>
        <v>1056.1173564088701</v>
      </c>
    </row>
    <row r="193" spans="1:5">
      <c r="A193">
        <f>+'q17'!$L$4</f>
        <v>2021</v>
      </c>
      <c r="B193" t="str">
        <f>+Aux!$A$22</f>
        <v>I - Alojamento, rest. e sim.</v>
      </c>
      <c r="C193" t="str">
        <f t="shared" si="2"/>
        <v>I</v>
      </c>
      <c r="D193" s="334" t="s">
        <v>352</v>
      </c>
      <c r="E193" s="390">
        <f>+'q17'!$L$38</f>
        <v>822.385398330062</v>
      </c>
    </row>
    <row r="194" spans="1:5">
      <c r="A194">
        <f>+'q17'!$L$4</f>
        <v>2021</v>
      </c>
      <c r="B194" t="str">
        <f>+Aux!$A$23</f>
        <v>J - Atividades de informação e de comunicação</v>
      </c>
      <c r="C194" t="str">
        <f t="shared" si="2"/>
        <v>J</v>
      </c>
      <c r="D194" s="334" t="s">
        <v>352</v>
      </c>
      <c r="E194" s="390">
        <f>+'q17'!$L$39</f>
        <v>1748.1088944124501</v>
      </c>
    </row>
    <row r="195" spans="1:5">
      <c r="A195">
        <f>+'q17'!$L$4</f>
        <v>2021</v>
      </c>
      <c r="B195" t="str">
        <f>+Aux!$A$24</f>
        <v>K - Atividades financeiras e de seguros</v>
      </c>
      <c r="C195" t="str">
        <f t="shared" si="2"/>
        <v>K</v>
      </c>
      <c r="D195" s="334" t="s">
        <v>352</v>
      </c>
      <c r="E195" s="390">
        <f>+'q17'!$L$40</f>
        <v>1674.12368130901</v>
      </c>
    </row>
    <row r="196" spans="1:5">
      <c r="A196">
        <f>+'q17'!$L$4</f>
        <v>2021</v>
      </c>
      <c r="B196" t="str">
        <f>+Aux!$A$25</f>
        <v>L - Atividades imobiliárias</v>
      </c>
      <c r="C196" t="str">
        <f t="shared" si="2"/>
        <v>L</v>
      </c>
      <c r="D196" s="334" t="s">
        <v>352</v>
      </c>
      <c r="E196" s="390">
        <f>+'q17'!$L$41</f>
        <v>1129.1853103318101</v>
      </c>
    </row>
    <row r="197" spans="1:5">
      <c r="A197">
        <f>+'q17'!$L$4</f>
        <v>2021</v>
      </c>
      <c r="B197" t="str">
        <f>+Aux!$A$26</f>
        <v>M - Atividades de consultoria, científicas, técnicas e similares</v>
      </c>
      <c r="C197" t="str">
        <f t="shared" si="2"/>
        <v>M</v>
      </c>
      <c r="D197" s="334" t="s">
        <v>352</v>
      </c>
      <c r="E197" s="390">
        <f>+'q17'!$L$42</f>
        <v>1403.13461277088</v>
      </c>
    </row>
    <row r="198" spans="1:5">
      <c r="A198">
        <f>+'q17'!$L$4</f>
        <v>2021</v>
      </c>
      <c r="B198" t="str">
        <f>+Aux!$A$27</f>
        <v>N - Atividades administrativas e dos serviços de apoio</v>
      </c>
      <c r="C198" t="str">
        <f t="shared" ref="C198:C261" si="3">+LEFT(B198,1)</f>
        <v>N</v>
      </c>
      <c r="D198" s="334" t="s">
        <v>352</v>
      </c>
      <c r="E198" s="390">
        <f>+'q17'!$L$43</f>
        <v>916.97032858433511</v>
      </c>
    </row>
    <row r="199" spans="1:5">
      <c r="A199">
        <f>+'q17'!$L$4</f>
        <v>2021</v>
      </c>
      <c r="B199" t="str">
        <f>+Aux!$A$28</f>
        <v>O - Administração pública e defesa; segurança social obrigatória</v>
      </c>
      <c r="C199" t="str">
        <f t="shared" si="3"/>
        <v>O</v>
      </c>
      <c r="D199" s="334" t="s">
        <v>352</v>
      </c>
      <c r="E199" s="390">
        <f>+'q17'!$L$44</f>
        <v>1027.5082074060199</v>
      </c>
    </row>
    <row r="200" spans="1:5">
      <c r="A200">
        <f>+'q17'!$L$4</f>
        <v>2021</v>
      </c>
      <c r="B200" t="str">
        <f>+Aux!$A$29</f>
        <v>P - Educação</v>
      </c>
      <c r="C200" t="str">
        <f t="shared" si="3"/>
        <v>P</v>
      </c>
      <c r="D200" s="334" t="s">
        <v>352</v>
      </c>
      <c r="E200" s="390">
        <f>+'q17'!$L$45</f>
        <v>1296.7184035308401</v>
      </c>
    </row>
    <row r="201" spans="1:5">
      <c r="A201">
        <f>+'q17'!$L$4</f>
        <v>2021</v>
      </c>
      <c r="B201" t="str">
        <f>+Aux!$A$30</f>
        <v>Q - Ativ. de saúde humana e apoio social</v>
      </c>
      <c r="C201" t="str">
        <f t="shared" si="3"/>
        <v>Q</v>
      </c>
      <c r="D201" s="334" t="s">
        <v>352</v>
      </c>
      <c r="E201" s="390">
        <f>+'q17'!$L$46</f>
        <v>974.57898527437214</v>
      </c>
    </row>
    <row r="202" spans="1:5">
      <c r="A202">
        <f>+'q17'!$L$4</f>
        <v>2021</v>
      </c>
      <c r="B202" t="str">
        <f>+Aux!$A$31</f>
        <v>R - Atividades artísticas, de espectáculos, desp. e recreativas</v>
      </c>
      <c r="C202" t="str">
        <f t="shared" si="3"/>
        <v>R</v>
      </c>
      <c r="D202" s="334" t="s">
        <v>352</v>
      </c>
      <c r="E202" s="390">
        <f>+'q17'!$L$47</f>
        <v>1780.1012672638201</v>
      </c>
    </row>
    <row r="203" spans="1:5">
      <c r="A203">
        <f>+'q17'!$L$4</f>
        <v>2021</v>
      </c>
      <c r="B203" t="str">
        <f>+Aux!$A$32</f>
        <v>S - Outras atividades de serviços</v>
      </c>
      <c r="C203" t="str">
        <f t="shared" si="3"/>
        <v>S</v>
      </c>
      <c r="D203" s="334" t="s">
        <v>352</v>
      </c>
      <c r="E203" s="390">
        <f>+'q17'!$L$48</f>
        <v>1012.5876791584501</v>
      </c>
    </row>
    <row r="204" spans="1:5">
      <c r="A204">
        <f>+'q17'!$L$4</f>
        <v>2021</v>
      </c>
      <c r="B204" t="str">
        <f>+Aux!$A$33</f>
        <v>U - Ativ. org. interna. e outras instituições extra-territoriais</v>
      </c>
      <c r="C204" t="str">
        <f t="shared" si="3"/>
        <v>U</v>
      </c>
      <c r="D204" s="334" t="s">
        <v>352</v>
      </c>
      <c r="E204" s="390">
        <f>+'q17'!$L$49</f>
        <v>1886.5118749999999</v>
      </c>
    </row>
    <row r="205" spans="1:5">
      <c r="A205">
        <f>+'q17'!$M$4</f>
        <v>2022</v>
      </c>
      <c r="B205" t="str">
        <f>+Aux!$A$14</f>
        <v xml:space="preserve">A - Agricultura, produção animal, caça, floresta e pesca </v>
      </c>
      <c r="C205" t="str">
        <f t="shared" si="3"/>
        <v>A</v>
      </c>
      <c r="D205" s="334" t="s">
        <v>352</v>
      </c>
      <c r="E205" s="390">
        <f>+'q17'!$M$6</f>
        <v>916.19425957124201</v>
      </c>
    </row>
    <row r="206" spans="1:5">
      <c r="A206">
        <f>+'q17'!$M$4</f>
        <v>2022</v>
      </c>
      <c r="B206" t="str">
        <f>+Aux!$A$15</f>
        <v>B - Indústrias extrativas</v>
      </c>
      <c r="C206" t="str">
        <f t="shared" si="3"/>
        <v>B</v>
      </c>
      <c r="D206" s="334" t="s">
        <v>352</v>
      </c>
      <c r="E206" s="390">
        <f>+'q17'!$M$7</f>
        <v>1221.0700789127602</v>
      </c>
    </row>
    <row r="207" spans="1:5">
      <c r="A207">
        <f>+'q17'!$M$4</f>
        <v>2022</v>
      </c>
      <c r="B207" t="str">
        <f>+Aux!$A$16</f>
        <v>C - Ind. transformadoras</v>
      </c>
      <c r="C207" t="str">
        <f t="shared" si="3"/>
        <v>C</v>
      </c>
      <c r="D207" s="334" t="s">
        <v>352</v>
      </c>
      <c r="E207" s="390">
        <f>+'q17'!$M$8</f>
        <v>1095.17302564704</v>
      </c>
    </row>
    <row r="208" spans="1:5">
      <c r="A208">
        <f>+'q17'!$M$4</f>
        <v>2022</v>
      </c>
      <c r="B208" t="str">
        <f>+Aux!$A$17</f>
        <v>D - Eletricidade, gás, vapor, água quente e fria e ar frio</v>
      </c>
      <c r="C208" t="str">
        <f t="shared" si="3"/>
        <v>D</v>
      </c>
      <c r="D208" s="334" t="s">
        <v>352</v>
      </c>
      <c r="E208" s="390">
        <f>+'q17'!$M$33</f>
        <v>2243.08646440129</v>
      </c>
    </row>
    <row r="209" spans="1:5">
      <c r="A209">
        <f>+'q17'!$M$4</f>
        <v>2022</v>
      </c>
      <c r="B209" t="str">
        <f>+Aux!$A$18</f>
        <v>E - Captação, trat. e dist. água; saneam., gest. resíduos e desp.</v>
      </c>
      <c r="C209" t="str">
        <f t="shared" si="3"/>
        <v>E</v>
      </c>
      <c r="D209" s="334" t="s">
        <v>352</v>
      </c>
      <c r="E209" s="390">
        <f>+'q17'!$M$34</f>
        <v>1034.7815110133999</v>
      </c>
    </row>
    <row r="210" spans="1:5">
      <c r="A210">
        <f>+'q17'!$M$4</f>
        <v>2022</v>
      </c>
      <c r="B210" t="str">
        <f>+Aux!$A$19</f>
        <v>F - Construção</v>
      </c>
      <c r="C210" t="str">
        <f t="shared" si="3"/>
        <v>F</v>
      </c>
      <c r="D210" s="334" t="s">
        <v>352</v>
      </c>
      <c r="E210" s="390">
        <f>+'q17'!$M$35</f>
        <v>973.22021681295314</v>
      </c>
    </row>
    <row r="211" spans="1:5">
      <c r="A211">
        <f>+'q17'!$M$4</f>
        <v>2022</v>
      </c>
      <c r="B211" t="str">
        <f>+Aux!$A$20</f>
        <v>G - Com. por grosso e a ret.; rep. de veíc. autom. e mot.</v>
      </c>
      <c r="C211" t="str">
        <f t="shared" si="3"/>
        <v>G</v>
      </c>
      <c r="D211" s="334" t="s">
        <v>352</v>
      </c>
      <c r="E211" s="390">
        <f>+'q17'!$M$36</f>
        <v>1075.6046225387602</v>
      </c>
    </row>
    <row r="212" spans="1:5">
      <c r="A212">
        <f>+'q17'!$M$4</f>
        <v>2022</v>
      </c>
      <c r="B212" t="str">
        <f>+Aux!$A$21</f>
        <v>H - Transportes e armazenagem</v>
      </c>
      <c r="C212" t="str">
        <f t="shared" si="3"/>
        <v>H</v>
      </c>
      <c r="D212" s="334" t="s">
        <v>352</v>
      </c>
      <c r="E212" s="390">
        <f>+'q17'!$M$37</f>
        <v>1184.2369983634701</v>
      </c>
    </row>
    <row r="213" spans="1:5">
      <c r="A213">
        <f>+'q17'!$M$4</f>
        <v>2022</v>
      </c>
      <c r="B213" t="str">
        <f>+Aux!$A$22</f>
        <v>I - Alojamento, rest. e sim.</v>
      </c>
      <c r="C213" t="str">
        <f t="shared" si="3"/>
        <v>I</v>
      </c>
      <c r="D213" s="334" t="s">
        <v>352</v>
      </c>
      <c r="E213" s="390">
        <f>+'q17'!$M$38</f>
        <v>872.72265913876606</v>
      </c>
    </row>
    <row r="214" spans="1:5">
      <c r="A214">
        <f>+'q17'!$M$4</f>
        <v>2022</v>
      </c>
      <c r="B214" t="str">
        <f>+Aux!$A$23</f>
        <v>J - Atividades de informação e de comunicação</v>
      </c>
      <c r="C214" t="str">
        <f t="shared" si="3"/>
        <v>J</v>
      </c>
      <c r="D214" s="334" t="s">
        <v>352</v>
      </c>
      <c r="E214" s="390">
        <f>+'q17'!$M$39</f>
        <v>1915.45167650083</v>
      </c>
    </row>
    <row r="215" spans="1:5">
      <c r="A215">
        <f>+'q17'!$M$4</f>
        <v>2022</v>
      </c>
      <c r="B215" t="str">
        <f>+Aux!$A$24</f>
        <v>K - Atividades financeiras e de seguros</v>
      </c>
      <c r="C215" t="str">
        <f t="shared" si="3"/>
        <v>K</v>
      </c>
      <c r="D215" s="334" t="s">
        <v>352</v>
      </c>
      <c r="E215" s="390">
        <f>+'q17'!$M$40</f>
        <v>1705.2331345150601</v>
      </c>
    </row>
    <row r="216" spans="1:5">
      <c r="A216">
        <f>+'q17'!$M$4</f>
        <v>2022</v>
      </c>
      <c r="B216" t="str">
        <f>+Aux!$A$25</f>
        <v>L - Atividades imobiliárias</v>
      </c>
      <c r="C216" t="str">
        <f t="shared" si="3"/>
        <v>L</v>
      </c>
      <c r="D216" s="334" t="s">
        <v>352</v>
      </c>
      <c r="E216" s="390">
        <f>+'q17'!$M$41</f>
        <v>1185.3302392222101</v>
      </c>
    </row>
    <row r="217" spans="1:5">
      <c r="A217">
        <f>+'q17'!$M$4</f>
        <v>2022</v>
      </c>
      <c r="B217" t="str">
        <f>+Aux!$A$26</f>
        <v>M - Atividades de consultoria, científicas, técnicas e similares</v>
      </c>
      <c r="C217" t="str">
        <f t="shared" si="3"/>
        <v>M</v>
      </c>
      <c r="D217" s="334" t="s">
        <v>352</v>
      </c>
      <c r="E217" s="390">
        <f>+'q17'!$M$42</f>
        <v>1491.9657939461799</v>
      </c>
    </row>
    <row r="218" spans="1:5">
      <c r="A218">
        <f>+'q17'!$M$4</f>
        <v>2022</v>
      </c>
      <c r="B218" t="str">
        <f>+Aux!$A$27</f>
        <v>N - Atividades administrativas e dos serviços de apoio</v>
      </c>
      <c r="C218" t="str">
        <f t="shared" si="3"/>
        <v>N</v>
      </c>
      <c r="D218" s="334" t="s">
        <v>352</v>
      </c>
      <c r="E218" s="390">
        <f>+'q17'!$M$43</f>
        <v>970.39278583200996</v>
      </c>
    </row>
    <row r="219" spans="1:5">
      <c r="A219">
        <f>+'q17'!$M$4</f>
        <v>2022</v>
      </c>
      <c r="B219" t="str">
        <f>+Aux!$A$28</f>
        <v>O - Administração pública e defesa; segurança social obrigatória</v>
      </c>
      <c r="C219" t="str">
        <f t="shared" si="3"/>
        <v>O</v>
      </c>
      <c r="D219" s="334" t="s">
        <v>352</v>
      </c>
      <c r="E219" s="390">
        <f>+'q17'!$M$44</f>
        <v>1035.50470390484</v>
      </c>
    </row>
    <row r="220" spans="1:5">
      <c r="A220">
        <f>+'q17'!$M$4</f>
        <v>2022</v>
      </c>
      <c r="B220" t="str">
        <f>+Aux!$A$29</f>
        <v>P - Educação</v>
      </c>
      <c r="C220" t="str">
        <f t="shared" si="3"/>
        <v>P</v>
      </c>
      <c r="D220" s="334" t="s">
        <v>352</v>
      </c>
      <c r="E220" s="390">
        <f>+'q17'!$M$45</f>
        <v>1348.7300260772402</v>
      </c>
    </row>
    <row r="221" spans="1:5">
      <c r="A221">
        <f>+'q17'!$M$4</f>
        <v>2022</v>
      </c>
      <c r="B221" t="str">
        <f>+Aux!$A$30</f>
        <v>Q - Ativ. de saúde humana e apoio social</v>
      </c>
      <c r="C221" t="str">
        <f t="shared" si="3"/>
        <v>Q</v>
      </c>
      <c r="D221" s="334" t="s">
        <v>352</v>
      </c>
      <c r="E221" s="390">
        <f>+'q17'!$M$46</f>
        <v>1004.81363273947</v>
      </c>
    </row>
    <row r="222" spans="1:5">
      <c r="A222">
        <f>+'q17'!$M$4</f>
        <v>2022</v>
      </c>
      <c r="B222" t="str">
        <f>+Aux!$A$31</f>
        <v>R - Atividades artísticas, de espectáculos, desp. e recreativas</v>
      </c>
      <c r="C222" t="str">
        <f t="shared" si="3"/>
        <v>R</v>
      </c>
      <c r="D222" s="334" t="s">
        <v>352</v>
      </c>
      <c r="E222" s="390">
        <f>+'q17'!$M$47</f>
        <v>1789.8588604859799</v>
      </c>
    </row>
    <row r="223" spans="1:5">
      <c r="A223">
        <f>+'q17'!$M$4</f>
        <v>2022</v>
      </c>
      <c r="B223" t="str">
        <f>+Aux!$A$32</f>
        <v>S - Outras atividades de serviços</v>
      </c>
      <c r="C223" t="str">
        <f t="shared" si="3"/>
        <v>S</v>
      </c>
      <c r="D223" s="334" t="s">
        <v>352</v>
      </c>
      <c r="E223" s="390">
        <f>+'q17'!$M$48</f>
        <v>1053.4306588592303</v>
      </c>
    </row>
    <row r="224" spans="1:5">
      <c r="A224">
        <f>+'q17'!$M$4</f>
        <v>2022</v>
      </c>
      <c r="B224" t="str">
        <f>+Aux!$A$33</f>
        <v>U - Ativ. org. interna. e outras instituições extra-territoriais</v>
      </c>
      <c r="C224" t="str">
        <f t="shared" si="3"/>
        <v>U</v>
      </c>
      <c r="D224" s="334" t="s">
        <v>352</v>
      </c>
      <c r="E224" s="390">
        <f>+'q17'!$M$49</f>
        <v>3156.8388888888899</v>
      </c>
    </row>
    <row r="225" spans="1:5">
      <c r="A225">
        <f>+'q25'!$C$4</f>
        <v>2012</v>
      </c>
      <c r="B225" t="str">
        <f>+Aux!$A$14</f>
        <v xml:space="preserve">A - Agricultura, produção animal, caça, floresta e pesca </v>
      </c>
      <c r="C225" t="str">
        <f t="shared" si="3"/>
        <v>A</v>
      </c>
      <c r="D225" s="334" t="s">
        <v>353</v>
      </c>
      <c r="E225" s="390">
        <f>+'q25'!$C$6</f>
        <v>812.90857049472606</v>
      </c>
    </row>
    <row r="226" spans="1:5">
      <c r="A226">
        <f>+'q25'!$C$4</f>
        <v>2012</v>
      </c>
      <c r="B226" t="str">
        <f>+Aux!$A$15</f>
        <v>B - Indústrias extrativas</v>
      </c>
      <c r="C226" t="str">
        <f t="shared" si="3"/>
        <v>B</v>
      </c>
      <c r="D226" s="334" t="s">
        <v>353</v>
      </c>
      <c r="E226" s="390">
        <f>+'q25'!$C$7</f>
        <v>1189.99472764645</v>
      </c>
    </row>
    <row r="227" spans="1:5">
      <c r="A227">
        <f>+'q25'!$C$4</f>
        <v>2012</v>
      </c>
      <c r="B227" t="str">
        <f>+Aux!$A$16</f>
        <v>C - Ind. transformadoras</v>
      </c>
      <c r="C227" t="str">
        <f t="shared" si="3"/>
        <v>C</v>
      </c>
      <c r="D227" s="334" t="s">
        <v>353</v>
      </c>
      <c r="E227" s="390">
        <f>+'q25'!$C$8</f>
        <v>988.75687182708407</v>
      </c>
    </row>
    <row r="228" spans="1:5">
      <c r="A228">
        <f>+'q25'!$C$4</f>
        <v>2012</v>
      </c>
      <c r="B228" t="str">
        <f>+Aux!$A$17</f>
        <v>D - Eletricidade, gás, vapor, água quente e fria e ar frio</v>
      </c>
      <c r="C228" t="str">
        <f t="shared" si="3"/>
        <v>D</v>
      </c>
      <c r="D228" s="334" t="s">
        <v>353</v>
      </c>
      <c r="E228" s="390">
        <f>+'q25'!$C$33</f>
        <v>2770.7704915514601</v>
      </c>
    </row>
    <row r="229" spans="1:5">
      <c r="A229">
        <f>+'q25'!$C$4</f>
        <v>2012</v>
      </c>
      <c r="B229" t="str">
        <f>+Aux!$A$18</f>
        <v>E - Captação, trat. e dist. água; saneam., gest. resíduos e desp.</v>
      </c>
      <c r="C229" t="str">
        <f t="shared" si="3"/>
        <v>E</v>
      </c>
      <c r="D229" s="334" t="s">
        <v>353</v>
      </c>
      <c r="E229" s="390">
        <f>+'q25'!$C$34</f>
        <v>1089.87289500568</v>
      </c>
    </row>
    <row r="230" spans="1:5">
      <c r="A230">
        <f>+'q25'!$C$4</f>
        <v>2012</v>
      </c>
      <c r="B230" t="str">
        <f>+Aux!$A$19</f>
        <v>F - Construção</v>
      </c>
      <c r="C230" t="str">
        <f t="shared" si="3"/>
        <v>F</v>
      </c>
      <c r="D230" s="334" t="s">
        <v>353</v>
      </c>
      <c r="E230" s="390">
        <f>+'q25'!$C$35</f>
        <v>967.12898726268406</v>
      </c>
    </row>
    <row r="231" spans="1:5">
      <c r="A231">
        <f>+'q25'!$C$4</f>
        <v>2012</v>
      </c>
      <c r="B231" t="str">
        <f>+Aux!$A$20</f>
        <v>G - Com. por grosso e a ret.; rep. de veíc. autom. e mot.</v>
      </c>
      <c r="C231" t="str">
        <f t="shared" si="3"/>
        <v>G</v>
      </c>
      <c r="D231" s="334" t="s">
        <v>353</v>
      </c>
      <c r="E231" s="390">
        <f>+'q25'!$C$36</f>
        <v>1015.3315462450399</v>
      </c>
    </row>
    <row r="232" spans="1:5">
      <c r="A232">
        <f>+'q25'!$C$4</f>
        <v>2012</v>
      </c>
      <c r="B232" t="str">
        <f>+Aux!$A$21</f>
        <v>H - Transportes e armazenagem</v>
      </c>
      <c r="C232" t="str">
        <f t="shared" si="3"/>
        <v>H</v>
      </c>
      <c r="D232" s="334" t="s">
        <v>353</v>
      </c>
      <c r="E232" s="390">
        <f>+'q25'!$C$37</f>
        <v>1345.0375864594002</v>
      </c>
    </row>
    <row r="233" spans="1:5">
      <c r="A233">
        <f>+'q25'!$C$4</f>
        <v>2012</v>
      </c>
      <c r="B233" t="str">
        <f>+Aux!$A$22</f>
        <v>I - Alojamento, rest. e sim.</v>
      </c>
      <c r="C233" t="str">
        <f t="shared" si="3"/>
        <v>I</v>
      </c>
      <c r="D233" s="334" t="s">
        <v>353</v>
      </c>
      <c r="E233" s="390">
        <f>+'q25'!$C$38</f>
        <v>728.49473895673304</v>
      </c>
    </row>
    <row r="234" spans="1:5">
      <c r="A234">
        <f>+'q25'!$C$4</f>
        <v>2012</v>
      </c>
      <c r="B234" t="str">
        <f>+Aux!$A$23</f>
        <v>J - Atividades de informação e de comunicação</v>
      </c>
      <c r="C234" t="str">
        <f t="shared" si="3"/>
        <v>J</v>
      </c>
      <c r="D234" s="334" t="s">
        <v>353</v>
      </c>
      <c r="E234" s="390">
        <f>+'q25'!$C$39</f>
        <v>1825.52362045876</v>
      </c>
    </row>
    <row r="235" spans="1:5">
      <c r="A235">
        <f>+'q25'!$C$4</f>
        <v>2012</v>
      </c>
      <c r="B235" t="str">
        <f>+Aux!$A$24</f>
        <v>K - Atividades financeiras e de seguros</v>
      </c>
      <c r="C235" t="str">
        <f t="shared" si="3"/>
        <v>K</v>
      </c>
      <c r="D235" s="334" t="s">
        <v>353</v>
      </c>
      <c r="E235" s="390">
        <f>+'q25'!$C$40</f>
        <v>2291.7364249070201</v>
      </c>
    </row>
    <row r="236" spans="1:5">
      <c r="A236">
        <f>+'q25'!$C$4</f>
        <v>2012</v>
      </c>
      <c r="B236" t="str">
        <f>+Aux!$A$25</f>
        <v>L - Atividades imobiliárias</v>
      </c>
      <c r="C236" t="str">
        <f t="shared" si="3"/>
        <v>L</v>
      </c>
      <c r="D236" s="334" t="s">
        <v>353</v>
      </c>
      <c r="E236" s="390">
        <f>+'q25'!$C$41</f>
        <v>1107.4774400888698</v>
      </c>
    </row>
    <row r="237" spans="1:5">
      <c r="A237">
        <f>+'q25'!$C$4</f>
        <v>2012</v>
      </c>
      <c r="B237" t="str">
        <f>+Aux!$A$26</f>
        <v>M - Atividades de consultoria, científicas, técnicas e similares</v>
      </c>
      <c r="C237" t="str">
        <f t="shared" si="3"/>
        <v>M</v>
      </c>
      <c r="D237" s="334" t="s">
        <v>353</v>
      </c>
      <c r="E237" s="390">
        <f>+'q25'!$C$42</f>
        <v>1366.9932704897201</v>
      </c>
    </row>
    <row r="238" spans="1:5">
      <c r="A238">
        <f>+'q25'!$C$4</f>
        <v>2012</v>
      </c>
      <c r="B238" t="str">
        <f>+Aux!$A$27</f>
        <v>N - Atividades administrativas e dos serviços de apoio</v>
      </c>
      <c r="C238" t="str">
        <f t="shared" si="3"/>
        <v>N</v>
      </c>
      <c r="D238" s="334" t="s">
        <v>353</v>
      </c>
      <c r="E238" s="390">
        <f>+'q25'!$C$43</f>
        <v>923.59082589062609</v>
      </c>
    </row>
    <row r="239" spans="1:5">
      <c r="A239">
        <f>+'q25'!$C$4</f>
        <v>2012</v>
      </c>
      <c r="B239" t="str">
        <f>+Aux!$A$28</f>
        <v>O - Administração pública e defesa; segurança social obrigatória</v>
      </c>
      <c r="C239" t="str">
        <f t="shared" si="3"/>
        <v>O</v>
      </c>
      <c r="D239" s="334" t="s">
        <v>353</v>
      </c>
      <c r="E239" s="390">
        <f>+'q25'!$C$44</f>
        <v>1059.88956753302</v>
      </c>
    </row>
    <row r="240" spans="1:5">
      <c r="A240">
        <f>+'q25'!$C$4</f>
        <v>2012</v>
      </c>
      <c r="B240" t="str">
        <f>+Aux!$A$29</f>
        <v>P - Educação</v>
      </c>
      <c r="C240" t="str">
        <f t="shared" si="3"/>
        <v>P</v>
      </c>
      <c r="D240" s="334" t="s">
        <v>353</v>
      </c>
      <c r="E240" s="390">
        <f>+'q25'!$C$45</f>
        <v>1223.50627841954</v>
      </c>
    </row>
    <row r="241" spans="1:5">
      <c r="A241">
        <f>+'q25'!$C$4</f>
        <v>2012</v>
      </c>
      <c r="B241" t="str">
        <f>+Aux!$A$30</f>
        <v>Q - Ativ. de saúde humana e apoio social</v>
      </c>
      <c r="C241" t="str">
        <f t="shared" si="3"/>
        <v>Q</v>
      </c>
      <c r="D241" s="334" t="s">
        <v>353</v>
      </c>
      <c r="E241" s="390">
        <f>+'q25'!$C$46</f>
        <v>944.07356880845805</v>
      </c>
    </row>
    <row r="242" spans="1:5">
      <c r="A242">
        <f>+'q25'!$C$4</f>
        <v>2012</v>
      </c>
      <c r="B242" t="str">
        <f>+Aux!$A$31</f>
        <v>R - Atividades artísticas, de espectáculos, desp. e recreativas</v>
      </c>
      <c r="C242" t="str">
        <f t="shared" si="3"/>
        <v>R</v>
      </c>
      <c r="D242" s="334" t="s">
        <v>353</v>
      </c>
      <c r="E242" s="390">
        <f>+'q25'!$C$47</f>
        <v>1684.0991619423203</v>
      </c>
    </row>
    <row r="243" spans="1:5">
      <c r="A243">
        <f>+'q25'!$C$4</f>
        <v>2012</v>
      </c>
      <c r="B243" t="str">
        <f>+Aux!$A$32</f>
        <v>S - Outras atividades de serviços</v>
      </c>
      <c r="C243" t="str">
        <f t="shared" si="3"/>
        <v>S</v>
      </c>
      <c r="D243" s="334" t="s">
        <v>353</v>
      </c>
      <c r="E243" s="390">
        <f>+'q25'!$C$48</f>
        <v>951.27112535612503</v>
      </c>
    </row>
    <row r="244" spans="1:5">
      <c r="A244">
        <f>+'q25'!$C$4</f>
        <v>2012</v>
      </c>
      <c r="B244" t="str">
        <f>+Aux!$A$33</f>
        <v>U - Ativ. org. interna. e outras instituições extra-territoriais</v>
      </c>
      <c r="C244" t="str">
        <f t="shared" si="3"/>
        <v>U</v>
      </c>
      <c r="D244" s="334" t="s">
        <v>353</v>
      </c>
      <c r="E244" s="390">
        <f>+'q25'!$C$49</f>
        <v>2095.20644444444</v>
      </c>
    </row>
    <row r="245" spans="1:5">
      <c r="A245">
        <f>+'q25'!$D$4</f>
        <v>2013</v>
      </c>
      <c r="B245" t="str">
        <f>+Aux!$A$14</f>
        <v xml:space="preserve">A - Agricultura, produção animal, caça, floresta e pesca </v>
      </c>
      <c r="C245" t="str">
        <f t="shared" si="3"/>
        <v>A</v>
      </c>
      <c r="D245" s="334" t="s">
        <v>353</v>
      </c>
      <c r="E245" s="390">
        <f>+'q25'!$D$6</f>
        <v>789.23093644102801</v>
      </c>
    </row>
    <row r="246" spans="1:5">
      <c r="A246">
        <f>+'q25'!$D$4</f>
        <v>2013</v>
      </c>
      <c r="B246" t="str">
        <f>+Aux!$A$15</f>
        <v>B - Indústrias extrativas</v>
      </c>
      <c r="C246" t="str">
        <f t="shared" si="3"/>
        <v>B</v>
      </c>
      <c r="D246" s="334" t="s">
        <v>353</v>
      </c>
      <c r="E246" s="390">
        <f>+'q25'!$D$7</f>
        <v>1216.8668800708101</v>
      </c>
    </row>
    <row r="247" spans="1:5">
      <c r="A247">
        <f>+'q25'!$D$4</f>
        <v>2013</v>
      </c>
      <c r="B247" t="str">
        <f>+Aux!$A$16</f>
        <v>C - Ind. transformadoras</v>
      </c>
      <c r="C247" t="str">
        <f t="shared" si="3"/>
        <v>C</v>
      </c>
      <c r="D247" s="334" t="s">
        <v>353</v>
      </c>
      <c r="E247" s="390">
        <f>+'q25'!$D$8</f>
        <v>996.63412584612513</v>
      </c>
    </row>
    <row r="248" spans="1:5">
      <c r="A248">
        <f>+'q25'!$D$4</f>
        <v>2013</v>
      </c>
      <c r="B248" t="str">
        <f>+Aux!$A$17</f>
        <v>D - Eletricidade, gás, vapor, água quente e fria e ar frio</v>
      </c>
      <c r="C248" t="str">
        <f t="shared" si="3"/>
        <v>D</v>
      </c>
      <c r="D248" s="334" t="s">
        <v>353</v>
      </c>
      <c r="E248" s="390">
        <f>+'q25'!$D$33</f>
        <v>2907.09623190711</v>
      </c>
    </row>
    <row r="249" spans="1:5">
      <c r="A249">
        <f>+'q25'!$D$4</f>
        <v>2013</v>
      </c>
      <c r="B249" t="str">
        <f>+Aux!$A$18</f>
        <v>E - Captação, trat. e dist. água; saneam., gest. resíduos e desp.</v>
      </c>
      <c r="C249" t="str">
        <f t="shared" si="3"/>
        <v>E</v>
      </c>
      <c r="D249" s="334" t="s">
        <v>353</v>
      </c>
      <c r="E249" s="390">
        <f>+'q25'!$D$34</f>
        <v>1084.1670131820501</v>
      </c>
    </row>
    <row r="250" spans="1:5">
      <c r="A250">
        <f>+'q25'!$D$4</f>
        <v>2013</v>
      </c>
      <c r="B250" t="str">
        <f>+Aux!$A$19</f>
        <v>F - Construção</v>
      </c>
      <c r="C250" t="str">
        <f t="shared" si="3"/>
        <v>F</v>
      </c>
      <c r="D250" s="334" t="s">
        <v>353</v>
      </c>
      <c r="E250" s="390">
        <f>+'q25'!$D$35</f>
        <v>966.06312656998909</v>
      </c>
    </row>
    <row r="251" spans="1:5">
      <c r="A251">
        <f>+'q25'!$D$4</f>
        <v>2013</v>
      </c>
      <c r="B251" t="str">
        <f>+Aux!$A$20</f>
        <v>G - Com. por grosso e a ret.; rep. de veíc. autom. e mot.</v>
      </c>
      <c r="C251" t="str">
        <f t="shared" si="3"/>
        <v>G</v>
      </c>
      <c r="D251" s="334" t="s">
        <v>353</v>
      </c>
      <c r="E251" s="390">
        <f>+'q25'!$D$36</f>
        <v>1013.45563816727</v>
      </c>
    </row>
    <row r="252" spans="1:5">
      <c r="A252">
        <f>+'q25'!$D$4</f>
        <v>2013</v>
      </c>
      <c r="B252" t="str">
        <f>+Aux!$A$21</f>
        <v>H - Transportes e armazenagem</v>
      </c>
      <c r="C252" t="str">
        <f t="shared" si="3"/>
        <v>H</v>
      </c>
      <c r="D252" s="334" t="s">
        <v>353</v>
      </c>
      <c r="E252" s="390">
        <f>+'q25'!$D$37</f>
        <v>1338.08136636621</v>
      </c>
    </row>
    <row r="253" spans="1:5">
      <c r="A253">
        <f>+'q25'!$D$4</f>
        <v>2013</v>
      </c>
      <c r="B253" t="str">
        <f>+Aux!$A$22</f>
        <v>I - Alojamento, rest. e sim.</v>
      </c>
      <c r="C253" t="str">
        <f t="shared" si="3"/>
        <v>I</v>
      </c>
      <c r="D253" s="334" t="s">
        <v>353</v>
      </c>
      <c r="E253" s="390">
        <f>+'q25'!$D$38</f>
        <v>724.30541273132212</v>
      </c>
    </row>
    <row r="254" spans="1:5">
      <c r="A254">
        <f>+'q25'!$D$4</f>
        <v>2013</v>
      </c>
      <c r="B254" t="str">
        <f>+Aux!$A$23</f>
        <v>J - Atividades de informação e de comunicação</v>
      </c>
      <c r="C254" t="str">
        <f t="shared" si="3"/>
        <v>J</v>
      </c>
      <c r="D254" s="334" t="s">
        <v>353</v>
      </c>
      <c r="E254" s="390">
        <f>+'q25'!$D$39</f>
        <v>1821.2660136136899</v>
      </c>
    </row>
    <row r="255" spans="1:5">
      <c r="A255">
        <f>+'q25'!$D$4</f>
        <v>2013</v>
      </c>
      <c r="B255" t="str">
        <f>+Aux!$A$24</f>
        <v>K - Atividades financeiras e de seguros</v>
      </c>
      <c r="C255" t="str">
        <f t="shared" si="3"/>
        <v>K</v>
      </c>
      <c r="D255" s="334" t="s">
        <v>353</v>
      </c>
      <c r="E255" s="390">
        <f>+'q25'!$D$40</f>
        <v>2302.0398946055002</v>
      </c>
    </row>
    <row r="256" spans="1:5">
      <c r="A256">
        <f>+'q25'!$D$4</f>
        <v>2013</v>
      </c>
      <c r="B256" t="str">
        <f>+Aux!$A$25</f>
        <v>L - Atividades imobiliárias</v>
      </c>
      <c r="C256" t="str">
        <f t="shared" si="3"/>
        <v>L</v>
      </c>
      <c r="D256" s="334" t="s">
        <v>353</v>
      </c>
      <c r="E256" s="390">
        <f>+'q25'!$D$41</f>
        <v>1093.47232089371</v>
      </c>
    </row>
    <row r="257" spans="1:5">
      <c r="A257">
        <f>+'q25'!$D$4</f>
        <v>2013</v>
      </c>
      <c r="B257" t="str">
        <f>+Aux!$A$26</f>
        <v>M - Atividades de consultoria, científicas, técnicas e similares</v>
      </c>
      <c r="C257" t="str">
        <f t="shared" si="3"/>
        <v>M</v>
      </c>
      <c r="D257" s="334" t="s">
        <v>353</v>
      </c>
      <c r="E257" s="390">
        <f>+'q25'!$D$42</f>
        <v>1357.6907430869301</v>
      </c>
    </row>
    <row r="258" spans="1:5">
      <c r="A258">
        <f>+'q25'!$D$4</f>
        <v>2013</v>
      </c>
      <c r="B258" t="str">
        <f>+Aux!$A$27</f>
        <v>N - Atividades administrativas e dos serviços de apoio</v>
      </c>
      <c r="C258" t="str">
        <f t="shared" si="3"/>
        <v>N</v>
      </c>
      <c r="D258" s="334" t="s">
        <v>353</v>
      </c>
      <c r="E258" s="390">
        <f>+'q25'!$D$43</f>
        <v>910.68893609215604</v>
      </c>
    </row>
    <row r="259" spans="1:5">
      <c r="A259">
        <f>+'q25'!$D$4</f>
        <v>2013</v>
      </c>
      <c r="B259" t="str">
        <f>+Aux!$A$28</f>
        <v>O - Administração pública e defesa; segurança social obrigatória</v>
      </c>
      <c r="C259" t="str">
        <f t="shared" si="3"/>
        <v>O</v>
      </c>
      <c r="D259" s="334" t="s">
        <v>353</v>
      </c>
      <c r="E259" s="390">
        <f>+'q25'!$D$44</f>
        <v>1035.19593200087</v>
      </c>
    </row>
    <row r="260" spans="1:5">
      <c r="A260">
        <f>+'q25'!$D$4</f>
        <v>2013</v>
      </c>
      <c r="B260" t="str">
        <f>+Aux!$A$29</f>
        <v>P - Educação</v>
      </c>
      <c r="C260" t="str">
        <f t="shared" si="3"/>
        <v>P</v>
      </c>
      <c r="D260" s="334" t="s">
        <v>353</v>
      </c>
      <c r="E260" s="390">
        <f>+'q25'!$D$45</f>
        <v>1234.62490528838</v>
      </c>
    </row>
    <row r="261" spans="1:5">
      <c r="A261">
        <f>+'q25'!$D$4</f>
        <v>2013</v>
      </c>
      <c r="B261" t="str">
        <f>+Aux!$A$30</f>
        <v>Q - Ativ. de saúde humana e apoio social</v>
      </c>
      <c r="C261" t="str">
        <f t="shared" si="3"/>
        <v>Q</v>
      </c>
      <c r="D261" s="334" t="s">
        <v>353</v>
      </c>
      <c r="E261" s="390">
        <f>+'q25'!$D$46</f>
        <v>943.7641772179461</v>
      </c>
    </row>
    <row r="262" spans="1:5">
      <c r="A262">
        <f>+'q25'!$D$4</f>
        <v>2013</v>
      </c>
      <c r="B262" t="str">
        <f>+Aux!$A$31</f>
        <v>R - Atividades artísticas, de espectáculos, desp. e recreativas</v>
      </c>
      <c r="C262" t="str">
        <f t="shared" ref="C262:C325" si="4">+LEFT(B262,1)</f>
        <v>R</v>
      </c>
      <c r="D262" s="334" t="s">
        <v>353</v>
      </c>
      <c r="E262" s="390">
        <f>+'q25'!$D$47</f>
        <v>1635.4713886168902</v>
      </c>
    </row>
    <row r="263" spans="1:5">
      <c r="A263">
        <f>+'q25'!$D$4</f>
        <v>2013</v>
      </c>
      <c r="B263" t="str">
        <f>+Aux!$A$32</f>
        <v>S - Outras atividades de serviços</v>
      </c>
      <c r="C263" t="str">
        <f t="shared" si="4"/>
        <v>S</v>
      </c>
      <c r="D263" s="334" t="s">
        <v>353</v>
      </c>
      <c r="E263" s="390">
        <f>+'q25'!$D$48</f>
        <v>950.58962862016904</v>
      </c>
    </row>
    <row r="264" spans="1:5">
      <c r="A264">
        <f>+'q25'!$D$4</f>
        <v>2013</v>
      </c>
      <c r="B264" t="str">
        <f>+Aux!$A$33</f>
        <v>U - Ativ. org. interna. e outras instituições extra-territoriais</v>
      </c>
      <c r="C264" t="str">
        <f t="shared" si="4"/>
        <v>U</v>
      </c>
      <c r="D264" s="334" t="s">
        <v>353</v>
      </c>
      <c r="E264" s="390">
        <f>+'q25'!$D$49</f>
        <v>1896.4293055555599</v>
      </c>
    </row>
    <row r="265" spans="1:5">
      <c r="A265">
        <f>+'q25'!$E$4</f>
        <v>2014</v>
      </c>
      <c r="B265" t="str">
        <f>+Aux!$A$14</f>
        <v xml:space="preserve">A - Agricultura, produção animal, caça, floresta e pesca </v>
      </c>
      <c r="C265" t="str">
        <f t="shared" si="4"/>
        <v>A</v>
      </c>
      <c r="D265" s="334" t="s">
        <v>353</v>
      </c>
      <c r="E265" s="390">
        <f>+'q25'!$E$6</f>
        <v>794.63238825377903</v>
      </c>
    </row>
    <row r="266" spans="1:5">
      <c r="A266">
        <f>+'q25'!$E$4</f>
        <v>2014</v>
      </c>
      <c r="B266" t="str">
        <f>+Aux!$A$15</f>
        <v>B - Indústrias extrativas</v>
      </c>
      <c r="C266" t="str">
        <f t="shared" si="4"/>
        <v>B</v>
      </c>
      <c r="D266" s="334" t="s">
        <v>353</v>
      </c>
      <c r="E266" s="390">
        <f>+'q25'!$E$7</f>
        <v>1253.1919576078699</v>
      </c>
    </row>
    <row r="267" spans="1:5">
      <c r="A267">
        <f>+'q25'!$E$4</f>
        <v>2014</v>
      </c>
      <c r="B267" t="str">
        <f>+Aux!$A$16</f>
        <v>C - Ind. transformadoras</v>
      </c>
      <c r="C267" t="str">
        <f t="shared" si="4"/>
        <v>C</v>
      </c>
      <c r="D267" s="334" t="s">
        <v>353</v>
      </c>
      <c r="E267" s="390">
        <f>+'q25'!$E$8</f>
        <v>1003.09180358052</v>
      </c>
    </row>
    <row r="268" spans="1:5">
      <c r="A268">
        <f>+'q25'!$E$4</f>
        <v>2014</v>
      </c>
      <c r="B268" t="str">
        <f>+Aux!$A$17</f>
        <v>D - Eletricidade, gás, vapor, água quente e fria e ar frio</v>
      </c>
      <c r="C268" t="str">
        <f t="shared" si="4"/>
        <v>D</v>
      </c>
      <c r="D268" s="334" t="s">
        <v>353</v>
      </c>
      <c r="E268" s="390">
        <f>+'q25'!$E$33</f>
        <v>2899.0310958904101</v>
      </c>
    </row>
    <row r="269" spans="1:5">
      <c r="A269">
        <f>+'q25'!$E$4</f>
        <v>2014</v>
      </c>
      <c r="B269" t="str">
        <f>+Aux!$A$18</f>
        <v>E - Captação, trat. e dist. água; saneam., gest. resíduos e desp.</v>
      </c>
      <c r="C269" t="str">
        <f t="shared" si="4"/>
        <v>E</v>
      </c>
      <c r="D269" s="334" t="s">
        <v>353</v>
      </c>
      <c r="E269" s="390">
        <f>+'q25'!$E$34</f>
        <v>1091.92070723591</v>
      </c>
    </row>
    <row r="270" spans="1:5">
      <c r="A270">
        <f>+'q25'!$E$4</f>
        <v>2014</v>
      </c>
      <c r="B270" t="str">
        <f>+Aux!$A$19</f>
        <v>F - Construção</v>
      </c>
      <c r="C270" t="str">
        <f t="shared" si="4"/>
        <v>F</v>
      </c>
      <c r="D270" s="334" t="s">
        <v>353</v>
      </c>
      <c r="E270" s="390">
        <f>+'q25'!$E$35</f>
        <v>962.22910860194497</v>
      </c>
    </row>
    <row r="271" spans="1:5">
      <c r="A271">
        <f>+'q25'!$E$4</f>
        <v>2014</v>
      </c>
      <c r="B271" t="str">
        <f>+Aux!$A$20</f>
        <v>G - Com. por grosso e a ret.; rep. de veíc. autom. e mot.</v>
      </c>
      <c r="C271" t="str">
        <f t="shared" si="4"/>
        <v>G</v>
      </c>
      <c r="D271" s="334" t="s">
        <v>353</v>
      </c>
      <c r="E271" s="390">
        <f>+'q25'!$E$36</f>
        <v>1014.14490737853</v>
      </c>
    </row>
    <row r="272" spans="1:5">
      <c r="A272">
        <f>+'q25'!$E$4</f>
        <v>2014</v>
      </c>
      <c r="B272" t="str">
        <f>+Aux!$A$21</f>
        <v>H - Transportes e armazenagem</v>
      </c>
      <c r="C272" t="str">
        <f t="shared" si="4"/>
        <v>H</v>
      </c>
      <c r="D272" s="334" t="s">
        <v>353</v>
      </c>
      <c r="E272" s="390">
        <f>+'q25'!$E$37</f>
        <v>1335.4530394670901</v>
      </c>
    </row>
    <row r="273" spans="1:5">
      <c r="A273">
        <f>+'q25'!$E$4</f>
        <v>2014</v>
      </c>
      <c r="B273" t="str">
        <f>+Aux!$A$22</f>
        <v>I - Alojamento, rest. e sim.</v>
      </c>
      <c r="C273" t="str">
        <f t="shared" si="4"/>
        <v>I</v>
      </c>
      <c r="D273" s="334" t="s">
        <v>353</v>
      </c>
      <c r="E273" s="390">
        <f>+'q25'!$E$38</f>
        <v>734.04489110133898</v>
      </c>
    </row>
    <row r="274" spans="1:5">
      <c r="A274">
        <f>+'q25'!$E$4</f>
        <v>2014</v>
      </c>
      <c r="B274" t="str">
        <f>+Aux!$A$23</f>
        <v>J - Atividades de informação e de comunicação</v>
      </c>
      <c r="C274" t="str">
        <f t="shared" si="4"/>
        <v>J</v>
      </c>
      <c r="D274" s="334" t="s">
        <v>353</v>
      </c>
      <c r="E274" s="390">
        <f>+'q25'!$E$39</f>
        <v>1779.8789245002702</v>
      </c>
    </row>
    <row r="275" spans="1:5">
      <c r="A275">
        <f>+'q25'!$E$4</f>
        <v>2014</v>
      </c>
      <c r="B275" t="str">
        <f>+Aux!$A$24</f>
        <v>K - Atividades financeiras e de seguros</v>
      </c>
      <c r="C275" t="str">
        <f t="shared" si="4"/>
        <v>K</v>
      </c>
      <c r="D275" s="334" t="s">
        <v>353</v>
      </c>
      <c r="E275" s="390">
        <f>+'q25'!$E$40</f>
        <v>2312.4883290162397</v>
      </c>
    </row>
    <row r="276" spans="1:5">
      <c r="A276">
        <f>+'q25'!$E$4</f>
        <v>2014</v>
      </c>
      <c r="B276" t="str">
        <f>+Aux!$A$25</f>
        <v>L - Atividades imobiliárias</v>
      </c>
      <c r="C276" t="str">
        <f t="shared" si="4"/>
        <v>L</v>
      </c>
      <c r="D276" s="334" t="s">
        <v>353</v>
      </c>
      <c r="E276" s="390">
        <f>+'q25'!$E$41</f>
        <v>1087.2775927305202</v>
      </c>
    </row>
    <row r="277" spans="1:5">
      <c r="A277">
        <f>+'q25'!$E$4</f>
        <v>2014</v>
      </c>
      <c r="B277" t="str">
        <f>+Aux!$A$26</f>
        <v>M - Atividades de consultoria, científicas, técnicas e similares</v>
      </c>
      <c r="C277" t="str">
        <f t="shared" si="4"/>
        <v>M</v>
      </c>
      <c r="D277" s="334" t="s">
        <v>353</v>
      </c>
      <c r="E277" s="390">
        <f>+'q25'!$E$42</f>
        <v>1347.8540544699501</v>
      </c>
    </row>
    <row r="278" spans="1:5">
      <c r="A278">
        <f>+'q25'!$E$4</f>
        <v>2014</v>
      </c>
      <c r="B278" t="str">
        <f>+Aux!$A$27</f>
        <v>N - Atividades administrativas e dos serviços de apoio</v>
      </c>
      <c r="C278" t="str">
        <f t="shared" si="4"/>
        <v>N</v>
      </c>
      <c r="D278" s="334" t="s">
        <v>353</v>
      </c>
      <c r="E278" s="390">
        <f>+'q25'!$E$43</f>
        <v>915.76944928420608</v>
      </c>
    </row>
    <row r="279" spans="1:5">
      <c r="A279">
        <f>+'q25'!$E$4</f>
        <v>2014</v>
      </c>
      <c r="B279" t="str">
        <f>+Aux!$A$28</f>
        <v>O - Administração pública e defesa; segurança social obrigatória</v>
      </c>
      <c r="C279" t="str">
        <f t="shared" si="4"/>
        <v>O</v>
      </c>
      <c r="D279" s="334" t="s">
        <v>353</v>
      </c>
      <c r="E279" s="390">
        <f>+'q25'!$E$44</f>
        <v>1049.32293258192</v>
      </c>
    </row>
    <row r="280" spans="1:5">
      <c r="A280">
        <f>+'q25'!$E$4</f>
        <v>2014</v>
      </c>
      <c r="B280" t="str">
        <f>+Aux!$A$29</f>
        <v>P - Educação</v>
      </c>
      <c r="C280" t="str">
        <f t="shared" si="4"/>
        <v>P</v>
      </c>
      <c r="D280" s="334" t="s">
        <v>353</v>
      </c>
      <c r="E280" s="390">
        <f>+'q25'!$E$45</f>
        <v>1224.4207155769802</v>
      </c>
    </row>
    <row r="281" spans="1:5">
      <c r="A281">
        <f>+'q25'!$E$4</f>
        <v>2014</v>
      </c>
      <c r="B281" t="str">
        <f>+Aux!$A$30</f>
        <v>Q - Ativ. de saúde humana e apoio social</v>
      </c>
      <c r="C281" t="str">
        <f t="shared" si="4"/>
        <v>Q</v>
      </c>
      <c r="D281" s="334" t="s">
        <v>353</v>
      </c>
      <c r="E281" s="390">
        <f>+'q25'!$E$46</f>
        <v>941.14137819980408</v>
      </c>
    </row>
    <row r="282" spans="1:5">
      <c r="A282">
        <f>+'q25'!$E$4</f>
        <v>2014</v>
      </c>
      <c r="B282" t="str">
        <f>+Aux!$A$31</f>
        <v>R - Atividades artísticas, de espectáculos, desp. e recreativas</v>
      </c>
      <c r="C282" t="str">
        <f t="shared" si="4"/>
        <v>R</v>
      </c>
      <c r="D282" s="334" t="s">
        <v>353</v>
      </c>
      <c r="E282" s="390">
        <f>+'q25'!$E$47</f>
        <v>1556.90374676334</v>
      </c>
    </row>
    <row r="283" spans="1:5">
      <c r="A283">
        <f>+'q25'!$E$4</f>
        <v>2014</v>
      </c>
      <c r="B283" t="str">
        <f>+Aux!$A$32</f>
        <v>S - Outras atividades de serviços</v>
      </c>
      <c r="C283" t="str">
        <f t="shared" si="4"/>
        <v>S</v>
      </c>
      <c r="D283" s="334" t="s">
        <v>353</v>
      </c>
      <c r="E283" s="390">
        <f>+'q25'!$E$48</f>
        <v>957.11467633754501</v>
      </c>
    </row>
    <row r="284" spans="1:5">
      <c r="A284">
        <f>+'q25'!$E$4</f>
        <v>2014</v>
      </c>
      <c r="B284" t="str">
        <f>+Aux!$A$33</f>
        <v>U - Ativ. org. interna. e outras instituições extra-territoriais</v>
      </c>
      <c r="C284" t="str">
        <f t="shared" si="4"/>
        <v>U</v>
      </c>
      <c r="D284" s="334" t="s">
        <v>353</v>
      </c>
      <c r="E284" s="390">
        <f>+'q25'!$E$49</f>
        <v>1860.1865384615401</v>
      </c>
    </row>
    <row r="285" spans="1:5">
      <c r="A285">
        <f>+'q25'!$F$4</f>
        <v>2015</v>
      </c>
      <c r="B285" t="str">
        <f>+Aux!$A$14</f>
        <v xml:space="preserve">A - Agricultura, produção animal, caça, floresta e pesca </v>
      </c>
      <c r="C285" t="str">
        <f t="shared" si="4"/>
        <v>A</v>
      </c>
      <c r="D285" s="334" t="s">
        <v>353</v>
      </c>
      <c r="E285" s="390">
        <f>+'q25'!$F$6</f>
        <v>802.67954439521611</v>
      </c>
    </row>
    <row r="286" spans="1:5">
      <c r="A286">
        <f>+'q25'!$F$4</f>
        <v>2015</v>
      </c>
      <c r="B286" t="str">
        <f>+Aux!$A$15</f>
        <v>B - Indústrias extrativas</v>
      </c>
      <c r="C286" t="str">
        <f t="shared" si="4"/>
        <v>B</v>
      </c>
      <c r="D286" s="334" t="s">
        <v>353</v>
      </c>
      <c r="E286" s="390">
        <f>+'q25'!$F$7</f>
        <v>1254.1148516050901</v>
      </c>
    </row>
    <row r="287" spans="1:5">
      <c r="A287">
        <f>+'q25'!$F$4</f>
        <v>2015</v>
      </c>
      <c r="B287" t="str">
        <f>+Aux!$A$16</f>
        <v>C - Ind. transformadoras</v>
      </c>
      <c r="C287" t="str">
        <f t="shared" si="4"/>
        <v>C</v>
      </c>
      <c r="D287" s="334" t="s">
        <v>353</v>
      </c>
      <c r="E287" s="390">
        <f>+'q25'!$F$8</f>
        <v>1015.8172835393801</v>
      </c>
    </row>
    <row r="288" spans="1:5">
      <c r="A288">
        <f>+'q25'!$F$4</f>
        <v>2015</v>
      </c>
      <c r="B288" t="str">
        <f>+Aux!$A$17</f>
        <v>D - Eletricidade, gás, vapor, água quente e fria e ar frio</v>
      </c>
      <c r="C288" t="str">
        <f t="shared" si="4"/>
        <v>D</v>
      </c>
      <c r="D288" s="334" t="s">
        <v>353</v>
      </c>
      <c r="E288" s="390">
        <f>+'q25'!$F$33</f>
        <v>2923.7819224683499</v>
      </c>
    </row>
    <row r="289" spans="1:5">
      <c r="A289">
        <f>+'q25'!$F$4</f>
        <v>2015</v>
      </c>
      <c r="B289" t="str">
        <f>+Aux!$A$18</f>
        <v>E - Captação, trat. e dist. água; saneam., gest. resíduos e desp.</v>
      </c>
      <c r="C289" t="str">
        <f t="shared" si="4"/>
        <v>E</v>
      </c>
      <c r="D289" s="334" t="s">
        <v>353</v>
      </c>
      <c r="E289" s="390">
        <f>+'q25'!$F$34</f>
        <v>1102.67372762646</v>
      </c>
    </row>
    <row r="290" spans="1:5">
      <c r="A290">
        <f>+'q25'!$F$4</f>
        <v>2015</v>
      </c>
      <c r="B290" t="str">
        <f>+Aux!$A$19</f>
        <v>F - Construção</v>
      </c>
      <c r="C290" t="str">
        <f t="shared" si="4"/>
        <v>F</v>
      </c>
      <c r="D290" s="334" t="s">
        <v>353</v>
      </c>
      <c r="E290" s="390">
        <f>+'q25'!$F$35</f>
        <v>958.60538910976402</v>
      </c>
    </row>
    <row r="291" spans="1:5">
      <c r="A291">
        <f>+'q25'!$F$4</f>
        <v>2015</v>
      </c>
      <c r="B291" t="str">
        <f>+Aux!$A$20</f>
        <v>G - Com. por grosso e a ret.; rep. de veíc. autom. e mot.</v>
      </c>
      <c r="C291" t="str">
        <f t="shared" si="4"/>
        <v>G</v>
      </c>
      <c r="D291" s="334" t="s">
        <v>353</v>
      </c>
      <c r="E291" s="390">
        <f>+'q25'!$F$36</f>
        <v>1022.0122794384901</v>
      </c>
    </row>
    <row r="292" spans="1:5">
      <c r="A292">
        <f>+'q25'!$F$4</f>
        <v>2015</v>
      </c>
      <c r="B292" t="str">
        <f>+Aux!$A$21</f>
        <v>H - Transportes e armazenagem</v>
      </c>
      <c r="C292" t="str">
        <f t="shared" si="4"/>
        <v>H</v>
      </c>
      <c r="D292" s="334" t="s">
        <v>353</v>
      </c>
      <c r="E292" s="390">
        <f>+'q25'!$F$37</f>
        <v>1342.5026202255901</v>
      </c>
    </row>
    <row r="293" spans="1:5">
      <c r="A293">
        <f>+'q25'!$F$4</f>
        <v>2015</v>
      </c>
      <c r="B293" t="str">
        <f>+Aux!$A$22</f>
        <v>I - Alojamento, rest. e sim.</v>
      </c>
      <c r="C293" t="str">
        <f t="shared" si="4"/>
        <v>I</v>
      </c>
      <c r="D293" s="334" t="s">
        <v>353</v>
      </c>
      <c r="E293" s="390">
        <f>+'q25'!$F$38</f>
        <v>736.79858403781805</v>
      </c>
    </row>
    <row r="294" spans="1:5">
      <c r="A294">
        <f>+'q25'!$F$4</f>
        <v>2015</v>
      </c>
      <c r="B294" t="str">
        <f>+Aux!$A$23</f>
        <v>J - Atividades de informação e de comunicação</v>
      </c>
      <c r="C294" t="str">
        <f t="shared" si="4"/>
        <v>J</v>
      </c>
      <c r="D294" s="334" t="s">
        <v>353</v>
      </c>
      <c r="E294" s="390">
        <f>+'q25'!$F$39</f>
        <v>1770.6816329198703</v>
      </c>
    </row>
    <row r="295" spans="1:5">
      <c r="A295">
        <f>+'q25'!$F$4</f>
        <v>2015</v>
      </c>
      <c r="B295" t="str">
        <f>+Aux!$A$24</f>
        <v>K - Atividades financeiras e de seguros</v>
      </c>
      <c r="C295" t="str">
        <f t="shared" si="4"/>
        <v>K</v>
      </c>
      <c r="D295" s="334" t="s">
        <v>353</v>
      </c>
      <c r="E295" s="390">
        <f>+'q25'!$F$40</f>
        <v>2302.1329373065601</v>
      </c>
    </row>
    <row r="296" spans="1:5">
      <c r="A296">
        <f>+'q25'!$F$4</f>
        <v>2015</v>
      </c>
      <c r="B296" t="str">
        <f>+Aux!$A$25</f>
        <v>L - Atividades imobiliárias</v>
      </c>
      <c r="C296" t="str">
        <f t="shared" si="4"/>
        <v>L</v>
      </c>
      <c r="D296" s="334" t="s">
        <v>353</v>
      </c>
      <c r="E296" s="390">
        <f>+'q25'!$F$41</f>
        <v>1080.5267512513901</v>
      </c>
    </row>
    <row r="297" spans="1:5">
      <c r="A297">
        <f>+'q25'!$F$4</f>
        <v>2015</v>
      </c>
      <c r="B297" t="str">
        <f>+Aux!$A$26</f>
        <v>M - Atividades de consultoria, científicas, técnicas e similares</v>
      </c>
      <c r="C297" t="str">
        <f t="shared" si="4"/>
        <v>M</v>
      </c>
      <c r="D297" s="334" t="s">
        <v>353</v>
      </c>
      <c r="E297" s="390">
        <f>+'q25'!$F$42</f>
        <v>1352.5572876735901</v>
      </c>
    </row>
    <row r="298" spans="1:5">
      <c r="A298">
        <f>+'q25'!$F$4</f>
        <v>2015</v>
      </c>
      <c r="B298" t="str">
        <f>+Aux!$A$27</f>
        <v>N - Atividades administrativas e dos serviços de apoio</v>
      </c>
      <c r="C298" t="str">
        <f t="shared" si="4"/>
        <v>N</v>
      </c>
      <c r="D298" s="334" t="s">
        <v>353</v>
      </c>
      <c r="E298" s="390">
        <f>+'q25'!$F$43</f>
        <v>909.36321231429008</v>
      </c>
    </row>
    <row r="299" spans="1:5">
      <c r="A299">
        <f>+'q25'!$F$4</f>
        <v>2015</v>
      </c>
      <c r="B299" t="str">
        <f>+Aux!$A$28</f>
        <v>O - Administração pública e defesa; segurança social obrigatória</v>
      </c>
      <c r="C299" t="str">
        <f t="shared" si="4"/>
        <v>O</v>
      </c>
      <c r="D299" s="334" t="s">
        <v>353</v>
      </c>
      <c r="E299" s="390">
        <f>+'q25'!$F$44</f>
        <v>1055.0875042247601</v>
      </c>
    </row>
    <row r="300" spans="1:5">
      <c r="A300">
        <f>+'q25'!$F$4</f>
        <v>2015</v>
      </c>
      <c r="B300" t="str">
        <f>+Aux!$A$29</f>
        <v>P - Educação</v>
      </c>
      <c r="C300" t="str">
        <f t="shared" si="4"/>
        <v>P</v>
      </c>
      <c r="D300" s="334" t="s">
        <v>353</v>
      </c>
      <c r="E300" s="390">
        <f>+'q25'!$F$45</f>
        <v>1215.92411337209</v>
      </c>
    </row>
    <row r="301" spans="1:5">
      <c r="A301">
        <f>+'q25'!$F$4</f>
        <v>2015</v>
      </c>
      <c r="B301" t="str">
        <f>+Aux!$A$30</f>
        <v>Q - Ativ. de saúde humana e apoio social</v>
      </c>
      <c r="C301" t="str">
        <f t="shared" si="4"/>
        <v>Q</v>
      </c>
      <c r="D301" s="334" t="s">
        <v>353</v>
      </c>
      <c r="E301" s="390">
        <f>+'q25'!$F$46</f>
        <v>957.94542332007711</v>
      </c>
    </row>
    <row r="302" spans="1:5">
      <c r="A302">
        <f>+'q25'!$F$4</f>
        <v>2015</v>
      </c>
      <c r="B302" t="str">
        <f>+Aux!$A$31</f>
        <v>R - Atividades artísticas, de espectáculos, desp. e recreativas</v>
      </c>
      <c r="C302" t="str">
        <f t="shared" si="4"/>
        <v>R</v>
      </c>
      <c r="D302" s="334" t="s">
        <v>353</v>
      </c>
      <c r="E302" s="390">
        <f>+'q25'!$F$47</f>
        <v>1683.8955504211501</v>
      </c>
    </row>
    <row r="303" spans="1:5">
      <c r="A303">
        <f>+'q25'!$F$4</f>
        <v>2015</v>
      </c>
      <c r="B303" t="str">
        <f>+Aux!$A$32</f>
        <v>S - Outras atividades de serviços</v>
      </c>
      <c r="C303" t="str">
        <f t="shared" si="4"/>
        <v>S</v>
      </c>
      <c r="D303" s="334" t="s">
        <v>353</v>
      </c>
      <c r="E303" s="390">
        <f>+'q25'!$F$48</f>
        <v>956.51286606523206</v>
      </c>
    </row>
    <row r="304" spans="1:5">
      <c r="A304">
        <f>+'q25'!$F$4</f>
        <v>2015</v>
      </c>
      <c r="B304" t="str">
        <f>+Aux!$A$33</f>
        <v>U - Ativ. org. interna. e outras instituições extra-territoriais</v>
      </c>
      <c r="C304" t="str">
        <f t="shared" si="4"/>
        <v>U</v>
      </c>
      <c r="D304" s="334" t="s">
        <v>353</v>
      </c>
      <c r="E304" s="390">
        <f>+'q25'!$F$49</f>
        <v>2012.884</v>
      </c>
    </row>
    <row r="305" spans="1:5">
      <c r="A305">
        <f>+'q25'!$G$4</f>
        <v>2016</v>
      </c>
      <c r="B305" t="str">
        <f>+Aux!$A$14</f>
        <v xml:space="preserve">A - Agricultura, produção animal, caça, floresta e pesca </v>
      </c>
      <c r="C305" t="str">
        <f t="shared" si="4"/>
        <v>A</v>
      </c>
      <c r="D305" s="334" t="s">
        <v>353</v>
      </c>
      <c r="E305" s="390">
        <f>+'q25'!$G$6</f>
        <v>832.79572922663601</v>
      </c>
    </row>
    <row r="306" spans="1:5">
      <c r="A306">
        <f>+'q25'!$G$4</f>
        <v>2016</v>
      </c>
      <c r="B306" t="str">
        <f>+Aux!$A$15</f>
        <v>B - Indústrias extrativas</v>
      </c>
      <c r="C306" t="str">
        <f t="shared" si="4"/>
        <v>B</v>
      </c>
      <c r="D306" s="334" t="s">
        <v>353</v>
      </c>
      <c r="E306" s="390">
        <f>+'q25'!$G$7</f>
        <v>1286.7811704913001</v>
      </c>
    </row>
    <row r="307" spans="1:5">
      <c r="A307">
        <f>+'q25'!$G$4</f>
        <v>2016</v>
      </c>
      <c r="B307" t="str">
        <f>+Aux!$A$16</f>
        <v>C - Ind. transformadoras</v>
      </c>
      <c r="C307" t="str">
        <f t="shared" si="4"/>
        <v>C</v>
      </c>
      <c r="D307" s="334" t="s">
        <v>353</v>
      </c>
      <c r="E307" s="390">
        <f>+'q25'!$G$8</f>
        <v>1031.59799499223</v>
      </c>
    </row>
    <row r="308" spans="1:5">
      <c r="A308">
        <f>+'q25'!$G$4</f>
        <v>2016</v>
      </c>
      <c r="B308" t="str">
        <f>+Aux!$A$17</f>
        <v>D - Eletricidade, gás, vapor, água quente e fria e ar frio</v>
      </c>
      <c r="C308" t="str">
        <f t="shared" si="4"/>
        <v>D</v>
      </c>
      <c r="D308" s="334" t="s">
        <v>353</v>
      </c>
      <c r="E308" s="390">
        <f>+'q25'!$G$33</f>
        <v>2941.59584334376</v>
      </c>
    </row>
    <row r="309" spans="1:5">
      <c r="A309">
        <f>+'q25'!$G$4</f>
        <v>2016</v>
      </c>
      <c r="B309" t="str">
        <f>+Aux!$A$18</f>
        <v>E - Captação, trat. e dist. água; saneam., gest. resíduos e desp.</v>
      </c>
      <c r="C309" t="str">
        <f t="shared" si="4"/>
        <v>E</v>
      </c>
      <c r="D309" s="334" t="s">
        <v>353</v>
      </c>
      <c r="E309" s="390">
        <f>+'q25'!$G$34</f>
        <v>1092.50263491393</v>
      </c>
    </row>
    <row r="310" spans="1:5">
      <c r="A310">
        <f>+'q25'!$G$4</f>
        <v>2016</v>
      </c>
      <c r="B310" t="str">
        <f>+Aux!$A$19</f>
        <v>F - Construção</v>
      </c>
      <c r="C310" t="str">
        <f t="shared" si="4"/>
        <v>F</v>
      </c>
      <c r="D310" s="334" t="s">
        <v>353</v>
      </c>
      <c r="E310" s="390">
        <f>+'q25'!$G$35</f>
        <v>955.52471109637509</v>
      </c>
    </row>
    <row r="311" spans="1:5">
      <c r="A311">
        <f>+'q25'!$G$4</f>
        <v>2016</v>
      </c>
      <c r="B311" t="str">
        <f>+Aux!$A$20</f>
        <v>G - Com. por grosso e a ret.; rep. de veíc. autom. e mot.</v>
      </c>
      <c r="C311" t="str">
        <f t="shared" si="4"/>
        <v>G</v>
      </c>
      <c r="D311" s="334" t="s">
        <v>353</v>
      </c>
      <c r="E311" s="390">
        <f>+'q25'!$G$36</f>
        <v>1039.55172346421</v>
      </c>
    </row>
    <row r="312" spans="1:5">
      <c r="A312">
        <f>+'q25'!$G$4</f>
        <v>2016</v>
      </c>
      <c r="B312" t="str">
        <f>+Aux!$A$21</f>
        <v>H - Transportes e armazenagem</v>
      </c>
      <c r="C312" t="str">
        <f t="shared" si="4"/>
        <v>H</v>
      </c>
      <c r="D312" s="334" t="s">
        <v>353</v>
      </c>
      <c r="E312" s="390">
        <f>+'q25'!$G$37</f>
        <v>1359.02162036048</v>
      </c>
    </row>
    <row r="313" spans="1:5">
      <c r="A313">
        <f>+'q25'!$G$4</f>
        <v>2016</v>
      </c>
      <c r="B313" t="str">
        <f>+Aux!$A$22</f>
        <v>I - Alojamento, rest. e sim.</v>
      </c>
      <c r="C313" t="str">
        <f t="shared" si="4"/>
        <v>I</v>
      </c>
      <c r="D313" s="334" t="s">
        <v>353</v>
      </c>
      <c r="E313" s="390">
        <f>+'q25'!$G$38</f>
        <v>758.99435527316302</v>
      </c>
    </row>
    <row r="314" spans="1:5">
      <c r="A314">
        <f>+'q25'!$G$4</f>
        <v>2016</v>
      </c>
      <c r="B314" t="str">
        <f>+Aux!$A$23</f>
        <v>J - Atividades de informação e de comunicação</v>
      </c>
      <c r="C314" t="str">
        <f t="shared" si="4"/>
        <v>J</v>
      </c>
      <c r="D314" s="334" t="s">
        <v>353</v>
      </c>
      <c r="E314" s="390">
        <f>+'q25'!$G$39</f>
        <v>1797.9399188126501</v>
      </c>
    </row>
    <row r="315" spans="1:5">
      <c r="A315">
        <f>+'q25'!$G$4</f>
        <v>2016</v>
      </c>
      <c r="B315" t="str">
        <f>+Aux!$A$24</f>
        <v>K - Atividades financeiras e de seguros</v>
      </c>
      <c r="C315" t="str">
        <f t="shared" si="4"/>
        <v>K</v>
      </c>
      <c r="D315" s="334" t="s">
        <v>353</v>
      </c>
      <c r="E315" s="390">
        <f>+'q25'!$G$40</f>
        <v>2313.4637807378504</v>
      </c>
    </row>
    <row r="316" spans="1:5">
      <c r="A316">
        <f>+'q25'!$G$4</f>
        <v>2016</v>
      </c>
      <c r="B316" t="str">
        <f>+Aux!$A$25</f>
        <v>L - Atividades imobiliárias</v>
      </c>
      <c r="C316" t="str">
        <f t="shared" si="4"/>
        <v>L</v>
      </c>
      <c r="D316" s="334" t="s">
        <v>353</v>
      </c>
      <c r="E316" s="390">
        <f>+'q25'!$G$41</f>
        <v>1101.5687968699101</v>
      </c>
    </row>
    <row r="317" spans="1:5">
      <c r="A317">
        <f>+'q25'!$G$4</f>
        <v>2016</v>
      </c>
      <c r="B317" t="str">
        <f>+Aux!$A$26</f>
        <v>M - Atividades de consultoria, científicas, técnicas e similares</v>
      </c>
      <c r="C317" t="str">
        <f t="shared" si="4"/>
        <v>M</v>
      </c>
      <c r="D317" s="334" t="s">
        <v>353</v>
      </c>
      <c r="E317" s="390">
        <f>+'q25'!$G$42</f>
        <v>1358.5760158632702</v>
      </c>
    </row>
    <row r="318" spans="1:5">
      <c r="A318">
        <f>+'q25'!$G$4</f>
        <v>2016</v>
      </c>
      <c r="B318" t="str">
        <f>+Aux!$A$27</f>
        <v>N - Atividades administrativas e dos serviços de apoio</v>
      </c>
      <c r="C318" t="str">
        <f t="shared" si="4"/>
        <v>N</v>
      </c>
      <c r="D318" s="334" t="s">
        <v>353</v>
      </c>
      <c r="E318" s="390">
        <f>+'q25'!$G$43</f>
        <v>915.80640676465907</v>
      </c>
    </row>
    <row r="319" spans="1:5">
      <c r="A319">
        <f>+'q25'!$G$4</f>
        <v>2016</v>
      </c>
      <c r="B319" t="str">
        <f>+Aux!$A$28</f>
        <v>O - Administração pública e defesa; segurança social obrigatória</v>
      </c>
      <c r="C319" t="str">
        <f t="shared" si="4"/>
        <v>O</v>
      </c>
      <c r="D319" s="334" t="s">
        <v>353</v>
      </c>
      <c r="E319" s="390">
        <f>+'q25'!$G$44</f>
        <v>1031.67505197942</v>
      </c>
    </row>
    <row r="320" spans="1:5">
      <c r="A320">
        <f>+'q25'!$G$4</f>
        <v>2016</v>
      </c>
      <c r="B320" t="str">
        <f>+Aux!$A$29</f>
        <v>P - Educação</v>
      </c>
      <c r="C320" t="str">
        <f t="shared" si="4"/>
        <v>P</v>
      </c>
      <c r="D320" s="334" t="s">
        <v>353</v>
      </c>
      <c r="E320" s="390">
        <f>+'q25'!$G$45</f>
        <v>1218.1817671058602</v>
      </c>
    </row>
    <row r="321" spans="1:5">
      <c r="A321">
        <f>+'q25'!$G$4</f>
        <v>2016</v>
      </c>
      <c r="B321" t="str">
        <f>+Aux!$A$30</f>
        <v>Q - Ativ. de saúde humana e apoio social</v>
      </c>
      <c r="C321" t="str">
        <f t="shared" si="4"/>
        <v>Q</v>
      </c>
      <c r="D321" s="334" t="s">
        <v>353</v>
      </c>
      <c r="E321" s="390">
        <f>+'q25'!$G$46</f>
        <v>977.40702239840505</v>
      </c>
    </row>
    <row r="322" spans="1:5">
      <c r="A322">
        <f>+'q25'!$G$4</f>
        <v>2016</v>
      </c>
      <c r="B322" t="str">
        <f>+Aux!$A$31</f>
        <v>R - Atividades artísticas, de espectáculos, desp. e recreativas</v>
      </c>
      <c r="C322" t="str">
        <f t="shared" si="4"/>
        <v>R</v>
      </c>
      <c r="D322" s="334" t="s">
        <v>353</v>
      </c>
      <c r="E322" s="390">
        <f>+'q25'!$G$47</f>
        <v>1710.9559155008103</v>
      </c>
    </row>
    <row r="323" spans="1:5">
      <c r="A323">
        <f>+'q25'!$G$4</f>
        <v>2016</v>
      </c>
      <c r="B323" t="str">
        <f>+Aux!$A$32</f>
        <v>S - Outras atividades de serviços</v>
      </c>
      <c r="C323" t="str">
        <f t="shared" si="4"/>
        <v>S</v>
      </c>
      <c r="D323" s="334" t="s">
        <v>353</v>
      </c>
      <c r="E323" s="390">
        <f>+'q25'!$G$48</f>
        <v>964.6995149163231</v>
      </c>
    </row>
    <row r="324" spans="1:5">
      <c r="A324">
        <f>+'q25'!$G$4</f>
        <v>2016</v>
      </c>
      <c r="B324" t="str">
        <f>+Aux!$A$33</f>
        <v>U - Ativ. org. interna. e outras instituições extra-territoriais</v>
      </c>
      <c r="C324" t="str">
        <f t="shared" si="4"/>
        <v>U</v>
      </c>
      <c r="D324" s="334" t="s">
        <v>353</v>
      </c>
      <c r="E324" s="390">
        <f>+'q25'!$G$49</f>
        <v>2228.1706451612899</v>
      </c>
    </row>
    <row r="325" spans="1:5">
      <c r="A325">
        <f>+'q25'!$H$4</f>
        <v>2017</v>
      </c>
      <c r="B325" t="str">
        <f>+Aux!$A$14</f>
        <v xml:space="preserve">A - Agricultura, produção animal, caça, floresta e pesca </v>
      </c>
      <c r="C325" t="str">
        <f t="shared" si="4"/>
        <v>A</v>
      </c>
      <c r="D325" s="334" t="s">
        <v>353</v>
      </c>
      <c r="E325" s="390">
        <f>+'q25'!$H$6</f>
        <v>850.3978954524141</v>
      </c>
    </row>
    <row r="326" spans="1:5">
      <c r="A326">
        <f>+'q25'!$H$4</f>
        <v>2017</v>
      </c>
      <c r="B326" t="str">
        <f>+Aux!$A$15</f>
        <v>B - Indústrias extrativas</v>
      </c>
      <c r="C326" t="str">
        <f t="shared" ref="C326:C389" si="5">+LEFT(B326,1)</f>
        <v>B</v>
      </c>
      <c r="D326" s="334" t="s">
        <v>353</v>
      </c>
      <c r="E326" s="390">
        <f>+'q25'!$H$7</f>
        <v>1296.0436664613501</v>
      </c>
    </row>
    <row r="327" spans="1:5">
      <c r="A327">
        <f>+'q25'!$H$4</f>
        <v>2017</v>
      </c>
      <c r="B327" t="str">
        <f>+Aux!$A$16</f>
        <v>C - Ind. transformadoras</v>
      </c>
      <c r="C327" t="str">
        <f t="shared" si="5"/>
        <v>C</v>
      </c>
      <c r="D327" s="334" t="s">
        <v>353</v>
      </c>
      <c r="E327" s="390">
        <f>+'q25'!$H$8</f>
        <v>1068.4328290201402</v>
      </c>
    </row>
    <row r="328" spans="1:5">
      <c r="A328">
        <f>+'q25'!$H$4</f>
        <v>2017</v>
      </c>
      <c r="B328" t="str">
        <f>+Aux!$A$17</f>
        <v>D - Eletricidade, gás, vapor, água quente e fria e ar frio</v>
      </c>
      <c r="C328" t="str">
        <f t="shared" si="5"/>
        <v>D</v>
      </c>
      <c r="D328" s="334" t="s">
        <v>353</v>
      </c>
      <c r="E328" s="390">
        <f>+'q25'!$H$33</f>
        <v>2914.6664646792001</v>
      </c>
    </row>
    <row r="329" spans="1:5">
      <c r="A329">
        <f>+'q25'!$H$4</f>
        <v>2017</v>
      </c>
      <c r="B329" t="str">
        <f>+Aux!$A$18</f>
        <v>E - Captação, trat. e dist. água; saneam., gest. resíduos e desp.</v>
      </c>
      <c r="C329" t="str">
        <f t="shared" si="5"/>
        <v>E</v>
      </c>
      <c r="D329" s="334" t="s">
        <v>353</v>
      </c>
      <c r="E329" s="390">
        <f>+'q25'!$H$34</f>
        <v>1108.53806974232</v>
      </c>
    </row>
    <row r="330" spans="1:5">
      <c r="A330">
        <f>+'q25'!$H$4</f>
        <v>2017</v>
      </c>
      <c r="B330" t="str">
        <f>+Aux!$A$19</f>
        <v>F - Construção</v>
      </c>
      <c r="C330" t="str">
        <f t="shared" si="5"/>
        <v>F</v>
      </c>
      <c r="D330" s="334" t="s">
        <v>353</v>
      </c>
      <c r="E330" s="390">
        <f>+'q25'!$H$35</f>
        <v>967.03463446110902</v>
      </c>
    </row>
    <row r="331" spans="1:5">
      <c r="A331">
        <f>+'q25'!$H$4</f>
        <v>2017</v>
      </c>
      <c r="B331" t="str">
        <f>+Aux!$A$20</f>
        <v>G - Com. por grosso e a ret.; rep. de veíc. autom. e mot.</v>
      </c>
      <c r="C331" t="str">
        <f t="shared" si="5"/>
        <v>G</v>
      </c>
      <c r="D331" s="334" t="s">
        <v>353</v>
      </c>
      <c r="E331" s="390">
        <f>+'q25'!$H$36</f>
        <v>1066.6365917294902</v>
      </c>
    </row>
    <row r="332" spans="1:5">
      <c r="A332">
        <f>+'q25'!$H$4</f>
        <v>2017</v>
      </c>
      <c r="B332" t="str">
        <f>+Aux!$A$21</f>
        <v>H - Transportes e armazenagem</v>
      </c>
      <c r="C332" t="str">
        <f t="shared" si="5"/>
        <v>H</v>
      </c>
      <c r="D332" s="334" t="s">
        <v>353</v>
      </c>
      <c r="E332" s="390">
        <f>+'q25'!$H$37</f>
        <v>1384.77090629181</v>
      </c>
    </row>
    <row r="333" spans="1:5">
      <c r="A333">
        <f>+'q25'!$H$4</f>
        <v>2017</v>
      </c>
      <c r="B333" t="str">
        <f>+Aux!$A$22</f>
        <v>I - Alojamento, rest. e sim.</v>
      </c>
      <c r="C333" t="str">
        <f t="shared" si="5"/>
        <v>I</v>
      </c>
      <c r="D333" s="334" t="s">
        <v>353</v>
      </c>
      <c r="E333" s="390">
        <f>+'q25'!$H$38</f>
        <v>788.28719674680099</v>
      </c>
    </row>
    <row r="334" spans="1:5">
      <c r="A334">
        <f>+'q25'!$H$4</f>
        <v>2017</v>
      </c>
      <c r="B334" t="str">
        <f>+Aux!$A$23</f>
        <v>J - Atividades de informação e de comunicação</v>
      </c>
      <c r="C334" t="str">
        <f t="shared" si="5"/>
        <v>J</v>
      </c>
      <c r="D334" s="334" t="s">
        <v>353</v>
      </c>
      <c r="E334" s="390">
        <f>+'q25'!$H$39</f>
        <v>1808.5689214937399</v>
      </c>
    </row>
    <row r="335" spans="1:5">
      <c r="A335">
        <f>+'q25'!$H$4</f>
        <v>2017</v>
      </c>
      <c r="B335" t="str">
        <f>+Aux!$A$24</f>
        <v>K - Atividades financeiras e de seguros</v>
      </c>
      <c r="C335" t="str">
        <f t="shared" si="5"/>
        <v>K</v>
      </c>
      <c r="D335" s="334" t="s">
        <v>353</v>
      </c>
      <c r="E335" s="390">
        <f>+'q25'!$H$40</f>
        <v>2305.2142118672296</v>
      </c>
    </row>
    <row r="336" spans="1:5">
      <c r="A336">
        <f>+'q25'!$H$4</f>
        <v>2017</v>
      </c>
      <c r="B336" t="str">
        <f>+Aux!$A$25</f>
        <v>L - Atividades imobiliárias</v>
      </c>
      <c r="C336" t="str">
        <f t="shared" si="5"/>
        <v>L</v>
      </c>
      <c r="D336" s="334" t="s">
        <v>353</v>
      </c>
      <c r="E336" s="390">
        <f>+'q25'!$H$41</f>
        <v>1115.00294096896</v>
      </c>
    </row>
    <row r="337" spans="1:5">
      <c r="A337">
        <f>+'q25'!$H$4</f>
        <v>2017</v>
      </c>
      <c r="B337" t="str">
        <f>+Aux!$A$26</f>
        <v>M - Atividades de consultoria, científicas, técnicas e similares</v>
      </c>
      <c r="C337" t="str">
        <f t="shared" si="5"/>
        <v>M</v>
      </c>
      <c r="D337" s="334" t="s">
        <v>353</v>
      </c>
      <c r="E337" s="390">
        <f>+'q25'!$H$42</f>
        <v>1414.0863794018601</v>
      </c>
    </row>
    <row r="338" spans="1:5">
      <c r="A338">
        <f>+'q25'!$H$4</f>
        <v>2017</v>
      </c>
      <c r="B338" t="str">
        <f>+Aux!$A$27</f>
        <v>N - Atividades administrativas e dos serviços de apoio</v>
      </c>
      <c r="C338" t="str">
        <f t="shared" si="5"/>
        <v>N</v>
      </c>
      <c r="D338" s="334" t="s">
        <v>353</v>
      </c>
      <c r="E338" s="390">
        <f>+'q25'!$H$43</f>
        <v>940.16393722782607</v>
      </c>
    </row>
    <row r="339" spans="1:5">
      <c r="A339">
        <f>+'q25'!$H$4</f>
        <v>2017</v>
      </c>
      <c r="B339" t="str">
        <f>+Aux!$A$28</f>
        <v>O - Administração pública e defesa; segurança social obrigatória</v>
      </c>
      <c r="C339" t="str">
        <f t="shared" si="5"/>
        <v>O</v>
      </c>
      <c r="D339" s="334" t="s">
        <v>353</v>
      </c>
      <c r="E339" s="390">
        <f>+'q25'!$H$44</f>
        <v>1056.21944589702</v>
      </c>
    </row>
    <row r="340" spans="1:5">
      <c r="A340">
        <f>+'q25'!$H$4</f>
        <v>2017</v>
      </c>
      <c r="B340" t="str">
        <f>+Aux!$A$29</f>
        <v>P - Educação</v>
      </c>
      <c r="C340" t="str">
        <f t="shared" si="5"/>
        <v>P</v>
      </c>
      <c r="D340" s="334" t="s">
        <v>353</v>
      </c>
      <c r="E340" s="390">
        <f>+'q25'!$H$45</f>
        <v>1243.13067985879</v>
      </c>
    </row>
    <row r="341" spans="1:5">
      <c r="A341">
        <f>+'q25'!$H$4</f>
        <v>2017</v>
      </c>
      <c r="B341" t="str">
        <f>+Aux!$A$30</f>
        <v>Q - Ativ. de saúde humana e apoio social</v>
      </c>
      <c r="C341" t="str">
        <f t="shared" si="5"/>
        <v>Q</v>
      </c>
      <c r="D341" s="334" t="s">
        <v>353</v>
      </c>
      <c r="E341" s="390">
        <f>+'q25'!$H$46</f>
        <v>1008.96832155377</v>
      </c>
    </row>
    <row r="342" spans="1:5">
      <c r="A342">
        <f>+'q25'!$H$4</f>
        <v>2017</v>
      </c>
      <c r="B342" t="str">
        <f>+Aux!$A$31</f>
        <v>R - Atividades artísticas, de espectáculos, desp. e recreativas</v>
      </c>
      <c r="C342" t="str">
        <f t="shared" si="5"/>
        <v>R</v>
      </c>
      <c r="D342" s="334" t="s">
        <v>353</v>
      </c>
      <c r="E342" s="390">
        <f>+'q25'!$H$47</f>
        <v>1798.9739390826401</v>
      </c>
    </row>
    <row r="343" spans="1:5">
      <c r="A343">
        <f>+'q25'!$H$4</f>
        <v>2017</v>
      </c>
      <c r="B343" t="str">
        <f>+Aux!$A$32</f>
        <v>S - Outras atividades de serviços</v>
      </c>
      <c r="C343" t="str">
        <f t="shared" si="5"/>
        <v>S</v>
      </c>
      <c r="D343" s="334" t="s">
        <v>353</v>
      </c>
      <c r="E343" s="390">
        <f>+'q25'!$H$48</f>
        <v>994.49167119738411</v>
      </c>
    </row>
    <row r="344" spans="1:5">
      <c r="A344">
        <f>+'q25'!$H$4</f>
        <v>2017</v>
      </c>
      <c r="B344" t="str">
        <f>+Aux!$A$33</f>
        <v>U - Ativ. org. interna. e outras instituições extra-territoriais</v>
      </c>
      <c r="C344" t="str">
        <f t="shared" si="5"/>
        <v>U</v>
      </c>
      <c r="D344" s="334" t="s">
        <v>353</v>
      </c>
      <c r="E344" s="390">
        <f>+'q25'!$H$49</f>
        <v>2104.8762195122004</v>
      </c>
    </row>
    <row r="345" spans="1:5">
      <c r="A345">
        <f>+'q25'!$I$4</f>
        <v>2018</v>
      </c>
      <c r="B345" t="str">
        <f>+Aux!$A$14</f>
        <v xml:space="preserve">A - Agricultura, produção animal, caça, floresta e pesca </v>
      </c>
      <c r="C345" t="str">
        <f t="shared" si="5"/>
        <v>A</v>
      </c>
      <c r="D345" s="334" t="s">
        <v>353</v>
      </c>
      <c r="E345" s="390">
        <f>+'q25'!$I$6</f>
        <v>896.43205381769303</v>
      </c>
    </row>
    <row r="346" spans="1:5">
      <c r="A346">
        <f>+'q25'!$I$4</f>
        <v>2018</v>
      </c>
      <c r="B346" t="str">
        <f>+Aux!$A$15</f>
        <v>B - Indústrias extrativas</v>
      </c>
      <c r="C346" t="str">
        <f t="shared" si="5"/>
        <v>B</v>
      </c>
      <c r="D346" s="334" t="s">
        <v>353</v>
      </c>
      <c r="E346" s="390">
        <f>+'q25'!$I$7</f>
        <v>1403.2348597856401</v>
      </c>
    </row>
    <row r="347" spans="1:5">
      <c r="A347">
        <f>+'q25'!$I$4</f>
        <v>2018</v>
      </c>
      <c r="B347" t="str">
        <f>+Aux!$A$16</f>
        <v>C - Ind. transformadoras</v>
      </c>
      <c r="C347" t="str">
        <f t="shared" si="5"/>
        <v>C</v>
      </c>
      <c r="D347" s="334" t="s">
        <v>353</v>
      </c>
      <c r="E347" s="390">
        <f>+'q25'!$I$8</f>
        <v>1110.54337234992</v>
      </c>
    </row>
    <row r="348" spans="1:5">
      <c r="A348">
        <f>+'q25'!$I$4</f>
        <v>2018</v>
      </c>
      <c r="B348" t="str">
        <f>+Aux!$A$17</f>
        <v>D - Eletricidade, gás, vapor, água quente e fria e ar frio</v>
      </c>
      <c r="C348" t="str">
        <f t="shared" si="5"/>
        <v>D</v>
      </c>
      <c r="D348" s="334" t="s">
        <v>353</v>
      </c>
      <c r="E348" s="390">
        <f>+'q25'!$I$33</f>
        <v>2948.54863921077</v>
      </c>
    </row>
    <row r="349" spans="1:5">
      <c r="A349">
        <f>+'q25'!$I$4</f>
        <v>2018</v>
      </c>
      <c r="B349" t="str">
        <f>+Aux!$A$18</f>
        <v>E - Captação, trat. e dist. água; saneam., gest. resíduos e desp.</v>
      </c>
      <c r="C349" t="str">
        <f t="shared" si="5"/>
        <v>E</v>
      </c>
      <c r="D349" s="334" t="s">
        <v>353</v>
      </c>
      <c r="E349" s="390">
        <f>+'q25'!$I$34</f>
        <v>1150.6816799391302</v>
      </c>
    </row>
    <row r="350" spans="1:5">
      <c r="A350">
        <f>+'q25'!$I$4</f>
        <v>2018</v>
      </c>
      <c r="B350" t="str">
        <f>+Aux!$A$19</f>
        <v>F - Construção</v>
      </c>
      <c r="C350" t="str">
        <f t="shared" si="5"/>
        <v>F</v>
      </c>
      <c r="D350" s="334" t="s">
        <v>353</v>
      </c>
      <c r="E350" s="390">
        <f>+'q25'!$I$35</f>
        <v>993.17572592162708</v>
      </c>
    </row>
    <row r="351" spans="1:5">
      <c r="A351">
        <f>+'q25'!$I$4</f>
        <v>2018</v>
      </c>
      <c r="B351" t="str">
        <f>+Aux!$A$20</f>
        <v>G - Com. por grosso e a ret.; rep. de veíc. autom. e mot.</v>
      </c>
      <c r="C351" t="str">
        <f t="shared" si="5"/>
        <v>G</v>
      </c>
      <c r="D351" s="334" t="s">
        <v>353</v>
      </c>
      <c r="E351" s="390">
        <f>+'q25'!$I$36</f>
        <v>1099.0321763469101</v>
      </c>
    </row>
    <row r="352" spans="1:5">
      <c r="A352">
        <f>+'q25'!$I$4</f>
        <v>2018</v>
      </c>
      <c r="B352" t="str">
        <f>+Aux!$A$21</f>
        <v>H - Transportes e armazenagem</v>
      </c>
      <c r="C352" t="str">
        <f t="shared" si="5"/>
        <v>H</v>
      </c>
      <c r="D352" s="334" t="s">
        <v>353</v>
      </c>
      <c r="E352" s="390">
        <f>+'q25'!$I$37</f>
        <v>1425.9495335986801</v>
      </c>
    </row>
    <row r="353" spans="1:5">
      <c r="A353">
        <f>+'q25'!$I$4</f>
        <v>2018</v>
      </c>
      <c r="B353" t="str">
        <f>+Aux!$A$22</f>
        <v>I - Alojamento, rest. e sim.</v>
      </c>
      <c r="C353" t="str">
        <f t="shared" si="5"/>
        <v>I</v>
      </c>
      <c r="D353" s="334" t="s">
        <v>353</v>
      </c>
      <c r="E353" s="390">
        <f>+'q25'!$I$38</f>
        <v>820.22052121490003</v>
      </c>
    </row>
    <row r="354" spans="1:5">
      <c r="A354">
        <f>+'q25'!$I$4</f>
        <v>2018</v>
      </c>
      <c r="B354" t="str">
        <f>+Aux!$A$23</f>
        <v>J - Atividades de informação e de comunicação</v>
      </c>
      <c r="C354" t="str">
        <f t="shared" si="5"/>
        <v>J</v>
      </c>
      <c r="D354" s="334" t="s">
        <v>353</v>
      </c>
      <c r="E354" s="390">
        <f>+'q25'!$I$39</f>
        <v>1867.0555663795303</v>
      </c>
    </row>
    <row r="355" spans="1:5">
      <c r="A355">
        <f>+'q25'!$I$4</f>
        <v>2018</v>
      </c>
      <c r="B355" t="str">
        <f>+Aux!$A$24</f>
        <v>K - Atividades financeiras e de seguros</v>
      </c>
      <c r="C355" t="str">
        <f t="shared" si="5"/>
        <v>K</v>
      </c>
      <c r="D355" s="334" t="s">
        <v>353</v>
      </c>
      <c r="E355" s="390">
        <f>+'q25'!$I$40</f>
        <v>2321.4127194346102</v>
      </c>
    </row>
    <row r="356" spans="1:5">
      <c r="A356">
        <f>+'q25'!$I$4</f>
        <v>2018</v>
      </c>
      <c r="B356" t="str">
        <f>+Aux!$A$25</f>
        <v>L - Atividades imobiliárias</v>
      </c>
      <c r="C356" t="str">
        <f t="shared" si="5"/>
        <v>L</v>
      </c>
      <c r="D356" s="334" t="s">
        <v>353</v>
      </c>
      <c r="E356" s="390">
        <f>+'q25'!$I$41</f>
        <v>1148.1650423773699</v>
      </c>
    </row>
    <row r="357" spans="1:5">
      <c r="A357">
        <f>+'q25'!$I$4</f>
        <v>2018</v>
      </c>
      <c r="B357" t="str">
        <f>+Aux!$A$26</f>
        <v>M - Atividades de consultoria, científicas, técnicas e similares</v>
      </c>
      <c r="C357" t="str">
        <f t="shared" si="5"/>
        <v>M</v>
      </c>
      <c r="D357" s="334" t="s">
        <v>353</v>
      </c>
      <c r="E357" s="390">
        <f>+'q25'!$I$42</f>
        <v>1446.1765328945501</v>
      </c>
    </row>
    <row r="358" spans="1:5">
      <c r="A358">
        <f>+'q25'!$I$4</f>
        <v>2018</v>
      </c>
      <c r="B358" t="str">
        <f>+Aux!$A$27</f>
        <v>N - Atividades administrativas e dos serviços de apoio</v>
      </c>
      <c r="C358" t="str">
        <f t="shared" si="5"/>
        <v>N</v>
      </c>
      <c r="D358" s="334" t="s">
        <v>353</v>
      </c>
      <c r="E358" s="390">
        <f>+'q25'!$I$43</f>
        <v>974.19436712806203</v>
      </c>
    </row>
    <row r="359" spans="1:5">
      <c r="A359">
        <f>+'q25'!$I$4</f>
        <v>2018</v>
      </c>
      <c r="B359" t="str">
        <f>+Aux!$A$28</f>
        <v>O - Administração pública e defesa; segurança social obrigatória</v>
      </c>
      <c r="C359" t="str">
        <f t="shared" si="5"/>
        <v>O</v>
      </c>
      <c r="D359" s="334" t="s">
        <v>353</v>
      </c>
      <c r="E359" s="390">
        <f>+'q25'!$I$44</f>
        <v>1099.6006488326798</v>
      </c>
    </row>
    <row r="360" spans="1:5">
      <c r="A360">
        <f>+'q25'!$I$4</f>
        <v>2018</v>
      </c>
      <c r="B360" t="str">
        <f>+Aux!$A$29</f>
        <v>P - Educação</v>
      </c>
      <c r="C360" t="str">
        <f t="shared" si="5"/>
        <v>P</v>
      </c>
      <c r="D360" s="334" t="s">
        <v>353</v>
      </c>
      <c r="E360" s="390">
        <f>+'q25'!$I$45</f>
        <v>1272.38788658307</v>
      </c>
    </row>
    <row r="361" spans="1:5">
      <c r="A361">
        <f>+'q25'!$I$4</f>
        <v>2018</v>
      </c>
      <c r="B361" t="str">
        <f>+Aux!$A$30</f>
        <v>Q - Ativ. de saúde humana e apoio social</v>
      </c>
      <c r="C361" t="str">
        <f t="shared" si="5"/>
        <v>Q</v>
      </c>
      <c r="D361" s="334" t="s">
        <v>353</v>
      </c>
      <c r="E361" s="390">
        <f>+'q25'!$I$46</f>
        <v>1045.1200221992101</v>
      </c>
    </row>
    <row r="362" spans="1:5">
      <c r="A362">
        <f>+'q25'!$I$4</f>
        <v>2018</v>
      </c>
      <c r="B362" t="str">
        <f>+Aux!$A$31</f>
        <v>R - Atividades artísticas, de espectáculos, desp. e recreativas</v>
      </c>
      <c r="C362" t="str">
        <f t="shared" si="5"/>
        <v>R</v>
      </c>
      <c r="D362" s="334" t="s">
        <v>353</v>
      </c>
      <c r="E362" s="390">
        <f>+'q25'!$I$47</f>
        <v>1800.7592513977104</v>
      </c>
    </row>
    <row r="363" spans="1:5">
      <c r="A363">
        <f>+'q25'!$I$4</f>
        <v>2018</v>
      </c>
      <c r="B363" t="str">
        <f>+Aux!$A$32</f>
        <v>S - Outras atividades de serviços</v>
      </c>
      <c r="C363" t="str">
        <f t="shared" si="5"/>
        <v>S</v>
      </c>
      <c r="D363" s="334" t="s">
        <v>353</v>
      </c>
      <c r="E363" s="390">
        <f>+'q25'!$I$48</f>
        <v>1024.0020301716199</v>
      </c>
    </row>
    <row r="364" spans="1:5">
      <c r="A364">
        <f>+'q25'!$I$4</f>
        <v>2018</v>
      </c>
      <c r="B364" t="str">
        <f>+Aux!$A$33</f>
        <v>U - Ativ. org. interna. e outras instituições extra-territoriais</v>
      </c>
      <c r="C364" t="str">
        <f t="shared" si="5"/>
        <v>U</v>
      </c>
      <c r="D364" s="334" t="s">
        <v>353</v>
      </c>
      <c r="E364" s="390">
        <f>+'q25'!$I$49</f>
        <v>2323.98544444444</v>
      </c>
    </row>
    <row r="365" spans="1:5">
      <c r="A365">
        <f>+'q25'!$J$4</f>
        <v>2019</v>
      </c>
      <c r="B365" t="str">
        <f>+Aux!$A$14</f>
        <v xml:space="preserve">A - Agricultura, produção animal, caça, floresta e pesca </v>
      </c>
      <c r="C365" t="str">
        <f t="shared" si="5"/>
        <v>A</v>
      </c>
      <c r="D365" s="334" t="s">
        <v>353</v>
      </c>
      <c r="E365" s="390">
        <f>+'q25'!$J$6</f>
        <v>945.56245115689808</v>
      </c>
    </row>
    <row r="366" spans="1:5">
      <c r="A366">
        <f>+'q25'!$J$4</f>
        <v>2019</v>
      </c>
      <c r="B366" t="str">
        <f>+Aux!$A$15</f>
        <v>B - Indústrias extrativas</v>
      </c>
      <c r="C366" t="str">
        <f t="shared" si="5"/>
        <v>B</v>
      </c>
      <c r="D366" s="334" t="s">
        <v>353</v>
      </c>
      <c r="E366" s="390">
        <f>+'q25'!$J$7</f>
        <v>1459.1081470854701</v>
      </c>
    </row>
    <row r="367" spans="1:5">
      <c r="A367">
        <f>+'q25'!$J$4</f>
        <v>2019</v>
      </c>
      <c r="B367" t="str">
        <f>+Aux!$A$16</f>
        <v>C - Ind. transformadoras</v>
      </c>
      <c r="C367" t="str">
        <f t="shared" si="5"/>
        <v>C</v>
      </c>
      <c r="D367" s="334" t="s">
        <v>353</v>
      </c>
      <c r="E367" s="390">
        <f>+'q25'!$J$8</f>
        <v>1154.9381361412102</v>
      </c>
    </row>
    <row r="368" spans="1:5">
      <c r="A368">
        <f>+'q25'!$J$4</f>
        <v>2019</v>
      </c>
      <c r="B368" t="str">
        <f>+Aux!$A$17</f>
        <v>D - Eletricidade, gás, vapor, água quente e fria e ar frio</v>
      </c>
      <c r="C368" t="str">
        <f t="shared" si="5"/>
        <v>D</v>
      </c>
      <c r="D368" s="334" t="s">
        <v>353</v>
      </c>
      <c r="E368" s="390">
        <f>+'q25'!$J$33</f>
        <v>2904.2006536050203</v>
      </c>
    </row>
    <row r="369" spans="1:5">
      <c r="A369">
        <f>+'q25'!$J$4</f>
        <v>2019</v>
      </c>
      <c r="B369" t="str">
        <f>+Aux!$A$18</f>
        <v>E - Captação, trat. e dist. água; saneam., gest. resíduos e desp.</v>
      </c>
      <c r="C369" t="str">
        <f t="shared" si="5"/>
        <v>E</v>
      </c>
      <c r="D369" s="334" t="s">
        <v>353</v>
      </c>
      <c r="E369" s="390">
        <f>+'q25'!$J$34</f>
        <v>1174.8296254663701</v>
      </c>
    </row>
    <row r="370" spans="1:5">
      <c r="A370">
        <f>+'q25'!$J$4</f>
        <v>2019</v>
      </c>
      <c r="B370" t="str">
        <f>+Aux!$A$19</f>
        <v>F - Construção</v>
      </c>
      <c r="C370" t="str">
        <f t="shared" si="5"/>
        <v>F</v>
      </c>
      <c r="D370" s="334" t="s">
        <v>353</v>
      </c>
      <c r="E370" s="390">
        <f>+'q25'!$J$35</f>
        <v>1024.99794319735</v>
      </c>
    </row>
    <row r="371" spans="1:5">
      <c r="A371">
        <f>+'q25'!$J$4</f>
        <v>2019</v>
      </c>
      <c r="B371" t="str">
        <f>+Aux!$A$20</f>
        <v>G - Com. por grosso e a ret.; rep. de veíc. autom. e mot.</v>
      </c>
      <c r="C371" t="str">
        <f t="shared" si="5"/>
        <v>G</v>
      </c>
      <c r="D371" s="334" t="s">
        <v>353</v>
      </c>
      <c r="E371" s="390">
        <f>+'q25'!$J$36</f>
        <v>1140.3182487568401</v>
      </c>
    </row>
    <row r="372" spans="1:5">
      <c r="A372">
        <f>+'q25'!$J$4</f>
        <v>2019</v>
      </c>
      <c r="B372" t="str">
        <f>+Aux!$A$21</f>
        <v>H - Transportes e armazenagem</v>
      </c>
      <c r="C372" t="str">
        <f t="shared" si="5"/>
        <v>H</v>
      </c>
      <c r="D372" s="334" t="s">
        <v>353</v>
      </c>
      <c r="E372" s="390">
        <f>+'q25'!$J$37</f>
        <v>1489.52093930565</v>
      </c>
    </row>
    <row r="373" spans="1:5">
      <c r="A373">
        <f>+'q25'!$J$4</f>
        <v>2019</v>
      </c>
      <c r="B373" t="str">
        <f>+Aux!$A$22</f>
        <v>I - Alojamento, rest. e sim.</v>
      </c>
      <c r="C373" t="str">
        <f t="shared" si="5"/>
        <v>I</v>
      </c>
      <c r="D373" s="334" t="s">
        <v>353</v>
      </c>
      <c r="E373" s="390">
        <f>+'q25'!$J$38</f>
        <v>851.314164465261</v>
      </c>
    </row>
    <row r="374" spans="1:5">
      <c r="A374">
        <f>+'q25'!$J$4</f>
        <v>2019</v>
      </c>
      <c r="B374" t="str">
        <f>+Aux!$A$23</f>
        <v>J - Atividades de informação e de comunicação</v>
      </c>
      <c r="C374" t="str">
        <f t="shared" si="5"/>
        <v>J</v>
      </c>
      <c r="D374" s="334" t="s">
        <v>353</v>
      </c>
      <c r="E374" s="390">
        <f>+'q25'!$J$39</f>
        <v>1919.5712354874802</v>
      </c>
    </row>
    <row r="375" spans="1:5">
      <c r="A375">
        <f>+'q25'!$J$4</f>
        <v>2019</v>
      </c>
      <c r="B375" t="str">
        <f>+Aux!$A$24</f>
        <v>K - Atividades financeiras e de seguros</v>
      </c>
      <c r="C375" t="str">
        <f t="shared" si="5"/>
        <v>K</v>
      </c>
      <c r="D375" s="334" t="s">
        <v>353</v>
      </c>
      <c r="E375" s="390">
        <f>+'q25'!$J$40</f>
        <v>2330.3591765705901</v>
      </c>
    </row>
    <row r="376" spans="1:5">
      <c r="A376">
        <f>+'q25'!$J$4</f>
        <v>2019</v>
      </c>
      <c r="B376" t="str">
        <f>+Aux!$A$25</f>
        <v>L - Atividades imobiliárias</v>
      </c>
      <c r="C376" t="str">
        <f t="shared" si="5"/>
        <v>L</v>
      </c>
      <c r="D376" s="334" t="s">
        <v>353</v>
      </c>
      <c r="E376" s="390">
        <f>+'q25'!$J$41</f>
        <v>1193.9758254192802</v>
      </c>
    </row>
    <row r="377" spans="1:5">
      <c r="A377">
        <f>+'q25'!$J$4</f>
        <v>2019</v>
      </c>
      <c r="B377" t="str">
        <f>+Aux!$A$26</f>
        <v>M - Atividades de consultoria, científicas, técnicas e similares</v>
      </c>
      <c r="C377" t="str">
        <f t="shared" si="5"/>
        <v>M</v>
      </c>
      <c r="D377" s="334" t="s">
        <v>353</v>
      </c>
      <c r="E377" s="390">
        <f>+'q25'!$J$42</f>
        <v>1498.2458890136202</v>
      </c>
    </row>
    <row r="378" spans="1:5">
      <c r="A378">
        <f>+'q25'!$J$4</f>
        <v>2019</v>
      </c>
      <c r="B378" t="str">
        <f>+Aux!$A$27</f>
        <v>N - Atividades administrativas e dos serviços de apoio</v>
      </c>
      <c r="C378" t="str">
        <f t="shared" si="5"/>
        <v>N</v>
      </c>
      <c r="D378" s="334" t="s">
        <v>353</v>
      </c>
      <c r="E378" s="390">
        <f>+'q25'!$J$43</f>
        <v>1006.82436356175</v>
      </c>
    </row>
    <row r="379" spans="1:5">
      <c r="A379">
        <f>+'q25'!$J$4</f>
        <v>2019</v>
      </c>
      <c r="B379" t="str">
        <f>+Aux!$A$28</f>
        <v>O - Administração pública e defesa; segurança social obrigatória</v>
      </c>
      <c r="C379" t="str">
        <f t="shared" si="5"/>
        <v>O</v>
      </c>
      <c r="D379" s="334" t="s">
        <v>353</v>
      </c>
      <c r="E379" s="390">
        <f>+'q25'!$J$44</f>
        <v>1161.4557663053802</v>
      </c>
    </row>
    <row r="380" spans="1:5">
      <c r="A380">
        <f>+'q25'!$J$4</f>
        <v>2019</v>
      </c>
      <c r="B380" t="str">
        <f>+Aux!$A$29</f>
        <v>P - Educação</v>
      </c>
      <c r="C380" t="str">
        <f t="shared" si="5"/>
        <v>P</v>
      </c>
      <c r="D380" s="334" t="s">
        <v>353</v>
      </c>
      <c r="E380" s="390">
        <f>+'q25'!$J$45</f>
        <v>1336.3514178534801</v>
      </c>
    </row>
    <row r="381" spans="1:5">
      <c r="A381">
        <f>+'q25'!$J$4</f>
        <v>2019</v>
      </c>
      <c r="B381" t="str">
        <f>+Aux!$A$30</f>
        <v>Q - Ativ. de saúde humana e apoio social</v>
      </c>
      <c r="C381" t="str">
        <f t="shared" si="5"/>
        <v>Q</v>
      </c>
      <c r="D381" s="334" t="s">
        <v>353</v>
      </c>
      <c r="E381" s="390">
        <f>+'q25'!$J$46</f>
        <v>1088.3376098952101</v>
      </c>
    </row>
    <row r="382" spans="1:5">
      <c r="A382">
        <f>+'q25'!$J$4</f>
        <v>2019</v>
      </c>
      <c r="B382" t="str">
        <f>+Aux!$A$31</f>
        <v>R - Atividades artísticas, de espectáculos, desp. e recreativas</v>
      </c>
      <c r="C382" t="str">
        <f t="shared" si="5"/>
        <v>R</v>
      </c>
      <c r="D382" s="334" t="s">
        <v>353</v>
      </c>
      <c r="E382" s="390">
        <f>+'q25'!$J$47</f>
        <v>1856.5493808146002</v>
      </c>
    </row>
    <row r="383" spans="1:5">
      <c r="A383">
        <f>+'q25'!$J$4</f>
        <v>2019</v>
      </c>
      <c r="B383" t="str">
        <f>+Aux!$A$32</f>
        <v>S - Outras atividades de serviços</v>
      </c>
      <c r="C383" t="str">
        <f t="shared" si="5"/>
        <v>S</v>
      </c>
      <c r="D383" s="334" t="s">
        <v>353</v>
      </c>
      <c r="E383" s="390">
        <f>+'q25'!$J$48</f>
        <v>1057.86755720325</v>
      </c>
    </row>
    <row r="384" spans="1:5">
      <c r="A384">
        <f>+'q25'!$J$4</f>
        <v>2019</v>
      </c>
      <c r="B384" t="str">
        <f>+Aux!$A$33</f>
        <v>U - Ativ. org. interna. e outras instituições extra-territoriais</v>
      </c>
      <c r="C384" t="str">
        <f t="shared" si="5"/>
        <v>U</v>
      </c>
      <c r="D384" s="334" t="s">
        <v>353</v>
      </c>
      <c r="E384" s="390">
        <f>+'q25'!$J$49</f>
        <v>2299.36</v>
      </c>
    </row>
    <row r="385" spans="1:5">
      <c r="A385">
        <f>+'q25'!$K$4</f>
        <v>2020</v>
      </c>
      <c r="B385" t="str">
        <f>+Aux!$A$14</f>
        <v xml:space="preserve">A - Agricultura, produção animal, caça, floresta e pesca </v>
      </c>
      <c r="C385" t="str">
        <f t="shared" si="5"/>
        <v>A</v>
      </c>
      <c r="D385" s="334" t="s">
        <v>353</v>
      </c>
      <c r="E385" s="390">
        <f>+'q25'!$K$6</f>
        <v>949.68727184380202</v>
      </c>
    </row>
    <row r="386" spans="1:5">
      <c r="A386">
        <f>+'q25'!$K$4</f>
        <v>2020</v>
      </c>
      <c r="B386" t="str">
        <f>+Aux!$A$15</f>
        <v>B - Indústrias extrativas</v>
      </c>
      <c r="C386" t="str">
        <f t="shared" si="5"/>
        <v>B</v>
      </c>
      <c r="D386" s="334" t="s">
        <v>353</v>
      </c>
      <c r="E386" s="390">
        <f>+'q25'!$K$7</f>
        <v>1500.0902219807501</v>
      </c>
    </row>
    <row r="387" spans="1:5">
      <c r="A387">
        <f>+'q25'!$K$4</f>
        <v>2020</v>
      </c>
      <c r="B387" t="str">
        <f>+Aux!$A$16</f>
        <v>C - Ind. transformadoras</v>
      </c>
      <c r="C387" t="str">
        <f t="shared" si="5"/>
        <v>C</v>
      </c>
      <c r="D387" s="334" t="s">
        <v>353</v>
      </c>
      <c r="E387" s="390">
        <f>+'q25'!$K$8</f>
        <v>1198.0430402166501</v>
      </c>
    </row>
    <row r="388" spans="1:5">
      <c r="A388">
        <f>+'q25'!$K$4</f>
        <v>2020</v>
      </c>
      <c r="B388" t="str">
        <f>+Aux!$A$17</f>
        <v>D - Eletricidade, gás, vapor, água quente e fria e ar frio</v>
      </c>
      <c r="C388" t="str">
        <f t="shared" si="5"/>
        <v>D</v>
      </c>
      <c r="D388" s="334" t="s">
        <v>353</v>
      </c>
      <c r="E388" s="390">
        <f>+'q25'!$K$33</f>
        <v>2956.0488095238097</v>
      </c>
    </row>
    <row r="389" spans="1:5">
      <c r="A389">
        <f>+'q25'!$K$4</f>
        <v>2020</v>
      </c>
      <c r="B389" t="str">
        <f>+Aux!$A$18</f>
        <v>E - Captação, trat. e dist. água; saneam., gest. resíduos e desp.</v>
      </c>
      <c r="C389" t="str">
        <f t="shared" si="5"/>
        <v>E</v>
      </c>
      <c r="D389" s="334" t="s">
        <v>353</v>
      </c>
      <c r="E389" s="390">
        <f>+'q25'!$K$34</f>
        <v>1204.9030087578901</v>
      </c>
    </row>
    <row r="390" spans="1:5">
      <c r="A390">
        <f>+'q25'!$K$4</f>
        <v>2020</v>
      </c>
      <c r="B390" t="str">
        <f>+Aux!$A$19</f>
        <v>F - Construção</v>
      </c>
      <c r="C390" t="str">
        <f t="shared" ref="C390:C444" si="6">+LEFT(B390,1)</f>
        <v>F</v>
      </c>
      <c r="D390" s="334" t="s">
        <v>353</v>
      </c>
      <c r="E390" s="390">
        <f>+'q25'!$K$35</f>
        <v>1042.36946738392</v>
      </c>
    </row>
    <row r="391" spans="1:5">
      <c r="A391">
        <f>+'q25'!$K$4</f>
        <v>2020</v>
      </c>
      <c r="B391" t="str">
        <f>+Aux!$A$20</f>
        <v>G - Com. por grosso e a ret.; rep. de veíc. autom. e mot.</v>
      </c>
      <c r="C391" t="str">
        <f t="shared" si="6"/>
        <v>G</v>
      </c>
      <c r="D391" s="334" t="s">
        <v>353</v>
      </c>
      <c r="E391" s="390">
        <f>+'q25'!$K$36</f>
        <v>1176.3256930358502</v>
      </c>
    </row>
    <row r="392" spans="1:5">
      <c r="A392">
        <f>+'q25'!$K$4</f>
        <v>2020</v>
      </c>
      <c r="B392" t="str">
        <f>+Aux!$A$21</f>
        <v>H - Transportes e armazenagem</v>
      </c>
      <c r="C392" t="str">
        <f t="shared" si="6"/>
        <v>H</v>
      </c>
      <c r="D392" s="334" t="s">
        <v>353</v>
      </c>
      <c r="E392" s="390">
        <f>+'q25'!$K$37</f>
        <v>1418.67501257139</v>
      </c>
    </row>
    <row r="393" spans="1:5">
      <c r="A393">
        <f>+'q25'!$K$4</f>
        <v>2020</v>
      </c>
      <c r="B393" t="str">
        <f>+Aux!$A$22</f>
        <v>I - Alojamento, rest. e sim.</v>
      </c>
      <c r="C393" t="str">
        <f t="shared" si="6"/>
        <v>I</v>
      </c>
      <c r="D393" s="334" t="s">
        <v>353</v>
      </c>
      <c r="E393" s="390">
        <f>+'q25'!$K$38</f>
        <v>858.92963088100407</v>
      </c>
    </row>
    <row r="394" spans="1:5">
      <c r="A394">
        <f>+'q25'!$K$4</f>
        <v>2020</v>
      </c>
      <c r="B394" t="str">
        <f>+Aux!$A$23</f>
        <v>J - Atividades de informação e de comunicação</v>
      </c>
      <c r="C394" t="str">
        <f t="shared" si="6"/>
        <v>J</v>
      </c>
      <c r="D394" s="334" t="s">
        <v>353</v>
      </c>
      <c r="E394" s="390">
        <f>+'q25'!$K$39</f>
        <v>1970.0643236907999</v>
      </c>
    </row>
    <row r="395" spans="1:5">
      <c r="A395">
        <f>+'q25'!$K$4</f>
        <v>2020</v>
      </c>
      <c r="B395" t="str">
        <f>+Aux!$A$24</f>
        <v>K - Atividades financeiras e de seguros</v>
      </c>
      <c r="C395" t="str">
        <f t="shared" si="6"/>
        <v>K</v>
      </c>
      <c r="D395" s="334" t="s">
        <v>353</v>
      </c>
      <c r="E395" s="390">
        <f>+'q25'!$K$40</f>
        <v>2366.36621362714</v>
      </c>
    </row>
    <row r="396" spans="1:5">
      <c r="A396">
        <f>+'q25'!$K$4</f>
        <v>2020</v>
      </c>
      <c r="B396" t="str">
        <f>+Aux!$A$25</f>
        <v>L - Atividades imobiliárias</v>
      </c>
      <c r="C396" t="str">
        <f t="shared" si="6"/>
        <v>L</v>
      </c>
      <c r="D396" s="334" t="s">
        <v>353</v>
      </c>
      <c r="E396" s="390">
        <f>+'q25'!$K$41</f>
        <v>1237.4717715996101</v>
      </c>
    </row>
    <row r="397" spans="1:5">
      <c r="A397">
        <f>+'q25'!$K$4</f>
        <v>2020</v>
      </c>
      <c r="B397" t="str">
        <f>+Aux!$A$26</f>
        <v>M - Atividades de consultoria, científicas, técnicas e similares</v>
      </c>
      <c r="C397" t="str">
        <f t="shared" si="6"/>
        <v>M</v>
      </c>
      <c r="D397" s="334" t="s">
        <v>353</v>
      </c>
      <c r="E397" s="390">
        <f>+'q25'!$K$42</f>
        <v>1543.3495667438001</v>
      </c>
    </row>
    <row r="398" spans="1:5">
      <c r="A398">
        <f>+'q25'!$K$4</f>
        <v>2020</v>
      </c>
      <c r="B398" t="str">
        <f>+Aux!$A$27</f>
        <v>N - Atividades administrativas e dos serviços de apoio</v>
      </c>
      <c r="C398" t="str">
        <f t="shared" si="6"/>
        <v>N</v>
      </c>
      <c r="D398" s="334" t="s">
        <v>353</v>
      </c>
      <c r="E398" s="390">
        <f>+'q25'!$K$43</f>
        <v>1032.8774176774102</v>
      </c>
    </row>
    <row r="399" spans="1:5">
      <c r="A399">
        <f>+'q25'!$K$4</f>
        <v>2020</v>
      </c>
      <c r="B399" t="str">
        <f>+Aux!$A$28</f>
        <v>O - Administração pública e defesa; segurança social obrigatória</v>
      </c>
      <c r="C399" t="str">
        <f t="shared" si="6"/>
        <v>O</v>
      </c>
      <c r="D399" s="334" t="s">
        <v>353</v>
      </c>
      <c r="E399" s="390">
        <f>+'q25'!$K$44</f>
        <v>1222.7777967502102</v>
      </c>
    </row>
    <row r="400" spans="1:5">
      <c r="A400">
        <f>+'q25'!$K$4</f>
        <v>2020</v>
      </c>
      <c r="B400" t="str">
        <f>+Aux!$A$29</f>
        <v>P - Educação</v>
      </c>
      <c r="C400" t="str">
        <f t="shared" si="6"/>
        <v>P</v>
      </c>
      <c r="D400" s="334" t="s">
        <v>353</v>
      </c>
      <c r="E400" s="390">
        <f>+'q25'!$K$45</f>
        <v>1375.0805769564502</v>
      </c>
    </row>
    <row r="401" spans="1:5">
      <c r="A401">
        <f>+'q25'!$K$4</f>
        <v>2020</v>
      </c>
      <c r="B401" t="str">
        <f>+Aux!$A$30</f>
        <v>Q - Ativ. de saúde humana e apoio social</v>
      </c>
      <c r="C401" t="str">
        <f t="shared" si="6"/>
        <v>Q</v>
      </c>
      <c r="D401" s="334" t="s">
        <v>353</v>
      </c>
      <c r="E401" s="390">
        <f>+'q25'!$K$46</f>
        <v>1112.4913787528703</v>
      </c>
    </row>
    <row r="402" spans="1:5">
      <c r="A402">
        <f>+'q25'!$K$4</f>
        <v>2020</v>
      </c>
      <c r="B402" t="str">
        <f>+Aux!$A$31</f>
        <v>R - Atividades artísticas, de espectáculos, desp. e recreativas</v>
      </c>
      <c r="C402" t="str">
        <f t="shared" si="6"/>
        <v>R</v>
      </c>
      <c r="D402" s="334" t="s">
        <v>353</v>
      </c>
      <c r="E402" s="390">
        <f>+'q25'!$K$47</f>
        <v>2043.8203294056002</v>
      </c>
    </row>
    <row r="403" spans="1:5">
      <c r="A403">
        <f>+'q25'!$K$4</f>
        <v>2020</v>
      </c>
      <c r="B403" t="str">
        <f>+Aux!$A$32</f>
        <v>S - Outras atividades de serviços</v>
      </c>
      <c r="C403" t="str">
        <f t="shared" si="6"/>
        <v>S</v>
      </c>
      <c r="D403" s="334" t="s">
        <v>353</v>
      </c>
      <c r="E403" s="390">
        <f>+'q25'!$K$48</f>
        <v>1115.8772046698602</v>
      </c>
    </row>
    <row r="404" spans="1:5">
      <c r="A404">
        <f>+'q25'!$K$4</f>
        <v>2020</v>
      </c>
      <c r="B404" t="str">
        <f>+Aux!$A$33</f>
        <v>U - Ativ. org. interna. e outras instituições extra-territoriais</v>
      </c>
      <c r="C404" t="str">
        <f t="shared" si="6"/>
        <v>U</v>
      </c>
      <c r="D404" s="334" t="s">
        <v>353</v>
      </c>
      <c r="E404" s="390">
        <f>+'q25'!$K$49</f>
        <v>2045.6536363636401</v>
      </c>
    </row>
    <row r="405" spans="1:5">
      <c r="A405">
        <f>+'q25'!$L$4</f>
        <v>2021</v>
      </c>
      <c r="B405" t="str">
        <f>+Aux!$A$14</f>
        <v xml:space="preserve">A - Agricultura, produção animal, caça, floresta e pesca </v>
      </c>
      <c r="C405" t="str">
        <f t="shared" si="6"/>
        <v>A</v>
      </c>
      <c r="D405" s="334" t="s">
        <v>353</v>
      </c>
      <c r="E405" s="390">
        <f>+'q25'!$L$6</f>
        <v>1011.4266887095</v>
      </c>
    </row>
    <row r="406" spans="1:5">
      <c r="A406">
        <f>+'q25'!$L$4</f>
        <v>2021</v>
      </c>
      <c r="B406" t="str">
        <f>+Aux!$A$15</f>
        <v>B - Indústrias extrativas</v>
      </c>
      <c r="C406" t="str">
        <f t="shared" si="6"/>
        <v>B</v>
      </c>
      <c r="D406" s="334" t="s">
        <v>353</v>
      </c>
      <c r="E406" s="390">
        <f>+'q25'!$L$7</f>
        <v>1596.0346130638102</v>
      </c>
    </row>
    <row r="407" spans="1:5">
      <c r="A407">
        <f>+'q25'!$L$4</f>
        <v>2021</v>
      </c>
      <c r="B407" t="str">
        <f>+Aux!$A$16</f>
        <v>C - Ind. transformadoras</v>
      </c>
      <c r="C407" t="str">
        <f t="shared" si="6"/>
        <v>C</v>
      </c>
      <c r="D407" s="334" t="s">
        <v>353</v>
      </c>
      <c r="E407" s="390">
        <f>+'q25'!$L$8</f>
        <v>1224.7920291855</v>
      </c>
    </row>
    <row r="408" spans="1:5">
      <c r="A408">
        <f>+'q25'!$L$4</f>
        <v>2021</v>
      </c>
      <c r="B408" t="str">
        <f>+Aux!$A$17</f>
        <v>D - Eletricidade, gás, vapor, água quente e fria e ar frio</v>
      </c>
      <c r="C408" t="str">
        <f t="shared" si="6"/>
        <v>D</v>
      </c>
      <c r="D408" s="334" t="s">
        <v>353</v>
      </c>
      <c r="E408" s="390">
        <f>+'q25'!$L$33</f>
        <v>2965.8420086220704</v>
      </c>
    </row>
    <row r="409" spans="1:5">
      <c r="A409">
        <f>+'q25'!$L$4</f>
        <v>2021</v>
      </c>
      <c r="B409" t="str">
        <f>+Aux!$A$18</f>
        <v>E - Captação, trat. e dist. água; saneam., gest. resíduos e desp.</v>
      </c>
      <c r="C409" t="str">
        <f t="shared" si="6"/>
        <v>E</v>
      </c>
      <c r="D409" s="334" t="s">
        <v>353</v>
      </c>
      <c r="E409" s="390">
        <f>+'q25'!$L$34</f>
        <v>1227.2953897540301</v>
      </c>
    </row>
    <row r="410" spans="1:5">
      <c r="A410">
        <f>+'q25'!$L$4</f>
        <v>2021</v>
      </c>
      <c r="B410" t="str">
        <f>+Aux!$A$19</f>
        <v>F - Construção</v>
      </c>
      <c r="C410" t="str">
        <f t="shared" si="6"/>
        <v>F</v>
      </c>
      <c r="D410" s="334" t="s">
        <v>353</v>
      </c>
      <c r="E410" s="390">
        <f>+'q25'!$L$35</f>
        <v>1103.16576996042</v>
      </c>
    </row>
    <row r="411" spans="1:5">
      <c r="A411">
        <f>+'q25'!$L$4</f>
        <v>2021</v>
      </c>
      <c r="B411" t="str">
        <f>+Aux!$A$20</f>
        <v>G - Com. por grosso e a ret.; rep. de veíc. autom. e mot.</v>
      </c>
      <c r="C411" t="str">
        <f t="shared" si="6"/>
        <v>G</v>
      </c>
      <c r="D411" s="334" t="s">
        <v>353</v>
      </c>
      <c r="E411" s="390">
        <f>+'q25'!$L$36</f>
        <v>1224.1700947597201</v>
      </c>
    </row>
    <row r="412" spans="1:5">
      <c r="A412">
        <f>+'q25'!$L$4</f>
        <v>2021</v>
      </c>
      <c r="B412" t="str">
        <f>+Aux!$A$21</f>
        <v>H - Transportes e armazenagem</v>
      </c>
      <c r="C412" t="str">
        <f t="shared" si="6"/>
        <v>H</v>
      </c>
      <c r="D412" s="334" t="s">
        <v>353</v>
      </c>
      <c r="E412" s="390">
        <f>+'q25'!$L$37</f>
        <v>1463.6713251307001</v>
      </c>
    </row>
    <row r="413" spans="1:5">
      <c r="A413">
        <f>+'q25'!$L$4</f>
        <v>2021</v>
      </c>
      <c r="B413" t="str">
        <f>+Aux!$A$22</f>
        <v>I - Alojamento, rest. e sim.</v>
      </c>
      <c r="C413" t="str">
        <f t="shared" si="6"/>
        <v>I</v>
      </c>
      <c r="D413" s="334" t="s">
        <v>353</v>
      </c>
      <c r="E413" s="390">
        <f>+'q25'!$L$38</f>
        <v>913.66424029182906</v>
      </c>
    </row>
    <row r="414" spans="1:5">
      <c r="A414">
        <f>+'q25'!$L$4</f>
        <v>2021</v>
      </c>
      <c r="B414" t="str">
        <f>+Aux!$A$23</f>
        <v>J - Atividades de informação e de comunicação</v>
      </c>
      <c r="C414" t="str">
        <f t="shared" si="6"/>
        <v>J</v>
      </c>
      <c r="D414" s="334" t="s">
        <v>353</v>
      </c>
      <c r="E414" s="390">
        <f>+'q25'!$L$39</f>
        <v>2046.0881796504</v>
      </c>
    </row>
    <row r="415" spans="1:5">
      <c r="A415">
        <f>+'q25'!$L$4</f>
        <v>2021</v>
      </c>
      <c r="B415" t="str">
        <f>+Aux!$A$24</f>
        <v>K - Atividades financeiras e de seguros</v>
      </c>
      <c r="C415" t="str">
        <f t="shared" si="6"/>
        <v>K</v>
      </c>
      <c r="D415" s="334" t="s">
        <v>353</v>
      </c>
      <c r="E415" s="390">
        <f>+'q25'!$L$40</f>
        <v>2374.4118925576204</v>
      </c>
    </row>
    <row r="416" spans="1:5">
      <c r="A416">
        <f>+'q25'!$L$4</f>
        <v>2021</v>
      </c>
      <c r="B416" t="str">
        <f>+Aux!$A$25</f>
        <v>L - Atividades imobiliárias</v>
      </c>
      <c r="C416" t="str">
        <f t="shared" si="6"/>
        <v>L</v>
      </c>
      <c r="D416" s="334" t="s">
        <v>353</v>
      </c>
      <c r="E416" s="390">
        <f>+'q25'!$L$41</f>
        <v>1277.4853188275799</v>
      </c>
    </row>
    <row r="417" spans="1:5">
      <c r="A417">
        <f>+'q25'!$L$4</f>
        <v>2021</v>
      </c>
      <c r="B417" t="str">
        <f>+Aux!$A$26</f>
        <v>M - Atividades de consultoria, científicas, técnicas e similares</v>
      </c>
      <c r="C417" t="str">
        <f t="shared" si="6"/>
        <v>M</v>
      </c>
      <c r="D417" s="334" t="s">
        <v>353</v>
      </c>
      <c r="E417" s="390">
        <f>+'q25'!$L$42</f>
        <v>1612.7733123589501</v>
      </c>
    </row>
    <row r="418" spans="1:5">
      <c r="A418">
        <f>+'q25'!$L$4</f>
        <v>2021</v>
      </c>
      <c r="B418" t="str">
        <f>+Aux!$A$27</f>
        <v>N - Atividades administrativas e dos serviços de apoio</v>
      </c>
      <c r="C418" t="str">
        <f t="shared" si="6"/>
        <v>N</v>
      </c>
      <c r="D418" s="334" t="s">
        <v>353</v>
      </c>
      <c r="E418" s="390">
        <f>+'q25'!$L$43</f>
        <v>1086.1392998818501</v>
      </c>
    </row>
    <row r="419" spans="1:5">
      <c r="A419">
        <f>+'q25'!$L$4</f>
        <v>2021</v>
      </c>
      <c r="B419" t="str">
        <f>+Aux!$A$28</f>
        <v>O - Administração pública e defesa; segurança social obrigatória</v>
      </c>
      <c r="C419" t="str">
        <f t="shared" si="6"/>
        <v>O</v>
      </c>
      <c r="D419" s="334" t="s">
        <v>353</v>
      </c>
      <c r="E419" s="390">
        <f>+'q25'!$L$44</f>
        <v>1269.2457733308402</v>
      </c>
    </row>
    <row r="420" spans="1:5">
      <c r="A420">
        <f>+'q25'!$L$4</f>
        <v>2021</v>
      </c>
      <c r="B420" t="str">
        <f>+Aux!$A$29</f>
        <v>P - Educação</v>
      </c>
      <c r="C420" t="str">
        <f t="shared" si="6"/>
        <v>P</v>
      </c>
      <c r="D420" s="334" t="s">
        <v>353</v>
      </c>
      <c r="E420" s="390">
        <f>+'q25'!$L$45</f>
        <v>1415.0812555304901</v>
      </c>
    </row>
    <row r="421" spans="1:5">
      <c r="A421">
        <f>+'q25'!$L$4</f>
        <v>2021</v>
      </c>
      <c r="B421" t="str">
        <f>+Aux!$A$30</f>
        <v>Q - Ativ. de saúde humana e apoio social</v>
      </c>
      <c r="C421" t="str">
        <f t="shared" si="6"/>
        <v>Q</v>
      </c>
      <c r="D421" s="334" t="s">
        <v>353</v>
      </c>
      <c r="E421" s="390">
        <f>+'q25'!$L$46</f>
        <v>1148.8005320596101</v>
      </c>
    </row>
    <row r="422" spans="1:5">
      <c r="A422">
        <f>+'q25'!$L$4</f>
        <v>2021</v>
      </c>
      <c r="B422" t="str">
        <f>+Aux!$A$31</f>
        <v>R - Atividades artísticas, de espectáculos, desp. e recreativas</v>
      </c>
      <c r="C422" t="str">
        <f t="shared" si="6"/>
        <v>R</v>
      </c>
      <c r="D422" s="334" t="s">
        <v>353</v>
      </c>
      <c r="E422" s="390">
        <f>+'q25'!$L$47</f>
        <v>1981.6714508229302</v>
      </c>
    </row>
    <row r="423" spans="1:5">
      <c r="A423">
        <f>+'q25'!$L$4</f>
        <v>2021</v>
      </c>
      <c r="B423" t="str">
        <f>+Aux!$A$32</f>
        <v>S - Outras atividades de serviços</v>
      </c>
      <c r="C423" t="str">
        <f t="shared" si="6"/>
        <v>S</v>
      </c>
      <c r="D423" s="334" t="s">
        <v>353</v>
      </c>
      <c r="E423" s="390">
        <f>+'q25'!$L$48</f>
        <v>1140.1985733070298</v>
      </c>
    </row>
    <row r="424" spans="1:5">
      <c r="A424">
        <f>+'q25'!$L$4</f>
        <v>2021</v>
      </c>
      <c r="B424" t="str">
        <f>+Aux!$A$33</f>
        <v>U - Ativ. org. interna. e outras instituições extra-territoriais</v>
      </c>
      <c r="C424" t="str">
        <f t="shared" si="6"/>
        <v>U</v>
      </c>
      <c r="D424" s="334" t="s">
        <v>353</v>
      </c>
      <c r="E424" s="390">
        <f>+'q25'!$L$49</f>
        <v>1997.503125</v>
      </c>
    </row>
    <row r="425" spans="1:5">
      <c r="A425">
        <f>+'q25'!$M$4</f>
        <v>2022</v>
      </c>
      <c r="B425" t="str">
        <f>+Aux!$A$14</f>
        <v xml:space="preserve">A - Agricultura, produção animal, caça, floresta e pesca </v>
      </c>
      <c r="C425" t="str">
        <f t="shared" si="6"/>
        <v>A</v>
      </c>
      <c r="D425" s="334" t="s">
        <v>353</v>
      </c>
      <c r="E425" s="390">
        <f>+'q25'!$M$6</f>
        <v>1058.36697089669</v>
      </c>
    </row>
    <row r="426" spans="1:5">
      <c r="A426">
        <f>+'q25'!$M$4</f>
        <v>2022</v>
      </c>
      <c r="B426" t="str">
        <f>+Aux!$A$15</f>
        <v>B - Indústrias extrativas</v>
      </c>
      <c r="C426" t="str">
        <f t="shared" si="6"/>
        <v>B</v>
      </c>
      <c r="D426" s="334" t="s">
        <v>353</v>
      </c>
      <c r="E426" s="390">
        <f>+'q25'!$M$7</f>
        <v>1702.2394534560904</v>
      </c>
    </row>
    <row r="427" spans="1:5">
      <c r="A427">
        <f>+'q25'!$M$4</f>
        <v>2022</v>
      </c>
      <c r="B427" t="str">
        <f>+Aux!$A$16</f>
        <v>C - Ind. transformadoras</v>
      </c>
      <c r="C427" t="str">
        <f t="shared" si="6"/>
        <v>C</v>
      </c>
      <c r="D427" s="334" t="s">
        <v>353</v>
      </c>
      <c r="E427" s="390">
        <f>+'q25'!$M$8</f>
        <v>1302.5883482423701</v>
      </c>
    </row>
    <row r="428" spans="1:5">
      <c r="A428">
        <f>+'q25'!$M$4</f>
        <v>2022</v>
      </c>
      <c r="B428" t="str">
        <f>+Aux!$A$17</f>
        <v>D - Eletricidade, gás, vapor, água quente e fria e ar frio</v>
      </c>
      <c r="C428" t="str">
        <f t="shared" si="6"/>
        <v>D</v>
      </c>
      <c r="D428" s="334" t="s">
        <v>353</v>
      </c>
      <c r="E428" s="390">
        <f>+'q25'!$M$33</f>
        <v>3040.8869773462798</v>
      </c>
    </row>
    <row r="429" spans="1:5">
      <c r="A429">
        <f>+'q25'!$M$4</f>
        <v>2022</v>
      </c>
      <c r="B429" t="str">
        <f>+Aux!$A$18</f>
        <v>E - Captação, trat. e dist. água; saneam., gest. resíduos e desp.</v>
      </c>
      <c r="C429" t="str">
        <f t="shared" si="6"/>
        <v>E</v>
      </c>
      <c r="D429" s="334" t="s">
        <v>353</v>
      </c>
      <c r="E429" s="390">
        <f>+'q25'!$M$34</f>
        <v>1275.5365974717802</v>
      </c>
    </row>
    <row r="430" spans="1:5">
      <c r="A430">
        <f>+'q25'!$M$4</f>
        <v>2022</v>
      </c>
      <c r="B430" t="str">
        <f>+Aux!$A$19</f>
        <v>F - Construção</v>
      </c>
      <c r="C430" t="str">
        <f t="shared" si="6"/>
        <v>F</v>
      </c>
      <c r="D430" s="334" t="s">
        <v>353</v>
      </c>
      <c r="E430" s="390">
        <f>+'q25'!$M$35</f>
        <v>1149.6124082756401</v>
      </c>
    </row>
    <row r="431" spans="1:5">
      <c r="A431">
        <f>+'q25'!$M$4</f>
        <v>2022</v>
      </c>
      <c r="B431" t="str">
        <f>+Aux!$A$20</f>
        <v>G - Com. por grosso e a ret.; rep. de veíc. autom. e mot.</v>
      </c>
      <c r="C431" t="str">
        <f t="shared" si="6"/>
        <v>G</v>
      </c>
      <c r="D431" s="334" t="s">
        <v>353</v>
      </c>
      <c r="E431" s="390">
        <f>+'q25'!$M$36</f>
        <v>1280.54261879503</v>
      </c>
    </row>
    <row r="432" spans="1:5">
      <c r="A432">
        <f>+'q25'!$M$4</f>
        <v>2022</v>
      </c>
      <c r="B432" t="str">
        <f>+Aux!$A$21</f>
        <v>H - Transportes e armazenagem</v>
      </c>
      <c r="C432" t="str">
        <f t="shared" si="6"/>
        <v>H</v>
      </c>
      <c r="D432" s="334" t="s">
        <v>353</v>
      </c>
      <c r="E432" s="390">
        <f>+'q25'!$M$37</f>
        <v>1651.3679565502002</v>
      </c>
    </row>
    <row r="433" spans="1:5">
      <c r="A433">
        <f>+'q25'!$M$4</f>
        <v>2022</v>
      </c>
      <c r="B433" t="str">
        <f>+Aux!$A$22</f>
        <v>I - Alojamento, rest. e sim.</v>
      </c>
      <c r="C433" t="str">
        <f t="shared" si="6"/>
        <v>I</v>
      </c>
      <c r="D433" s="334" t="s">
        <v>353</v>
      </c>
      <c r="E433" s="390">
        <f>+'q25'!$M$38</f>
        <v>977.82250189513604</v>
      </c>
    </row>
    <row r="434" spans="1:5">
      <c r="A434">
        <f>+'q25'!$M$4</f>
        <v>2022</v>
      </c>
      <c r="B434" t="str">
        <f>+Aux!$A$23</f>
        <v>J - Atividades de informação e de comunicação</v>
      </c>
      <c r="C434" t="str">
        <f t="shared" si="6"/>
        <v>J</v>
      </c>
      <c r="D434" s="334" t="s">
        <v>353</v>
      </c>
      <c r="E434" s="390">
        <f>+'q25'!$M$39</f>
        <v>2222.2609296519304</v>
      </c>
    </row>
    <row r="435" spans="1:5">
      <c r="A435">
        <f>+'q25'!$M$4</f>
        <v>2022</v>
      </c>
      <c r="B435" t="str">
        <f>+Aux!$A$24</f>
        <v>K - Atividades financeiras e de seguros</v>
      </c>
      <c r="C435" t="str">
        <f t="shared" si="6"/>
        <v>K</v>
      </c>
      <c r="D435" s="334" t="s">
        <v>353</v>
      </c>
      <c r="E435" s="390">
        <f>+'q25'!$M$40</f>
        <v>2429.0182829891</v>
      </c>
    </row>
    <row r="436" spans="1:5">
      <c r="A436">
        <f>+'q25'!$M$4</f>
        <v>2022</v>
      </c>
      <c r="B436" t="str">
        <f>+Aux!$A$25</f>
        <v>L - Atividades imobiliárias</v>
      </c>
      <c r="C436" t="str">
        <f t="shared" si="6"/>
        <v>L</v>
      </c>
      <c r="D436" s="334" t="s">
        <v>353</v>
      </c>
      <c r="E436" s="390">
        <f>+'q25'!$M$41</f>
        <v>1343.2863293676198</v>
      </c>
    </row>
    <row r="437" spans="1:5">
      <c r="A437">
        <f>+'q25'!$M$4</f>
        <v>2022</v>
      </c>
      <c r="B437" t="str">
        <f>+Aux!$A$26</f>
        <v>M - Atividades de consultoria, científicas, técnicas e similares</v>
      </c>
      <c r="C437" t="str">
        <f t="shared" si="6"/>
        <v>M</v>
      </c>
      <c r="D437" s="334" t="s">
        <v>353</v>
      </c>
      <c r="E437" s="390">
        <f>+'q25'!$M$42</f>
        <v>1708.7518058268201</v>
      </c>
    </row>
    <row r="438" spans="1:5">
      <c r="A438">
        <f>+'q25'!$M$4</f>
        <v>2022</v>
      </c>
      <c r="B438" t="str">
        <f>+Aux!$A$27</f>
        <v>N - Atividades administrativas e dos serviços de apoio</v>
      </c>
      <c r="C438" t="str">
        <f t="shared" si="6"/>
        <v>N</v>
      </c>
      <c r="D438" s="334" t="s">
        <v>353</v>
      </c>
      <c r="E438" s="390">
        <f>+'q25'!$M$43</f>
        <v>1156.5086238350702</v>
      </c>
    </row>
    <row r="439" spans="1:5">
      <c r="A439">
        <f>+'q25'!$M$4</f>
        <v>2022</v>
      </c>
      <c r="B439" t="str">
        <f>+Aux!$A$28</f>
        <v>O - Administração pública e defesa; segurança social obrigatória</v>
      </c>
      <c r="C439" t="str">
        <f t="shared" si="6"/>
        <v>O</v>
      </c>
      <c r="D439" s="334" t="s">
        <v>353</v>
      </c>
      <c r="E439" s="390">
        <f>+'q25'!$M$44</f>
        <v>1293.63158607017</v>
      </c>
    </row>
    <row r="440" spans="1:5">
      <c r="A440">
        <f>+'q25'!$M$4</f>
        <v>2022</v>
      </c>
      <c r="B440" t="str">
        <f>+Aux!$A$29</f>
        <v>P - Educação</v>
      </c>
      <c r="C440" t="str">
        <f t="shared" si="6"/>
        <v>P</v>
      </c>
      <c r="D440" s="334" t="s">
        <v>353</v>
      </c>
      <c r="E440" s="390">
        <f>+'q25'!$M$45</f>
        <v>1477.6246249844801</v>
      </c>
    </row>
    <row r="441" spans="1:5">
      <c r="A441">
        <f>+'q25'!$M$4</f>
        <v>2022</v>
      </c>
      <c r="B441" t="str">
        <f>+Aux!$A$30</f>
        <v>Q - Ativ. de saúde humana e apoio social</v>
      </c>
      <c r="C441" t="str">
        <f t="shared" si="6"/>
        <v>Q</v>
      </c>
      <c r="D441" s="334" t="s">
        <v>353</v>
      </c>
      <c r="E441" s="390">
        <f>+'q25'!$M$46</f>
        <v>1186.79376339175</v>
      </c>
    </row>
    <row r="442" spans="1:5">
      <c r="A442">
        <f>+'q25'!$M$4</f>
        <v>2022</v>
      </c>
      <c r="B442" t="str">
        <f>+Aux!$A$31</f>
        <v>R - Atividades artísticas, de espectáculos, desp. e recreativas</v>
      </c>
      <c r="C442" t="str">
        <f t="shared" si="6"/>
        <v>R</v>
      </c>
      <c r="D442" s="334" t="s">
        <v>353</v>
      </c>
      <c r="E442" s="390">
        <f>+'q25'!$M$47</f>
        <v>2006.93050921396</v>
      </c>
    </row>
    <row r="443" spans="1:5">
      <c r="A443">
        <f>+'q25'!$M$4</f>
        <v>2022</v>
      </c>
      <c r="B443" t="str">
        <f>+Aux!$A$32</f>
        <v>S - Outras atividades de serviços</v>
      </c>
      <c r="C443" t="str">
        <f t="shared" si="6"/>
        <v>S</v>
      </c>
      <c r="D443" s="334" t="s">
        <v>353</v>
      </c>
      <c r="E443" s="390">
        <f>+'q25'!$M$48</f>
        <v>1185.85793238305</v>
      </c>
    </row>
    <row r="444" spans="1:5">
      <c r="A444">
        <f>+'q25'!$M$4</f>
        <v>2022</v>
      </c>
      <c r="B444" t="str">
        <f>+Aux!$A$33</f>
        <v>U - Ativ. org. interna. e outras instituições extra-territoriais</v>
      </c>
      <c r="C444" t="str">
        <f t="shared" si="6"/>
        <v>U</v>
      </c>
      <c r="D444" s="334" t="s">
        <v>353</v>
      </c>
      <c r="E444" s="390">
        <f>+'q25'!$M$49</f>
        <v>3245.8867521367501</v>
      </c>
    </row>
  </sheetData>
  <pageMargins left="0.7" right="0.7" top="0.75" bottom="0.75" header="0.3" footer="0.3"/>
  <pageSetup paperSize="9" orientation="portrait" horizontalDpi="1200" verticalDpi="1200" r:id="rId5"/>
  <drawing r:id="rId6"/>
  <extLst>
    <ext xmlns:x14="http://schemas.microsoft.com/office/spreadsheetml/2009/9/main" uri="{A8765BA9-456A-4dab-B4F3-ACF838C121DE}">
      <x14:slicerList>
        <x14:slicer r:id="rId7"/>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2E1A9-1C42-4638-A334-826772A33512}">
  <sheetPr>
    <tabColor indexed="25"/>
    <pageSetUpPr fitToPage="1"/>
  </sheetPr>
  <dimension ref="A1:T43"/>
  <sheetViews>
    <sheetView showGridLines="0" workbookViewId="0">
      <selection activeCell="J56" sqref="J56"/>
    </sheetView>
  </sheetViews>
  <sheetFormatPr defaultColWidth="9.140625" defaultRowHeight="11.25"/>
  <cols>
    <col min="1" max="1" width="14.7109375" style="41" customWidth="1"/>
    <col min="2" max="2" width="2.42578125" style="94" customWidth="1"/>
    <col min="3" max="13" width="7.5703125" style="41" customWidth="1"/>
    <col min="14" max="15" width="5.85546875" style="41" bestFit="1" customWidth="1"/>
    <col min="16" max="20" width="16.7109375" style="41" customWidth="1"/>
    <col min="21" max="16384" width="9.140625" style="41"/>
  </cols>
  <sheetData>
    <row r="1" spans="1:20" s="51" customFormat="1" ht="53.45" customHeight="1">
      <c r="A1" s="580" t="s">
        <v>615</v>
      </c>
      <c r="B1" s="580"/>
      <c r="C1" s="580"/>
      <c r="D1" s="580"/>
      <c r="E1" s="580"/>
      <c r="F1" s="580"/>
      <c r="G1" s="580"/>
      <c r="H1" s="580"/>
      <c r="I1" s="580"/>
      <c r="J1" s="580"/>
      <c r="K1" s="580"/>
      <c r="L1" s="580"/>
      <c r="M1" s="580"/>
      <c r="P1" s="582" t="s">
        <v>611</v>
      </c>
      <c r="Q1" s="582"/>
      <c r="R1" s="582"/>
      <c r="S1" s="582"/>
      <c r="T1" s="582"/>
    </row>
    <row r="2" spans="1:20" ht="12" customHeight="1">
      <c r="A2" s="52"/>
      <c r="B2" s="52"/>
      <c r="C2" s="50"/>
      <c r="D2" s="100"/>
      <c r="E2" s="100"/>
      <c r="F2" s="100"/>
      <c r="G2" s="100"/>
      <c r="H2" s="100"/>
      <c r="I2" s="100"/>
      <c r="J2" s="100"/>
      <c r="K2" s="100"/>
      <c r="L2" s="100"/>
      <c r="M2" s="100"/>
      <c r="P2" s="583" t="s">
        <v>612</v>
      </c>
      <c r="Q2" s="583"/>
      <c r="R2" s="583"/>
      <c r="S2" s="583"/>
      <c r="T2" s="583"/>
    </row>
    <row r="3" spans="1:20" ht="15" customHeight="1">
      <c r="A3" s="35" t="s">
        <v>14</v>
      </c>
      <c r="B3" s="53"/>
      <c r="C3" s="50"/>
      <c r="D3" s="100"/>
      <c r="E3" s="100"/>
      <c r="F3" s="100"/>
      <c r="G3" s="100"/>
      <c r="H3" s="100"/>
      <c r="I3" s="100"/>
      <c r="J3" s="100"/>
      <c r="K3" s="100"/>
      <c r="L3" s="100"/>
      <c r="M3" s="100"/>
      <c r="P3" s="583"/>
      <c r="Q3" s="583"/>
      <c r="R3" s="583"/>
      <c r="S3" s="583"/>
      <c r="T3" s="583"/>
    </row>
    <row r="4" spans="1:20" s="93" customFormat="1" ht="28.5" customHeight="1" thickBot="1">
      <c r="A4" s="54"/>
      <c r="B4" s="54"/>
      <c r="C4" s="38">
        <v>2012</v>
      </c>
      <c r="D4" s="38">
        <v>2013</v>
      </c>
      <c r="E4" s="38">
        <v>2014</v>
      </c>
      <c r="F4" s="38">
        <v>2015</v>
      </c>
      <c r="G4" s="38">
        <v>2016</v>
      </c>
      <c r="H4" s="38">
        <v>2017</v>
      </c>
      <c r="I4" s="38">
        <v>2018</v>
      </c>
      <c r="J4" s="38">
        <v>2019</v>
      </c>
      <c r="K4" s="38">
        <v>2020</v>
      </c>
      <c r="L4" s="38">
        <v>2021</v>
      </c>
      <c r="M4" s="38">
        <v>2022</v>
      </c>
      <c r="P4" s="583"/>
      <c r="Q4" s="583"/>
      <c r="R4" s="583"/>
      <c r="S4" s="583"/>
      <c r="T4" s="583"/>
    </row>
    <row r="5" spans="1:20" ht="16.5" customHeight="1" thickTop="1">
      <c r="A5" s="52" t="s">
        <v>12</v>
      </c>
      <c r="B5" s="53" t="s">
        <v>45</v>
      </c>
      <c r="C5" s="249">
        <v>1910957</v>
      </c>
      <c r="D5" s="249">
        <v>1890511</v>
      </c>
      <c r="E5" s="249">
        <v>1928307</v>
      </c>
      <c r="F5" s="249">
        <v>1991131</v>
      </c>
      <c r="G5" s="249">
        <v>2054911</v>
      </c>
      <c r="H5" s="249">
        <v>2131943</v>
      </c>
      <c r="I5" s="249">
        <v>2205449</v>
      </c>
      <c r="J5" s="249">
        <v>2232400</v>
      </c>
      <c r="K5" s="249">
        <v>2164118</v>
      </c>
      <c r="L5" s="249">
        <v>2200594</v>
      </c>
      <c r="M5" s="249">
        <v>2376115</v>
      </c>
      <c r="N5" s="93"/>
      <c r="O5" s="93"/>
      <c r="P5" s="583" t="s">
        <v>613</v>
      </c>
      <c r="Q5" s="583"/>
      <c r="R5" s="583"/>
      <c r="S5" s="583"/>
      <c r="T5" s="583"/>
    </row>
    <row r="6" spans="1:20" ht="12.75" customHeight="1">
      <c r="A6" s="35"/>
      <c r="B6" s="53" t="s">
        <v>53</v>
      </c>
      <c r="C6" s="248">
        <v>1036087</v>
      </c>
      <c r="D6" s="248">
        <v>1021704</v>
      </c>
      <c r="E6" s="248">
        <v>1044369</v>
      </c>
      <c r="F6" s="248">
        <v>1072847</v>
      </c>
      <c r="G6" s="248">
        <v>1107485</v>
      </c>
      <c r="H6" s="248">
        <v>1154786</v>
      </c>
      <c r="I6" s="248">
        <v>1199385</v>
      </c>
      <c r="J6" s="248">
        <v>1217589</v>
      </c>
      <c r="K6" s="248">
        <v>1187469</v>
      </c>
      <c r="L6" s="248">
        <v>1200895</v>
      </c>
      <c r="M6" s="248">
        <v>1298876</v>
      </c>
      <c r="N6" s="93"/>
      <c r="O6" s="93"/>
      <c r="P6" s="583"/>
      <c r="Q6" s="583"/>
      <c r="R6" s="583"/>
      <c r="S6" s="583"/>
      <c r="T6" s="583"/>
    </row>
    <row r="7" spans="1:20" ht="12.75" customHeight="1">
      <c r="A7" s="35"/>
      <c r="B7" s="53" t="s">
        <v>54</v>
      </c>
      <c r="C7" s="248">
        <v>874870</v>
      </c>
      <c r="D7" s="248">
        <v>868807</v>
      </c>
      <c r="E7" s="248">
        <v>883938</v>
      </c>
      <c r="F7" s="248">
        <v>918284</v>
      </c>
      <c r="G7" s="248">
        <v>947426</v>
      </c>
      <c r="H7" s="248">
        <v>977157</v>
      </c>
      <c r="I7" s="248">
        <v>1006064</v>
      </c>
      <c r="J7" s="248">
        <v>1014811</v>
      </c>
      <c r="K7" s="248">
        <v>976649</v>
      </c>
      <c r="L7" s="248">
        <v>999699</v>
      </c>
      <c r="M7" s="248">
        <v>1077239</v>
      </c>
      <c r="N7" s="93"/>
      <c r="O7" s="93"/>
      <c r="P7" s="583"/>
      <c r="Q7" s="583"/>
      <c r="R7" s="583"/>
      <c r="S7" s="583"/>
      <c r="T7" s="583"/>
    </row>
    <row r="8" spans="1:20" ht="16.5" customHeight="1">
      <c r="A8" s="56" t="s">
        <v>32</v>
      </c>
      <c r="B8" s="53" t="s">
        <v>45</v>
      </c>
      <c r="C8" s="248">
        <v>284038</v>
      </c>
      <c r="D8" s="248">
        <v>276414</v>
      </c>
      <c r="E8" s="248">
        <v>277951</v>
      </c>
      <c r="F8" s="248">
        <v>280673</v>
      </c>
      <c r="G8" s="248">
        <v>282535</v>
      </c>
      <c r="H8" s="248">
        <v>280392</v>
      </c>
      <c r="I8" s="248">
        <v>280165</v>
      </c>
      <c r="J8" s="248">
        <v>270815</v>
      </c>
      <c r="K8" s="248">
        <v>264225</v>
      </c>
      <c r="L8" s="248">
        <v>263920</v>
      </c>
      <c r="M8" s="248">
        <v>274656</v>
      </c>
      <c r="N8" s="93"/>
      <c r="P8" s="584" t="s">
        <v>614</v>
      </c>
      <c r="Q8" s="584"/>
      <c r="R8" s="584"/>
      <c r="S8" s="584"/>
      <c r="T8" s="584"/>
    </row>
    <row r="9" spans="1:20" ht="12.75" customHeight="1">
      <c r="A9" s="50"/>
      <c r="B9" s="57" t="s">
        <v>53</v>
      </c>
      <c r="C9" s="250">
        <v>142741</v>
      </c>
      <c r="D9" s="250">
        <v>139145</v>
      </c>
      <c r="E9" s="250">
        <v>139958</v>
      </c>
      <c r="F9" s="250">
        <v>139609</v>
      </c>
      <c r="G9" s="250">
        <v>141509</v>
      </c>
      <c r="H9" s="250">
        <v>140555</v>
      </c>
      <c r="I9" s="250">
        <v>140832</v>
      </c>
      <c r="J9" s="250">
        <v>136497</v>
      </c>
      <c r="K9" s="250">
        <v>134792</v>
      </c>
      <c r="L9" s="250">
        <v>133960</v>
      </c>
      <c r="M9" s="250">
        <v>139117</v>
      </c>
      <c r="P9" s="584"/>
      <c r="Q9" s="584"/>
      <c r="R9" s="584"/>
      <c r="S9" s="584"/>
      <c r="T9" s="584"/>
    </row>
    <row r="10" spans="1:20" ht="12.75" customHeight="1">
      <c r="A10" s="50"/>
      <c r="B10" s="57" t="s">
        <v>54</v>
      </c>
      <c r="C10" s="250">
        <v>141297</v>
      </c>
      <c r="D10" s="250">
        <v>137269</v>
      </c>
      <c r="E10" s="250">
        <v>137993</v>
      </c>
      <c r="F10" s="250">
        <v>141064</v>
      </c>
      <c r="G10" s="250">
        <v>141026</v>
      </c>
      <c r="H10" s="250">
        <v>139837</v>
      </c>
      <c r="I10" s="250">
        <v>139333</v>
      </c>
      <c r="J10" s="250">
        <v>134318</v>
      </c>
      <c r="K10" s="250">
        <v>129433</v>
      </c>
      <c r="L10" s="250">
        <v>129960</v>
      </c>
      <c r="M10" s="250">
        <v>135539</v>
      </c>
    </row>
    <row r="11" spans="1:20" s="36" customFormat="1" ht="16.5" customHeight="1">
      <c r="A11" s="56" t="s">
        <v>33</v>
      </c>
      <c r="B11" s="53" t="s">
        <v>45</v>
      </c>
      <c r="C11" s="248">
        <v>272816</v>
      </c>
      <c r="D11" s="248">
        <v>265049</v>
      </c>
      <c r="E11" s="248">
        <v>267828</v>
      </c>
      <c r="F11" s="248">
        <v>274005</v>
      </c>
      <c r="G11" s="248">
        <v>281647</v>
      </c>
      <c r="H11" s="248">
        <v>286685</v>
      </c>
      <c r="I11" s="248">
        <v>292694</v>
      </c>
      <c r="J11" s="248">
        <v>291783</v>
      </c>
      <c r="K11" s="248">
        <v>280844</v>
      </c>
      <c r="L11" s="248">
        <v>282141</v>
      </c>
      <c r="M11" s="248">
        <v>298057</v>
      </c>
    </row>
    <row r="12" spans="1:20" ht="12.75" customHeight="1">
      <c r="A12" s="50"/>
      <c r="B12" s="57" t="s">
        <v>53</v>
      </c>
      <c r="C12" s="250">
        <v>148741</v>
      </c>
      <c r="D12" s="250">
        <v>144020</v>
      </c>
      <c r="E12" s="250">
        <v>145502</v>
      </c>
      <c r="F12" s="250">
        <v>148038</v>
      </c>
      <c r="G12" s="250">
        <v>152388</v>
      </c>
      <c r="H12" s="250">
        <v>154503</v>
      </c>
      <c r="I12" s="250">
        <v>158055</v>
      </c>
      <c r="J12" s="250">
        <v>157967</v>
      </c>
      <c r="K12" s="250">
        <v>154176</v>
      </c>
      <c r="L12" s="250">
        <v>153959</v>
      </c>
      <c r="M12" s="250">
        <v>161511</v>
      </c>
    </row>
    <row r="13" spans="1:20" ht="12.75" customHeight="1">
      <c r="A13" s="50"/>
      <c r="B13" s="57" t="s">
        <v>54</v>
      </c>
      <c r="C13" s="250">
        <v>124075</v>
      </c>
      <c r="D13" s="250">
        <v>121029</v>
      </c>
      <c r="E13" s="250">
        <v>122326</v>
      </c>
      <c r="F13" s="250">
        <v>125967</v>
      </c>
      <c r="G13" s="250">
        <v>129259</v>
      </c>
      <c r="H13" s="250">
        <v>132182</v>
      </c>
      <c r="I13" s="250">
        <v>134639</v>
      </c>
      <c r="J13" s="250">
        <v>133816</v>
      </c>
      <c r="K13" s="250">
        <v>126668</v>
      </c>
      <c r="L13" s="250">
        <v>128182</v>
      </c>
      <c r="M13" s="250">
        <v>136546</v>
      </c>
    </row>
    <row r="14" spans="1:20" s="36" customFormat="1" ht="16.5" customHeight="1">
      <c r="A14" s="56" t="s">
        <v>34</v>
      </c>
      <c r="B14" s="53" t="s">
        <v>45</v>
      </c>
      <c r="C14" s="248">
        <v>261289</v>
      </c>
      <c r="D14" s="248">
        <v>256328</v>
      </c>
      <c r="E14" s="248">
        <v>263977</v>
      </c>
      <c r="F14" s="248">
        <v>272560</v>
      </c>
      <c r="G14" s="248">
        <v>280137</v>
      </c>
      <c r="H14" s="248">
        <v>292166</v>
      </c>
      <c r="I14" s="248">
        <v>303883</v>
      </c>
      <c r="J14" s="248">
        <v>307913</v>
      </c>
      <c r="K14" s="248">
        <v>291900</v>
      </c>
      <c r="L14" s="248">
        <v>297749</v>
      </c>
      <c r="M14" s="248">
        <v>318345</v>
      </c>
    </row>
    <row r="15" spans="1:20" ht="12.75" customHeight="1">
      <c r="A15" s="50"/>
      <c r="B15" s="57" t="s">
        <v>53</v>
      </c>
      <c r="C15" s="250">
        <v>146425</v>
      </c>
      <c r="D15" s="250">
        <v>143038</v>
      </c>
      <c r="E15" s="250">
        <v>146971</v>
      </c>
      <c r="F15" s="250">
        <v>150525</v>
      </c>
      <c r="G15" s="250">
        <v>155550</v>
      </c>
      <c r="H15" s="250">
        <v>162940</v>
      </c>
      <c r="I15" s="250">
        <v>169420</v>
      </c>
      <c r="J15" s="250">
        <v>172603</v>
      </c>
      <c r="K15" s="250">
        <v>167220</v>
      </c>
      <c r="L15" s="250">
        <v>168412</v>
      </c>
      <c r="M15" s="250">
        <v>180000</v>
      </c>
    </row>
    <row r="16" spans="1:20" ht="12.75" customHeight="1">
      <c r="A16" s="50"/>
      <c r="B16" s="57" t="s">
        <v>54</v>
      </c>
      <c r="C16" s="250">
        <v>114864</v>
      </c>
      <c r="D16" s="250">
        <v>113290</v>
      </c>
      <c r="E16" s="250">
        <v>117006</v>
      </c>
      <c r="F16" s="250">
        <v>122035</v>
      </c>
      <c r="G16" s="250">
        <v>124587</v>
      </c>
      <c r="H16" s="250">
        <v>129226</v>
      </c>
      <c r="I16" s="250">
        <v>134463</v>
      </c>
      <c r="J16" s="250">
        <v>135310</v>
      </c>
      <c r="K16" s="250">
        <v>124680</v>
      </c>
      <c r="L16" s="250">
        <v>129337</v>
      </c>
      <c r="M16" s="250">
        <v>138345</v>
      </c>
    </row>
    <row r="17" spans="1:13" s="36" customFormat="1" ht="16.5" customHeight="1">
      <c r="A17" s="56" t="s">
        <v>35</v>
      </c>
      <c r="B17" s="53" t="s">
        <v>45</v>
      </c>
      <c r="C17" s="248">
        <v>345187</v>
      </c>
      <c r="D17" s="248">
        <v>339637</v>
      </c>
      <c r="E17" s="248">
        <v>347594</v>
      </c>
      <c r="F17" s="248">
        <v>358936</v>
      </c>
      <c r="G17" s="248">
        <v>371740</v>
      </c>
      <c r="H17" s="248">
        <v>385371</v>
      </c>
      <c r="I17" s="248">
        <v>397646</v>
      </c>
      <c r="J17" s="248">
        <v>398825</v>
      </c>
      <c r="K17" s="248">
        <v>384879</v>
      </c>
      <c r="L17" s="248">
        <v>395517</v>
      </c>
      <c r="M17" s="248">
        <v>424491</v>
      </c>
    </row>
    <row r="18" spans="1:13" ht="12.75" customHeight="1">
      <c r="A18" s="50"/>
      <c r="B18" s="57" t="s">
        <v>53</v>
      </c>
      <c r="C18" s="250">
        <v>185177</v>
      </c>
      <c r="D18" s="250">
        <v>180706</v>
      </c>
      <c r="E18" s="250">
        <v>184997</v>
      </c>
      <c r="F18" s="250">
        <v>191966</v>
      </c>
      <c r="G18" s="250">
        <v>199069</v>
      </c>
      <c r="H18" s="250">
        <v>207466</v>
      </c>
      <c r="I18" s="250">
        <v>214940</v>
      </c>
      <c r="J18" s="250">
        <v>218808</v>
      </c>
      <c r="K18" s="250">
        <v>213209</v>
      </c>
      <c r="L18" s="250">
        <v>217986</v>
      </c>
      <c r="M18" s="250">
        <v>233627</v>
      </c>
    </row>
    <row r="19" spans="1:13" ht="12.75" customHeight="1">
      <c r="A19" s="50"/>
      <c r="B19" s="57" t="s">
        <v>54</v>
      </c>
      <c r="C19" s="250">
        <v>160010</v>
      </c>
      <c r="D19" s="250">
        <v>158931</v>
      </c>
      <c r="E19" s="250">
        <v>162597</v>
      </c>
      <c r="F19" s="250">
        <v>166970</v>
      </c>
      <c r="G19" s="250">
        <v>172671</v>
      </c>
      <c r="H19" s="250">
        <v>177905</v>
      </c>
      <c r="I19" s="250">
        <v>182706</v>
      </c>
      <c r="J19" s="250">
        <v>180017</v>
      </c>
      <c r="K19" s="250">
        <v>171670</v>
      </c>
      <c r="L19" s="250">
        <v>177531</v>
      </c>
      <c r="M19" s="250">
        <v>190864</v>
      </c>
    </row>
    <row r="20" spans="1:13" s="36" customFormat="1" ht="16.5" customHeight="1">
      <c r="A20" s="56" t="s">
        <v>36</v>
      </c>
      <c r="B20" s="53" t="s">
        <v>45</v>
      </c>
      <c r="C20" s="248">
        <v>221826</v>
      </c>
      <c r="D20" s="248">
        <v>219247</v>
      </c>
      <c r="E20" s="248">
        <v>223799</v>
      </c>
      <c r="F20" s="248">
        <v>235976</v>
      </c>
      <c r="G20" s="248">
        <v>245631</v>
      </c>
      <c r="H20" s="248">
        <v>252985</v>
      </c>
      <c r="I20" s="248">
        <v>264134</v>
      </c>
      <c r="J20" s="248">
        <v>268084</v>
      </c>
      <c r="K20" s="248">
        <v>259957</v>
      </c>
      <c r="L20" s="248">
        <v>268007</v>
      </c>
      <c r="M20" s="248">
        <v>289998</v>
      </c>
    </row>
    <row r="21" spans="1:13" ht="12.75" customHeight="1">
      <c r="A21" s="50"/>
      <c r="B21" s="57" t="s">
        <v>53</v>
      </c>
      <c r="C21" s="250">
        <v>117214</v>
      </c>
      <c r="D21" s="250">
        <v>115551</v>
      </c>
      <c r="E21" s="250">
        <v>118038</v>
      </c>
      <c r="F21" s="250">
        <v>123671</v>
      </c>
      <c r="G21" s="250">
        <v>128895</v>
      </c>
      <c r="H21" s="250">
        <v>134347</v>
      </c>
      <c r="I21" s="250">
        <v>140638</v>
      </c>
      <c r="J21" s="250">
        <v>143472</v>
      </c>
      <c r="K21" s="250">
        <v>139756</v>
      </c>
      <c r="L21" s="250">
        <v>143161</v>
      </c>
      <c r="M21" s="250">
        <v>156103</v>
      </c>
    </row>
    <row r="22" spans="1:13" ht="12.75" customHeight="1">
      <c r="A22" s="50"/>
      <c r="B22" s="57" t="s">
        <v>54</v>
      </c>
      <c r="C22" s="250">
        <v>104612</v>
      </c>
      <c r="D22" s="250">
        <v>103696</v>
      </c>
      <c r="E22" s="250">
        <v>105761</v>
      </c>
      <c r="F22" s="250">
        <v>112305</v>
      </c>
      <c r="G22" s="250">
        <v>116736</v>
      </c>
      <c r="H22" s="250">
        <v>118638</v>
      </c>
      <c r="I22" s="250">
        <v>123496</v>
      </c>
      <c r="J22" s="250">
        <v>124612</v>
      </c>
      <c r="K22" s="250">
        <v>120201</v>
      </c>
      <c r="L22" s="250">
        <v>124846</v>
      </c>
      <c r="M22" s="250">
        <v>133895</v>
      </c>
    </row>
    <row r="23" spans="1:13" s="36" customFormat="1" ht="16.5" customHeight="1">
      <c r="A23" s="56" t="s">
        <v>37</v>
      </c>
      <c r="B23" s="53" t="s">
        <v>45</v>
      </c>
      <c r="C23" s="248">
        <v>109916</v>
      </c>
      <c r="D23" s="248">
        <v>111767</v>
      </c>
      <c r="E23" s="248">
        <v>117358</v>
      </c>
      <c r="F23" s="248">
        <v>113201</v>
      </c>
      <c r="G23" s="248">
        <v>117898</v>
      </c>
      <c r="H23" s="248">
        <v>121763</v>
      </c>
      <c r="I23" s="248">
        <v>126007</v>
      </c>
      <c r="J23" s="248">
        <v>127826</v>
      </c>
      <c r="K23" s="248">
        <v>122089</v>
      </c>
      <c r="L23" s="248">
        <v>127583</v>
      </c>
      <c r="M23" s="248">
        <v>138051</v>
      </c>
    </row>
    <row r="24" spans="1:13" ht="12.75" customHeight="1">
      <c r="A24" s="50"/>
      <c r="B24" s="57" t="s">
        <v>53</v>
      </c>
      <c r="C24" s="250">
        <v>61978</v>
      </c>
      <c r="D24" s="250">
        <v>62775</v>
      </c>
      <c r="E24" s="250">
        <v>66606</v>
      </c>
      <c r="F24" s="250">
        <v>64291</v>
      </c>
      <c r="G24" s="250">
        <v>65952</v>
      </c>
      <c r="H24" s="250">
        <v>69007</v>
      </c>
      <c r="I24" s="250">
        <v>71683</v>
      </c>
      <c r="J24" s="250">
        <v>72348</v>
      </c>
      <c r="K24" s="250">
        <v>69432</v>
      </c>
      <c r="L24" s="250">
        <v>72010</v>
      </c>
      <c r="M24" s="250">
        <v>78049</v>
      </c>
    </row>
    <row r="25" spans="1:13" ht="12.75" customHeight="1">
      <c r="A25" s="50"/>
      <c r="B25" s="57" t="s">
        <v>54</v>
      </c>
      <c r="C25" s="250">
        <v>47938</v>
      </c>
      <c r="D25" s="250">
        <v>48992</v>
      </c>
      <c r="E25" s="250">
        <v>50752</v>
      </c>
      <c r="F25" s="250">
        <v>48910</v>
      </c>
      <c r="G25" s="250">
        <v>51946</v>
      </c>
      <c r="H25" s="250">
        <v>52756</v>
      </c>
      <c r="I25" s="250">
        <v>54324</v>
      </c>
      <c r="J25" s="250">
        <v>55478</v>
      </c>
      <c r="K25" s="250">
        <v>52657</v>
      </c>
      <c r="L25" s="250">
        <v>55573</v>
      </c>
      <c r="M25" s="250">
        <v>60002</v>
      </c>
    </row>
    <row r="26" spans="1:13" s="36" customFormat="1" ht="16.5" customHeight="1">
      <c r="A26" s="56" t="s">
        <v>38</v>
      </c>
      <c r="B26" s="53" t="s">
        <v>45</v>
      </c>
      <c r="C26" s="248">
        <v>72015</v>
      </c>
      <c r="D26" s="248">
        <v>72940</v>
      </c>
      <c r="E26" s="248">
        <v>70608</v>
      </c>
      <c r="F26" s="248">
        <v>75321</v>
      </c>
      <c r="G26" s="248">
        <v>76076</v>
      </c>
      <c r="H26" s="248">
        <v>78271</v>
      </c>
      <c r="I26" s="248">
        <v>84331</v>
      </c>
      <c r="J26" s="248">
        <v>84330</v>
      </c>
      <c r="K26" s="248">
        <v>78716</v>
      </c>
      <c r="L26" s="248">
        <v>84579</v>
      </c>
      <c r="M26" s="248">
        <v>96187</v>
      </c>
    </row>
    <row r="27" spans="1:13" ht="12.75" customHeight="1">
      <c r="A27" s="50"/>
      <c r="B27" s="57" t="s">
        <v>53</v>
      </c>
      <c r="C27" s="250">
        <v>42534</v>
      </c>
      <c r="D27" s="250">
        <v>43443</v>
      </c>
      <c r="E27" s="250">
        <v>41041</v>
      </c>
      <c r="F27" s="250">
        <v>44345</v>
      </c>
      <c r="G27" s="250">
        <v>44086</v>
      </c>
      <c r="H27" s="250">
        <v>44443</v>
      </c>
      <c r="I27" s="250">
        <v>48322</v>
      </c>
      <c r="J27" s="250">
        <v>48340</v>
      </c>
      <c r="K27" s="250">
        <v>45829</v>
      </c>
      <c r="L27" s="250">
        <v>47554</v>
      </c>
      <c r="M27" s="250">
        <v>54133</v>
      </c>
    </row>
    <row r="28" spans="1:13" ht="12.75" customHeight="1">
      <c r="A28" s="50"/>
      <c r="B28" s="57" t="s">
        <v>54</v>
      </c>
      <c r="C28" s="250">
        <v>29481</v>
      </c>
      <c r="D28" s="250">
        <v>29497</v>
      </c>
      <c r="E28" s="250">
        <v>29567</v>
      </c>
      <c r="F28" s="250">
        <v>30976</v>
      </c>
      <c r="G28" s="250">
        <v>31990</v>
      </c>
      <c r="H28" s="250">
        <v>33828</v>
      </c>
      <c r="I28" s="250">
        <v>36009</v>
      </c>
      <c r="J28" s="250">
        <v>35990</v>
      </c>
      <c r="K28" s="250">
        <v>32887</v>
      </c>
      <c r="L28" s="250">
        <v>37025</v>
      </c>
      <c r="M28" s="250">
        <v>42054</v>
      </c>
    </row>
    <row r="29" spans="1:13" s="36" customFormat="1" ht="16.5" customHeight="1">
      <c r="A29" s="56" t="s">
        <v>39</v>
      </c>
      <c r="B29" s="53" t="s">
        <v>45</v>
      </c>
      <c r="C29" s="248">
        <v>44675</v>
      </c>
      <c r="D29" s="248">
        <v>45724</v>
      </c>
      <c r="E29" s="248">
        <v>50743</v>
      </c>
      <c r="F29" s="248">
        <v>51527</v>
      </c>
      <c r="G29" s="248">
        <v>54099</v>
      </c>
      <c r="H29" s="248">
        <v>59743</v>
      </c>
      <c r="I29" s="248">
        <v>60857</v>
      </c>
      <c r="J29" s="248">
        <v>61680</v>
      </c>
      <c r="K29" s="248">
        <v>62093</v>
      </c>
      <c r="L29" s="248">
        <v>62695</v>
      </c>
      <c r="M29" s="248">
        <v>69266</v>
      </c>
    </row>
    <row r="30" spans="1:13" ht="12.75" customHeight="1">
      <c r="A30" s="50"/>
      <c r="B30" s="57" t="s">
        <v>53</v>
      </c>
      <c r="C30" s="250">
        <v>26212</v>
      </c>
      <c r="D30" s="250">
        <v>26568</v>
      </c>
      <c r="E30" s="250">
        <v>29980</v>
      </c>
      <c r="F30" s="250">
        <v>30324</v>
      </c>
      <c r="G30" s="250">
        <v>32637</v>
      </c>
      <c r="H30" s="250">
        <v>35420</v>
      </c>
      <c r="I30" s="250">
        <v>36478</v>
      </c>
      <c r="J30" s="250">
        <v>36910</v>
      </c>
      <c r="K30" s="250">
        <v>37176</v>
      </c>
      <c r="L30" s="250">
        <v>37289</v>
      </c>
      <c r="M30" s="250">
        <v>41858</v>
      </c>
    </row>
    <row r="31" spans="1:13" ht="12.75" customHeight="1">
      <c r="A31" s="50"/>
      <c r="B31" s="57" t="s">
        <v>54</v>
      </c>
      <c r="C31" s="250">
        <v>18463</v>
      </c>
      <c r="D31" s="250">
        <v>19156</v>
      </c>
      <c r="E31" s="250">
        <v>20763</v>
      </c>
      <c r="F31" s="250">
        <v>21203</v>
      </c>
      <c r="G31" s="250">
        <v>21462</v>
      </c>
      <c r="H31" s="250">
        <v>24323</v>
      </c>
      <c r="I31" s="250">
        <v>24379</v>
      </c>
      <c r="J31" s="250">
        <v>24770</v>
      </c>
      <c r="K31" s="250">
        <v>24917</v>
      </c>
      <c r="L31" s="250">
        <v>25406</v>
      </c>
      <c r="M31" s="250">
        <v>27408</v>
      </c>
    </row>
    <row r="32" spans="1:13" s="36" customFormat="1" ht="16.5" customHeight="1">
      <c r="A32" s="56" t="s">
        <v>40</v>
      </c>
      <c r="B32" s="53" t="s">
        <v>45</v>
      </c>
      <c r="C32" s="248">
        <v>124270</v>
      </c>
      <c r="D32" s="248">
        <v>121769</v>
      </c>
      <c r="E32" s="248">
        <v>118938</v>
      </c>
      <c r="F32" s="248">
        <v>131121</v>
      </c>
      <c r="G32" s="248">
        <v>138480</v>
      </c>
      <c r="H32" s="248">
        <v>147943</v>
      </c>
      <c r="I32" s="248">
        <v>156607</v>
      </c>
      <c r="J32" s="248">
        <v>157043</v>
      </c>
      <c r="K32" s="248">
        <v>154132</v>
      </c>
      <c r="L32" s="248">
        <v>152820</v>
      </c>
      <c r="M32" s="248">
        <v>164457</v>
      </c>
    </row>
    <row r="33" spans="1:13" ht="12.75" customHeight="1">
      <c r="A33" s="50"/>
      <c r="B33" s="57" t="s">
        <v>53</v>
      </c>
      <c r="C33" s="250">
        <v>72168</v>
      </c>
      <c r="D33" s="250">
        <v>71774</v>
      </c>
      <c r="E33" s="250">
        <v>70402</v>
      </c>
      <c r="F33" s="250">
        <v>76888</v>
      </c>
      <c r="G33" s="250">
        <v>80873</v>
      </c>
      <c r="H33" s="250">
        <v>87677</v>
      </c>
      <c r="I33" s="250">
        <v>93730</v>
      </c>
      <c r="J33" s="250">
        <v>93712</v>
      </c>
      <c r="K33" s="250">
        <v>91542</v>
      </c>
      <c r="L33" s="250">
        <v>91316</v>
      </c>
      <c r="M33" s="250">
        <v>97124</v>
      </c>
    </row>
    <row r="34" spans="1:13" ht="12.75" customHeight="1">
      <c r="A34" s="50"/>
      <c r="B34" s="57" t="s">
        <v>54</v>
      </c>
      <c r="C34" s="250">
        <v>52102</v>
      </c>
      <c r="D34" s="250">
        <v>49995</v>
      </c>
      <c r="E34" s="250">
        <v>48536</v>
      </c>
      <c r="F34" s="250">
        <v>54233</v>
      </c>
      <c r="G34" s="250">
        <v>57607</v>
      </c>
      <c r="H34" s="250">
        <v>60266</v>
      </c>
      <c r="I34" s="250">
        <v>62877</v>
      </c>
      <c r="J34" s="250">
        <v>63331</v>
      </c>
      <c r="K34" s="250">
        <v>62590</v>
      </c>
      <c r="L34" s="250">
        <v>61504</v>
      </c>
      <c r="M34" s="250">
        <v>67333</v>
      </c>
    </row>
    <row r="35" spans="1:13" s="36" customFormat="1" ht="16.5" customHeight="1">
      <c r="A35" s="56" t="s">
        <v>41</v>
      </c>
      <c r="B35" s="53" t="s">
        <v>45</v>
      </c>
      <c r="C35" s="248">
        <v>81661</v>
      </c>
      <c r="D35" s="248">
        <v>82639</v>
      </c>
      <c r="E35" s="248">
        <v>85104</v>
      </c>
      <c r="F35" s="248">
        <v>89451</v>
      </c>
      <c r="G35" s="248">
        <v>87056</v>
      </c>
      <c r="H35" s="248">
        <v>93437</v>
      </c>
      <c r="I35" s="248">
        <v>97880</v>
      </c>
      <c r="J35" s="248">
        <v>111381</v>
      </c>
      <c r="K35" s="248">
        <v>112346</v>
      </c>
      <c r="L35" s="248">
        <v>108219</v>
      </c>
      <c r="M35" s="248">
        <v>126530</v>
      </c>
    </row>
    <row r="36" spans="1:13" ht="12.75" customHeight="1">
      <c r="A36" s="50"/>
      <c r="B36" s="57" t="s">
        <v>53</v>
      </c>
      <c r="C36" s="250">
        <v>45106</v>
      </c>
      <c r="D36" s="250">
        <v>45727</v>
      </c>
      <c r="E36" s="250">
        <v>47335</v>
      </c>
      <c r="F36" s="250">
        <v>49104</v>
      </c>
      <c r="G36" s="250">
        <v>48396</v>
      </c>
      <c r="H36" s="250">
        <v>50389</v>
      </c>
      <c r="I36" s="250">
        <v>52898</v>
      </c>
      <c r="J36" s="250">
        <v>59953</v>
      </c>
      <c r="K36" s="250">
        <v>62358</v>
      </c>
      <c r="L36" s="250">
        <v>59319</v>
      </c>
      <c r="M36" s="250">
        <v>70627</v>
      </c>
    </row>
    <row r="37" spans="1:13" ht="12.75" customHeight="1">
      <c r="A37" s="58"/>
      <c r="B37" s="57" t="s">
        <v>54</v>
      </c>
      <c r="C37" s="250">
        <v>36555</v>
      </c>
      <c r="D37" s="250">
        <v>36912</v>
      </c>
      <c r="E37" s="250">
        <v>37769</v>
      </c>
      <c r="F37" s="250">
        <v>40347</v>
      </c>
      <c r="G37" s="250">
        <v>38660</v>
      </c>
      <c r="H37" s="250">
        <v>43048</v>
      </c>
      <c r="I37" s="250">
        <v>44982</v>
      </c>
      <c r="J37" s="250">
        <v>51428</v>
      </c>
      <c r="K37" s="250">
        <v>49988</v>
      </c>
      <c r="L37" s="250">
        <v>48900</v>
      </c>
      <c r="M37" s="250">
        <v>55903</v>
      </c>
    </row>
    <row r="38" spans="1:13" s="36" customFormat="1" ht="16.5" customHeight="1">
      <c r="A38" s="56" t="s">
        <v>72</v>
      </c>
      <c r="B38" s="53" t="s">
        <v>45</v>
      </c>
      <c r="C38" s="248">
        <v>93264</v>
      </c>
      <c r="D38" s="248">
        <v>98997</v>
      </c>
      <c r="E38" s="248">
        <v>104407</v>
      </c>
      <c r="F38" s="248">
        <v>108360</v>
      </c>
      <c r="G38" s="248">
        <v>119612</v>
      </c>
      <c r="H38" s="248">
        <v>133187</v>
      </c>
      <c r="I38" s="248">
        <v>141245</v>
      </c>
      <c r="J38" s="248">
        <v>152720</v>
      </c>
      <c r="K38" s="248">
        <v>152937</v>
      </c>
      <c r="L38" s="248">
        <v>157364</v>
      </c>
      <c r="M38" s="248">
        <v>176077</v>
      </c>
    </row>
    <row r="39" spans="1:13" ht="12.75" customHeight="1">
      <c r="A39" s="58"/>
      <c r="B39" s="57" t="s">
        <v>53</v>
      </c>
      <c r="C39" s="250">
        <v>47791</v>
      </c>
      <c r="D39" s="250">
        <v>48957</v>
      </c>
      <c r="E39" s="250">
        <v>53539</v>
      </c>
      <c r="F39" s="250">
        <v>54086</v>
      </c>
      <c r="G39" s="250">
        <v>58130</v>
      </c>
      <c r="H39" s="250">
        <v>68039</v>
      </c>
      <c r="I39" s="250">
        <v>72389</v>
      </c>
      <c r="J39" s="250">
        <v>76979</v>
      </c>
      <c r="K39" s="250">
        <v>71979</v>
      </c>
      <c r="L39" s="250">
        <v>75929</v>
      </c>
      <c r="M39" s="250">
        <v>86727</v>
      </c>
    </row>
    <row r="40" spans="1:13" ht="12.75" customHeight="1">
      <c r="A40" s="58"/>
      <c r="B40" s="60" t="s">
        <v>54</v>
      </c>
      <c r="C40" s="251">
        <v>45473</v>
      </c>
      <c r="D40" s="251">
        <v>50040</v>
      </c>
      <c r="E40" s="251">
        <v>50868</v>
      </c>
      <c r="F40" s="251">
        <v>54274</v>
      </c>
      <c r="G40" s="251">
        <v>61482</v>
      </c>
      <c r="H40" s="251">
        <v>65148</v>
      </c>
      <c r="I40" s="251">
        <v>68856</v>
      </c>
      <c r="J40" s="251">
        <v>75741</v>
      </c>
      <c r="K40" s="251">
        <v>80958</v>
      </c>
      <c r="L40" s="251">
        <v>81435</v>
      </c>
      <c r="M40" s="251">
        <v>89350</v>
      </c>
    </row>
    <row r="41" spans="1:13" ht="14.25" customHeight="1">
      <c r="A41" s="581"/>
      <c r="B41" s="581"/>
      <c r="C41" s="581"/>
      <c r="D41" s="581"/>
      <c r="E41" s="581"/>
      <c r="F41" s="581"/>
      <c r="G41" s="581"/>
      <c r="H41" s="581"/>
      <c r="I41" s="581"/>
      <c r="J41" s="55"/>
      <c r="K41" s="55"/>
      <c r="L41" s="55"/>
      <c r="M41" s="55"/>
    </row>
    <row r="42" spans="1:13" ht="15" customHeight="1">
      <c r="A42" s="20" t="s">
        <v>139</v>
      </c>
      <c r="B42" s="31"/>
      <c r="C42" s="55"/>
      <c r="D42" s="55"/>
      <c r="E42" s="55"/>
      <c r="F42" s="55"/>
      <c r="G42" s="55"/>
      <c r="H42" s="55"/>
      <c r="I42" s="55"/>
      <c r="J42" s="55"/>
      <c r="K42" s="55"/>
      <c r="L42" s="55"/>
      <c r="M42" s="55"/>
    </row>
    <row r="43" spans="1:13" ht="15" customHeight="1"/>
  </sheetData>
  <mergeCells count="6">
    <mergeCell ref="A1:M1"/>
    <mergeCell ref="A41:I41"/>
    <mergeCell ref="P1:T1"/>
    <mergeCell ref="P2:T4"/>
    <mergeCell ref="P5:T7"/>
    <mergeCell ref="P8:T9"/>
  </mergeCells>
  <conditionalFormatting sqref="A1 N1:O8 U1:XFD9 A2:F4 A5:J40 N10:XFD1048576 A41 A42:F1048576">
    <cfRule type="cellIs" dxfId="128" priority="4" operator="equal">
      <formula>0</formula>
    </cfRule>
  </conditionalFormatting>
  <conditionalFormatting sqref="N5:O7">
    <cfRule type="containsText" dxfId="127" priority="3" operator="containsText" text="FALSO">
      <formula>NOT(ISERROR(SEARCH("FALSO",N5)))</formula>
    </cfRule>
  </conditionalFormatting>
  <conditionalFormatting sqref="P1:P2 P8">
    <cfRule type="cellIs" dxfId="126" priority="2" operator="equal">
      <formula>0</formula>
    </cfRule>
  </conditionalFormatting>
  <conditionalFormatting sqref="P8">
    <cfRule type="containsText" dxfId="125" priority="1" operator="containsText" text="FALSO">
      <formula>NOT(ISERROR(SEARCH("FALSO",P8)))</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B0CAA-94B3-4016-89D0-EC1DB2B27536}">
  <sheetPr>
    <tabColor rgb="FFFFFF00"/>
    <pageSetUpPr fitToPage="1"/>
  </sheetPr>
  <dimension ref="A1:L53"/>
  <sheetViews>
    <sheetView showGridLines="0" showRowColHeaders="0" tabSelected="1" zoomScaleNormal="100" workbookViewId="0">
      <selection sqref="A1:XFD1048576"/>
    </sheetView>
  </sheetViews>
  <sheetFormatPr defaultColWidth="8.7109375" defaultRowHeight="15"/>
  <cols>
    <col min="1" max="12" width="17.85546875" style="541" customWidth="1"/>
    <col min="13" max="16384" width="8.7109375" style="541"/>
  </cols>
  <sheetData>
    <row r="1" spans="1:12">
      <c r="A1" s="556"/>
      <c r="B1" s="556"/>
      <c r="C1" s="556"/>
      <c r="D1" s="556"/>
      <c r="E1" s="556"/>
      <c r="F1" s="556"/>
      <c r="G1" s="556"/>
      <c r="H1" s="556"/>
      <c r="I1" s="556"/>
      <c r="J1" s="556"/>
      <c r="K1" s="556"/>
      <c r="L1" s="556"/>
    </row>
    <row r="2" spans="1:12">
      <c r="A2" s="556"/>
      <c r="B2" s="556"/>
      <c r="C2" s="556"/>
      <c r="D2" s="556"/>
      <c r="E2" s="556"/>
      <c r="F2" s="556"/>
      <c r="G2" s="556"/>
      <c r="H2" s="556"/>
      <c r="I2" s="556"/>
      <c r="J2" s="556"/>
      <c r="K2" s="556"/>
      <c r="L2" s="556"/>
    </row>
    <row r="3" spans="1:12">
      <c r="A3" s="556"/>
      <c r="B3" s="556"/>
      <c r="C3" s="556"/>
      <c r="D3" s="556"/>
      <c r="E3" s="556"/>
      <c r="F3" s="556"/>
      <c r="G3" s="556"/>
      <c r="H3" s="556"/>
      <c r="I3" s="556"/>
      <c r="J3" s="556"/>
      <c r="K3" s="556"/>
      <c r="L3" s="556"/>
    </row>
    <row r="4" spans="1:12">
      <c r="A4" s="556"/>
      <c r="B4" s="556"/>
      <c r="C4" s="556"/>
      <c r="D4" s="556"/>
      <c r="E4" s="556"/>
      <c r="F4" s="556"/>
      <c r="G4" s="556"/>
      <c r="H4" s="556"/>
      <c r="I4" s="556"/>
      <c r="J4" s="556"/>
      <c r="K4" s="556"/>
      <c r="L4" s="556"/>
    </row>
    <row r="5" spans="1:12">
      <c r="A5" s="556"/>
      <c r="B5" s="556"/>
      <c r="C5" s="556"/>
      <c r="D5" s="556"/>
      <c r="E5" s="556"/>
      <c r="F5" s="556"/>
      <c r="G5" s="556"/>
      <c r="H5" s="556"/>
      <c r="I5" s="556"/>
      <c r="J5" s="556"/>
      <c r="K5" s="556"/>
      <c r="L5" s="556"/>
    </row>
    <row r="6" spans="1:12">
      <c r="A6" s="556"/>
      <c r="B6" s="556"/>
      <c r="C6" s="556"/>
      <c r="D6" s="556"/>
      <c r="E6" s="556"/>
      <c r="F6" s="556"/>
      <c r="G6" s="556"/>
      <c r="H6" s="556"/>
      <c r="I6" s="556"/>
      <c r="J6" s="556"/>
      <c r="K6" s="556"/>
      <c r="L6" s="556"/>
    </row>
    <row r="7" spans="1:12">
      <c r="A7" s="556"/>
      <c r="B7" s="556"/>
      <c r="C7" s="556"/>
      <c r="D7" s="556"/>
      <c r="E7" s="556"/>
      <c r="F7" s="556"/>
      <c r="G7" s="556"/>
      <c r="H7" s="556"/>
      <c r="I7" s="556"/>
      <c r="J7" s="556"/>
      <c r="K7" s="556"/>
      <c r="L7" s="556"/>
    </row>
    <row r="8" spans="1:12">
      <c r="A8" s="556"/>
      <c r="B8" s="556"/>
      <c r="C8" s="556"/>
      <c r="D8" s="556"/>
      <c r="E8" s="556"/>
      <c r="F8" s="556"/>
      <c r="G8" s="556"/>
      <c r="H8" s="556"/>
      <c r="I8" s="556"/>
      <c r="J8" s="556"/>
      <c r="K8" s="556"/>
      <c r="L8" s="556"/>
    </row>
    <row r="9" spans="1:12">
      <c r="A9" s="556"/>
      <c r="B9" s="556"/>
      <c r="C9" s="556"/>
      <c r="D9" s="556"/>
      <c r="E9" s="556"/>
      <c r="F9" s="556"/>
      <c r="G9" s="556"/>
      <c r="H9" s="556"/>
      <c r="I9" s="556"/>
      <c r="J9" s="556"/>
      <c r="K9" s="556"/>
      <c r="L9" s="556"/>
    </row>
    <row r="10" spans="1:12">
      <c r="A10" s="556"/>
      <c r="B10" s="556"/>
      <c r="C10" s="556"/>
      <c r="D10" s="556"/>
      <c r="E10" s="556"/>
      <c r="F10" s="556"/>
      <c r="G10" s="556"/>
      <c r="H10" s="556"/>
      <c r="I10" s="556"/>
      <c r="J10" s="556"/>
      <c r="K10" s="556"/>
      <c r="L10" s="556"/>
    </row>
    <row r="11" spans="1:12">
      <c r="A11" s="556"/>
      <c r="B11" s="556"/>
      <c r="C11" s="556"/>
      <c r="D11" s="556"/>
      <c r="E11" s="556"/>
      <c r="F11" s="556"/>
      <c r="G11" s="556"/>
      <c r="H11" s="556"/>
      <c r="I11" s="556"/>
      <c r="J11" s="556"/>
      <c r="K11" s="556"/>
      <c r="L11" s="556"/>
    </row>
    <row r="12" spans="1:12">
      <c r="A12" s="556"/>
      <c r="B12" s="556"/>
      <c r="C12" s="556"/>
      <c r="D12" s="556"/>
      <c r="E12" s="556"/>
      <c r="F12" s="556"/>
      <c r="G12" s="556"/>
      <c r="H12" s="556"/>
      <c r="I12" s="556"/>
      <c r="J12" s="556"/>
      <c r="K12" s="556"/>
      <c r="L12" s="556"/>
    </row>
    <row r="13" spans="1:12">
      <c r="A13" s="556"/>
      <c r="B13" s="556"/>
      <c r="C13" s="556"/>
      <c r="D13" s="556"/>
      <c r="E13" s="556"/>
      <c r="F13" s="556"/>
      <c r="G13" s="556"/>
      <c r="H13" s="556"/>
      <c r="I13" s="556"/>
      <c r="J13" s="556"/>
      <c r="K13" s="556"/>
      <c r="L13" s="556"/>
    </row>
    <row r="14" spans="1:12">
      <c r="A14" s="556"/>
      <c r="B14" s="556"/>
      <c r="C14" s="556"/>
      <c r="D14" s="556"/>
      <c r="E14" s="556"/>
      <c r="F14" s="556"/>
      <c r="G14" s="556"/>
      <c r="H14" s="556"/>
      <c r="I14" s="556"/>
      <c r="J14" s="556"/>
      <c r="K14" s="556"/>
      <c r="L14" s="556"/>
    </row>
    <row r="15" spans="1:12">
      <c r="A15" s="556"/>
      <c r="B15" s="556"/>
      <c r="C15" s="556"/>
      <c r="D15" s="556"/>
      <c r="E15" s="556"/>
      <c r="F15" s="556"/>
      <c r="G15" s="556"/>
      <c r="H15" s="556"/>
      <c r="I15" s="556"/>
      <c r="J15" s="556"/>
      <c r="K15" s="556"/>
      <c r="L15" s="556"/>
    </row>
    <row r="16" spans="1:12">
      <c r="A16" s="556"/>
      <c r="B16" s="556"/>
      <c r="C16" s="556"/>
      <c r="D16" s="556"/>
      <c r="E16" s="556"/>
      <c r="F16" s="556"/>
      <c r="G16" s="556"/>
      <c r="H16" s="556"/>
      <c r="I16" s="556"/>
      <c r="J16" s="556"/>
      <c r="K16" s="556"/>
      <c r="L16" s="556"/>
    </row>
    <row r="17" spans="1:12">
      <c r="A17" s="556"/>
      <c r="B17" s="556"/>
      <c r="C17" s="556"/>
      <c r="D17" s="556"/>
      <c r="E17" s="556"/>
      <c r="F17" s="556"/>
      <c r="G17" s="556"/>
      <c r="H17" s="556"/>
      <c r="I17" s="556"/>
      <c r="J17" s="556"/>
      <c r="K17" s="556"/>
      <c r="L17" s="556"/>
    </row>
    <row r="18" spans="1:12">
      <c r="A18" s="556"/>
      <c r="B18" s="556"/>
      <c r="C18" s="556"/>
      <c r="D18" s="556"/>
      <c r="E18" s="556"/>
      <c r="F18" s="556"/>
      <c r="G18" s="556"/>
      <c r="H18" s="556"/>
      <c r="I18" s="556"/>
      <c r="J18" s="556"/>
      <c r="K18" s="556"/>
      <c r="L18" s="556"/>
    </row>
    <row r="19" spans="1:12">
      <c r="A19" s="556"/>
      <c r="B19" s="556"/>
      <c r="C19" s="556"/>
      <c r="D19" s="556"/>
      <c r="E19" s="556"/>
      <c r="F19" s="556"/>
      <c r="G19" s="556"/>
      <c r="H19" s="556"/>
      <c r="I19" s="556"/>
      <c r="J19" s="556"/>
      <c r="K19" s="556"/>
      <c r="L19" s="556"/>
    </row>
    <row r="20" spans="1:12">
      <c r="A20" s="556"/>
      <c r="B20" s="556"/>
      <c r="C20" s="556"/>
      <c r="D20" s="556"/>
      <c r="E20" s="556"/>
      <c r="F20" s="556"/>
      <c r="G20" s="556"/>
      <c r="H20" s="556"/>
      <c r="I20" s="556"/>
      <c r="J20" s="556"/>
      <c r="K20" s="556"/>
      <c r="L20" s="556"/>
    </row>
    <row r="21" spans="1:12">
      <c r="A21" s="556"/>
      <c r="B21" s="556"/>
      <c r="C21" s="556"/>
      <c r="D21" s="556"/>
      <c r="E21" s="556"/>
      <c r="F21" s="556"/>
      <c r="G21" s="556"/>
      <c r="H21" s="556"/>
      <c r="I21" s="556"/>
      <c r="J21" s="556"/>
      <c r="K21" s="556"/>
      <c r="L21" s="556"/>
    </row>
    <row r="22" spans="1:12">
      <c r="A22" s="556"/>
      <c r="B22" s="556"/>
      <c r="C22" s="556"/>
      <c r="D22" s="556"/>
      <c r="E22" s="556"/>
      <c r="F22" s="556"/>
      <c r="G22" s="556"/>
      <c r="H22" s="556"/>
      <c r="I22" s="556"/>
      <c r="J22" s="556"/>
      <c r="K22" s="556"/>
      <c r="L22" s="556"/>
    </row>
    <row r="23" spans="1:12">
      <c r="A23" s="556"/>
      <c r="B23" s="556"/>
      <c r="C23" s="556"/>
      <c r="D23" s="556"/>
      <c r="E23" s="556"/>
      <c r="F23" s="556"/>
      <c r="G23" s="556"/>
      <c r="H23" s="556"/>
      <c r="I23" s="556"/>
      <c r="J23" s="556"/>
      <c r="K23" s="556"/>
      <c r="L23" s="556"/>
    </row>
    <row r="24" spans="1:12">
      <c r="A24" s="556"/>
      <c r="B24" s="556"/>
      <c r="C24" s="556"/>
      <c r="D24" s="556"/>
      <c r="E24" s="556"/>
      <c r="F24" s="556"/>
      <c r="G24" s="556"/>
      <c r="H24" s="556"/>
      <c r="I24" s="556"/>
      <c r="J24" s="556"/>
      <c r="K24" s="556"/>
      <c r="L24" s="556"/>
    </row>
    <row r="25" spans="1:12">
      <c r="A25" s="556"/>
      <c r="B25" s="556"/>
      <c r="C25" s="556"/>
      <c r="D25" s="556"/>
      <c r="E25" s="556"/>
      <c r="F25" s="556"/>
      <c r="G25" s="556"/>
      <c r="H25" s="556"/>
      <c r="I25" s="556"/>
      <c r="J25" s="556"/>
      <c r="K25" s="556"/>
      <c r="L25" s="556"/>
    </row>
    <row r="26" spans="1:12">
      <c r="A26" s="556"/>
      <c r="B26" s="556"/>
      <c r="C26" s="556"/>
      <c r="D26" s="556"/>
      <c r="E26" s="556"/>
      <c r="F26" s="556"/>
      <c r="G26" s="556"/>
      <c r="H26" s="556"/>
      <c r="I26" s="556"/>
      <c r="J26" s="556"/>
      <c r="K26" s="556"/>
      <c r="L26" s="556"/>
    </row>
    <row r="27" spans="1:12">
      <c r="A27" s="556"/>
      <c r="B27" s="556"/>
      <c r="C27" s="556"/>
      <c r="D27" s="556"/>
      <c r="E27" s="556"/>
      <c r="F27" s="556"/>
      <c r="G27" s="556"/>
      <c r="H27" s="556"/>
      <c r="I27" s="556"/>
      <c r="J27" s="556"/>
      <c r="K27" s="556"/>
      <c r="L27" s="556"/>
    </row>
    <row r="28" spans="1:12">
      <c r="A28" s="556"/>
      <c r="B28" s="556"/>
      <c r="C28" s="556"/>
      <c r="D28" s="556"/>
      <c r="E28" s="556"/>
      <c r="F28" s="556"/>
      <c r="G28" s="556"/>
      <c r="H28" s="556"/>
      <c r="I28" s="556"/>
      <c r="J28" s="556"/>
      <c r="K28" s="556"/>
      <c r="L28" s="556"/>
    </row>
    <row r="29" spans="1:12">
      <c r="A29" s="556"/>
      <c r="B29" s="556"/>
      <c r="C29" s="556"/>
      <c r="D29" s="556"/>
      <c r="E29" s="556"/>
      <c r="F29" s="556"/>
      <c r="G29" s="556"/>
      <c r="H29" s="556"/>
      <c r="I29" s="556"/>
      <c r="J29" s="556"/>
      <c r="K29" s="556"/>
      <c r="L29" s="556"/>
    </row>
    <row r="30" spans="1:12">
      <c r="A30" s="556"/>
      <c r="B30" s="556"/>
      <c r="C30" s="556"/>
      <c r="D30" s="556"/>
      <c r="E30" s="556"/>
      <c r="F30" s="556"/>
      <c r="G30" s="556"/>
      <c r="H30" s="556"/>
      <c r="I30" s="556"/>
      <c r="J30" s="556"/>
      <c r="K30" s="556"/>
      <c r="L30" s="556"/>
    </row>
    <row r="31" spans="1:12">
      <c r="A31" s="556"/>
      <c r="B31" s="556"/>
      <c r="C31" s="556"/>
      <c r="D31" s="556"/>
      <c r="E31" s="556"/>
      <c r="F31" s="556"/>
      <c r="G31" s="556"/>
      <c r="H31" s="556"/>
      <c r="I31" s="556"/>
      <c r="J31" s="556"/>
      <c r="K31" s="556"/>
      <c r="L31" s="556"/>
    </row>
    <row r="32" spans="1:12">
      <c r="A32" s="556"/>
      <c r="B32" s="556"/>
      <c r="C32" s="556"/>
      <c r="D32" s="556"/>
      <c r="E32" s="556"/>
      <c r="F32" s="556"/>
      <c r="G32" s="556"/>
      <c r="H32" s="556"/>
      <c r="I32" s="556"/>
      <c r="J32" s="556"/>
      <c r="K32" s="556"/>
      <c r="L32" s="556"/>
    </row>
    <row r="33" spans="1:12">
      <c r="A33" s="556"/>
      <c r="B33" s="556"/>
      <c r="C33" s="556"/>
      <c r="D33" s="556"/>
      <c r="E33" s="556"/>
      <c r="F33" s="556"/>
      <c r="G33" s="556"/>
      <c r="H33" s="556"/>
      <c r="I33" s="556"/>
      <c r="J33" s="556"/>
      <c r="K33" s="556"/>
      <c r="L33" s="556"/>
    </row>
    <row r="34" spans="1:12">
      <c r="A34" s="556"/>
      <c r="B34" s="556"/>
      <c r="C34" s="556"/>
      <c r="D34" s="556"/>
      <c r="E34" s="556"/>
      <c r="F34" s="556"/>
      <c r="G34" s="556"/>
      <c r="H34" s="556"/>
      <c r="I34" s="556"/>
      <c r="J34" s="556"/>
      <c r="K34" s="556"/>
      <c r="L34" s="556"/>
    </row>
    <row r="35" spans="1:12">
      <c r="A35" s="556"/>
      <c r="B35" s="556"/>
      <c r="C35" s="556"/>
      <c r="D35" s="556"/>
      <c r="E35" s="556"/>
      <c r="F35" s="556"/>
      <c r="G35" s="556"/>
      <c r="H35" s="556"/>
      <c r="I35" s="556"/>
      <c r="J35" s="556"/>
      <c r="K35" s="556"/>
      <c r="L35" s="556"/>
    </row>
    <row r="36" spans="1:12">
      <c r="A36" s="556"/>
      <c r="B36" s="556"/>
      <c r="C36" s="556"/>
      <c r="D36" s="556"/>
      <c r="E36" s="556"/>
      <c r="F36" s="556"/>
      <c r="G36" s="556"/>
      <c r="H36" s="556"/>
      <c r="I36" s="556"/>
      <c r="J36" s="556"/>
      <c r="K36" s="556"/>
      <c r="L36" s="556"/>
    </row>
    <row r="37" spans="1:12">
      <c r="A37" s="556"/>
      <c r="B37" s="556"/>
      <c r="C37" s="556"/>
      <c r="D37" s="556"/>
      <c r="E37" s="556"/>
      <c r="F37" s="556"/>
      <c r="G37" s="556"/>
      <c r="H37" s="556"/>
      <c r="I37" s="556"/>
      <c r="J37" s="556"/>
      <c r="K37" s="556"/>
      <c r="L37" s="556"/>
    </row>
    <row r="38" spans="1:12">
      <c r="A38" s="556"/>
      <c r="B38" s="556"/>
      <c r="C38" s="556"/>
      <c r="D38" s="556"/>
      <c r="E38" s="556"/>
      <c r="F38" s="556"/>
      <c r="G38" s="556"/>
      <c r="H38" s="556"/>
      <c r="I38" s="556"/>
      <c r="J38" s="556"/>
      <c r="K38" s="556"/>
      <c r="L38" s="556"/>
    </row>
    <row r="39" spans="1:12">
      <c r="A39" s="556"/>
      <c r="B39" s="556"/>
      <c r="C39" s="556"/>
      <c r="D39" s="556"/>
      <c r="E39" s="556"/>
      <c r="F39" s="556"/>
      <c r="G39" s="556"/>
      <c r="H39" s="556"/>
      <c r="I39" s="556"/>
      <c r="J39" s="556"/>
      <c r="K39" s="556"/>
      <c r="L39" s="556"/>
    </row>
    <row r="40" spans="1:12">
      <c r="A40" s="556"/>
      <c r="B40" s="556"/>
      <c r="C40" s="556"/>
      <c r="D40" s="556"/>
      <c r="E40" s="556"/>
      <c r="F40" s="556"/>
      <c r="G40" s="556"/>
      <c r="H40" s="556"/>
      <c r="I40" s="556"/>
      <c r="J40" s="556"/>
      <c r="K40" s="556"/>
      <c r="L40" s="556"/>
    </row>
    <row r="41" spans="1:12">
      <c r="A41" s="556"/>
      <c r="B41" s="556"/>
      <c r="C41" s="556"/>
      <c r="D41" s="556"/>
      <c r="E41" s="556"/>
      <c r="F41" s="556"/>
      <c r="G41" s="556"/>
      <c r="H41" s="556"/>
      <c r="I41" s="556"/>
      <c r="J41" s="556"/>
      <c r="K41" s="556"/>
      <c r="L41" s="556"/>
    </row>
    <row r="42" spans="1:12">
      <c r="A42" s="556"/>
      <c r="B42" s="556"/>
      <c r="C42" s="556"/>
      <c r="D42" s="556"/>
      <c r="E42" s="556"/>
      <c r="F42" s="556"/>
      <c r="G42" s="556"/>
      <c r="H42" s="556"/>
      <c r="I42" s="556"/>
      <c r="J42" s="556"/>
      <c r="K42" s="556"/>
      <c r="L42" s="556"/>
    </row>
    <row r="43" spans="1:12">
      <c r="A43" s="556"/>
      <c r="B43" s="556"/>
      <c r="C43" s="556"/>
      <c r="D43" s="556"/>
      <c r="E43" s="556"/>
      <c r="F43" s="556"/>
      <c r="G43" s="556"/>
      <c r="H43" s="556"/>
      <c r="I43" s="556"/>
      <c r="J43" s="556"/>
      <c r="K43" s="556"/>
      <c r="L43" s="556"/>
    </row>
    <row r="44" spans="1:12">
      <c r="A44" s="556"/>
      <c r="B44" s="556"/>
      <c r="C44" s="556"/>
      <c r="D44" s="556"/>
      <c r="E44" s="556"/>
      <c r="F44" s="556"/>
      <c r="G44" s="556"/>
      <c r="H44" s="556"/>
      <c r="I44" s="556"/>
      <c r="J44" s="556"/>
      <c r="K44" s="556"/>
      <c r="L44" s="556"/>
    </row>
    <row r="45" spans="1:12">
      <c r="A45" s="556"/>
      <c r="B45" s="556"/>
      <c r="C45" s="556"/>
      <c r="D45" s="556"/>
      <c r="E45" s="556"/>
      <c r="F45" s="556"/>
      <c r="G45" s="556"/>
      <c r="H45" s="556"/>
      <c r="I45" s="556"/>
      <c r="J45" s="556"/>
      <c r="K45" s="556"/>
      <c r="L45" s="556"/>
    </row>
    <row r="46" spans="1:12">
      <c r="A46" s="556"/>
      <c r="B46" s="556"/>
      <c r="C46" s="556"/>
      <c r="D46" s="556"/>
      <c r="E46" s="556"/>
      <c r="F46" s="556"/>
      <c r="G46" s="556"/>
      <c r="H46" s="556"/>
      <c r="I46" s="556"/>
      <c r="J46" s="556"/>
      <c r="K46" s="556"/>
      <c r="L46" s="556"/>
    </row>
    <row r="47" spans="1:12">
      <c r="A47" s="556"/>
      <c r="B47" s="556"/>
      <c r="C47" s="556"/>
      <c r="D47" s="556"/>
      <c r="E47" s="556"/>
      <c r="F47" s="556"/>
      <c r="G47" s="556"/>
      <c r="H47" s="556"/>
      <c r="I47" s="556"/>
      <c r="J47" s="556"/>
      <c r="K47" s="556"/>
      <c r="L47" s="556"/>
    </row>
    <row r="48" spans="1:12">
      <c r="A48" s="556"/>
      <c r="B48" s="556"/>
      <c r="C48" s="556"/>
      <c r="D48" s="556"/>
      <c r="E48" s="556"/>
      <c r="F48" s="556"/>
      <c r="G48" s="556"/>
      <c r="H48" s="556"/>
      <c r="I48" s="556"/>
      <c r="J48" s="556"/>
      <c r="K48" s="556"/>
      <c r="L48" s="556"/>
    </row>
    <row r="49" spans="1:12">
      <c r="A49" s="556"/>
      <c r="B49" s="556"/>
      <c r="C49" s="556"/>
      <c r="D49" s="556"/>
      <c r="E49" s="556"/>
      <c r="F49" s="556"/>
      <c r="G49" s="556"/>
      <c r="H49" s="556"/>
      <c r="I49" s="556"/>
      <c r="J49" s="556"/>
      <c r="K49" s="556"/>
      <c r="L49" s="556"/>
    </row>
    <row r="50" spans="1:12">
      <c r="A50" s="556"/>
      <c r="B50" s="556"/>
      <c r="C50" s="556"/>
      <c r="D50" s="556"/>
      <c r="E50" s="556"/>
      <c r="F50" s="556"/>
      <c r="G50" s="556"/>
      <c r="H50" s="556"/>
      <c r="I50" s="556"/>
      <c r="J50" s="556"/>
      <c r="K50" s="556"/>
      <c r="L50" s="556"/>
    </row>
    <row r="51" spans="1:12">
      <c r="A51" s="556"/>
      <c r="B51" s="556"/>
      <c r="C51" s="556"/>
      <c r="D51" s="556"/>
      <c r="E51" s="556"/>
      <c r="F51" s="556"/>
      <c r="G51" s="556"/>
      <c r="H51" s="556"/>
      <c r="I51" s="556"/>
      <c r="J51" s="556"/>
      <c r="K51" s="556"/>
      <c r="L51" s="556"/>
    </row>
    <row r="52" spans="1:12">
      <c r="A52" s="556"/>
      <c r="B52" s="556"/>
      <c r="C52" s="556"/>
      <c r="D52" s="556"/>
      <c r="E52" s="556"/>
      <c r="F52" s="556"/>
      <c r="G52" s="556"/>
      <c r="H52" s="556"/>
      <c r="I52" s="556"/>
      <c r="J52" s="556"/>
      <c r="K52" s="556"/>
      <c r="L52" s="556"/>
    </row>
    <row r="53" spans="1:12" ht="75.75" customHeight="1">
      <c r="A53" s="556"/>
      <c r="B53" s="556"/>
      <c r="C53" s="556"/>
      <c r="D53" s="556"/>
      <c r="E53" s="556"/>
      <c r="F53" s="556"/>
      <c r="G53" s="556"/>
      <c r="H53" s="556"/>
      <c r="I53" s="556"/>
      <c r="J53" s="556"/>
      <c r="K53" s="556"/>
      <c r="L53" s="556"/>
    </row>
  </sheetData>
  <sheetProtection algorithmName="SHA-512" hashValue="E8iznrXYYrZLjCm5NhTxHjg0okHPZhcc1E+1PmWrE9mSCFQwUp1jQT2UXkN1n5VyvgfNnp4QUIaD23qkzOT/eg==" saltValue="wRD2z9PvKZneMwqfvIez9g==" spinCount="100000" sheet="1" objects="1" scenarios="1" selectLockedCells="1" selectUnlockedCells="1"/>
  <printOptions horizontalCentered="1" verticalCentered="1"/>
  <pageMargins left="0" right="0" top="0" bottom="0" header="0" footer="0"/>
  <pageSetup paperSize="9" scale="70" fitToWidth="2" orientation="landscape"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A3396-7776-4D2D-AD5B-3C42D4A77E23}">
  <sheetPr>
    <tabColor rgb="FFFFFF00"/>
    <pageSetUpPr fitToPage="1"/>
  </sheetPr>
  <dimension ref="A1:GB43"/>
  <sheetViews>
    <sheetView showGridLines="0" workbookViewId="0">
      <selection activeCell="J56" sqref="J56"/>
    </sheetView>
  </sheetViews>
  <sheetFormatPr defaultColWidth="9.140625" defaultRowHeight="17.25" customHeight="1"/>
  <cols>
    <col min="1" max="1" width="14.7109375" style="62" customWidth="1"/>
    <col min="2" max="2" width="2.42578125" style="62" customWidth="1"/>
    <col min="3" max="13" width="6.42578125" style="62" customWidth="1"/>
    <col min="14" max="17" width="9.140625" style="62"/>
    <col min="18" max="18" width="11.85546875" style="62" bestFit="1" customWidth="1"/>
    <col min="19" max="19" width="10.85546875" style="62" bestFit="1" customWidth="1"/>
    <col min="20" max="28" width="10.140625" style="62" bestFit="1" customWidth="1"/>
    <col min="29" max="184" width="9.140625" style="62"/>
    <col min="185" max="16384" width="9.140625" style="8"/>
  </cols>
  <sheetData>
    <row r="1" spans="1:40" s="78" customFormat="1" ht="28.5" customHeight="1">
      <c r="A1" s="585" t="str">
        <f>+'q18'!A1:M1</f>
        <v>Quadro 18- Remuneração média mensal base(1) por dimensão do estabelecimento e sexo</v>
      </c>
      <c r="B1" s="585"/>
      <c r="C1" s="585"/>
      <c r="D1" s="585"/>
      <c r="E1" s="585"/>
      <c r="F1" s="585"/>
      <c r="G1" s="585"/>
      <c r="H1" s="585"/>
      <c r="I1" s="585"/>
      <c r="J1" s="585"/>
      <c r="K1" s="585"/>
      <c r="L1" s="585"/>
      <c r="M1" s="585"/>
      <c r="P1" s="360" t="s">
        <v>335</v>
      </c>
    </row>
    <row r="2" spans="1:40" s="61" customFormat="1" ht="15" customHeight="1">
      <c r="A2" s="194"/>
      <c r="B2" s="194"/>
      <c r="C2" s="195"/>
      <c r="D2" s="195"/>
      <c r="E2" s="195"/>
      <c r="F2" s="195"/>
      <c r="G2" s="195"/>
      <c r="H2" s="195"/>
      <c r="I2" s="195"/>
      <c r="J2" s="195"/>
      <c r="K2" s="195"/>
      <c r="L2" s="195"/>
      <c r="M2" s="195"/>
      <c r="P2" s="62" t="s">
        <v>336</v>
      </c>
    </row>
    <row r="3" spans="1:40" s="170" customFormat="1" ht="15" customHeight="1">
      <c r="A3" s="164" t="s">
        <v>14</v>
      </c>
      <c r="B3" s="176"/>
      <c r="C3" s="99"/>
      <c r="D3" s="99"/>
      <c r="E3" s="225"/>
      <c r="F3" s="225"/>
      <c r="G3" s="225"/>
      <c r="H3" s="225"/>
      <c r="I3" s="225"/>
      <c r="J3" s="225"/>
      <c r="K3" s="225"/>
      <c r="L3" s="225"/>
      <c r="M3" s="225" t="s">
        <v>68</v>
      </c>
      <c r="P3" s="165" t="s">
        <v>337</v>
      </c>
      <c r="AD3" s="513" t="s">
        <v>617</v>
      </c>
    </row>
    <row r="4" spans="1:40" s="179" customFormat="1" ht="28.5" customHeight="1" thickBot="1">
      <c r="A4" s="178"/>
      <c r="B4" s="178"/>
      <c r="C4" s="167">
        <f>+'q18'!C4</f>
        <v>2012</v>
      </c>
      <c r="D4" s="167">
        <f>+'q18'!D4</f>
        <v>2013</v>
      </c>
      <c r="E4" s="167">
        <f>+'q18'!E4</f>
        <v>2014</v>
      </c>
      <c r="F4" s="167">
        <f>+'q18'!F4</f>
        <v>2015</v>
      </c>
      <c r="G4" s="167">
        <f>+'q18'!G4</f>
        <v>2016</v>
      </c>
      <c r="H4" s="167">
        <f>+'q18'!H4</f>
        <v>2017</v>
      </c>
      <c r="I4" s="167">
        <f>+'q18'!I4</f>
        <v>2018</v>
      </c>
      <c r="J4" s="167">
        <f>+'q18'!J4</f>
        <v>2019</v>
      </c>
      <c r="K4" s="167">
        <f>+'q18'!K4</f>
        <v>2020</v>
      </c>
      <c r="L4" s="167">
        <f>+'q18'!L4</f>
        <v>2021</v>
      </c>
      <c r="M4" s="167">
        <f>+'q18'!M4</f>
        <v>2022</v>
      </c>
      <c r="P4" s="178"/>
      <c r="Q4" s="178"/>
      <c r="R4" s="167">
        <f>+C4</f>
        <v>2012</v>
      </c>
      <c r="S4" s="167">
        <f t="shared" ref="S4:AB4" si="0">+D4</f>
        <v>2013</v>
      </c>
      <c r="T4" s="167">
        <f t="shared" si="0"/>
        <v>2014</v>
      </c>
      <c r="U4" s="167">
        <f t="shared" si="0"/>
        <v>2015</v>
      </c>
      <c r="V4" s="167">
        <f t="shared" si="0"/>
        <v>2016</v>
      </c>
      <c r="W4" s="167">
        <f t="shared" si="0"/>
        <v>2017</v>
      </c>
      <c r="X4" s="167">
        <f t="shared" si="0"/>
        <v>2018</v>
      </c>
      <c r="Y4" s="167">
        <f t="shared" si="0"/>
        <v>2019</v>
      </c>
      <c r="Z4" s="167">
        <f t="shared" si="0"/>
        <v>2020</v>
      </c>
      <c r="AA4" s="167">
        <f t="shared" si="0"/>
        <v>2021</v>
      </c>
      <c r="AB4" s="167">
        <f t="shared" si="0"/>
        <v>2022</v>
      </c>
      <c r="AD4" s="179">
        <f>+C4</f>
        <v>2012</v>
      </c>
      <c r="AE4" s="179">
        <f t="shared" ref="AE4:AL4" si="1">+D4</f>
        <v>2013</v>
      </c>
      <c r="AF4" s="179">
        <f t="shared" si="1"/>
        <v>2014</v>
      </c>
      <c r="AG4" s="179">
        <f t="shared" si="1"/>
        <v>2015</v>
      </c>
      <c r="AH4" s="179">
        <f t="shared" si="1"/>
        <v>2016</v>
      </c>
      <c r="AI4" s="179">
        <f t="shared" si="1"/>
        <v>2017</v>
      </c>
      <c r="AJ4" s="179">
        <f t="shared" si="1"/>
        <v>2018</v>
      </c>
      <c r="AK4" s="179">
        <f t="shared" si="1"/>
        <v>2019</v>
      </c>
      <c r="AL4" s="179">
        <f t="shared" si="1"/>
        <v>2020</v>
      </c>
      <c r="AM4" s="179">
        <f>+L4</f>
        <v>2021</v>
      </c>
      <c r="AN4" s="179">
        <f>+M4</f>
        <v>2022</v>
      </c>
    </row>
    <row r="5" spans="1:40" s="170" customFormat="1" ht="16.5" customHeight="1" thickTop="1">
      <c r="A5" s="174" t="str">
        <f>+'q18'!A5</f>
        <v>Total</v>
      </c>
      <c r="B5" s="174" t="str">
        <f>+'q18'!B5</f>
        <v>T</v>
      </c>
      <c r="C5" s="267">
        <f>+'q18'!C5</f>
        <v>915.01247006081212</v>
      </c>
      <c r="D5" s="267">
        <f>+'q18'!D5</f>
        <v>912.18298170177309</v>
      </c>
      <c r="E5" s="267">
        <f>+'q18'!E5</f>
        <v>909.49144915721399</v>
      </c>
      <c r="F5" s="267">
        <f>+'q18'!F5</f>
        <v>913.92544791377406</v>
      </c>
      <c r="G5" s="267">
        <f>+'q18'!G5</f>
        <v>924.9392153090821</v>
      </c>
      <c r="H5" s="267">
        <f>+'q18'!H5</f>
        <v>943.00107511786211</v>
      </c>
      <c r="I5" s="267">
        <f>+'q18'!I5</f>
        <v>970.41689676342503</v>
      </c>
      <c r="J5" s="267">
        <f>+'q18'!J5</f>
        <v>1005.08927925103</v>
      </c>
      <c r="K5" s="267">
        <f>+'q18'!K5</f>
        <v>1041.9948771786001</v>
      </c>
      <c r="L5" s="267">
        <f>+'q18'!L5</f>
        <v>1082.7724697513502</v>
      </c>
      <c r="M5" s="267">
        <f>+'q18'!M5</f>
        <v>1143.44558285689</v>
      </c>
      <c r="N5" s="180"/>
      <c r="P5" s="174" t="s">
        <v>12</v>
      </c>
      <c r="Q5" s="176" t="s">
        <v>45</v>
      </c>
      <c r="R5" s="361">
        <f>+(R8+R11+R14+R17+R20+R23+R26+R29+R32+R35+R38)/q11a!C5</f>
        <v>915.01247006081189</v>
      </c>
      <c r="S5" s="361">
        <f>+(S8+S11+S14+S17+S20+S23+S26+S29+S32+S35+S38)/q11a!D5</f>
        <v>912.18298170177275</v>
      </c>
      <c r="T5" s="361">
        <f>+(T8+T11+T14+T17+T20+T23+T26+T29+T32+T35+T38)/q11a!E5</f>
        <v>909.49144915721422</v>
      </c>
      <c r="U5" s="361">
        <f>+(U8+U11+U14+U17+U20+U23+U26+U29+U32+U35+U38)/q11a!F5</f>
        <v>913.92544791377304</v>
      </c>
      <c r="V5" s="361">
        <f>+(V8+V11+V14+V17+V20+V23+V26+V29+V32+V35+V38)/q11a!G5</f>
        <v>924.93921530908165</v>
      </c>
      <c r="W5" s="361">
        <f>+(W8+W11+W14+W17+W20+W23+W26+W29+W32+W35+W38)/q11a!H5</f>
        <v>943.00107511786223</v>
      </c>
      <c r="X5" s="361">
        <f>+(X8+X11+X14+X17+X20+X23+X26+X29+X32+X35+X38)/q11a!I5</f>
        <v>970.41689676342571</v>
      </c>
      <c r="Y5" s="361">
        <f>+(Y8+Y11+Y14+Y17+Y20+Y23+Y26+Y29+Y32+Y35+Y38)/q11a!J5</f>
        <v>1005.0892792510305</v>
      </c>
      <c r="Z5" s="361">
        <f>+(Z8+Z11+Z14+Z17+Z20+Z23+Z26+Z29+Z32+Z35+Z38)/q11a!K5</f>
        <v>1041.9948771786007</v>
      </c>
      <c r="AA5" s="361">
        <f>+(AA8+AA11+AA14+AA17+AA20+AA23+AA26+AA29+AA32+AA35+AA38)/q11a!L5</f>
        <v>1082.7724697513486</v>
      </c>
      <c r="AB5" s="361">
        <f>+(AB8+AB11+AB14+AB17+AB20+AB23+AB26+AB29+AB32+AB35+AB38)/q11a!M5</f>
        <v>1143.4455828568916</v>
      </c>
      <c r="AD5" s="512">
        <f>+R5-C5</f>
        <v>0</v>
      </c>
      <c r="AE5" s="512">
        <f t="shared" ref="AE5:AN5" si="2">+S5-D5</f>
        <v>0</v>
      </c>
      <c r="AF5" s="512">
        <f t="shared" si="2"/>
        <v>0</v>
      </c>
      <c r="AG5" s="512">
        <f t="shared" si="2"/>
        <v>-1.0231815394945443E-12</v>
      </c>
      <c r="AH5" s="512">
        <f t="shared" si="2"/>
        <v>0</v>
      </c>
      <c r="AI5" s="512">
        <f t="shared" si="2"/>
        <v>0</v>
      </c>
      <c r="AJ5" s="512">
        <f t="shared" si="2"/>
        <v>0</v>
      </c>
      <c r="AK5" s="512">
        <f t="shared" si="2"/>
        <v>0</v>
      </c>
      <c r="AL5" s="512">
        <f t="shared" si="2"/>
        <v>0</v>
      </c>
      <c r="AM5" s="512">
        <f t="shared" si="2"/>
        <v>0</v>
      </c>
      <c r="AN5" s="512">
        <f t="shared" si="2"/>
        <v>0</v>
      </c>
    </row>
    <row r="6" spans="1:40" s="170" customFormat="1" ht="12.75" customHeight="1">
      <c r="A6" s="164"/>
      <c r="B6" s="176" t="str">
        <f>+'q18'!B6</f>
        <v>H</v>
      </c>
      <c r="C6" s="268">
        <f>+'q18'!C6</f>
        <v>999.85354294571812</v>
      </c>
      <c r="D6" s="268">
        <f>+'q18'!D6</f>
        <v>993.79266174939096</v>
      </c>
      <c r="E6" s="268">
        <f>+'q18'!E6</f>
        <v>985.0215081163841</v>
      </c>
      <c r="F6" s="268">
        <f>+'q18'!F6</f>
        <v>990.04668016967901</v>
      </c>
      <c r="G6" s="268">
        <f>+'q18'!G6</f>
        <v>997.37861815735698</v>
      </c>
      <c r="H6" s="268">
        <f>+'q18'!H6</f>
        <v>1012.2476626665</v>
      </c>
      <c r="I6" s="268">
        <f>+'q18'!I6</f>
        <v>1039.08171517903</v>
      </c>
      <c r="J6" s="268">
        <f>+'q18'!J6</f>
        <v>1073.8189900697198</v>
      </c>
      <c r="K6" s="268">
        <f>+'q18'!K6</f>
        <v>1109.2123384778902</v>
      </c>
      <c r="L6" s="268">
        <f>+'q18'!L6</f>
        <v>1152.2390834169501</v>
      </c>
      <c r="M6" s="268">
        <f>+'q18'!M6</f>
        <v>1217.3282728682302</v>
      </c>
      <c r="P6" s="164"/>
      <c r="Q6" s="176" t="s">
        <v>53</v>
      </c>
      <c r="R6" s="361">
        <f>+(R9+R12+R15+R18+R21+R24+R27+R30+R33+R36+R39)/q11a!C6</f>
        <v>999.85354294571698</v>
      </c>
      <c r="S6" s="361">
        <f>+(S9+S12+S15+S18+S21+S24+S27+S30+S33+S36+S39)/q11a!D6</f>
        <v>993.79266174939187</v>
      </c>
      <c r="T6" s="361">
        <f>+(T9+T12+T15+T18+T21+T24+T27+T30+T33+T36+T39)/q11a!E6</f>
        <v>985.02150811638364</v>
      </c>
      <c r="U6" s="361">
        <f>+(U9+U12+U15+U18+U21+U24+U27+U30+U33+U36+U39)/q11a!F6</f>
        <v>990.04668016967992</v>
      </c>
      <c r="V6" s="361">
        <f>+(V9+V12+V15+V18+V21+V24+V27+V30+V33+V36+V39)/q11a!G6</f>
        <v>997.37861815735744</v>
      </c>
      <c r="W6" s="361">
        <f>+(W9+W12+W15+W18+W21+W24+W27+W30+W33+W36+W39)/q11a!H6</f>
        <v>1012.2476626665031</v>
      </c>
      <c r="X6" s="361">
        <f>+(X9+X12+X15+X18+X21+X24+X27+X30+X33+X36+X39)/q11a!I6</f>
        <v>1039.0817151790288</v>
      </c>
      <c r="Y6" s="361">
        <f>+(Y9+Y12+Y15+Y18+Y21+Y24+Y27+Y30+Y33+Y36+Y39)/q11a!J6</f>
        <v>1073.8189900697187</v>
      </c>
      <c r="Z6" s="361">
        <f>+(Z9+Z12+Z15+Z18+Z21+Z24+Z27+Z30+Z33+Z36+Z39)/q11a!K6</f>
        <v>1109.2123384778888</v>
      </c>
      <c r="AA6" s="361">
        <f>+(AA9+AA12+AA15+AA18+AA21+AA24+AA27+AA30+AA33+AA36+AA39)/q11a!L6</f>
        <v>1152.2390834169505</v>
      </c>
      <c r="AB6" s="361">
        <f>+(AB9+AB12+AB15+AB18+AB21+AB24+AB27+AB30+AB33+AB36+AB39)/q11a!M6</f>
        <v>1217.3282728682339</v>
      </c>
      <c r="AD6" s="512">
        <f t="shared" ref="AD6:AD7" si="3">+R6-C6</f>
        <v>-1.1368683772161603E-12</v>
      </c>
      <c r="AE6" s="512">
        <f t="shared" ref="AE6:AE7" si="4">+S6-D6</f>
        <v>9.0949470177292824E-13</v>
      </c>
      <c r="AF6" s="512">
        <f t="shared" ref="AF6:AF7" si="5">+T6-E6</f>
        <v>0</v>
      </c>
      <c r="AG6" s="512">
        <f t="shared" ref="AG6:AG7" si="6">+U6-F6</f>
        <v>9.0949470177292824E-13</v>
      </c>
      <c r="AH6" s="512">
        <f t="shared" ref="AH6:AH7" si="7">+V6-G6</f>
        <v>0</v>
      </c>
      <c r="AI6" s="512">
        <f t="shared" ref="AI6:AI7" si="8">+W6-H6</f>
        <v>3.0695446184836328E-12</v>
      </c>
      <c r="AJ6" s="512">
        <f t="shared" ref="AJ6:AJ7" si="9">+X6-I6</f>
        <v>0</v>
      </c>
      <c r="AK6" s="512">
        <f t="shared" ref="AK6:AK7" si="10">+Y6-J6</f>
        <v>0</v>
      </c>
      <c r="AL6" s="512">
        <f t="shared" ref="AL6:AL7" si="11">+Z6-K6</f>
        <v>0</v>
      </c>
      <c r="AM6" s="512">
        <f t="shared" ref="AM6:AM7" si="12">+AA6-L6</f>
        <v>0</v>
      </c>
      <c r="AN6" s="512">
        <f t="shared" ref="AN6:AN7" si="13">+AB6-M6</f>
        <v>3.637978807091713E-12</v>
      </c>
    </row>
    <row r="7" spans="1:40" s="170" customFormat="1" ht="12.75" customHeight="1">
      <c r="A7" s="164"/>
      <c r="B7" s="176" t="str">
        <f>+'q18'!B7</f>
        <v>M</v>
      </c>
      <c r="C7" s="268">
        <f>+'q18'!C7</f>
        <v>814.53727639534998</v>
      </c>
      <c r="D7" s="268">
        <f>+'q18'!D7</f>
        <v>816.21122210111105</v>
      </c>
      <c r="E7" s="268">
        <f>+'q18'!E7</f>
        <v>820.25300466774809</v>
      </c>
      <c r="F7" s="268">
        <f>+'q18'!F7</f>
        <v>824.99170229471508</v>
      </c>
      <c r="G7" s="268">
        <f>+'q18'!G7</f>
        <v>840.26183463405107</v>
      </c>
      <c r="H7" s="268">
        <f>+'q18'!H7</f>
        <v>861.16674363485106</v>
      </c>
      <c r="I7" s="268">
        <f>+'q18'!I7</f>
        <v>888.55773746998204</v>
      </c>
      <c r="J7" s="268">
        <f>+'q18'!J7</f>
        <v>922.62610151052809</v>
      </c>
      <c r="K7" s="268">
        <f>+'q18'!K7</f>
        <v>960.26781704583709</v>
      </c>
      <c r="L7" s="268">
        <f>+'q18'!L7</f>
        <v>999.32524311817906</v>
      </c>
      <c r="M7" s="268">
        <f>+'q18'!M7</f>
        <v>1054.3618671065601</v>
      </c>
      <c r="P7" s="164"/>
      <c r="Q7" s="176" t="s">
        <v>54</v>
      </c>
      <c r="R7" s="361">
        <f>+(R10+R13+R16+R19+R22+R25+R28+R31+R34+R37+R40)/q11a!C7</f>
        <v>814.5372763953502</v>
      </c>
      <c r="S7" s="361">
        <f>+(S10+S13+S16+S19+S22+S25+S28+S31+S34+S37+S40)/q11a!D7</f>
        <v>816.21122210111093</v>
      </c>
      <c r="T7" s="361">
        <f>+(T10+T13+T16+T19+T22+T25+T28+T31+T34+T37+T40)/q11a!E7</f>
        <v>820.25300466774843</v>
      </c>
      <c r="U7" s="361">
        <f>+(U10+U13+U16+U19+U22+U25+U28+U31+U34+U37+U40)/q11a!F7</f>
        <v>824.99170229471486</v>
      </c>
      <c r="V7" s="361">
        <f>+(V10+V13+V16+V19+V22+V25+V28+V31+V34+V37+V40)/q11a!G7</f>
        <v>840.26183463405084</v>
      </c>
      <c r="W7" s="361">
        <f>+(W10+W13+W16+W19+W22+W25+W28+W31+W34+W37+W40)/q11a!H7</f>
        <v>861.16674363485106</v>
      </c>
      <c r="X7" s="361">
        <f>+(X10+X13+X16+X19+X22+X25+X28+X31+X34+X37+X40)/q11a!I7</f>
        <v>888.55773746998273</v>
      </c>
      <c r="Y7" s="361">
        <f>+(Y10+Y13+Y16+Y19+Y22+Y25+Y28+Y31+Y34+Y37+Y40)/q11a!J7</f>
        <v>922.62610151052786</v>
      </c>
      <c r="Z7" s="361">
        <f>+(Z10+Z13+Z16+Z19+Z22+Z25+Z28+Z31+Z34+Z37+Z40)/q11a!K7</f>
        <v>960.26781704583811</v>
      </c>
      <c r="AA7" s="361">
        <f>+(AA10+AA13+AA16+AA19+AA22+AA25+AA28+AA31+AA34+AA37+AA40)/q11a!L7</f>
        <v>999.32524311817849</v>
      </c>
      <c r="AB7" s="361">
        <f>+(AB10+AB13+AB16+AB19+AB22+AB25+AB28+AB31+AB34+AB37+AB40)/q11a!M7</f>
        <v>1054.3618671065569</v>
      </c>
      <c r="AD7" s="512">
        <f t="shared" si="3"/>
        <v>0</v>
      </c>
      <c r="AE7" s="512">
        <f t="shared" si="4"/>
        <v>0</v>
      </c>
      <c r="AF7" s="512">
        <f t="shared" si="5"/>
        <v>0</v>
      </c>
      <c r="AG7" s="512">
        <f t="shared" si="6"/>
        <v>0</v>
      </c>
      <c r="AH7" s="512">
        <f t="shared" si="7"/>
        <v>0</v>
      </c>
      <c r="AI7" s="512">
        <f t="shared" si="8"/>
        <v>0</v>
      </c>
      <c r="AJ7" s="512">
        <f t="shared" si="9"/>
        <v>0</v>
      </c>
      <c r="AK7" s="512">
        <f t="shared" si="10"/>
        <v>0</v>
      </c>
      <c r="AL7" s="512">
        <f t="shared" si="11"/>
        <v>1.0231815394945443E-12</v>
      </c>
      <c r="AM7" s="512">
        <f t="shared" si="12"/>
        <v>0</v>
      </c>
      <c r="AN7" s="512">
        <f t="shared" si="13"/>
        <v>-3.1832314562052488E-12</v>
      </c>
    </row>
    <row r="8" spans="1:40" s="170" customFormat="1" ht="16.5" customHeight="1">
      <c r="A8" s="181" t="str">
        <f>+'q18'!A8</f>
        <v>1-4 pessoas</v>
      </c>
      <c r="B8" s="176" t="str">
        <f>+'q18'!B8</f>
        <v>T</v>
      </c>
      <c r="C8" s="268">
        <f>+'q18'!C8</f>
        <v>693.31185570240609</v>
      </c>
      <c r="D8" s="268">
        <f>+'q18'!D8</f>
        <v>690.07430705391198</v>
      </c>
      <c r="E8" s="268">
        <f>+'q18'!E8</f>
        <v>697.48168929055805</v>
      </c>
      <c r="F8" s="268">
        <f>+'q18'!F8</f>
        <v>695.67367591467712</v>
      </c>
      <c r="G8" s="268">
        <f>+'q18'!G8</f>
        <v>713.54126968340199</v>
      </c>
      <c r="H8" s="268">
        <f>+'q18'!H8</f>
        <v>735.679468743759</v>
      </c>
      <c r="I8" s="268">
        <f>+'q18'!I8</f>
        <v>760.65776867203306</v>
      </c>
      <c r="J8" s="268">
        <f>+'q18'!J8</f>
        <v>790.54723985008206</v>
      </c>
      <c r="K8" s="268">
        <f>+'q18'!K8</f>
        <v>825.97969469202405</v>
      </c>
      <c r="L8" s="268">
        <f>+'q18'!L8</f>
        <v>863.77465019702913</v>
      </c>
      <c r="M8" s="268">
        <f>+'q18'!M8</f>
        <v>911.12045839158804</v>
      </c>
      <c r="P8" s="181" t="s">
        <v>32</v>
      </c>
      <c r="Q8" s="176" t="s">
        <v>45</v>
      </c>
      <c r="R8" s="361">
        <f>+$C$8*q11a!$C$8</f>
        <v>196926912.87000003</v>
      </c>
      <c r="S8" s="361">
        <f>+$D$8*q11a!$D$8</f>
        <v>190746199.51000002</v>
      </c>
      <c r="T8" s="361">
        <f>+$E$8*q11a!$E$8</f>
        <v>193865733.01999989</v>
      </c>
      <c r="U8" s="361">
        <f>+$F$8*q11a!$F$8</f>
        <v>195256817.64000016</v>
      </c>
      <c r="V8" s="361">
        <f>+$G$8*q11a!$G$8</f>
        <v>201600382.63</v>
      </c>
      <c r="W8" s="361">
        <f>+$H$8*q11a!$H$8</f>
        <v>206278637.60000008</v>
      </c>
      <c r="X8" s="361">
        <f>+$I$8*q11a!$I$8</f>
        <v>213109683.76000014</v>
      </c>
      <c r="Y8" s="361">
        <f>+$J$8*q11a!$J$8</f>
        <v>214092050.75999996</v>
      </c>
      <c r="Z8" s="361">
        <f>+$K$8*q11a!$K$8</f>
        <v>218244484.83000004</v>
      </c>
      <c r="AA8" s="361">
        <f>+$L$8*q11a!$L$8</f>
        <v>227967405.67999992</v>
      </c>
      <c r="AB8" s="361">
        <f>+$M$8*q11a!$M$8</f>
        <v>250244700.62</v>
      </c>
    </row>
    <row r="9" spans="1:40" s="170" customFormat="1" ht="12.75" customHeight="1">
      <c r="A9" s="177"/>
      <c r="B9" s="185" t="str">
        <f>+'q18'!B9</f>
        <v>H</v>
      </c>
      <c r="C9" s="269">
        <f>+'q18'!C9</f>
        <v>736.19934826013503</v>
      </c>
      <c r="D9" s="269">
        <f>+'q18'!D9</f>
        <v>729.63203435265405</v>
      </c>
      <c r="E9" s="269">
        <f>+'q18'!E9</f>
        <v>734.808976478658</v>
      </c>
      <c r="F9" s="269">
        <f>+'q18'!F9</f>
        <v>733.43432987844596</v>
      </c>
      <c r="G9" s="269">
        <f>+'q18'!G9</f>
        <v>748.821942208623</v>
      </c>
      <c r="H9" s="269">
        <f>+'q18'!H9</f>
        <v>771.25515143538109</v>
      </c>
      <c r="I9" s="269">
        <f>+'q18'!I9</f>
        <v>796.7421066945011</v>
      </c>
      <c r="J9" s="269">
        <f>+'q18'!J9</f>
        <v>828.52939903441109</v>
      </c>
      <c r="K9" s="269">
        <f>+'q18'!K9</f>
        <v>863.85977602528305</v>
      </c>
      <c r="L9" s="269">
        <f>+'q18'!L9</f>
        <v>904.44217497760508</v>
      </c>
      <c r="M9" s="269">
        <f>+'q18'!M9</f>
        <v>953.95112178957299</v>
      </c>
      <c r="P9" s="177"/>
      <c r="Q9" s="185" t="s">
        <v>53</v>
      </c>
      <c r="R9" s="361">
        <f>+$C$9*q11a!$C$9</f>
        <v>105085831.16999993</v>
      </c>
      <c r="S9" s="361">
        <f>+$D$9*q11a!$D$9</f>
        <v>101524649.42000005</v>
      </c>
      <c r="T9" s="361">
        <f>+$E$9*q11a!$E$9</f>
        <v>102842394.73000002</v>
      </c>
      <c r="U9" s="361">
        <f>+$F$9*q11a!$F$9</f>
        <v>102394033.35999997</v>
      </c>
      <c r="V9" s="361">
        <f>+$G$9*q11a!$G$9</f>
        <v>105965044.22000003</v>
      </c>
      <c r="W9" s="361">
        <f>+$H$9*q11a!$H$9</f>
        <v>108403767.80999999</v>
      </c>
      <c r="X9" s="361">
        <f>+$I$9*q11a!$I$9</f>
        <v>112206784.36999997</v>
      </c>
      <c r="Y9" s="361">
        <f>+$J$9*q11a!$J$9</f>
        <v>113091777.38000001</v>
      </c>
      <c r="Z9" s="361">
        <f>+$K$9*q11a!$K$9</f>
        <v>116441386.92999995</v>
      </c>
      <c r="AA9" s="361">
        <f>+$L$9*q11a!$L$9</f>
        <v>121159073.75999998</v>
      </c>
      <c r="AB9" s="361">
        <f>+$M$9*q11a!$M$9</f>
        <v>132710818.21000002</v>
      </c>
    </row>
    <row r="10" spans="1:40" s="170" customFormat="1" ht="12.75" customHeight="1">
      <c r="A10" s="177"/>
      <c r="B10" s="185" t="str">
        <f>+'q18'!B10</f>
        <v>M</v>
      </c>
      <c r="C10" s="269">
        <f>+'q18'!C10</f>
        <v>649.98606976793599</v>
      </c>
      <c r="D10" s="269">
        <f>+'q18'!D10</f>
        <v>649.97596026779502</v>
      </c>
      <c r="E10" s="269">
        <f>+'q18'!E10</f>
        <v>659.622867029487</v>
      </c>
      <c r="F10" s="269">
        <f>+'q18'!F10</f>
        <v>658.302502977372</v>
      </c>
      <c r="G10" s="269">
        <f>+'q18'!G10</f>
        <v>678.13976436969108</v>
      </c>
      <c r="H10" s="269">
        <f>+'q18'!H10</f>
        <v>699.92112094796107</v>
      </c>
      <c r="I10" s="269">
        <f>+'q18'!I10</f>
        <v>724.18522094550508</v>
      </c>
      <c r="J10" s="269">
        <f>+'q18'!J10</f>
        <v>751.94890766688002</v>
      </c>
      <c r="K10" s="269">
        <f>+'q18'!K10</f>
        <v>786.53123932845608</v>
      </c>
      <c r="L10" s="269">
        <f>+'q18'!L10</f>
        <v>821.85543182517711</v>
      </c>
      <c r="M10" s="269">
        <f>+'q18'!M10</f>
        <v>867.15913803407113</v>
      </c>
      <c r="P10" s="177"/>
      <c r="Q10" s="185" t="s">
        <v>54</v>
      </c>
      <c r="R10" s="361">
        <f>+$C$10*q11a!$C$10</f>
        <v>91841081.700000048</v>
      </c>
      <c r="S10" s="361">
        <f>+$D$10*q11a!$D$10</f>
        <v>89221550.089999959</v>
      </c>
      <c r="T10" s="361">
        <f>+$E$10*q11a!$E$10</f>
        <v>91023338.290000007</v>
      </c>
      <c r="U10" s="361">
        <f>+$F$10*q11a!$F$10</f>
        <v>92862784.280000001</v>
      </c>
      <c r="V10" s="361">
        <f>+$G$10*q11a!$G$10</f>
        <v>95635338.410000056</v>
      </c>
      <c r="W10" s="361">
        <f>+$H$10*q11a!$H$10</f>
        <v>97874869.790000036</v>
      </c>
      <c r="X10" s="361">
        <f>+$I$10*q11a!$I$10</f>
        <v>100902899.39000006</v>
      </c>
      <c r="Y10" s="361">
        <f>+$J$10*q11a!$J$10</f>
        <v>101000273.38</v>
      </c>
      <c r="Z10" s="361">
        <f>+$K$10*q11a!$K$10</f>
        <v>101803097.90000005</v>
      </c>
      <c r="AA10" s="361">
        <f>+$L$10*q11a!$L$10</f>
        <v>106808331.92000002</v>
      </c>
      <c r="AB10" s="361">
        <f>+$M$10*q11a!$M$10</f>
        <v>117533882.40999997</v>
      </c>
    </row>
    <row r="11" spans="1:40" s="165" customFormat="1" ht="16.5" customHeight="1">
      <c r="A11" s="181" t="str">
        <f>+'q18'!A11</f>
        <v>5-9 pessoas</v>
      </c>
      <c r="B11" s="176" t="str">
        <f>+'q18'!B11</f>
        <v>T</v>
      </c>
      <c r="C11" s="268">
        <f>+'q18'!C11</f>
        <v>795.92183281039206</v>
      </c>
      <c r="D11" s="268">
        <f>+'q18'!D11</f>
        <v>793.7234990133901</v>
      </c>
      <c r="E11" s="268">
        <f>+'q18'!E11</f>
        <v>790.6252304090691</v>
      </c>
      <c r="F11" s="268">
        <f>+'q18'!F11</f>
        <v>788.89388262987904</v>
      </c>
      <c r="G11" s="268">
        <f>+'q18'!G11</f>
        <v>798.57252191573104</v>
      </c>
      <c r="H11" s="268">
        <f>+'q18'!H11</f>
        <v>812.56938319060998</v>
      </c>
      <c r="I11" s="268">
        <f>+'q18'!I11</f>
        <v>834.51416875644895</v>
      </c>
      <c r="J11" s="268">
        <f>+'q18'!J11</f>
        <v>857.670854264985</v>
      </c>
      <c r="K11" s="268">
        <f>+'q18'!K11</f>
        <v>896.13545252880601</v>
      </c>
      <c r="L11" s="268">
        <f>+'q18'!L11</f>
        <v>929.35751386718005</v>
      </c>
      <c r="M11" s="268">
        <f>+'q18'!M11</f>
        <v>974.76846697108306</v>
      </c>
      <c r="P11" s="181" t="s">
        <v>33</v>
      </c>
      <c r="Q11" s="176" t="s">
        <v>45</v>
      </c>
      <c r="R11" s="361">
        <f>+$C$11*q11a!$C$11</f>
        <v>217140210.73999992</v>
      </c>
      <c r="S11" s="361">
        <f>+$D$11*q11a!$D$11</f>
        <v>210375619.69000003</v>
      </c>
      <c r="T11" s="361">
        <f>+$E$11*q11a!$E$11</f>
        <v>211751574.21000016</v>
      </c>
      <c r="U11" s="361">
        <f>+$F$11*q11a!$F$11</f>
        <v>216160868.31</v>
      </c>
      <c r="V11" s="361">
        <f>+$G$11*q11a!$G$11</f>
        <v>224915555.07999989</v>
      </c>
      <c r="W11" s="361">
        <f>+$H$11*q11a!$H$11</f>
        <v>232951453.62000003</v>
      </c>
      <c r="X11" s="361">
        <f>+$I$11*q11a!$I$11</f>
        <v>244257290.11000007</v>
      </c>
      <c r="Y11" s="361">
        <f>+$J$11*q11a!$J$11</f>
        <v>250253774.87000012</v>
      </c>
      <c r="Z11" s="361">
        <f>+$K$11*q11a!$K$11</f>
        <v>251674265.03</v>
      </c>
      <c r="AA11" s="361">
        <f>+$L$11*q11a!$L$11</f>
        <v>262209858.32000005</v>
      </c>
      <c r="AB11" s="361">
        <f>+$M$11*q11a!$M$11</f>
        <v>290536564.9600001</v>
      </c>
    </row>
    <row r="12" spans="1:40" s="170" customFormat="1" ht="12.75" customHeight="1">
      <c r="A12" s="177"/>
      <c r="B12" s="185" t="str">
        <f>+'q18'!B12</f>
        <v>H</v>
      </c>
      <c r="C12" s="269">
        <f>+'q18'!C12</f>
        <v>837.09259699746508</v>
      </c>
      <c r="D12" s="269">
        <f>+'q18'!D12</f>
        <v>834.25557693375902</v>
      </c>
      <c r="E12" s="269">
        <f>+'q18'!E12</f>
        <v>825.55547477010612</v>
      </c>
      <c r="F12" s="269">
        <f>+'q18'!F12</f>
        <v>821.50347255434406</v>
      </c>
      <c r="G12" s="269">
        <f>+'q18'!G12</f>
        <v>829.86318660262009</v>
      </c>
      <c r="H12" s="269">
        <f>+'q18'!H12</f>
        <v>841.87029740522803</v>
      </c>
      <c r="I12" s="269">
        <f>+'q18'!I12</f>
        <v>865.08429761791808</v>
      </c>
      <c r="J12" s="269">
        <f>+'q18'!J12</f>
        <v>887.68198984598007</v>
      </c>
      <c r="K12" s="269">
        <f>+'q18'!K12</f>
        <v>925.22925578559602</v>
      </c>
      <c r="L12" s="269">
        <f>+'q18'!L12</f>
        <v>958.852885053813</v>
      </c>
      <c r="M12" s="269">
        <f>+'q18'!M12</f>
        <v>1007.99076031973</v>
      </c>
      <c r="P12" s="177"/>
      <c r="Q12" s="185" t="s">
        <v>53</v>
      </c>
      <c r="R12" s="361">
        <f>+$C$12*q11a!$C$12</f>
        <v>124509989.96999995</v>
      </c>
      <c r="S12" s="361">
        <f>+$D$12*q11a!$D$12</f>
        <v>120149488.18999997</v>
      </c>
      <c r="T12" s="361">
        <f>+$E$12*q11a!$E$12</f>
        <v>120119972.68999998</v>
      </c>
      <c r="U12" s="361">
        <f>+$F$12*q11a!$F$12</f>
        <v>121613731.06999999</v>
      </c>
      <c r="V12" s="361">
        <f>+$G$12*q11a!$G$12</f>
        <v>126461191.28000008</v>
      </c>
      <c r="W12" s="361">
        <f>+$H$12*q11a!$H$12</f>
        <v>130071486.55999994</v>
      </c>
      <c r="X12" s="361">
        <f>+$I$12*q11a!$I$12</f>
        <v>136730898.66000006</v>
      </c>
      <c r="Y12" s="361">
        <f>+$J$12*q11a!$J$12</f>
        <v>140224460.88999993</v>
      </c>
      <c r="Z12" s="361">
        <f>+$K$12*q11a!$K$12</f>
        <v>142648145.74000004</v>
      </c>
      <c r="AA12" s="361">
        <f>+$L$12*q11a!$L$12</f>
        <v>147624031.32999998</v>
      </c>
      <c r="AB12" s="361">
        <f>+$M$12*q11a!$M$12</f>
        <v>162801595.68999991</v>
      </c>
    </row>
    <row r="13" spans="1:40" s="170" customFormat="1" ht="12.75" customHeight="1">
      <c r="A13" s="177"/>
      <c r="B13" s="185" t="str">
        <f>+'q18'!B13</f>
        <v>M</v>
      </c>
      <c r="C13" s="269">
        <f>+'q18'!C13</f>
        <v>746.56635720330405</v>
      </c>
      <c r="D13" s="269">
        <f>+'q18'!D13</f>
        <v>745.49183666724502</v>
      </c>
      <c r="E13" s="269">
        <f>+'q18'!E13</f>
        <v>749.07706881611398</v>
      </c>
      <c r="F13" s="269">
        <f>+'q18'!F13</f>
        <v>750.570683115419</v>
      </c>
      <c r="G13" s="269">
        <f>+'q18'!G13</f>
        <v>761.68285225787008</v>
      </c>
      <c r="H13" s="269">
        <f>+'q18'!H13</f>
        <v>778.32055090708309</v>
      </c>
      <c r="I13" s="269">
        <f>+'q18'!I13</f>
        <v>798.62737728295701</v>
      </c>
      <c r="J13" s="269">
        <f>+'q18'!J13</f>
        <v>822.24333398098906</v>
      </c>
      <c r="K13" s="269">
        <f>+'q18'!K13</f>
        <v>860.72346046357404</v>
      </c>
      <c r="L13" s="269">
        <f>+'q18'!L13</f>
        <v>893.93071562309797</v>
      </c>
      <c r="M13" s="269">
        <f>+'q18'!M13</f>
        <v>935.47206999838909</v>
      </c>
      <c r="P13" s="177"/>
      <c r="Q13" s="185" t="s">
        <v>54</v>
      </c>
      <c r="R13" s="361">
        <f>+$C$13*q11a!$C$13</f>
        <v>92630220.769999951</v>
      </c>
      <c r="S13" s="361">
        <f>+$D$13*q11a!$D$13</f>
        <v>90226131.5</v>
      </c>
      <c r="T13" s="361">
        <f>+$E$13*q11a!$E$13</f>
        <v>91631601.519999951</v>
      </c>
      <c r="U13" s="361">
        <f>+$F$13*q11a!$F$13</f>
        <v>94547137.23999998</v>
      </c>
      <c r="V13" s="361">
        <f>+$G$13*q11a!$G$13</f>
        <v>98454363.800000027</v>
      </c>
      <c r="W13" s="361">
        <f>+$H$13*q11a!$H$13</f>
        <v>102879967.06000006</v>
      </c>
      <c r="X13" s="361">
        <f>+$I$13*q11a!$I$13</f>
        <v>107526391.45000005</v>
      </c>
      <c r="Y13" s="361">
        <f>+$J$13*q11a!$J$13</f>
        <v>110029313.98000003</v>
      </c>
      <c r="Z13" s="361">
        <f>+$K$13*q11a!$K$13</f>
        <v>109026119.28999999</v>
      </c>
      <c r="AA13" s="361">
        <f>+$L$13*q11a!$L$13</f>
        <v>114585826.98999995</v>
      </c>
      <c r="AB13" s="361">
        <f>+$M$13*q11a!$M$13</f>
        <v>127734969.27000004</v>
      </c>
    </row>
    <row r="14" spans="1:40" s="165" customFormat="1" ht="16.5" customHeight="1">
      <c r="A14" s="181" t="str">
        <f>+'q18'!A14</f>
        <v>10-19 pessoas</v>
      </c>
      <c r="B14" s="176" t="str">
        <f>+'q18'!B14</f>
        <v>T</v>
      </c>
      <c r="C14" s="268">
        <f>+'q18'!C14</f>
        <v>840.06820612425304</v>
      </c>
      <c r="D14" s="268">
        <f>+'q18'!D14</f>
        <v>840.64158277675506</v>
      </c>
      <c r="E14" s="268">
        <f>+'q18'!E14</f>
        <v>838.91064820041106</v>
      </c>
      <c r="F14" s="268">
        <f>+'q18'!F14</f>
        <v>838.98482803786305</v>
      </c>
      <c r="G14" s="268">
        <f>+'q18'!G14</f>
        <v>845.97069283957501</v>
      </c>
      <c r="H14" s="268">
        <f>+'q18'!H14</f>
        <v>862.17567944250902</v>
      </c>
      <c r="I14" s="268">
        <f>+'q18'!I14</f>
        <v>883.97252478750011</v>
      </c>
      <c r="J14" s="268">
        <f>+'q18'!J14</f>
        <v>910.61409141543209</v>
      </c>
      <c r="K14" s="268">
        <f>+'q18'!K14</f>
        <v>952.24268663926</v>
      </c>
      <c r="L14" s="268">
        <f>+'q18'!L14</f>
        <v>984.81111876110401</v>
      </c>
      <c r="M14" s="268">
        <f>+'q18'!M14</f>
        <v>1032.0465702932402</v>
      </c>
      <c r="P14" s="181" t="s">
        <v>34</v>
      </c>
      <c r="Q14" s="176" t="s">
        <v>45</v>
      </c>
      <c r="R14" s="361">
        <f>+$C$14*q11a!$C$14</f>
        <v>219500581.50999996</v>
      </c>
      <c r="S14" s="361">
        <f>+$D$14*q11a!$D$14</f>
        <v>215479975.63000008</v>
      </c>
      <c r="T14" s="361">
        <f>+$E$14*q11a!$E$14</f>
        <v>221453116.17999992</v>
      </c>
      <c r="U14" s="361">
        <f>+$F$14*q11a!$F$14</f>
        <v>228673704.72999996</v>
      </c>
      <c r="V14" s="361">
        <f>+$G$14*q11a!$G$14</f>
        <v>236987691.98000002</v>
      </c>
      <c r="W14" s="361">
        <f>+$H$14*q11a!$H$14</f>
        <v>251898419.56000009</v>
      </c>
      <c r="X14" s="361">
        <f>+$I$14*q11a!$I$14</f>
        <v>268624222.74999988</v>
      </c>
      <c r="Y14" s="361">
        <f>+$J$14*q11a!$J$14</f>
        <v>280389916.72999996</v>
      </c>
      <c r="Z14" s="361">
        <f>+$K$14*q11a!$K$14</f>
        <v>277959640.23000002</v>
      </c>
      <c r="AA14" s="361">
        <f>+$L$14*q11a!$L$14</f>
        <v>293226525.79999995</v>
      </c>
      <c r="AB14" s="361">
        <f>+$M$14*q11a!$M$14</f>
        <v>328546865.42000157</v>
      </c>
    </row>
    <row r="15" spans="1:40" s="170" customFormat="1" ht="12.75" customHeight="1">
      <c r="A15" s="177"/>
      <c r="B15" s="185" t="str">
        <f>+'q18'!B15</f>
        <v>H</v>
      </c>
      <c r="C15" s="269">
        <f>+'q18'!C15</f>
        <v>897.24773638381396</v>
      </c>
      <c r="D15" s="269">
        <f>+'q18'!D15</f>
        <v>897.70389029488706</v>
      </c>
      <c r="E15" s="269">
        <f>+'q18'!E15</f>
        <v>890.38186553809896</v>
      </c>
      <c r="F15" s="269">
        <f>+'q18'!F15</f>
        <v>891.44122112605908</v>
      </c>
      <c r="G15" s="269">
        <f>+'q18'!G15</f>
        <v>893.10493603343002</v>
      </c>
      <c r="H15" s="269">
        <f>+'q18'!H15</f>
        <v>906.12006787774601</v>
      </c>
      <c r="I15" s="269">
        <f>+'q18'!I15</f>
        <v>926.56559101640903</v>
      </c>
      <c r="J15" s="269">
        <f>+'q18'!J15</f>
        <v>954.96205512071106</v>
      </c>
      <c r="K15" s="269">
        <f>+'q18'!K15</f>
        <v>993.21672718574303</v>
      </c>
      <c r="L15" s="269">
        <f>+'q18'!L15</f>
        <v>1028.7310996247299</v>
      </c>
      <c r="M15" s="269">
        <f>+'q18'!M15</f>
        <v>1076.5259293333302</v>
      </c>
      <c r="P15" s="177"/>
      <c r="Q15" s="185" t="s">
        <v>53</v>
      </c>
      <c r="R15" s="361">
        <f>+$C$15*q11a!$C$15</f>
        <v>131379499.79999995</v>
      </c>
      <c r="S15" s="361">
        <f>+$D$15*q11a!$D$15</f>
        <v>128405769.06000006</v>
      </c>
      <c r="T15" s="361">
        <f>+$E$15*q11a!$E$15</f>
        <v>130860313.15999994</v>
      </c>
      <c r="U15" s="361">
        <f>+$F$15*q11a!$F$15</f>
        <v>134184189.81000005</v>
      </c>
      <c r="V15" s="361">
        <f>+$G$15*q11a!$G$15</f>
        <v>138922472.80000004</v>
      </c>
      <c r="W15" s="361">
        <f>+$H$15*q11a!$H$15</f>
        <v>147643203.85999992</v>
      </c>
      <c r="X15" s="361">
        <f>+$I$15*q11a!$I$15</f>
        <v>156978742.43000001</v>
      </c>
      <c r="Y15" s="361">
        <f>+$J$15*q11a!$J$15</f>
        <v>164829315.60000008</v>
      </c>
      <c r="Z15" s="361">
        <f>+$K$15*q11a!$K$15</f>
        <v>166085701.11999995</v>
      </c>
      <c r="AA15" s="361">
        <f>+$L$15*q11a!$L$15</f>
        <v>173250661.95000002</v>
      </c>
      <c r="AB15" s="361">
        <f>+$M$15*q11a!$M$15</f>
        <v>193774667.27999943</v>
      </c>
    </row>
    <row r="16" spans="1:40" s="170" customFormat="1" ht="12.75" customHeight="1">
      <c r="A16" s="177"/>
      <c r="B16" s="185" t="str">
        <f>+'q18'!B16</f>
        <v>M</v>
      </c>
      <c r="C16" s="269">
        <f>+'q18'!C16</f>
        <v>767.17754657682099</v>
      </c>
      <c r="D16" s="269">
        <f>+'q18'!D16</f>
        <v>768.59569750198602</v>
      </c>
      <c r="E16" s="269">
        <f>+'q18'!E16</f>
        <v>774.25775618344403</v>
      </c>
      <c r="F16" s="269">
        <f>+'q18'!F16</f>
        <v>774.28209054779404</v>
      </c>
      <c r="G16" s="269">
        <f>+'q18'!G16</f>
        <v>787.12240586899111</v>
      </c>
      <c r="H16" s="269">
        <f>+'q18'!H16</f>
        <v>806.76656168263412</v>
      </c>
      <c r="I16" s="269">
        <f>+'q18'!I16</f>
        <v>830.30633200211207</v>
      </c>
      <c r="J16" s="269">
        <f>+'q18'!J16</f>
        <v>854.04331631069408</v>
      </c>
      <c r="K16" s="269">
        <f>+'q18'!K16</f>
        <v>897.28857162335601</v>
      </c>
      <c r="L16" s="269">
        <f>+'q18'!L16</f>
        <v>927.62213326426308</v>
      </c>
      <c r="M16" s="269">
        <f>+'q18'!M16</f>
        <v>974.1746947124941</v>
      </c>
      <c r="P16" s="177"/>
      <c r="Q16" s="185" t="s">
        <v>54</v>
      </c>
      <c r="R16" s="361">
        <f>+$C$16*q11a!$C$16</f>
        <v>88121081.709999964</v>
      </c>
      <c r="S16" s="361">
        <f>+$D$16*q11a!$D$16</f>
        <v>87074206.569999993</v>
      </c>
      <c r="T16" s="361">
        <f>+$E$16*q11a!$E$16</f>
        <v>90592803.020000055</v>
      </c>
      <c r="U16" s="361">
        <f>+$F$16*q11a!$F$16</f>
        <v>94489514.920000046</v>
      </c>
      <c r="V16" s="361">
        <f>+$G$16*q11a!$G$16</f>
        <v>98065219.179999992</v>
      </c>
      <c r="W16" s="361">
        <f>+$H$16*q11a!$H$16</f>
        <v>104255215.70000008</v>
      </c>
      <c r="X16" s="361">
        <f>+$I$16*q11a!$I$16</f>
        <v>111645480.31999999</v>
      </c>
      <c r="Y16" s="361">
        <f>+$J$16*q11a!$J$16</f>
        <v>115560601.13000001</v>
      </c>
      <c r="Z16" s="361">
        <f>+$K$16*q11a!$K$16</f>
        <v>111873939.11000003</v>
      </c>
      <c r="AA16" s="361">
        <f>+$L$16*q11a!$L$16</f>
        <v>119975863.84999999</v>
      </c>
      <c r="AB16" s="361">
        <f>+$M$16*q11a!$M$16</f>
        <v>134772198.13999999</v>
      </c>
    </row>
    <row r="17" spans="1:28" s="165" customFormat="1" ht="16.5" customHeight="1">
      <c r="A17" s="181" t="str">
        <f>+'q18'!A17</f>
        <v>20-49 pessoas</v>
      </c>
      <c r="B17" s="176" t="str">
        <f>+'q18'!B17</f>
        <v>T</v>
      </c>
      <c r="C17" s="268">
        <f>+'q18'!C17</f>
        <v>920.82799670903</v>
      </c>
      <c r="D17" s="268">
        <f>+'q18'!D17</f>
        <v>910.92982655011099</v>
      </c>
      <c r="E17" s="268">
        <f>+'q18'!E17</f>
        <v>903.33510394310599</v>
      </c>
      <c r="F17" s="268">
        <f>+'q18'!F17</f>
        <v>904.24866040185395</v>
      </c>
      <c r="G17" s="268">
        <f>+'q18'!G17</f>
        <v>910.56325660407811</v>
      </c>
      <c r="H17" s="268">
        <f>+'q18'!H17</f>
        <v>922.47393003106106</v>
      </c>
      <c r="I17" s="268">
        <f>+'q18'!I17</f>
        <v>946.80066018519005</v>
      </c>
      <c r="J17" s="268">
        <f>+'q18'!J17</f>
        <v>977.50319491004802</v>
      </c>
      <c r="K17" s="268">
        <f>+'q18'!K17</f>
        <v>1017.98088552506</v>
      </c>
      <c r="L17" s="268">
        <f>+'q18'!L17</f>
        <v>1054.0593528976001</v>
      </c>
      <c r="M17" s="268">
        <f>+'q18'!M17</f>
        <v>1098.66452570255</v>
      </c>
      <c r="P17" s="181" t="s">
        <v>35</v>
      </c>
      <c r="Q17" s="176" t="s">
        <v>45</v>
      </c>
      <c r="R17" s="361">
        <f>+$C$17*q11a!$C$17</f>
        <v>317857853.69999993</v>
      </c>
      <c r="S17" s="361">
        <f>+$D$17*q11a!$D$17</f>
        <v>309385473.50000006</v>
      </c>
      <c r="T17" s="361">
        <f>+$E$17*q11a!$E$17</f>
        <v>313993862.12</v>
      </c>
      <c r="U17" s="361">
        <f>+$F$17*q11a!$F$17</f>
        <v>324567397.16999984</v>
      </c>
      <c r="V17" s="361">
        <f>+$G$17*q11a!$G$17</f>
        <v>338492785.00999999</v>
      </c>
      <c r="W17" s="361">
        <f>+$H$17*q11a!$H$17</f>
        <v>355494700.89000005</v>
      </c>
      <c r="X17" s="361">
        <f>+$I$17*q11a!$I$17</f>
        <v>376491495.32000011</v>
      </c>
      <c r="Y17" s="361">
        <f>+$J$17*q11a!$J$17</f>
        <v>389852711.70999992</v>
      </c>
      <c r="Z17" s="361">
        <f>+$K$17*q11a!$K$17</f>
        <v>391799465.23999959</v>
      </c>
      <c r="AA17" s="361">
        <f>+$L$17*q11a!$L$17</f>
        <v>416898393.0800001</v>
      </c>
      <c r="AB17" s="361">
        <f>+$M$17*q11a!$M$17</f>
        <v>466373203.18000114</v>
      </c>
    </row>
    <row r="18" spans="1:28" s="170" customFormat="1" ht="12.75" customHeight="1">
      <c r="A18" s="177"/>
      <c r="B18" s="185" t="str">
        <f>+'q18'!B18</f>
        <v>H</v>
      </c>
      <c r="C18" s="269">
        <f>+'q18'!C18</f>
        <v>1017.1927624921</v>
      </c>
      <c r="D18" s="269">
        <f>+'q18'!D18</f>
        <v>1004.6429292331201</v>
      </c>
      <c r="E18" s="269">
        <f>+'q18'!E18</f>
        <v>991.71206035773616</v>
      </c>
      <c r="F18" s="269">
        <f>+'q18'!F18</f>
        <v>987.49159460529506</v>
      </c>
      <c r="G18" s="269">
        <f>+'q18'!G18</f>
        <v>989.95062003626902</v>
      </c>
      <c r="H18" s="269">
        <f>+'q18'!H18</f>
        <v>996.30340793190203</v>
      </c>
      <c r="I18" s="269">
        <f>+'q18'!I18</f>
        <v>1017.0269873918301</v>
      </c>
      <c r="J18" s="269">
        <f>+'q18'!J18</f>
        <v>1046.4867239314801</v>
      </c>
      <c r="K18" s="269">
        <f>+'q18'!K18</f>
        <v>1089.04044772969</v>
      </c>
      <c r="L18" s="269">
        <f>+'q18'!L18</f>
        <v>1127.1992334828799</v>
      </c>
      <c r="M18" s="269">
        <f>+'q18'!M18</f>
        <v>1172.64478133949</v>
      </c>
      <c r="P18" s="177"/>
      <c r="Q18" s="185" t="s">
        <v>53</v>
      </c>
      <c r="R18" s="361">
        <f>+$C$18*q11a!$C$18</f>
        <v>188360704.17999959</v>
      </c>
      <c r="S18" s="361">
        <f>+$D$18*q11a!$D$18</f>
        <v>181545005.1700002</v>
      </c>
      <c r="T18" s="361">
        <f>+$E$18*q11a!$E$18</f>
        <v>183463756.03000012</v>
      </c>
      <c r="U18" s="361">
        <f>+$F$18*q11a!$F$18</f>
        <v>189564811.45000008</v>
      </c>
      <c r="V18" s="361">
        <f>+$G$18*q11a!$G$18</f>
        <v>197068479.98000005</v>
      </c>
      <c r="W18" s="361">
        <f>+$H$18*q11a!$H$18</f>
        <v>206699082.82999998</v>
      </c>
      <c r="X18" s="361">
        <f>+$I$18*q11a!$I$18</f>
        <v>218599780.66999996</v>
      </c>
      <c r="Y18" s="361">
        <f>+$J$18*q11a!$J$18</f>
        <v>228979667.08999932</v>
      </c>
      <c r="Z18" s="361">
        <f>+$K$18*q11a!$K$18</f>
        <v>232193224.81999946</v>
      </c>
      <c r="AA18" s="361">
        <f>+$L$18*q11a!$L$18</f>
        <v>245713652.10999906</v>
      </c>
      <c r="AB18" s="361">
        <f>+$M$18*q11a!$M$18</f>
        <v>273961482.33000106</v>
      </c>
    </row>
    <row r="19" spans="1:28" s="170" customFormat="1" ht="12.75" customHeight="1">
      <c r="A19" s="177"/>
      <c r="B19" s="185" t="str">
        <f>+'q18'!B19</f>
        <v>M</v>
      </c>
      <c r="C19" s="269">
        <f>+'q18'!C19</f>
        <v>809.306602837323</v>
      </c>
      <c r="D19" s="269">
        <f>+'q18'!D19</f>
        <v>804.37717204321405</v>
      </c>
      <c r="E19" s="269">
        <f>+'q18'!E19</f>
        <v>802.78299162961207</v>
      </c>
      <c r="F19" s="269">
        <f>+'q18'!F19</f>
        <v>808.54396430496502</v>
      </c>
      <c r="G19" s="269">
        <f>+'q18'!G19</f>
        <v>819.03912660493108</v>
      </c>
      <c r="H19" s="269">
        <f>+'q18'!H19</f>
        <v>836.376819426098</v>
      </c>
      <c r="I19" s="269">
        <f>+'q18'!I19</f>
        <v>864.1846170897511</v>
      </c>
      <c r="J19" s="269">
        <f>+'q18'!J19</f>
        <v>893.65473605270608</v>
      </c>
      <c r="K19" s="269">
        <f>+'q18'!K19</f>
        <v>929.72703687307012</v>
      </c>
      <c r="L19" s="269">
        <f>+'q18'!L19</f>
        <v>964.25267119545299</v>
      </c>
      <c r="M19" s="269">
        <f>+'q18'!M19</f>
        <v>1008.10902448864</v>
      </c>
      <c r="P19" s="177"/>
      <c r="Q19" s="185" t="s">
        <v>54</v>
      </c>
      <c r="R19" s="361">
        <f>+$C$19*q11a!$C$19</f>
        <v>129497149.52000006</v>
      </c>
      <c r="S19" s="361">
        <f>+$D$19*q11a!$D$19</f>
        <v>127840468.33000006</v>
      </c>
      <c r="T19" s="361">
        <f>+$E$19*q11a!$E$19</f>
        <v>130530106.09000003</v>
      </c>
      <c r="U19" s="361">
        <f>+$F$19*q11a!$F$19</f>
        <v>135002585.72</v>
      </c>
      <c r="V19" s="361">
        <f>+$G$19*q11a!$G$19</f>
        <v>141424305.03000006</v>
      </c>
      <c r="W19" s="361">
        <f>+$H$19*q11a!$H$19</f>
        <v>148795618.05999997</v>
      </c>
      <c r="X19" s="361">
        <f>+$I$19*q11a!$I$19</f>
        <v>157891714.65000007</v>
      </c>
      <c r="Y19" s="361">
        <f>+$J$19*q11a!$J$19</f>
        <v>160873044.62</v>
      </c>
      <c r="Z19" s="361">
        <f>+$K$19*q11a!$K$19</f>
        <v>159606240.41999996</v>
      </c>
      <c r="AA19" s="361">
        <f>+$L$19*q11a!$L$19</f>
        <v>171184740.96999997</v>
      </c>
      <c r="AB19" s="361">
        <f>+$M$19*q11a!$M$19</f>
        <v>192411720.84999979</v>
      </c>
    </row>
    <row r="20" spans="1:28" s="165" customFormat="1" ht="16.5" customHeight="1">
      <c r="A20" s="181" t="str">
        <f>+'q18'!A20</f>
        <v>50-99 pessoas</v>
      </c>
      <c r="B20" s="176" t="str">
        <f>+'q18'!B20</f>
        <v>T</v>
      </c>
      <c r="C20" s="268">
        <f>+'q18'!C20</f>
        <v>970.74764928367301</v>
      </c>
      <c r="D20" s="268">
        <f>+'q18'!D20</f>
        <v>958.95680328579203</v>
      </c>
      <c r="E20" s="268">
        <f>+'q18'!E20</f>
        <v>957.53812930352717</v>
      </c>
      <c r="F20" s="268">
        <f>+'q18'!F20</f>
        <v>959.45902998610006</v>
      </c>
      <c r="G20" s="268">
        <f>+'q18'!G20</f>
        <v>963.53191502701202</v>
      </c>
      <c r="H20" s="268">
        <f>+'q18'!H20</f>
        <v>989.73076858311811</v>
      </c>
      <c r="I20" s="268">
        <f>+'q18'!I20</f>
        <v>1013.6629595584101</v>
      </c>
      <c r="J20" s="268">
        <f>+'q18'!J20</f>
        <v>1043.70757266379</v>
      </c>
      <c r="K20" s="268">
        <f>+'q18'!K20</f>
        <v>1085.35750154833</v>
      </c>
      <c r="L20" s="268">
        <f>+'q18'!L20</f>
        <v>1135.0468820963602</v>
      </c>
      <c r="M20" s="268">
        <f>+'q18'!M20</f>
        <v>1181.8915247346499</v>
      </c>
      <c r="P20" s="181" t="s">
        <v>36</v>
      </c>
      <c r="Q20" s="176" t="s">
        <v>45</v>
      </c>
      <c r="R20" s="361">
        <f>+$C$20*q11a!$C$20</f>
        <v>215337068.05000004</v>
      </c>
      <c r="S20" s="361">
        <f>+$D$20*q11a!$D$20</f>
        <v>210248402.25000006</v>
      </c>
      <c r="T20" s="361">
        <f>+$E$20*q11a!$E$20</f>
        <v>214296075.80000007</v>
      </c>
      <c r="U20" s="361">
        <f>+$F$20*q11a!$F$20</f>
        <v>226409304.05999994</v>
      </c>
      <c r="V20" s="361">
        <f>+$G$20*q11a!$G$20</f>
        <v>236673307.81999999</v>
      </c>
      <c r="W20" s="361">
        <f>+$H$20*q11a!$H$20</f>
        <v>250387038.49000013</v>
      </c>
      <c r="X20" s="361">
        <f>+$I$20*q11a!$I$20</f>
        <v>267742852.1600011</v>
      </c>
      <c r="Y20" s="361">
        <f>+$J$20*q11a!$J$20</f>
        <v>279801300.90999949</v>
      </c>
      <c r="Z20" s="361">
        <f>+$K$20*q11a!$K$20</f>
        <v>282146280.0299992</v>
      </c>
      <c r="AA20" s="361">
        <f>+$L$20*q11a!$L$20</f>
        <v>304200509.72999918</v>
      </c>
      <c r="AB20" s="361">
        <f>+$M$20*q11a!$M$20</f>
        <v>342746178.38999903</v>
      </c>
    </row>
    <row r="21" spans="1:28" s="170" customFormat="1" ht="12.75" customHeight="1">
      <c r="A21" s="177"/>
      <c r="B21" s="185" t="str">
        <f>+'q18'!B21</f>
        <v>H</v>
      </c>
      <c r="C21" s="269">
        <f>+'q18'!C21</f>
        <v>1093.27177615302</v>
      </c>
      <c r="D21" s="269">
        <f>+'q18'!D21</f>
        <v>1073.5194932107902</v>
      </c>
      <c r="E21" s="269">
        <f>+'q18'!E21</f>
        <v>1065.4761454785701</v>
      </c>
      <c r="F21" s="269">
        <f>+'q18'!F21</f>
        <v>1066.4717616094301</v>
      </c>
      <c r="G21" s="269">
        <f>+'q18'!G21</f>
        <v>1063.5657982854302</v>
      </c>
      <c r="H21" s="269">
        <f>+'q18'!H21</f>
        <v>1088.33539654775</v>
      </c>
      <c r="I21" s="269">
        <f>+'q18'!I21</f>
        <v>1110.9952151623302</v>
      </c>
      <c r="J21" s="269">
        <f>+'q18'!J21</f>
        <v>1137.7042740743802</v>
      </c>
      <c r="K21" s="269">
        <f>+'q18'!K21</f>
        <v>1178.5121045250301</v>
      </c>
      <c r="L21" s="269">
        <f>+'q18'!L21</f>
        <v>1235.8029416531001</v>
      </c>
      <c r="M21" s="269">
        <f>+'q18'!M21</f>
        <v>1280.6740151694701</v>
      </c>
      <c r="P21" s="177"/>
      <c r="Q21" s="185" t="s">
        <v>53</v>
      </c>
      <c r="R21" s="361">
        <f>+$C$21*q11a!$C$21</f>
        <v>128146757.97000009</v>
      </c>
      <c r="S21" s="361">
        <f>+$D$21*q11a!$D$21</f>
        <v>124046250.96000002</v>
      </c>
      <c r="T21" s="361">
        <f>+$E$21*q11a!$E$21</f>
        <v>125766673.25999945</v>
      </c>
      <c r="U21" s="361">
        <f>+$F$21*q11a!$F$21</f>
        <v>131891629.22999984</v>
      </c>
      <c r="V21" s="361">
        <f>+$G$21*q11a!$G$21</f>
        <v>137088313.57000053</v>
      </c>
      <c r="W21" s="361">
        <f>+$H$21*q11a!$H$21</f>
        <v>146214595.52000058</v>
      </c>
      <c r="X21" s="361">
        <f>+$I$21*q11a!$I$21</f>
        <v>156248145.06999978</v>
      </c>
      <c r="Y21" s="361">
        <f>+$J$21*q11a!$J$21</f>
        <v>163228707.60999948</v>
      </c>
      <c r="Z21" s="361">
        <f>+$K$21*q11a!$K$21</f>
        <v>164704137.6800001</v>
      </c>
      <c r="AA21" s="361">
        <f>+$L$21*q11a!$L$21</f>
        <v>176918784.92999947</v>
      </c>
      <c r="AB21" s="361">
        <f>+$M$21*q11a!$M$21</f>
        <v>199917055.78999978</v>
      </c>
    </row>
    <row r="22" spans="1:28" s="170" customFormat="1" ht="12.75" customHeight="1">
      <c r="A22" s="177"/>
      <c r="B22" s="185" t="str">
        <f>+'q18'!B22</f>
        <v>M</v>
      </c>
      <c r="C22" s="269">
        <f>+'q18'!C22</f>
        <v>833.46375253317001</v>
      </c>
      <c r="D22" s="269">
        <f>+'q18'!D22</f>
        <v>831.29678377179403</v>
      </c>
      <c r="E22" s="269">
        <f>+'q18'!E22</f>
        <v>837.07039967473804</v>
      </c>
      <c r="F22" s="269">
        <f>+'q18'!F22</f>
        <v>841.61591051155301</v>
      </c>
      <c r="G22" s="269">
        <f>+'q18'!G22</f>
        <v>853.07869251987404</v>
      </c>
      <c r="H22" s="269">
        <f>+'q18'!H22</f>
        <v>878.06978345892503</v>
      </c>
      <c r="I22" s="269">
        <f>+'q18'!I22</f>
        <v>902.82039167260507</v>
      </c>
      <c r="J22" s="269">
        <f>+'q18'!J22</f>
        <v>935.48449025776006</v>
      </c>
      <c r="K22" s="269">
        <f>+'q18'!K22</f>
        <v>977.04796424322603</v>
      </c>
      <c r="L22" s="269">
        <f>+'q18'!L22</f>
        <v>1019.5098345161201</v>
      </c>
      <c r="M22" s="269">
        <f>+'q18'!M22</f>
        <v>1066.7248411068399</v>
      </c>
      <c r="P22" s="177"/>
      <c r="Q22" s="185" t="s">
        <v>54</v>
      </c>
      <c r="R22" s="361">
        <f>+$C$22*q11a!$C$22</f>
        <v>87190310.079999983</v>
      </c>
      <c r="S22" s="361">
        <f>+$D$22*q11a!$D$22</f>
        <v>86202151.289999947</v>
      </c>
      <c r="T22" s="361">
        <f>+$E$22*q11a!$E$22</f>
        <v>88529402.539999977</v>
      </c>
      <c r="U22" s="361">
        <f>+$F$22*q11a!$F$22</f>
        <v>94517674.829999954</v>
      </c>
      <c r="V22" s="361">
        <f>+$G$22*q11a!$G$22</f>
        <v>99584994.250000015</v>
      </c>
      <c r="W22" s="361">
        <f>+$H$22*q11a!$H$22</f>
        <v>104172442.96999995</v>
      </c>
      <c r="X22" s="361">
        <f>+$I$22*q11a!$I$22</f>
        <v>111494707.09000003</v>
      </c>
      <c r="Y22" s="361">
        <f>+$J$22*q11a!$J$22</f>
        <v>116572593.3</v>
      </c>
      <c r="Z22" s="361">
        <f>+$K$22*q11a!$K$22</f>
        <v>117442142.35000001</v>
      </c>
      <c r="AA22" s="361">
        <f>+$L$22*q11a!$L$22</f>
        <v>127281724.79999954</v>
      </c>
      <c r="AB22" s="361">
        <f>+$M$22*q11a!$M$22</f>
        <v>142829122.60000032</v>
      </c>
    </row>
    <row r="23" spans="1:28" s="165" customFormat="1" ht="16.5" customHeight="1">
      <c r="A23" s="181" t="str">
        <f>+'q18'!A23</f>
        <v>100-149 pessoas</v>
      </c>
      <c r="B23" s="176" t="str">
        <f>+'q18'!B23</f>
        <v>T</v>
      </c>
      <c r="C23" s="268">
        <f>+'q18'!C23</f>
        <v>1130.61492767204</v>
      </c>
      <c r="D23" s="268">
        <f>+'q18'!D23</f>
        <v>1094.1421918813198</v>
      </c>
      <c r="E23" s="268">
        <f>+'q18'!E23</f>
        <v>1085.9124623800701</v>
      </c>
      <c r="F23" s="268">
        <f>+'q18'!F23</f>
        <v>1091.4796823349602</v>
      </c>
      <c r="G23" s="268">
        <f>+'q18'!G23</f>
        <v>1084.1753787172001</v>
      </c>
      <c r="H23" s="268">
        <f>+'q18'!H23</f>
        <v>1059.05759475374</v>
      </c>
      <c r="I23" s="268">
        <f>+'q18'!I23</f>
        <v>1100.59208861412</v>
      </c>
      <c r="J23" s="268">
        <f>+'q18'!J23</f>
        <v>1141.5032989376202</v>
      </c>
      <c r="K23" s="268">
        <f>+'q18'!K23</f>
        <v>1166.09786123238</v>
      </c>
      <c r="L23" s="268">
        <f>+'q18'!L23</f>
        <v>1205.96843960402</v>
      </c>
      <c r="M23" s="268">
        <f>+'q18'!M23</f>
        <v>1287.1607030735001</v>
      </c>
      <c r="P23" s="181" t="s">
        <v>37</v>
      </c>
      <c r="Q23" s="176" t="s">
        <v>45</v>
      </c>
      <c r="R23" s="361">
        <f>+$C$23*q11a!$C$23</f>
        <v>124272670.38999996</v>
      </c>
      <c r="S23" s="361">
        <f>+$D$23*q11a!$D$23</f>
        <v>122288990.35999948</v>
      </c>
      <c r="T23" s="361">
        <f>+$E$23*q11a!$E$23</f>
        <v>127440514.76000027</v>
      </c>
      <c r="U23" s="361">
        <f>+$F$23*q11a!$F$23</f>
        <v>123556591.51999983</v>
      </c>
      <c r="V23" s="361">
        <f>+$G$23*q11a!$G$23</f>
        <v>127822108.80000046</v>
      </c>
      <c r="W23" s="361">
        <f>+$H$23*q11a!$H$23</f>
        <v>128954029.90999964</v>
      </c>
      <c r="X23" s="361">
        <f>+$I$23*q11a!$I$23</f>
        <v>138682307.30999944</v>
      </c>
      <c r="Y23" s="361">
        <f>+$J$23*q11a!$J$23</f>
        <v>145913800.69000024</v>
      </c>
      <c r="Z23" s="361">
        <f>+$K$23*q11a!$K$23</f>
        <v>142367721.78000003</v>
      </c>
      <c r="AA23" s="361">
        <f>+$L$23*q11a!$L$23</f>
        <v>153861071.42999968</v>
      </c>
      <c r="AB23" s="361">
        <f>+$M$23*q11a!$M$23</f>
        <v>177693822.21999976</v>
      </c>
    </row>
    <row r="24" spans="1:28" s="170" customFormat="1" ht="12.75" customHeight="1">
      <c r="A24" s="177"/>
      <c r="B24" s="185" t="str">
        <f>+'q18'!B24</f>
        <v>H</v>
      </c>
      <c r="C24" s="269">
        <f>+'q18'!C24</f>
        <v>1270.5372532188799</v>
      </c>
      <c r="D24" s="269">
        <f>+'q18'!D24</f>
        <v>1210.1168761449599</v>
      </c>
      <c r="E24" s="269">
        <f>+'q18'!E24</f>
        <v>1197.25743206318</v>
      </c>
      <c r="F24" s="269">
        <f>+'q18'!F24</f>
        <v>1201.1814373707102</v>
      </c>
      <c r="G24" s="269">
        <f>+'q18'!G24</f>
        <v>1185.8387117903901</v>
      </c>
      <c r="H24" s="269">
        <f>+'q18'!H24</f>
        <v>1134.3776324140999</v>
      </c>
      <c r="I24" s="269">
        <f>+'q18'!I24</f>
        <v>1171.61339243614</v>
      </c>
      <c r="J24" s="269">
        <f>+'q18'!J24</f>
        <v>1215.1559866202199</v>
      </c>
      <c r="K24" s="269">
        <f>+'q18'!K24</f>
        <v>1239.3201434497103</v>
      </c>
      <c r="L24" s="269">
        <f>+'q18'!L24</f>
        <v>1286.4722339952802</v>
      </c>
      <c r="M24" s="269">
        <f>+'q18'!M24</f>
        <v>1366.18548296583</v>
      </c>
      <c r="P24" s="177"/>
      <c r="Q24" s="185" t="s">
        <v>53</v>
      </c>
      <c r="R24" s="361">
        <f>+$C$24*q11a!$C$24</f>
        <v>78745357.879999742</v>
      </c>
      <c r="S24" s="361">
        <f>+$D$24*q11a!$D$24</f>
        <v>75965086.899999857</v>
      </c>
      <c r="T24" s="361">
        <f>+$E$24*q11a!$E$24</f>
        <v>79744528.52000016</v>
      </c>
      <c r="U24" s="361">
        <f>+$F$24*q11a!$F$24</f>
        <v>77225155.790000334</v>
      </c>
      <c r="V24" s="361">
        <f>+$G$24*q11a!$G$24</f>
        <v>78208434.719999805</v>
      </c>
      <c r="W24" s="361">
        <f>+$H$24*q11a!$H$24</f>
        <v>78279997.279999793</v>
      </c>
      <c r="X24" s="361">
        <f>+$I$24*q11a!$I$24</f>
        <v>83984762.809999824</v>
      </c>
      <c r="Y24" s="361">
        <f>+$J$24*q11a!$J$24</f>
        <v>87914105.319999665</v>
      </c>
      <c r="Z24" s="361">
        <f>+$K$24*q11a!$K$24</f>
        <v>86048476.200000286</v>
      </c>
      <c r="AA24" s="361">
        <f>+$L$24*q11a!$L$24</f>
        <v>92638865.570000127</v>
      </c>
      <c r="AB24" s="361">
        <f>+$M$24*q11a!$M$24</f>
        <v>106629410.76000006</v>
      </c>
    </row>
    <row r="25" spans="1:28" s="170" customFormat="1" ht="12.75" customHeight="1">
      <c r="A25" s="177"/>
      <c r="B25" s="185" t="str">
        <f>+'q18'!B25</f>
        <v>M</v>
      </c>
      <c r="C25" s="269">
        <f>+'q18'!C25</f>
        <v>949.71238912762306</v>
      </c>
      <c r="D25" s="269">
        <f>+'q18'!D25</f>
        <v>945.54015880143709</v>
      </c>
      <c r="E25" s="269">
        <f>+'q18'!E25</f>
        <v>939.78535308953303</v>
      </c>
      <c r="F25" s="269">
        <f>+'q18'!F25</f>
        <v>947.27940564301798</v>
      </c>
      <c r="G25" s="269">
        <f>+'q18'!G25</f>
        <v>955.10095252762505</v>
      </c>
      <c r="H25" s="269">
        <f>+'q18'!H25</f>
        <v>960.53591307149907</v>
      </c>
      <c r="I25" s="269">
        <f>+'q18'!I25</f>
        <v>1006.8762333407</v>
      </c>
      <c r="J25" s="269">
        <f>+'q18'!J25</f>
        <v>1045.4539704026799</v>
      </c>
      <c r="K25" s="269">
        <f>+'q18'!K25</f>
        <v>1069.5490738173501</v>
      </c>
      <c r="L25" s="269">
        <f>+'q18'!L25</f>
        <v>1101.6537861911402</v>
      </c>
      <c r="M25" s="269">
        <f>+'q18'!M25</f>
        <v>1184.3673787540401</v>
      </c>
      <c r="P25" s="177"/>
      <c r="Q25" s="185" t="s">
        <v>54</v>
      </c>
      <c r="R25" s="361">
        <f>+$C$25*q11a!$C$25</f>
        <v>45527312.50999999</v>
      </c>
      <c r="S25" s="361">
        <f>+$D$25*q11a!$D$25</f>
        <v>46323903.460000008</v>
      </c>
      <c r="T25" s="361">
        <f>+$E$25*q11a!$E$25</f>
        <v>47695986.23999998</v>
      </c>
      <c r="U25" s="361">
        <f>+$F$25*q11a!$F$25</f>
        <v>46331435.730000012</v>
      </c>
      <c r="V25" s="361">
        <f>+$G$25*q11a!$G$25</f>
        <v>49613674.080000013</v>
      </c>
      <c r="W25" s="361">
        <f>+$H$25*q11a!$H$25</f>
        <v>50674032.630000003</v>
      </c>
      <c r="X25" s="361">
        <f>+$I$25*q11a!$I$25</f>
        <v>54697544.500000186</v>
      </c>
      <c r="Y25" s="361">
        <f>+$J$25*q11a!$J$25</f>
        <v>57999695.369999878</v>
      </c>
      <c r="Z25" s="361">
        <f>+$K$25*q11a!$K$25</f>
        <v>56319245.580000199</v>
      </c>
      <c r="AA25" s="361">
        <f>+$L$25*q11a!$L$25</f>
        <v>61222205.86000023</v>
      </c>
      <c r="AB25" s="361">
        <f>+$M$25*q11a!$M$25</f>
        <v>71064411.459999919</v>
      </c>
    </row>
    <row r="26" spans="1:28" s="165" customFormat="1" ht="16.5" customHeight="1">
      <c r="A26" s="181" t="str">
        <f>+'q18'!A26</f>
        <v>150-199 pessoas</v>
      </c>
      <c r="B26" s="176" t="str">
        <f>+'q18'!B26</f>
        <v>T</v>
      </c>
      <c r="C26" s="268">
        <f>+'q18'!C26</f>
        <v>1091.2504342150901</v>
      </c>
      <c r="D26" s="268">
        <f>+'q18'!D26</f>
        <v>1147.32405771867</v>
      </c>
      <c r="E26" s="268">
        <f>+'q18'!E26</f>
        <v>1128.0194436891002</v>
      </c>
      <c r="F26" s="268">
        <f>+'q18'!F26</f>
        <v>1086.8480126392399</v>
      </c>
      <c r="G26" s="268">
        <f>+'q18'!G26</f>
        <v>1182.74747581366</v>
      </c>
      <c r="H26" s="268">
        <f>+'q18'!H26</f>
        <v>1143.5510007537903</v>
      </c>
      <c r="I26" s="268">
        <f>+'q18'!I26</f>
        <v>1150.8954903890601</v>
      </c>
      <c r="J26" s="268">
        <f>+'q18'!J26</f>
        <v>1141.4004104114799</v>
      </c>
      <c r="K26" s="268">
        <f>+'q18'!K26</f>
        <v>1208.0981263021501</v>
      </c>
      <c r="L26" s="268">
        <f>+'q18'!L26</f>
        <v>1237.38361673702</v>
      </c>
      <c r="M26" s="268">
        <f>+'q18'!M26</f>
        <v>1300.4003608595799</v>
      </c>
      <c r="P26" s="181" t="s">
        <v>38</v>
      </c>
      <c r="Q26" s="176" t="s">
        <v>45</v>
      </c>
      <c r="R26" s="361">
        <f>+$C$26*q11a!$C$26</f>
        <v>78586400.019999713</v>
      </c>
      <c r="S26" s="361">
        <f>+$D$26*q11a!$D$26</f>
        <v>83685816.769999787</v>
      </c>
      <c r="T26" s="361">
        <f>+$E$26*q11a!$E$26</f>
        <v>79647196.87999998</v>
      </c>
      <c r="U26" s="361">
        <f>+$F$26*q11a!$F$26</f>
        <v>81862479.16000019</v>
      </c>
      <c r="V26" s="361">
        <f>+$G$26*q11a!$G$26</f>
        <v>89978696.969999999</v>
      </c>
      <c r="W26" s="361">
        <f>+$H$26*q11a!$H$26</f>
        <v>89506880.379999921</v>
      </c>
      <c r="X26" s="361">
        <f>+$I$26*q11a!$I$26</f>
        <v>97056167.59999983</v>
      </c>
      <c r="Y26" s="361">
        <f>+$J$26*q11a!$J$26</f>
        <v>96254296.610000104</v>
      </c>
      <c r="Z26" s="361">
        <f>+$K$26*q11a!$K$26</f>
        <v>95096652.110000044</v>
      </c>
      <c r="AA26" s="361">
        <f>+$L$26*q11a!$L$26</f>
        <v>104656668.92000042</v>
      </c>
      <c r="AB26" s="361">
        <f>+$M$26*q11a!$M$26</f>
        <v>125081609.51000041</v>
      </c>
    </row>
    <row r="27" spans="1:28" s="170" customFormat="1" ht="12.75" customHeight="1">
      <c r="A27" s="177"/>
      <c r="B27" s="185" t="str">
        <f>+'q18'!B27</f>
        <v>H</v>
      </c>
      <c r="C27" s="269">
        <f>+'q18'!C27</f>
        <v>1172.81920769267</v>
      </c>
      <c r="D27" s="269">
        <f>+'q18'!D27</f>
        <v>1247.7281097069699</v>
      </c>
      <c r="E27" s="269">
        <f>+'q18'!E27</f>
        <v>1220.42574815428</v>
      </c>
      <c r="F27" s="269">
        <f>+'q18'!F27</f>
        <v>1160.83291148946</v>
      </c>
      <c r="G27" s="269">
        <f>+'q18'!G27</f>
        <v>1317.1513448713899</v>
      </c>
      <c r="H27" s="269">
        <f>+'q18'!H27</f>
        <v>1252.2941014333001</v>
      </c>
      <c r="I27" s="269">
        <f>+'q18'!I27</f>
        <v>1246.0422190720601</v>
      </c>
      <c r="J27" s="269">
        <f>+'q18'!J27</f>
        <v>1202.8477356226699</v>
      </c>
      <c r="K27" s="269">
        <f>+'q18'!K27</f>
        <v>1257.2170677955</v>
      </c>
      <c r="L27" s="269">
        <f>+'q18'!L27</f>
        <v>1300.1367537956799</v>
      </c>
      <c r="M27" s="269">
        <f>+'q18'!M27</f>
        <v>1371.5311628766201</v>
      </c>
      <c r="P27" s="177"/>
      <c r="Q27" s="185" t="s">
        <v>53</v>
      </c>
      <c r="R27" s="361">
        <f>+$C$27*q11a!$C$27</f>
        <v>49884692.18000003</v>
      </c>
      <c r="S27" s="361">
        <f>+$D$27*q11a!$D$27</f>
        <v>54205052.269999892</v>
      </c>
      <c r="T27" s="361">
        <f>+$E$27*q11a!$E$27</f>
        <v>50087493.129999802</v>
      </c>
      <c r="U27" s="361">
        <f>+$F$27*q11a!$F$27</f>
        <v>51477135.460000105</v>
      </c>
      <c r="V27" s="361">
        <f>+$G$27*q11a!$G$27</f>
        <v>58067934.190000094</v>
      </c>
      <c r="W27" s="361">
        <f>+$H$27*q11a!$H$27</f>
        <v>55655706.750000156</v>
      </c>
      <c r="X27" s="361">
        <f>+$I$27*q11a!$I$27</f>
        <v>60211252.110000089</v>
      </c>
      <c r="Y27" s="361">
        <f>+$J$27*q11a!$J$27</f>
        <v>58145659.539999865</v>
      </c>
      <c r="Z27" s="361">
        <f>+$K$27*q11a!$K$27</f>
        <v>57617000.99999997</v>
      </c>
      <c r="AA27" s="361">
        <f>+$L$27*q11a!$L$27</f>
        <v>61826703.189999759</v>
      </c>
      <c r="AB27" s="361">
        <f>+$M$27*q11a!$M$27</f>
        <v>74245096.440000072</v>
      </c>
    </row>
    <row r="28" spans="1:28" s="170" customFormat="1" ht="12.75" customHeight="1">
      <c r="A28" s="177"/>
      <c r="B28" s="185" t="str">
        <f>+'q18'!B28</f>
        <v>M</v>
      </c>
      <c r="C28" s="269">
        <f>+'q18'!C28</f>
        <v>973.56629150978608</v>
      </c>
      <c r="D28" s="269">
        <f>+'q18'!D28</f>
        <v>999.44958809370405</v>
      </c>
      <c r="E28" s="269">
        <f>+'q18'!E28</f>
        <v>999.75322995231204</v>
      </c>
      <c r="F28" s="269">
        <f>+'q18'!F28</f>
        <v>980.93180849690111</v>
      </c>
      <c r="G28" s="269">
        <f>+'q18'!G28</f>
        <v>997.523062832135</v>
      </c>
      <c r="H28" s="269">
        <f>+'q18'!H28</f>
        <v>1000.6850428639001</v>
      </c>
      <c r="I28" s="269">
        <f>+'q18'!I28</f>
        <v>1023.2140712044201</v>
      </c>
      <c r="J28" s="269">
        <f>+'q18'!J28</f>
        <v>1058.8673817727101</v>
      </c>
      <c r="K28" s="269">
        <f>+'q18'!K28</f>
        <v>1139.6494392921202</v>
      </c>
      <c r="L28" s="269">
        <f>+'q18'!L28</f>
        <v>1156.7850298446999</v>
      </c>
      <c r="M28" s="269">
        <f>+'q18'!M28</f>
        <v>1208.8389468302701</v>
      </c>
      <c r="P28" s="177"/>
      <c r="Q28" s="185" t="s">
        <v>54</v>
      </c>
      <c r="R28" s="361">
        <f>+$C$28*q11a!$C$28</f>
        <v>28701707.840000004</v>
      </c>
      <c r="S28" s="361">
        <f>+$D$28*q11a!$D$28</f>
        <v>29480764.499999989</v>
      </c>
      <c r="T28" s="361">
        <f>+$E$28*q11a!$E$28</f>
        <v>29559703.750000011</v>
      </c>
      <c r="U28" s="361">
        <f>+$F$28*q11a!$F$28</f>
        <v>30385343.70000001</v>
      </c>
      <c r="V28" s="361">
        <f>+$G$28*q11a!$G$28</f>
        <v>31910762.779999997</v>
      </c>
      <c r="W28" s="361">
        <f>+$H$28*q11a!$H$28</f>
        <v>33851173.63000001</v>
      </c>
      <c r="X28" s="361">
        <f>+$I$28*q11a!$I$28</f>
        <v>36844915.489999965</v>
      </c>
      <c r="Y28" s="361">
        <f>+$J$28*q11a!$J$28</f>
        <v>38108637.069999836</v>
      </c>
      <c r="Z28" s="361">
        <f>+$K$28*q11a!$K$28</f>
        <v>37479651.109999955</v>
      </c>
      <c r="AA28" s="361">
        <f>+$L$28*q11a!$L$28</f>
        <v>42829965.730000012</v>
      </c>
      <c r="AB28" s="361">
        <f>+$M$28*q11a!$M$28</f>
        <v>50836513.070000179</v>
      </c>
    </row>
    <row r="29" spans="1:28" s="165" customFormat="1" ht="16.5" customHeight="1">
      <c r="A29" s="181" t="str">
        <f>+'q18'!A29</f>
        <v>200-249 pessoas</v>
      </c>
      <c r="B29" s="176" t="str">
        <f>+'q18'!B29</f>
        <v>T</v>
      </c>
      <c r="C29" s="268">
        <f>+'q18'!C29</f>
        <v>1172.3180161164</v>
      </c>
      <c r="D29" s="268">
        <f>+'q18'!D29</f>
        <v>1151.8365840696401</v>
      </c>
      <c r="E29" s="268">
        <f>+'q18'!E29</f>
        <v>1115.2940955402703</v>
      </c>
      <c r="F29" s="268">
        <f>+'q18'!F29</f>
        <v>1264.1772525083902</v>
      </c>
      <c r="G29" s="268">
        <f>+'q18'!G29</f>
        <v>1171.4301519436601</v>
      </c>
      <c r="H29" s="268">
        <f>+'q18'!H29</f>
        <v>1277.65872503892</v>
      </c>
      <c r="I29" s="268">
        <f>+'q18'!I29</f>
        <v>1320.5272824818801</v>
      </c>
      <c r="J29" s="268">
        <f>+'q18'!J29</f>
        <v>1368.9630997081701</v>
      </c>
      <c r="K29" s="268">
        <f>+'q18'!K29</f>
        <v>1439.36823377836</v>
      </c>
      <c r="L29" s="268">
        <f>+'q18'!L29</f>
        <v>1365.36138240689</v>
      </c>
      <c r="M29" s="268">
        <f>+'q18'!M29</f>
        <v>1409.7251118875101</v>
      </c>
      <c r="P29" s="181" t="s">
        <v>39</v>
      </c>
      <c r="Q29" s="176" t="s">
        <v>45</v>
      </c>
      <c r="R29" s="361">
        <f>+$C$29*q11a!$C$29</f>
        <v>52373307.370000169</v>
      </c>
      <c r="S29" s="361">
        <f>+$D$29*q11a!$D$29</f>
        <v>52666575.970000222</v>
      </c>
      <c r="T29" s="361">
        <f>+$E$29*q11a!$E$29</f>
        <v>56593368.289999932</v>
      </c>
      <c r="U29" s="361">
        <f>+$F$29*q11a!$F$29</f>
        <v>65139261.28999982</v>
      </c>
      <c r="V29" s="361">
        <f>+$G$29*q11a!$G$29</f>
        <v>63373199.790000066</v>
      </c>
      <c r="W29" s="361">
        <f>+$H$29*q11a!$H$29</f>
        <v>76331165.210000202</v>
      </c>
      <c r="X29" s="361">
        <f>+$I$29*q11a!$I$29</f>
        <v>80363328.829999775</v>
      </c>
      <c r="Y29" s="361">
        <f>+$J$29*q11a!$J$29</f>
        <v>84437643.989999935</v>
      </c>
      <c r="Z29" s="361">
        <f>+$K$29*q11a!$K$29</f>
        <v>89374691.739999712</v>
      </c>
      <c r="AA29" s="361">
        <f>+$L$29*q11a!$L$29</f>
        <v>85601331.869999975</v>
      </c>
      <c r="AB29" s="361">
        <f>+$M$29*q11a!$M$29</f>
        <v>97646019.600000277</v>
      </c>
    </row>
    <row r="30" spans="1:28" s="170" customFormat="1" ht="12.75" customHeight="1">
      <c r="A30" s="177"/>
      <c r="B30" s="185" t="str">
        <f>+'q18'!B30</f>
        <v>H</v>
      </c>
      <c r="C30" s="269">
        <f>+'q18'!C30</f>
        <v>1277.8724927514102</v>
      </c>
      <c r="D30" s="269">
        <f>+'q18'!D30</f>
        <v>1269.4173987503802</v>
      </c>
      <c r="E30" s="269">
        <f>+'q18'!E30</f>
        <v>1205.6507611741201</v>
      </c>
      <c r="F30" s="269">
        <f>+'q18'!F30</f>
        <v>1409.3389387943498</v>
      </c>
      <c r="G30" s="269">
        <f>+'q18'!G30</f>
        <v>1254.27726598646</v>
      </c>
      <c r="H30" s="269">
        <f>+'q18'!H30</f>
        <v>1459.8711657255801</v>
      </c>
      <c r="I30" s="269">
        <f>+'q18'!I30</f>
        <v>1496.0758481824701</v>
      </c>
      <c r="J30" s="269">
        <f>+'q18'!J30</f>
        <v>1568.84458195611</v>
      </c>
      <c r="K30" s="269">
        <f>+'q18'!K30</f>
        <v>1640.27532520981</v>
      </c>
      <c r="L30" s="269">
        <f>+'q18'!L30</f>
        <v>1475.9192764622301</v>
      </c>
      <c r="M30" s="269">
        <f>+'q18'!M30</f>
        <v>1507.2290250370299</v>
      </c>
      <c r="P30" s="177"/>
      <c r="Q30" s="185" t="s">
        <v>53</v>
      </c>
      <c r="R30" s="361">
        <f>+$C$30*q11a!$C$30</f>
        <v>33495593.779999964</v>
      </c>
      <c r="S30" s="361">
        <f>+$D$30*q11a!$D$30</f>
        <v>33725881.4500001</v>
      </c>
      <c r="T30" s="361">
        <f>+$E$30*q11a!$E$30</f>
        <v>36145409.82000012</v>
      </c>
      <c r="U30" s="361">
        <f>+$F$30*q11a!$F$30</f>
        <v>42736793.979999863</v>
      </c>
      <c r="V30" s="361">
        <f>+$G$30*q11a!$G$30</f>
        <v>40935847.130000092</v>
      </c>
      <c r="W30" s="361">
        <f>+$H$30*q11a!$H$30</f>
        <v>51708636.69000005</v>
      </c>
      <c r="X30" s="361">
        <f>+$I$30*q11a!$I$30</f>
        <v>54573854.790000141</v>
      </c>
      <c r="Y30" s="361">
        <f>+$J$30*q11a!$J$30</f>
        <v>57906053.520000018</v>
      </c>
      <c r="Z30" s="361">
        <f>+$K$30*q11a!$K$30</f>
        <v>60978875.489999898</v>
      </c>
      <c r="AA30" s="361">
        <f>+$L$30*q11a!$L$30</f>
        <v>55035553.900000095</v>
      </c>
      <c r="AB30" s="361">
        <f>+$M$30*q11a!$M$30</f>
        <v>63089592.530000001</v>
      </c>
    </row>
    <row r="31" spans="1:28" s="170" customFormat="1" ht="12.75" customHeight="1">
      <c r="A31" s="177"/>
      <c r="B31" s="185" t="str">
        <f>+'q18'!B31</f>
        <v>M</v>
      </c>
      <c r="C31" s="269">
        <f>+'q18'!C31</f>
        <v>1022.46187455993</v>
      </c>
      <c r="D31" s="269">
        <f>+'q18'!D31</f>
        <v>988.76041553560196</v>
      </c>
      <c r="E31" s="269">
        <f>+'q18'!E31</f>
        <v>984.82678177527305</v>
      </c>
      <c r="F31" s="269">
        <f>+'q18'!F31</f>
        <v>1056.57064141867</v>
      </c>
      <c r="G31" s="269">
        <f>+'q18'!G31</f>
        <v>1045.44556238934</v>
      </c>
      <c r="H31" s="269">
        <f>+'q18'!H31</f>
        <v>1012.3146207293501</v>
      </c>
      <c r="I31" s="269">
        <f>+'q18'!I31</f>
        <v>1057.85610730547</v>
      </c>
      <c r="J31" s="269">
        <f>+'q18'!J31</f>
        <v>1071.11790351231</v>
      </c>
      <c r="K31" s="269">
        <f>+'q18'!K31</f>
        <v>1139.6161757033399</v>
      </c>
      <c r="L31" s="269">
        <f>+'q18'!L31</f>
        <v>1203.0928902621401</v>
      </c>
      <c r="M31" s="269">
        <f>+'q18'!M31</f>
        <v>1260.81534843841</v>
      </c>
      <c r="P31" s="177"/>
      <c r="Q31" s="185" t="s">
        <v>54</v>
      </c>
      <c r="R31" s="361">
        <f>+$C$31*q11a!$C$31</f>
        <v>18877713.589999989</v>
      </c>
      <c r="S31" s="361">
        <f>+$D$31*q11a!$D$31</f>
        <v>18940694.519999992</v>
      </c>
      <c r="T31" s="361">
        <f>+$E$31*q11a!$E$31</f>
        <v>20447958.469999995</v>
      </c>
      <c r="U31" s="361">
        <f>+$F$31*q11a!$F$31</f>
        <v>22402467.310000058</v>
      </c>
      <c r="V31" s="361">
        <f>+$G$31*q11a!$G$31</f>
        <v>22437352.660000015</v>
      </c>
      <c r="W31" s="361">
        <f>+$H$31*q11a!$H$31</f>
        <v>24622528.519999981</v>
      </c>
      <c r="X31" s="361">
        <f>+$I$31*q11a!$I$31</f>
        <v>25789474.040000055</v>
      </c>
      <c r="Y31" s="361">
        <f>+$J$31*q11a!$J$31</f>
        <v>26531590.469999921</v>
      </c>
      <c r="Z31" s="361">
        <f>+$K$31*q11a!$K$31</f>
        <v>28395816.250000119</v>
      </c>
      <c r="AA31" s="361">
        <f>+$L$31*q11a!$L$31</f>
        <v>30565777.969999932</v>
      </c>
      <c r="AB31" s="361">
        <f>+$M$31*q11a!$M$31</f>
        <v>34556427.069999941</v>
      </c>
    </row>
    <row r="32" spans="1:28" s="165" customFormat="1" ht="16.5" customHeight="1">
      <c r="A32" s="181" t="str">
        <f>+'q18'!A32</f>
        <v>250-499 pessoas</v>
      </c>
      <c r="B32" s="176" t="str">
        <f>+'q18'!B32</f>
        <v>T</v>
      </c>
      <c r="C32" s="268">
        <f>+'q18'!C32</f>
        <v>1097.6542684477299</v>
      </c>
      <c r="D32" s="268">
        <f>+'q18'!D32</f>
        <v>1080.5183205906301</v>
      </c>
      <c r="E32" s="268">
        <f>+'q18'!E32</f>
        <v>1119.7143646269501</v>
      </c>
      <c r="F32" s="268">
        <f>+'q18'!F32</f>
        <v>1109.2668524492601</v>
      </c>
      <c r="G32" s="268">
        <f>+'q18'!G32</f>
        <v>1149.4178326112099</v>
      </c>
      <c r="H32" s="268">
        <f>+'q18'!H32</f>
        <v>1180.82247203315</v>
      </c>
      <c r="I32" s="268">
        <f>+'q18'!I32</f>
        <v>1182.5932927646902</v>
      </c>
      <c r="J32" s="268">
        <f>+'q18'!J32</f>
        <v>1200.5933016435001</v>
      </c>
      <c r="K32" s="268">
        <f>+'q18'!K32</f>
        <v>1251.80055121584</v>
      </c>
      <c r="L32" s="268">
        <f>+'q18'!L32</f>
        <v>1327.5738912446002</v>
      </c>
      <c r="M32" s="268">
        <f>+'q18'!M32</f>
        <v>1385.8180089628299</v>
      </c>
      <c r="P32" s="181" t="s">
        <v>40</v>
      </c>
      <c r="Q32" s="176" t="s">
        <v>45</v>
      </c>
      <c r="R32" s="361">
        <f>+$C$32*q11a!$C$32</f>
        <v>136405495.9399994</v>
      </c>
      <c r="S32" s="361">
        <f>+$D$32*q11a!$D$32</f>
        <v>131573635.38000043</v>
      </c>
      <c r="T32" s="361">
        <f>+$E$32*q11a!$E$32</f>
        <v>133176587.10000019</v>
      </c>
      <c r="U32" s="361">
        <f>+$F$32*q11a!$F$32</f>
        <v>145448178.95999944</v>
      </c>
      <c r="V32" s="361">
        <f>+$G$32*q11a!$G$32</f>
        <v>159171381.46000034</v>
      </c>
      <c r="W32" s="361">
        <f>+$H$32*q11a!$H$32</f>
        <v>174694418.98000032</v>
      </c>
      <c r="X32" s="361">
        <f>+$I$32*q11a!$I$32</f>
        <v>185202387.79999983</v>
      </c>
      <c r="Y32" s="361">
        <f>+$J$32*q11a!$J$32</f>
        <v>188544773.87000018</v>
      </c>
      <c r="Z32" s="361">
        <f>+$K$32*q11a!$K$32</f>
        <v>192942522.55999985</v>
      </c>
      <c r="AA32" s="361">
        <f>+$L$32*q11a!$L$32</f>
        <v>202879842.05999979</v>
      </c>
      <c r="AB32" s="361">
        <f>+$M$32*q11a!$M$32</f>
        <v>227907472.30000013</v>
      </c>
    </row>
    <row r="33" spans="1:28" s="170" customFormat="1" ht="12.75" customHeight="1">
      <c r="A33" s="177"/>
      <c r="B33" s="185" t="str">
        <f>+'q18'!B33</f>
        <v>H</v>
      </c>
      <c r="C33" s="269">
        <f>+'q18'!C33</f>
        <v>1182.9806422514102</v>
      </c>
      <c r="D33" s="269">
        <f>+'q18'!D33</f>
        <v>1148.6066834787</v>
      </c>
      <c r="E33" s="269">
        <f>+'q18'!E33</f>
        <v>1195.87437231897</v>
      </c>
      <c r="F33" s="269">
        <f>+'q18'!F33</f>
        <v>1185.71625988451</v>
      </c>
      <c r="G33" s="269">
        <f>+'q18'!G33</f>
        <v>1221.53503307655</v>
      </c>
      <c r="H33" s="269">
        <f>+'q18'!H33</f>
        <v>1243.3235570332001</v>
      </c>
      <c r="I33" s="269">
        <f>+'q18'!I33</f>
        <v>1238.5215170169602</v>
      </c>
      <c r="J33" s="269">
        <f>+'q18'!J33</f>
        <v>1261.4583677650699</v>
      </c>
      <c r="K33" s="269">
        <f>+'q18'!K33</f>
        <v>1317.3187985842601</v>
      </c>
      <c r="L33" s="269">
        <f>+'q18'!L33</f>
        <v>1419.94317808489</v>
      </c>
      <c r="M33" s="269">
        <f>+'q18'!M33</f>
        <v>1486.1527116881502</v>
      </c>
      <c r="P33" s="177"/>
      <c r="Q33" s="185" t="s">
        <v>53</v>
      </c>
      <c r="R33" s="361">
        <f>+$C$33*q11a!$C$33</f>
        <v>85373346.989999771</v>
      </c>
      <c r="S33" s="361">
        <f>+$D$33*q11a!$D$33</f>
        <v>82440096.100000218</v>
      </c>
      <c r="T33" s="361">
        <f>+$E$33*q11a!$E$33</f>
        <v>84191947.560000122</v>
      </c>
      <c r="U33" s="361">
        <f>+$F$33*q11a!$F$33</f>
        <v>91167351.7900002</v>
      </c>
      <c r="V33" s="361">
        <f>+$G$33*q11a!$G$33</f>
        <v>98789202.729999825</v>
      </c>
      <c r="W33" s="361">
        <f>+$H$33*q11a!$H$33</f>
        <v>109010879.50999989</v>
      </c>
      <c r="X33" s="361">
        <f>+$I$33*q11a!$I$33</f>
        <v>116086621.78999968</v>
      </c>
      <c r="Y33" s="361">
        <f>+$J$33*q11a!$J$33</f>
        <v>118213786.56000023</v>
      </c>
      <c r="Z33" s="361">
        <f>+$K$33*q11a!$K$33</f>
        <v>120589997.46000034</v>
      </c>
      <c r="AA33" s="361">
        <f>+$L$33*q11a!$L$33</f>
        <v>129663531.24999981</v>
      </c>
      <c r="AB33" s="361">
        <f>+$M$33*q11a!$M$33</f>
        <v>144341095.96999991</v>
      </c>
    </row>
    <row r="34" spans="1:28" s="170" customFormat="1" ht="12.75" customHeight="1">
      <c r="A34" s="177"/>
      <c r="B34" s="185" t="str">
        <f>+'q18'!B34</f>
        <v>M</v>
      </c>
      <c r="C34" s="269">
        <f>+'q18'!C34</f>
        <v>979.46621914705804</v>
      </c>
      <c r="D34" s="269">
        <f>+'q18'!D34</f>
        <v>982.76906250625098</v>
      </c>
      <c r="E34" s="269">
        <f>+'q18'!E34</f>
        <v>1009.24343868469</v>
      </c>
      <c r="F34" s="269">
        <f>+'q18'!F34</f>
        <v>1000.88188317076</v>
      </c>
      <c r="G34" s="269">
        <f>+'q18'!G34</f>
        <v>1048.1743317652401</v>
      </c>
      <c r="H34" s="269">
        <f>+'q18'!H34</f>
        <v>1089.8937953406601</v>
      </c>
      <c r="I34" s="269">
        <f>+'q18'!I34</f>
        <v>1099.2217505606202</v>
      </c>
      <c r="J34" s="269">
        <f>+'q18'!J34</f>
        <v>1110.5301875858599</v>
      </c>
      <c r="K34" s="269">
        <f>+'q18'!K34</f>
        <v>1155.97579645311</v>
      </c>
      <c r="L34" s="269">
        <f>+'q18'!L34</f>
        <v>1190.43169241025</v>
      </c>
      <c r="M34" s="269">
        <f>+'q18'!M34</f>
        <v>1241.0909409947601</v>
      </c>
      <c r="P34" s="177"/>
      <c r="Q34" s="185" t="s">
        <v>54</v>
      </c>
      <c r="R34" s="361">
        <f>+$C$34*q11a!$C$34</f>
        <v>51032148.950000018</v>
      </c>
      <c r="S34" s="361">
        <f>+$D$34*q11a!$D$34</f>
        <v>49133539.280000016</v>
      </c>
      <c r="T34" s="361">
        <f>+$E$34*q11a!$E$34</f>
        <v>48984639.540000111</v>
      </c>
      <c r="U34" s="361">
        <f>+$F$34*q11a!$F$34</f>
        <v>54280827.16999983</v>
      </c>
      <c r="V34" s="361">
        <f>+$G$34*q11a!$G$34</f>
        <v>60382178.73000019</v>
      </c>
      <c r="W34" s="361">
        <f>+$H$34*q11a!$H$34</f>
        <v>65683539.470000222</v>
      </c>
      <c r="X34" s="361">
        <f>+$I$34*q11a!$I$34</f>
        <v>69115766.01000011</v>
      </c>
      <c r="Y34" s="361">
        <f>+$J$34*q11a!$J$34</f>
        <v>70330987.310000092</v>
      </c>
      <c r="Z34" s="361">
        <f>+$K$34*q11a!$K$34</f>
        <v>72352525.100000158</v>
      </c>
      <c r="AA34" s="361">
        <f>+$L$34*q11a!$L$34</f>
        <v>73216310.810000017</v>
      </c>
      <c r="AB34" s="361">
        <f>+$M$34*q11a!$M$34</f>
        <v>83566376.330000177</v>
      </c>
    </row>
    <row r="35" spans="1:28" s="165" customFormat="1" ht="16.5" customHeight="1">
      <c r="A35" s="181" t="str">
        <f>+'q18'!A35</f>
        <v>500-999 pessoas</v>
      </c>
      <c r="B35" s="176" t="str">
        <f>+'q18'!B35</f>
        <v>T</v>
      </c>
      <c r="C35" s="268">
        <f>+'q18'!C35</f>
        <v>1157.2010543588701</v>
      </c>
      <c r="D35" s="268">
        <f>+'q18'!D35</f>
        <v>1187.7532396326201</v>
      </c>
      <c r="E35" s="268">
        <f>+'q18'!E35</f>
        <v>1154.2357581312299</v>
      </c>
      <c r="F35" s="268">
        <f>+'q18'!F35</f>
        <v>1151.37035740238</v>
      </c>
      <c r="G35" s="268">
        <f>+'q18'!G35</f>
        <v>1156.6270943990098</v>
      </c>
      <c r="H35" s="268">
        <f>+'q18'!H35</f>
        <v>1124.5919278230301</v>
      </c>
      <c r="I35" s="268">
        <f>+'q18'!I35</f>
        <v>1175.0582166939103</v>
      </c>
      <c r="J35" s="268">
        <f>+'q18'!J35</f>
        <v>1241.5219759204899</v>
      </c>
      <c r="K35" s="268">
        <f>+'q18'!K35</f>
        <v>1278.2509985224201</v>
      </c>
      <c r="L35" s="268">
        <f>+'q18'!L35</f>
        <v>1314.5898750681499</v>
      </c>
      <c r="M35" s="268">
        <f>+'q18'!M35</f>
        <v>1406.2596916146401</v>
      </c>
      <c r="P35" s="181" t="s">
        <v>41</v>
      </c>
      <c r="Q35" s="176" t="s">
        <v>45</v>
      </c>
      <c r="R35" s="361">
        <f>+$C$35*q11a!$C$35</f>
        <v>94498195.299999699</v>
      </c>
      <c r="S35" s="361">
        <f>+$D$35*q11a!$D$35</f>
        <v>98154739.970000088</v>
      </c>
      <c r="T35" s="361">
        <f>+$E$35*q11a!$E$35</f>
        <v>98230079.960000187</v>
      </c>
      <c r="U35" s="361">
        <f>+$F$35*q11a!$F$35</f>
        <v>102991229.8400003</v>
      </c>
      <c r="V35" s="361">
        <f>+$G$35*q11a!$G$35</f>
        <v>100691328.33000019</v>
      </c>
      <c r="W35" s="361">
        <f>+$H$35*q11a!$H$35</f>
        <v>105078495.96000047</v>
      </c>
      <c r="X35" s="361">
        <f>+$I$35*q11a!$I$35</f>
        <v>115014698.24999994</v>
      </c>
      <c r="Y35" s="361">
        <f>+$J$35*q11a!$J$35</f>
        <v>138281959.20000008</v>
      </c>
      <c r="Z35" s="361">
        <f>+$K$35*q11a!$K$35</f>
        <v>143606386.6799998</v>
      </c>
      <c r="AA35" s="361">
        <f>+$L$35*q11a!$L$35</f>
        <v>142263601.69000012</v>
      </c>
      <c r="AB35" s="361">
        <f>+$M$35*q11a!$M$35</f>
        <v>177934038.78000042</v>
      </c>
    </row>
    <row r="36" spans="1:28" s="170" customFormat="1" ht="12.75" customHeight="1">
      <c r="A36" s="177"/>
      <c r="B36" s="185" t="str">
        <f>+'q18'!B36</f>
        <v>H</v>
      </c>
      <c r="C36" s="269">
        <f>+'q18'!C36</f>
        <v>1265.15645413027</v>
      </c>
      <c r="D36" s="269">
        <f>+'q18'!D36</f>
        <v>1293.8937824480101</v>
      </c>
      <c r="E36" s="269">
        <f>+'q18'!E36</f>
        <v>1227.71016267033</v>
      </c>
      <c r="F36" s="269">
        <f>+'q18'!F36</f>
        <v>1228.1999997963501</v>
      </c>
      <c r="G36" s="269">
        <f>+'q18'!G36</f>
        <v>1227.8993699892601</v>
      </c>
      <c r="H36" s="269">
        <f>+'q18'!H36</f>
        <v>1183.95011907361</v>
      </c>
      <c r="I36" s="269">
        <f>+'q18'!I36</f>
        <v>1255.7263957049402</v>
      </c>
      <c r="J36" s="269">
        <f>+'q18'!J36</f>
        <v>1326.2246773305801</v>
      </c>
      <c r="K36" s="269">
        <f>+'q18'!K36</f>
        <v>1368.40034237788</v>
      </c>
      <c r="L36" s="269">
        <f>+'q18'!L36</f>
        <v>1400.9047499114999</v>
      </c>
      <c r="M36" s="269">
        <f>+'q18'!M36</f>
        <v>1474.3856345307001</v>
      </c>
      <c r="P36" s="177"/>
      <c r="Q36" s="185" t="s">
        <v>53</v>
      </c>
      <c r="R36" s="361">
        <f>+$C$36*q11a!$C$36</f>
        <v>57066147.019999959</v>
      </c>
      <c r="S36" s="361">
        <f>+$D$36*q11a!$D$36</f>
        <v>59165880.990000159</v>
      </c>
      <c r="T36" s="361">
        <f>+$E$36*q11a!$E$36</f>
        <v>58113660.550000072</v>
      </c>
      <c r="U36" s="361">
        <f>+$F$36*q11a!$F$36</f>
        <v>60309532.789999977</v>
      </c>
      <c r="V36" s="361">
        <f>+$G$36*q11a!$G$36</f>
        <v>59425417.910000235</v>
      </c>
      <c r="W36" s="361">
        <f>+$H$36*q11a!$H$36</f>
        <v>59658062.550000139</v>
      </c>
      <c r="X36" s="361">
        <f>+$I$36*q11a!$I$36</f>
        <v>66425414.879999928</v>
      </c>
      <c r="Y36" s="361">
        <f>+$J$36*q11a!$J$36</f>
        <v>79511148.080000266</v>
      </c>
      <c r="Z36" s="361">
        <f>+$K$36*q11a!$K$36</f>
        <v>85330708.549999833</v>
      </c>
      <c r="AA36" s="361">
        <f>+$L$36*q11a!$L$36</f>
        <v>83100268.860000268</v>
      </c>
      <c r="AB36" s="361">
        <f>+$M$36*q11a!$M$36</f>
        <v>104131434.20999976</v>
      </c>
    </row>
    <row r="37" spans="1:28" s="170" customFormat="1" ht="12.75" customHeight="1">
      <c r="A37" s="182"/>
      <c r="B37" s="185" t="str">
        <f>+'q18'!B37</f>
        <v>M</v>
      </c>
      <c r="C37" s="269">
        <f>+'q18'!C37</f>
        <v>1023.9925668171201</v>
      </c>
      <c r="D37" s="269">
        <f>+'q18'!D37</f>
        <v>1056.2651435847399</v>
      </c>
      <c r="E37" s="269">
        <f>+'q18'!E37</f>
        <v>1062.15201382086</v>
      </c>
      <c r="F37" s="269">
        <f>+'q18'!F37</f>
        <v>1057.8654435274</v>
      </c>
      <c r="G37" s="269">
        <f>+'q18'!G37</f>
        <v>1067.4058566994299</v>
      </c>
      <c r="H37" s="269">
        <f>+'q18'!H37</f>
        <v>1055.1113503530898</v>
      </c>
      <c r="I37" s="269">
        <f>+'q18'!I37</f>
        <v>1080.19393023876</v>
      </c>
      <c r="J37" s="269">
        <f>+'q18'!J37</f>
        <v>1142.7784693163301</v>
      </c>
      <c r="K37" s="269">
        <f>+'q18'!K37</f>
        <v>1165.7933530047201</v>
      </c>
      <c r="L37" s="269">
        <f>+'q18'!L37</f>
        <v>1209.8841069529699</v>
      </c>
      <c r="M37" s="269">
        <f>+'q18'!M37</f>
        <v>1320.19041142694</v>
      </c>
      <c r="P37" s="182"/>
      <c r="Q37" s="185" t="s">
        <v>54</v>
      </c>
      <c r="R37" s="361">
        <f>+$C$37*q11a!$C$37</f>
        <v>37432048.279999822</v>
      </c>
      <c r="S37" s="361">
        <f>+$D$37*q11a!$D$37</f>
        <v>38988858.979999922</v>
      </c>
      <c r="T37" s="361">
        <f>+$E$37*q11a!$E$37</f>
        <v>40116419.410000063</v>
      </c>
      <c r="U37" s="361">
        <f>+$F$37*q11a!$F$37</f>
        <v>42681697.050000004</v>
      </c>
      <c r="V37" s="361">
        <f>+$G$37*q11a!$G$37</f>
        <v>41265910.419999965</v>
      </c>
      <c r="W37" s="361">
        <f>+$H$37*q11a!$H$37</f>
        <v>45420433.40999981</v>
      </c>
      <c r="X37" s="361">
        <f>+$I$37*q11a!$I$37</f>
        <v>48589283.3699999</v>
      </c>
      <c r="Y37" s="361">
        <f>+$J$37*q11a!$J$37</f>
        <v>58770811.120000221</v>
      </c>
      <c r="Z37" s="361">
        <f>+$K$37*q11a!$K$37</f>
        <v>58275678.129999951</v>
      </c>
      <c r="AA37" s="361">
        <f>+$L$37*q11a!$L$37</f>
        <v>59163332.830000229</v>
      </c>
      <c r="AB37" s="361">
        <f>+$M$37*q11a!$M$37</f>
        <v>73802604.570000231</v>
      </c>
    </row>
    <row r="38" spans="1:28" s="165" customFormat="1" ht="16.5" customHeight="1">
      <c r="A38" s="181" t="str">
        <f>+'q18'!A38</f>
        <v>1 000 e + pessoas</v>
      </c>
      <c r="B38" s="176" t="str">
        <f>+'q18'!B38</f>
        <v>T</v>
      </c>
      <c r="C38" s="268">
        <f>+'q18'!C38</f>
        <v>1025.5917487991098</v>
      </c>
      <c r="D38" s="268">
        <f>+'q18'!D38</f>
        <v>1008.98544289221</v>
      </c>
      <c r="E38" s="268">
        <f>+'q18'!E38</f>
        <v>989.69053348913405</v>
      </c>
      <c r="F38" s="268">
        <f>+'q18'!F38</f>
        <v>1012.1766182170501</v>
      </c>
      <c r="G38" s="268">
        <f>+'q18'!G38</f>
        <v>1011.2808915493399</v>
      </c>
      <c r="H38" s="268">
        <f>+'q18'!H38</f>
        <v>1042.5139126941801</v>
      </c>
      <c r="I38" s="268">
        <f>+'q18'!I38</f>
        <v>1087.9007445219302</v>
      </c>
      <c r="J38" s="268">
        <f>+'q18'!J38</f>
        <v>1152.03691500786</v>
      </c>
      <c r="K38" s="268">
        <f>+'q18'!K38</f>
        <v>1110.1810508902399</v>
      </c>
      <c r="L38" s="268">
        <f>+'q18'!L38</f>
        <v>1200.89341730002</v>
      </c>
      <c r="M38" s="268">
        <f>+'q18'!M38</f>
        <v>1319.0122851366202</v>
      </c>
      <c r="P38" s="181" t="s">
        <v>72</v>
      </c>
      <c r="Q38" s="176" t="s">
        <v>45</v>
      </c>
      <c r="R38" s="361">
        <f>+$C$38*q11a!$C$38</f>
        <v>95650788.860000178</v>
      </c>
      <c r="S38" s="361">
        <f>+$D$38*q11a!$D$38</f>
        <v>99886531.89000012</v>
      </c>
      <c r="T38" s="361">
        <f>+$E$38*q11a!$E$38</f>
        <v>103330619.53000002</v>
      </c>
      <c r="U38" s="361">
        <f>+$F$38*q11a!$F$38</f>
        <v>109679458.34999955</v>
      </c>
      <c r="V38" s="361">
        <f>+$G$38*q11a!$G$38</f>
        <v>120961329.99999964</v>
      </c>
      <c r="W38" s="361">
        <f>+$H$38*q11a!$H$38</f>
        <v>138849300.48999977</v>
      </c>
      <c r="X38" s="361">
        <f>+$I$38*q11a!$I$38</f>
        <v>153660540.66000003</v>
      </c>
      <c r="Y38" s="361">
        <f>+$J$38*q11a!$J$38</f>
        <v>175939077.66000038</v>
      </c>
      <c r="Z38" s="361">
        <f>+$K$38*q11a!$K$38</f>
        <v>169787759.38000062</v>
      </c>
      <c r="AA38" s="361">
        <f>+$L$38*q11a!$L$38</f>
        <v>188977391.72000036</v>
      </c>
      <c r="AB38" s="361">
        <f>+$M$38*q11a!$M$38</f>
        <v>232247726.13000068</v>
      </c>
    </row>
    <row r="39" spans="1:28" s="170" customFormat="1" ht="12.75" customHeight="1">
      <c r="A39" s="182"/>
      <c r="B39" s="185" t="str">
        <f>+'q18'!B39</f>
        <v>H</v>
      </c>
      <c r="C39" s="269">
        <f>+'q18'!C39</f>
        <v>1127.56244502103</v>
      </c>
      <c r="D39" s="269">
        <f>+'q18'!D39</f>
        <v>1106.8647419163801</v>
      </c>
      <c r="E39" s="269">
        <f>+'q18'!E39</f>
        <v>1071.92472702142</v>
      </c>
      <c r="F39" s="269">
        <f>+'q18'!F39</f>
        <v>1102.02725196909</v>
      </c>
      <c r="G39" s="269">
        <f>+'q18'!G39</f>
        <v>1094.9513228969599</v>
      </c>
      <c r="H39" s="269">
        <f>+'q18'!H39</f>
        <v>1110.8924296359398</v>
      </c>
      <c r="I39" s="269">
        <f>+'q18'!I39</f>
        <v>1163.3364928373101</v>
      </c>
      <c r="J39" s="269">
        <f>+'q18'!J39</f>
        <v>1239.6304019278</v>
      </c>
      <c r="K39" s="269">
        <f>+'q18'!K39</f>
        <v>1174.1981879437101</v>
      </c>
      <c r="L39" s="269">
        <f>+'q18'!L39</f>
        <v>1274.7043584137803</v>
      </c>
      <c r="M39" s="269">
        <f>+'q18'!M39</f>
        <v>1447.7178795530801</v>
      </c>
      <c r="P39" s="182"/>
      <c r="Q39" s="185" t="s">
        <v>53</v>
      </c>
      <c r="R39" s="361">
        <f>+$C$39*q11a!$C$39</f>
        <v>53887336.810000047</v>
      </c>
      <c r="S39" s="361">
        <f>+$D$39*q11a!$D$39</f>
        <v>54188777.170000225</v>
      </c>
      <c r="T39" s="361">
        <f>+$E$39*q11a!$E$39</f>
        <v>57389777.959999807</v>
      </c>
      <c r="U39" s="361">
        <f>+$F$39*q11a!$F$39</f>
        <v>59604245.950000204</v>
      </c>
      <c r="V39" s="361">
        <f>+$G$39*q11a!$G$39</f>
        <v>63649520.400000282</v>
      </c>
      <c r="W39" s="361">
        <f>+$H$39*q11a!$H$39</f>
        <v>75584010.019999713</v>
      </c>
      <c r="X39" s="361">
        <f>+$I$39*q11a!$I$39</f>
        <v>84212765.38000004</v>
      </c>
      <c r="Y39" s="361">
        <f>+$J$39*q11a!$J$39</f>
        <v>95425508.710000113</v>
      </c>
      <c r="Z39" s="361">
        <f>+$K$39*q11a!$K$39</f>
        <v>84517611.370000303</v>
      </c>
      <c r="AA39" s="361">
        <f>+$L$39*q11a!$L$39</f>
        <v>96787027.229999915</v>
      </c>
      <c r="AB39" s="361">
        <f>+$M$39*q11a!$M$39</f>
        <v>125556228.53999998</v>
      </c>
    </row>
    <row r="40" spans="1:28" s="170" customFormat="1" ht="12.75" customHeight="1">
      <c r="A40" s="183"/>
      <c r="B40" s="184" t="str">
        <f>+'q18'!B40</f>
        <v>M</v>
      </c>
      <c r="C40" s="270">
        <f>+'q18'!C40</f>
        <v>918.42306533547401</v>
      </c>
      <c r="D40" s="270">
        <f>+'q18'!D40</f>
        <v>913.22451478816902</v>
      </c>
      <c r="E40" s="270">
        <f>+'q18'!E40</f>
        <v>903.13834965007504</v>
      </c>
      <c r="F40" s="270">
        <f>+'q18'!F40</f>
        <v>922.63721855768904</v>
      </c>
      <c r="G40" s="270">
        <f>+'q18'!G40</f>
        <v>932.17217396961701</v>
      </c>
      <c r="H40" s="270">
        <f>+'q18'!H40</f>
        <v>971.10103871185595</v>
      </c>
      <c r="I40" s="270">
        <f>+'q18'!I40</f>
        <v>1008.5943894504501</v>
      </c>
      <c r="J40" s="270">
        <f>+'q18'!J40</f>
        <v>1063.0116970993301</v>
      </c>
      <c r="K40" s="270">
        <f>+'q18'!K40</f>
        <v>1053.2640135625902</v>
      </c>
      <c r="L40" s="270">
        <f>+'q18'!L40</f>
        <v>1132.0729967458701</v>
      </c>
      <c r="M40" s="270">
        <f>+'q18'!M40</f>
        <v>1194.08503178511</v>
      </c>
      <c r="P40" s="183"/>
      <c r="Q40" s="184" t="s">
        <v>54</v>
      </c>
      <c r="R40" s="361">
        <f>+$C$40*q11a!$C$40</f>
        <v>41763452.050000012</v>
      </c>
      <c r="S40" s="361">
        <f>+$D$40*q11a!$D$40</f>
        <v>45697754.719999976</v>
      </c>
      <c r="T40" s="361">
        <f>+$E$40*q11a!$E$40</f>
        <v>45940841.570000015</v>
      </c>
      <c r="U40" s="361">
        <f>+$F$40*q11a!$F$40</f>
        <v>50075212.400000013</v>
      </c>
      <c r="V40" s="361">
        <f>+$G$40*q11a!$G$40</f>
        <v>57311809.599999994</v>
      </c>
      <c r="W40" s="361">
        <f>+$H$40*q11a!$H$40</f>
        <v>63265290.469999991</v>
      </c>
      <c r="X40" s="361">
        <f>+$I$40*q11a!$I$40</f>
        <v>69447775.280000195</v>
      </c>
      <c r="Y40" s="361">
        <f>+$J$40*q11a!$J$40</f>
        <v>80513568.950000361</v>
      </c>
      <c r="Z40" s="361">
        <f>+$K$40*q11a!$K$40</f>
        <v>85270148.010000184</v>
      </c>
      <c r="AA40" s="361">
        <f>+$L$40*q11a!$L$40</f>
        <v>92190364.489999935</v>
      </c>
      <c r="AB40" s="361">
        <f>+$M$40*q11a!$M$40</f>
        <v>106691497.58999959</v>
      </c>
    </row>
    <row r="41" spans="1:28" s="170" customFormat="1" ht="14.25" customHeight="1">
      <c r="A41" s="20" t="str">
        <f>+'q18'!A41</f>
        <v>Fonte: GEP/MTSSS, Quadros de Pessoal.</v>
      </c>
      <c r="B41" s="185"/>
      <c r="C41" s="177"/>
      <c r="D41" s="180"/>
      <c r="E41" s="180"/>
      <c r="G41" s="180"/>
      <c r="H41" s="180"/>
      <c r="I41" s="180"/>
      <c r="J41" s="180"/>
      <c r="K41" s="180"/>
      <c r="L41" s="180"/>
      <c r="M41" s="180"/>
    </row>
    <row r="42" spans="1:28" s="170" customFormat="1" ht="29.25" customHeight="1">
      <c r="A42" s="586" t="str">
        <f>+'q18'!A42:M42</f>
        <v xml:space="preserve">      (1) dos trabalhadores por conta de outrem a tempo completo, que auferiram remuneração completa no período de referência.</v>
      </c>
      <c r="B42" s="586"/>
      <c r="C42" s="586"/>
      <c r="D42" s="586"/>
      <c r="E42" s="586"/>
      <c r="F42" s="586"/>
      <c r="G42" s="586"/>
      <c r="H42" s="586"/>
      <c r="I42" s="586"/>
      <c r="J42" s="586"/>
      <c r="K42" s="586"/>
      <c r="L42" s="586"/>
      <c r="M42" s="586"/>
    </row>
    <row r="43" spans="1:28" s="61" customFormat="1" ht="17.25" customHeight="1">
      <c r="A43" s="96"/>
      <c r="B43" s="96"/>
    </row>
  </sheetData>
  <mergeCells count="2">
    <mergeCell ref="A1:M1"/>
    <mergeCell ref="A42:M42"/>
  </mergeCells>
  <conditionalFormatting sqref="A1 N1:XFD1 N2:O2 Q2:XFD2 N3:XFD3 A5:I40">
    <cfRule type="cellIs" dxfId="124" priority="41" operator="equal">
      <formula>0</formula>
    </cfRule>
  </conditionalFormatting>
  <conditionalFormatting sqref="A41:A42">
    <cfRule type="cellIs" dxfId="123" priority="39" operator="equal">
      <formula>0</formula>
    </cfRule>
  </conditionalFormatting>
  <conditionalFormatting sqref="A2:E3 B41:E41">
    <cfRule type="cellIs" dxfId="122" priority="40" operator="equal">
      <formula>0</formula>
    </cfRule>
  </conditionalFormatting>
  <conditionalFormatting sqref="A43:M1048576">
    <cfRule type="cellIs" dxfId="121" priority="10" operator="equal">
      <formula>0</formula>
    </cfRule>
  </conditionalFormatting>
  <conditionalFormatting sqref="A4:XFD4">
    <cfRule type="cellIs" dxfId="120" priority="8" operator="equal">
      <formula>0</formula>
    </cfRule>
  </conditionalFormatting>
  <conditionalFormatting sqref="F2:J2">
    <cfRule type="cellIs" dxfId="119" priority="27" operator="equal">
      <formula>0</formula>
    </cfRule>
  </conditionalFormatting>
  <conditionalFormatting sqref="G41:I41">
    <cfRule type="cellIs" dxfId="118" priority="33" operator="equal">
      <formula>0</formula>
    </cfRule>
  </conditionalFormatting>
  <conditionalFormatting sqref="J5:M41">
    <cfRule type="cellIs" dxfId="117" priority="11" operator="equal">
      <formula>0</formula>
    </cfRule>
  </conditionalFormatting>
  <conditionalFormatting sqref="K2:M3">
    <cfRule type="cellIs" dxfId="116" priority="9" operator="equal">
      <formula>0</formula>
    </cfRule>
  </conditionalFormatting>
  <conditionalFormatting sqref="N5:XFD1048576">
    <cfRule type="cellIs" dxfId="115"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BBB64-87A2-4A60-AABF-F6A0CAF9033C}">
  <sheetPr>
    <tabColor rgb="FFFFFF00"/>
    <pageSetUpPr fitToPage="1"/>
  </sheetPr>
  <dimension ref="A1:GP50"/>
  <sheetViews>
    <sheetView showGridLines="0" workbookViewId="0">
      <selection activeCell="J56" sqref="J56"/>
    </sheetView>
  </sheetViews>
  <sheetFormatPr defaultColWidth="9.140625" defaultRowHeight="11.25"/>
  <cols>
    <col min="1" max="1" width="14.7109375" style="62" customWidth="1"/>
    <col min="2" max="2" width="2.42578125" style="62" customWidth="1"/>
    <col min="3" max="13" width="6.42578125" style="62" customWidth="1"/>
    <col min="14" max="17" width="9.140625" style="62"/>
    <col min="18" max="28" width="10.140625" style="62" bestFit="1" customWidth="1"/>
    <col min="29" max="198" width="9.140625" style="62"/>
    <col min="199" max="16384" width="9.140625" style="8"/>
  </cols>
  <sheetData>
    <row r="1" spans="1:40" s="78" customFormat="1" ht="28.5" customHeight="1">
      <c r="A1" s="587" t="str">
        <f>+'q26'!A1:M1</f>
        <v>Quadro 26 - Remuneração média mensal ganho(1) por dimensão do estabelecimento e sexo</v>
      </c>
      <c r="B1" s="587"/>
      <c r="C1" s="587"/>
      <c r="D1" s="587"/>
      <c r="E1" s="587"/>
      <c r="F1" s="587"/>
      <c r="G1" s="587"/>
      <c r="H1" s="587"/>
      <c r="I1" s="587"/>
      <c r="J1" s="587"/>
      <c r="K1" s="587"/>
      <c r="L1" s="587"/>
      <c r="M1" s="587"/>
      <c r="P1" s="360" t="s">
        <v>335</v>
      </c>
    </row>
    <row r="2" spans="1:40" s="61" customFormat="1" ht="15" customHeight="1">
      <c r="A2" s="71"/>
      <c r="B2" s="71"/>
      <c r="C2" s="72"/>
      <c r="D2" s="72"/>
      <c r="E2" s="72"/>
      <c r="F2" s="72"/>
      <c r="G2" s="72"/>
      <c r="H2" s="72"/>
      <c r="I2" s="72"/>
      <c r="J2" s="72"/>
      <c r="K2" s="72"/>
      <c r="L2" s="72"/>
      <c r="M2" s="72"/>
      <c r="P2" s="62" t="s">
        <v>339</v>
      </c>
    </row>
    <row r="3" spans="1:40" s="41" customFormat="1" ht="15" customHeight="1">
      <c r="A3" s="35" t="s">
        <v>14</v>
      </c>
      <c r="B3" s="53"/>
      <c r="C3" s="99"/>
      <c r="E3" s="99"/>
      <c r="F3" s="99"/>
      <c r="G3" s="99"/>
      <c r="H3" s="99"/>
      <c r="I3" s="99"/>
      <c r="J3" s="99"/>
      <c r="K3" s="99"/>
      <c r="L3" s="99"/>
      <c r="M3" s="99" t="s">
        <v>68</v>
      </c>
      <c r="P3" s="165" t="s">
        <v>338</v>
      </c>
      <c r="Q3" s="170"/>
      <c r="R3" s="170"/>
      <c r="S3" s="170"/>
      <c r="T3" s="170"/>
      <c r="U3" s="170"/>
      <c r="V3" s="170"/>
      <c r="W3" s="170"/>
      <c r="X3" s="170"/>
      <c r="Y3" s="170"/>
      <c r="Z3" s="170"/>
      <c r="AA3" s="170"/>
      <c r="AB3" s="170"/>
      <c r="AD3" s="513" t="s">
        <v>617</v>
      </c>
      <c r="AE3" s="170"/>
      <c r="AF3" s="170"/>
      <c r="AG3" s="170"/>
      <c r="AH3" s="170"/>
      <c r="AI3" s="170"/>
      <c r="AJ3" s="170"/>
      <c r="AK3" s="170"/>
      <c r="AL3" s="170"/>
      <c r="AM3" s="170"/>
      <c r="AN3" s="170"/>
    </row>
    <row r="4" spans="1:40" s="93" customFormat="1" ht="29.25" customHeight="1" thickBot="1">
      <c r="A4" s="54"/>
      <c r="B4" s="54"/>
      <c r="C4" s="54">
        <f>+'q26'!C4</f>
        <v>2012</v>
      </c>
      <c r="D4" s="54">
        <f>+'q26'!D4</f>
        <v>2013</v>
      </c>
      <c r="E4" s="54">
        <f>+'q26'!E4</f>
        <v>2014</v>
      </c>
      <c r="F4" s="54">
        <f>+'q26'!F4</f>
        <v>2015</v>
      </c>
      <c r="G4" s="54">
        <f>+'q26'!G4</f>
        <v>2016</v>
      </c>
      <c r="H4" s="54">
        <f>+'q26'!H4</f>
        <v>2017</v>
      </c>
      <c r="I4" s="54">
        <f>+'q26'!I4</f>
        <v>2018</v>
      </c>
      <c r="J4" s="54">
        <f>+'q26'!J4</f>
        <v>2019</v>
      </c>
      <c r="K4" s="54">
        <f>+'q26'!K4</f>
        <v>2020</v>
      </c>
      <c r="L4" s="54">
        <f>+'q26'!L4</f>
        <v>2021</v>
      </c>
      <c r="M4" s="54">
        <f>+'q26'!M4</f>
        <v>2022</v>
      </c>
      <c r="P4" s="178"/>
      <c r="Q4" s="178"/>
      <c r="R4" s="167">
        <v>2011</v>
      </c>
      <c r="S4" s="167">
        <v>2012</v>
      </c>
      <c r="T4" s="167">
        <v>2013</v>
      </c>
      <c r="U4" s="167">
        <v>2014</v>
      </c>
      <c r="V4" s="167">
        <v>2015</v>
      </c>
      <c r="W4" s="167">
        <v>2016</v>
      </c>
      <c r="X4" s="167">
        <v>2017</v>
      </c>
      <c r="Y4" s="167">
        <v>2018</v>
      </c>
      <c r="Z4" s="167">
        <v>2019</v>
      </c>
      <c r="AA4" s="167">
        <v>2020</v>
      </c>
      <c r="AB4" s="167">
        <v>2021</v>
      </c>
      <c r="AD4" s="179">
        <f>+C4</f>
        <v>2012</v>
      </c>
      <c r="AE4" s="179">
        <f t="shared" ref="AE4:AL4" si="0">+D4</f>
        <v>2013</v>
      </c>
      <c r="AF4" s="179">
        <f t="shared" si="0"/>
        <v>2014</v>
      </c>
      <c r="AG4" s="179">
        <f t="shared" si="0"/>
        <v>2015</v>
      </c>
      <c r="AH4" s="179">
        <f t="shared" si="0"/>
        <v>2016</v>
      </c>
      <c r="AI4" s="179">
        <f t="shared" si="0"/>
        <v>2017</v>
      </c>
      <c r="AJ4" s="179">
        <f t="shared" si="0"/>
        <v>2018</v>
      </c>
      <c r="AK4" s="179">
        <f t="shared" si="0"/>
        <v>2019</v>
      </c>
      <c r="AL4" s="179">
        <f t="shared" si="0"/>
        <v>2020</v>
      </c>
      <c r="AM4" s="179">
        <f>+L4</f>
        <v>2021</v>
      </c>
      <c r="AN4" s="179">
        <f>+M4</f>
        <v>2022</v>
      </c>
    </row>
    <row r="5" spans="1:40" s="41" customFormat="1" ht="16.5" customHeight="1" thickTop="1">
      <c r="A5" s="52" t="str">
        <f>+'q26'!A5</f>
        <v>Total</v>
      </c>
      <c r="B5" s="53" t="str">
        <f>+'q26'!B5</f>
        <v>T</v>
      </c>
      <c r="C5" s="289">
        <f>+'q26'!C5</f>
        <v>1095.58619281857</v>
      </c>
      <c r="D5" s="289">
        <f>+'q26'!D5</f>
        <v>1093.8178723953499</v>
      </c>
      <c r="E5" s="289">
        <f>+'q26'!E5</f>
        <v>1093.20854089105</v>
      </c>
      <c r="F5" s="289">
        <f>+'q26'!F5</f>
        <v>1096.65734127991</v>
      </c>
      <c r="G5" s="289">
        <f>+'q26'!G5</f>
        <v>1107.85636561875</v>
      </c>
      <c r="H5" s="289">
        <f>+'q26'!H5</f>
        <v>1133.34288689707</v>
      </c>
      <c r="I5" s="289">
        <f>+'q26'!I5</f>
        <v>1170.2525051678801</v>
      </c>
      <c r="J5" s="289">
        <f>+'q26'!J5</f>
        <v>1209.93900485576</v>
      </c>
      <c r="K5" s="289">
        <f>+'q26'!K5</f>
        <v>1250.75197084447</v>
      </c>
      <c r="L5" s="289">
        <f>+'q26'!L5</f>
        <v>1294.10894067238</v>
      </c>
      <c r="M5" s="289">
        <f>+'q26'!M5</f>
        <v>1367.9952489883699</v>
      </c>
      <c r="O5" s="316"/>
      <c r="P5" s="174" t="s">
        <v>12</v>
      </c>
      <c r="Q5" s="176" t="s">
        <v>45</v>
      </c>
      <c r="R5" s="361">
        <f>+(R8+R11+R14+R17+R20+R23+R26+R29+R32+R35+R38)/q11a!C5</f>
        <v>1095.5861928185723</v>
      </c>
      <c r="S5" s="361">
        <f>+(S8+S11+S14+S17+S20+S23+S26+S29+S32+S35+S38)/q11a!D5</f>
        <v>1093.817872395347</v>
      </c>
      <c r="T5" s="361">
        <f>+(T8+T11+T14+T17+T20+T23+T26+T29+T32+T35+T38)/q11a!E5</f>
        <v>1093.2085408910491</v>
      </c>
      <c r="U5" s="361">
        <f>+(U8+U11+U14+U17+U20+U23+U26+U29+U32+U35+U38)/q11a!F5</f>
        <v>1096.657341279905</v>
      </c>
      <c r="V5" s="361">
        <f>+(V8+V11+V14+V17+V20+V23+V26+V29+V32+V35+V38)/q11a!G5</f>
        <v>1107.8563656187548</v>
      </c>
      <c r="W5" s="361">
        <f>+(W8+W11+W14+W17+W20+W23+W26+W29+W32+W35+W38)/q11a!H5</f>
        <v>1133.3428868970689</v>
      </c>
      <c r="X5" s="361">
        <f>+(X8+X11+X14+X17+X20+X23+X26+X29+X32+X35+X38)/q11a!I5</f>
        <v>1170.2525051678833</v>
      </c>
      <c r="Y5" s="361">
        <f>+(Y8+Y11+Y14+Y17+Y20+Y23+Y26+Y29+Y32+Y35+Y38)/q11a!J5</f>
        <v>1209.9390048557618</v>
      </c>
      <c r="Z5" s="361">
        <f>+(Z8+Z11+Z14+Z17+Z20+Z23+Z26+Z29+Z32+Z35+Z38)/q11a!K5</f>
        <v>1250.7519708444718</v>
      </c>
      <c r="AA5" s="361">
        <f>+(AA8+AA11+AA14+AA17+AA20+AA23+AA26+AA29+AA32+AA35+AA38)/q11a!L5</f>
        <v>1294.1089406723831</v>
      </c>
      <c r="AB5" s="361">
        <f>+(AB8+AB11+AB14+AB17+AB20+AB23+AB26+AB29+AB32+AB35+AB38)/q11a!M5</f>
        <v>1367.9952489883697</v>
      </c>
      <c r="AD5" s="512">
        <f>+R5-C5</f>
        <v>2.2737367544323206E-12</v>
      </c>
      <c r="AE5" s="512">
        <f t="shared" ref="AE5:AN7" si="1">+S5-D5</f>
        <v>-2.9558577807620168E-12</v>
      </c>
      <c r="AF5" s="512">
        <f t="shared" si="1"/>
        <v>0</v>
      </c>
      <c r="AG5" s="512">
        <f t="shared" si="1"/>
        <v>-5.0022208597511053E-12</v>
      </c>
      <c r="AH5" s="512">
        <f t="shared" si="1"/>
        <v>4.7748471843078732E-12</v>
      </c>
      <c r="AI5" s="512">
        <f t="shared" si="1"/>
        <v>0</v>
      </c>
      <c r="AJ5" s="512">
        <f t="shared" si="1"/>
        <v>3.1832314562052488E-12</v>
      </c>
      <c r="AK5" s="512">
        <f t="shared" si="1"/>
        <v>1.8189894035458565E-12</v>
      </c>
      <c r="AL5" s="512">
        <f t="shared" si="1"/>
        <v>1.8189894035458565E-12</v>
      </c>
      <c r="AM5" s="512">
        <f t="shared" si="1"/>
        <v>3.1832314562052488E-12</v>
      </c>
      <c r="AN5" s="512">
        <f t="shared" si="1"/>
        <v>0</v>
      </c>
    </row>
    <row r="6" spans="1:40" s="41" customFormat="1" ht="12.75" customHeight="1">
      <c r="A6" s="35"/>
      <c r="B6" s="53" t="str">
        <f>+'q26'!B6</f>
        <v>H</v>
      </c>
      <c r="C6" s="288">
        <f>+'q26'!C6</f>
        <v>1213.0207353340002</v>
      </c>
      <c r="D6" s="288">
        <f>+'q26'!D6</f>
        <v>1209.2112926836</v>
      </c>
      <c r="E6" s="288">
        <f>+'q26'!E6</f>
        <v>1203.3163954215399</v>
      </c>
      <c r="F6" s="288">
        <f>+'q26'!F6</f>
        <v>1207.7620848918802</v>
      </c>
      <c r="G6" s="288">
        <f>+'q26'!G6</f>
        <v>1215.1073571470499</v>
      </c>
      <c r="H6" s="288">
        <f>+'q26'!H6</f>
        <v>1236.8510439336801</v>
      </c>
      <c r="I6" s="288">
        <f>+'q26'!I6</f>
        <v>1273.9856646448</v>
      </c>
      <c r="J6" s="288">
        <f>+'q26'!J6</f>
        <v>1312.4262476007902</v>
      </c>
      <c r="K6" s="288">
        <f>+'q26'!K6</f>
        <v>1349.3525335819299</v>
      </c>
      <c r="L6" s="288">
        <f>+'q26'!L6</f>
        <v>1395.6950744819503</v>
      </c>
      <c r="M6" s="288">
        <f>+'q26'!M6</f>
        <v>1476.20345437132</v>
      </c>
      <c r="O6" s="316"/>
      <c r="P6" s="164"/>
      <c r="Q6" s="176" t="s">
        <v>53</v>
      </c>
      <c r="R6" s="361">
        <f>+(R9+R12+R15+R18+R21+R24+R27+R30+R33+R36+R39)/q11a!C6</f>
        <v>1213.0207353340018</v>
      </c>
      <c r="S6" s="361">
        <f>+(S9+S12+S15+S18+S21+S24+S27+S30+S33+S36+S39)/q11a!D6</f>
        <v>1209.2112926835944</v>
      </c>
      <c r="T6" s="361">
        <f>+(T9+T12+T15+T18+T21+T24+T27+T30+T33+T36+T39)/q11a!E6</f>
        <v>1203.3163954215422</v>
      </c>
      <c r="U6" s="361">
        <f>+(U9+U12+U15+U18+U21+U24+U27+U30+U33+U36+U39)/q11a!F6</f>
        <v>1207.7620848918821</v>
      </c>
      <c r="V6" s="361">
        <f>+(V9+V12+V15+V18+V21+V24+V27+V30+V33+V36+V39)/q11a!G6</f>
        <v>1215.1073571470497</v>
      </c>
      <c r="W6" s="361">
        <f>+(W9+W12+W15+W18+W21+W24+W27+W30+W33+W36+W39)/q11a!H6</f>
        <v>1236.8510439336812</v>
      </c>
      <c r="X6" s="361">
        <f>+(X9+X12+X15+X18+X21+X24+X27+X30+X33+X36+X39)/q11a!I6</f>
        <v>1273.9856646447986</v>
      </c>
      <c r="Y6" s="361">
        <f>+(Y9+Y12+Y15+Y18+Y21+Y24+Y27+Y30+Y33+Y36+Y39)/q11a!J6</f>
        <v>1312.4262476007907</v>
      </c>
      <c r="Z6" s="361">
        <f>+(Z9+Z12+Z15+Z18+Z21+Z24+Z27+Z30+Z33+Z36+Z39)/q11a!K6</f>
        <v>1349.3525335819281</v>
      </c>
      <c r="AA6" s="361">
        <f>+(AA9+AA12+AA15+AA18+AA21+AA24+AA27+AA30+AA33+AA36+AA39)/q11a!L6</f>
        <v>1395.6950744819492</v>
      </c>
      <c r="AB6" s="361">
        <f>+(AB9+AB12+AB15+AB18+AB21+AB24+AB27+AB30+AB33+AB36+AB39)/q11a!M6</f>
        <v>1476.2034543713178</v>
      </c>
      <c r="AD6" s="512">
        <f t="shared" ref="AD6:AD7" si="2">+R6-C6</f>
        <v>0</v>
      </c>
      <c r="AE6" s="512">
        <f t="shared" si="1"/>
        <v>-5.6843418860808015E-12</v>
      </c>
      <c r="AF6" s="512">
        <f t="shared" si="1"/>
        <v>2.2737367544323206E-12</v>
      </c>
      <c r="AG6" s="512">
        <f t="shared" si="1"/>
        <v>1.8189894035458565E-12</v>
      </c>
      <c r="AH6" s="512">
        <f t="shared" si="1"/>
        <v>0</v>
      </c>
      <c r="AI6" s="512">
        <f t="shared" si="1"/>
        <v>0</v>
      </c>
      <c r="AJ6" s="512">
        <f t="shared" si="1"/>
        <v>0</v>
      </c>
      <c r="AK6" s="512">
        <f t="shared" si="1"/>
        <v>0</v>
      </c>
      <c r="AL6" s="512">
        <f t="shared" si="1"/>
        <v>-1.8189894035458565E-12</v>
      </c>
      <c r="AM6" s="512">
        <f t="shared" si="1"/>
        <v>0</v>
      </c>
      <c r="AN6" s="512">
        <f t="shared" si="1"/>
        <v>-2.2737367544323206E-12</v>
      </c>
    </row>
    <row r="7" spans="1:40" s="41" customFormat="1" ht="12.75" customHeight="1">
      <c r="A7" s="35"/>
      <c r="B7" s="53" t="str">
        <f>+'q26'!B7</f>
        <v>M</v>
      </c>
      <c r="C7" s="288">
        <f>+'q26'!C7</f>
        <v>956.51135558425801</v>
      </c>
      <c r="D7" s="288">
        <f>+'q26'!D7</f>
        <v>958.1169410237261</v>
      </c>
      <c r="E7" s="288">
        <f>+'q26'!E7</f>
        <v>963.11657750883012</v>
      </c>
      <c r="F7" s="288">
        <f>+'q26'!F7</f>
        <v>966.85175731037509</v>
      </c>
      <c r="G7" s="288">
        <f>+'q26'!G7</f>
        <v>982.48629518294808</v>
      </c>
      <c r="H7" s="288">
        <f>+'q26'!H7</f>
        <v>1011.0188687181301</v>
      </c>
      <c r="I7" s="288">
        <f>+'q26'!I7</f>
        <v>1046.5864208241201</v>
      </c>
      <c r="J7" s="288">
        <f>+'q26'!J7</f>
        <v>1086.9729161883299</v>
      </c>
      <c r="K7" s="288">
        <f>+'q26'!K7</f>
        <v>1130.8674354246</v>
      </c>
      <c r="L7" s="288">
        <f>+'q26'!L7</f>
        <v>1172.0779291766798</v>
      </c>
      <c r="M7" s="288">
        <f>+'q26'!M7</f>
        <v>1237.52369998673</v>
      </c>
      <c r="O7" s="316"/>
      <c r="P7" s="164"/>
      <c r="Q7" s="176" t="s">
        <v>54</v>
      </c>
      <c r="R7" s="361">
        <f>+(R10+R13+R16+R19+R22+R25+R28+R31+R34+R37+R40)/q11a!C7</f>
        <v>956.51135558425835</v>
      </c>
      <c r="S7" s="361">
        <f>+(S10+S13+S16+S19+S22+S25+S28+S31+S34+S37+S40)/q11a!D7</f>
        <v>958.11694102372576</v>
      </c>
      <c r="T7" s="361">
        <f>+(T10+T13+T16+T19+T22+T25+T28+T31+T34+T37+T40)/q11a!E7</f>
        <v>963.11657750883001</v>
      </c>
      <c r="U7" s="361">
        <f>+(U10+U13+U16+U19+U22+U25+U28+U31+U34+U37+U40)/q11a!F7</f>
        <v>966.85175731037475</v>
      </c>
      <c r="V7" s="361">
        <f>+(V10+V13+V16+V19+V22+V25+V28+V31+V34+V37+V40)/q11a!G7</f>
        <v>982.48629518294877</v>
      </c>
      <c r="W7" s="361">
        <f>+(W10+W13+W16+W19+W22+W25+W28+W31+W34+W37+W40)/q11a!H7</f>
        <v>1011.0188687181274</v>
      </c>
      <c r="X7" s="361">
        <f>+(X10+X13+X16+X19+X22+X25+X28+X31+X34+X37+X40)/q11a!I7</f>
        <v>1046.586420824123</v>
      </c>
      <c r="Y7" s="361">
        <f>+(Y10+Y13+Y16+Y19+Y22+Y25+Y28+Y31+Y34+Y37+Y40)/q11a!J7</f>
        <v>1086.9729161883354</v>
      </c>
      <c r="Z7" s="361">
        <f>+(Z10+Z13+Z16+Z19+Z22+Z25+Z28+Z31+Z34+Z37+Z40)/q11a!K7</f>
        <v>1130.8674354245984</v>
      </c>
      <c r="AA7" s="361">
        <f>+(AA10+AA13+AA16+AA19+AA22+AA25+AA28+AA31+AA34+AA37+AA40)/q11a!L7</f>
        <v>1172.0779291766814</v>
      </c>
      <c r="AB7" s="361">
        <f>+(AB10+AB13+AB16+AB19+AB22+AB25+AB28+AB31+AB34+AB37+AB40)/q11a!M7</f>
        <v>1237.523699986725</v>
      </c>
      <c r="AD7" s="512">
        <f t="shared" si="2"/>
        <v>0</v>
      </c>
      <c r="AE7" s="512">
        <f t="shared" si="1"/>
        <v>0</v>
      </c>
      <c r="AF7" s="512">
        <f t="shared" si="1"/>
        <v>0</v>
      </c>
      <c r="AG7" s="512">
        <f t="shared" si="1"/>
        <v>0</v>
      </c>
      <c r="AH7" s="512">
        <f t="shared" si="1"/>
        <v>0</v>
      </c>
      <c r="AI7" s="512">
        <f t="shared" si="1"/>
        <v>-2.7284841053187847E-12</v>
      </c>
      <c r="AJ7" s="512">
        <f t="shared" si="1"/>
        <v>2.9558577807620168E-12</v>
      </c>
      <c r="AK7" s="512">
        <f t="shared" si="1"/>
        <v>5.4569682106375694E-12</v>
      </c>
      <c r="AL7" s="512">
        <f t="shared" si="1"/>
        <v>0</v>
      </c>
      <c r="AM7" s="512">
        <f t="shared" si="1"/>
        <v>0</v>
      </c>
      <c r="AN7" s="512">
        <f t="shared" si="1"/>
        <v>-5.0022208597511053E-12</v>
      </c>
    </row>
    <row r="8" spans="1:40" s="41" customFormat="1" ht="16.5" customHeight="1">
      <c r="A8" s="56" t="str">
        <f>+'q26'!A8</f>
        <v>1-4 pessoas</v>
      </c>
      <c r="B8" s="53" t="str">
        <f>+'q26'!B8</f>
        <v>T</v>
      </c>
      <c r="C8" s="288">
        <f>+'q26'!C8</f>
        <v>803.67702402495399</v>
      </c>
      <c r="D8" s="288">
        <f>+'q26'!D8</f>
        <v>799.84206277540193</v>
      </c>
      <c r="E8" s="288">
        <f>+'q26'!E8</f>
        <v>807.75256890603009</v>
      </c>
      <c r="F8" s="288">
        <f>+'q26'!F8</f>
        <v>801.27723607186999</v>
      </c>
      <c r="G8" s="288">
        <f>+'q26'!G8</f>
        <v>818.73814185853109</v>
      </c>
      <c r="H8" s="288">
        <f>+'q26'!H8</f>
        <v>843.6251575294591</v>
      </c>
      <c r="I8" s="288">
        <f>+'q26'!I8</f>
        <v>873.63291217675305</v>
      </c>
      <c r="J8" s="288">
        <f>+'q26'!J8</f>
        <v>909.38421475915311</v>
      </c>
      <c r="K8" s="288">
        <f>+'q26'!K8</f>
        <v>943.370512820513</v>
      </c>
      <c r="L8" s="288">
        <f>+'q26'!L8</f>
        <v>982.19631373143409</v>
      </c>
      <c r="M8" s="288">
        <f>+'q26'!M8</f>
        <v>1033.6639272763</v>
      </c>
      <c r="P8" s="181" t="s">
        <v>32</v>
      </c>
      <c r="Q8" s="176" t="s">
        <v>45</v>
      </c>
      <c r="R8" s="361">
        <f>+q26_Aux!C8*q11a!C8</f>
        <v>228274814.54999989</v>
      </c>
      <c r="S8" s="361">
        <f>+q26_Aux!D8*q11a!D8</f>
        <v>221087543.93999994</v>
      </c>
      <c r="T8" s="361">
        <f>+q26_Aux!E8*q11a!E8</f>
        <v>224515634.27999997</v>
      </c>
      <c r="U8" s="361">
        <f>+q26_Aux!F8*q11a!F8</f>
        <v>224896885.67999998</v>
      </c>
      <c r="V8" s="361">
        <f>+q26_Aux!G8*q11a!G8</f>
        <v>231322180.91000009</v>
      </c>
      <c r="W8" s="361">
        <f>+q26_Aux!H8*q11a!H8</f>
        <v>236545745.17000011</v>
      </c>
      <c r="X8" s="361">
        <f>+q26_Aux!I8*q11a!I8</f>
        <v>244761364.84000003</v>
      </c>
      <c r="Y8" s="361">
        <f>+q26_Aux!J8*q11a!J8</f>
        <v>246274886.12000006</v>
      </c>
      <c r="Z8" s="361">
        <f>+q26_Aux!K8*q11a!K8</f>
        <v>249262073.75000006</v>
      </c>
      <c r="AA8" s="361">
        <f>+q26_Aux!L8*q11a!L8</f>
        <v>259221251.12000009</v>
      </c>
      <c r="AB8" s="361">
        <f>+q26_Aux!M8*q11a!M8</f>
        <v>283901999.60999948</v>
      </c>
    </row>
    <row r="9" spans="1:40" s="41" customFormat="1" ht="12.75" customHeight="1">
      <c r="A9" s="50"/>
      <c r="B9" s="57" t="str">
        <f>+'q26'!B9</f>
        <v>H</v>
      </c>
      <c r="C9" s="290">
        <f>+'q26'!C9</f>
        <v>857.87168255792005</v>
      </c>
      <c r="D9" s="290">
        <f>+'q26'!D9</f>
        <v>851.21094620719407</v>
      </c>
      <c r="E9" s="290">
        <f>+'q26'!E9</f>
        <v>855.98884436759613</v>
      </c>
      <c r="F9" s="290">
        <f>+'q26'!F9</f>
        <v>849.98972816938704</v>
      </c>
      <c r="G9" s="290">
        <f>+'q26'!G9</f>
        <v>864.71289395020801</v>
      </c>
      <c r="H9" s="290">
        <f>+'q26'!H9</f>
        <v>888.8023708156951</v>
      </c>
      <c r="I9" s="290">
        <f>+'q26'!I9</f>
        <v>919.23678361451903</v>
      </c>
      <c r="J9" s="290">
        <f>+'q26'!J9</f>
        <v>956.75304109247804</v>
      </c>
      <c r="K9" s="290">
        <f>+'q26'!K9</f>
        <v>990.38153933467913</v>
      </c>
      <c r="L9" s="290">
        <f>+'q26'!L9</f>
        <v>1031.61272126008</v>
      </c>
      <c r="M9" s="290">
        <f>+'q26'!M9</f>
        <v>1085.5413717949602</v>
      </c>
      <c r="P9" s="177"/>
      <c r="Q9" s="185" t="s">
        <v>53</v>
      </c>
      <c r="R9" s="361">
        <f>+q26_Aux!C9*q11a!C9</f>
        <v>122453461.84000006</v>
      </c>
      <c r="S9" s="361">
        <f>+q26_Aux!D9*q11a!D9</f>
        <v>118441747.11000001</v>
      </c>
      <c r="T9" s="361">
        <f>+q26_Aux!E9*q11a!E9</f>
        <v>119802486.68000002</v>
      </c>
      <c r="U9" s="361">
        <f>+q26_Aux!F9*q11a!F9</f>
        <v>118666215.95999995</v>
      </c>
      <c r="V9" s="361">
        <f>+q26_Aux!G9*q11a!G9</f>
        <v>122364656.90999998</v>
      </c>
      <c r="W9" s="361">
        <f>+q26_Aux!H9*q11a!H9</f>
        <v>124925617.23000002</v>
      </c>
      <c r="X9" s="361">
        <f>+q26_Aux!I9*q11a!I9</f>
        <v>129457954.70999995</v>
      </c>
      <c r="Y9" s="361">
        <f>+q26_Aux!J9*q11a!J9</f>
        <v>130593919.84999998</v>
      </c>
      <c r="Z9" s="361">
        <f>+q26_Aux!K9*q11a!K9</f>
        <v>133495508.45000006</v>
      </c>
      <c r="AA9" s="361">
        <f>+q26_Aux!L9*q11a!L9</f>
        <v>138194840.14000031</v>
      </c>
      <c r="AB9" s="361">
        <f>+q26_Aux!M9*q11a!M9</f>
        <v>151017259.01999947</v>
      </c>
    </row>
    <row r="10" spans="1:40" s="41" customFormat="1" ht="12.75" customHeight="1">
      <c r="A10" s="50"/>
      <c r="B10" s="57" t="str">
        <f>+'q26'!B10</f>
        <v>M</v>
      </c>
      <c r="C10" s="290">
        <f>+'q26'!C10</f>
        <v>748.92851730751499</v>
      </c>
      <c r="D10" s="290">
        <f>+'q26'!D10</f>
        <v>747.77114155417507</v>
      </c>
      <c r="E10" s="290">
        <f>+'q26'!E10</f>
        <v>758.82941598486912</v>
      </c>
      <c r="F10" s="290">
        <f>+'q26'!F10</f>
        <v>753.06718737594304</v>
      </c>
      <c r="G10" s="290">
        <f>+'q26'!G10</f>
        <v>772.60593082126707</v>
      </c>
      <c r="H10" s="290">
        <f>+'q26'!H10</f>
        <v>798.21597960482609</v>
      </c>
      <c r="I10" s="290">
        <f>+'q26'!I10</f>
        <v>827.53841609668905</v>
      </c>
      <c r="J10" s="290">
        <f>+'q26'!J10</f>
        <v>861.24693838502708</v>
      </c>
      <c r="K10" s="290">
        <f>+'q26'!K10</f>
        <v>894.41305772098303</v>
      </c>
      <c r="L10" s="290">
        <f>+'q26'!L10</f>
        <v>931.25893336411207</v>
      </c>
      <c r="M10" s="290">
        <f>+'q26'!M10</f>
        <v>980.41700610156511</v>
      </c>
      <c r="P10" s="177"/>
      <c r="Q10" s="185" t="s">
        <v>54</v>
      </c>
      <c r="R10" s="361">
        <f>+q26_Aux!C10*q11a!C10</f>
        <v>105821352.70999995</v>
      </c>
      <c r="S10" s="361">
        <f>+q26_Aux!D10*q11a!D10</f>
        <v>102645796.83000006</v>
      </c>
      <c r="T10" s="361">
        <f>+q26_Aux!E10*q11a!E10</f>
        <v>104713147.60000004</v>
      </c>
      <c r="U10" s="361">
        <f>+q26_Aux!F10*q11a!F10</f>
        <v>106230669.72000003</v>
      </c>
      <c r="V10" s="361">
        <f>+q26_Aux!G10*q11a!G10</f>
        <v>108957524.00000001</v>
      </c>
      <c r="W10" s="361">
        <f>+q26_Aux!H10*q11a!H10</f>
        <v>111620127.94000007</v>
      </c>
      <c r="X10" s="361">
        <f>+q26_Aux!I10*q11a!I10</f>
        <v>115303410.12999998</v>
      </c>
      <c r="Y10" s="361">
        <f>+q26_Aux!J10*q11a!J10</f>
        <v>115680966.27000007</v>
      </c>
      <c r="Z10" s="361">
        <f>+q26_Aux!K10*q11a!K10</f>
        <v>115766565.3</v>
      </c>
      <c r="AA10" s="361">
        <f>+q26_Aux!L10*q11a!L10</f>
        <v>121026410.98</v>
      </c>
      <c r="AB10" s="361">
        <f>+q26_Aux!M10*q11a!M10</f>
        <v>132884740.59000003</v>
      </c>
    </row>
    <row r="11" spans="1:40" s="36" customFormat="1" ht="16.5" customHeight="1">
      <c r="A11" s="56" t="str">
        <f>+'q26'!A11</f>
        <v>5-9 pessoas</v>
      </c>
      <c r="B11" s="53" t="str">
        <f>+'q26'!B11</f>
        <v>T</v>
      </c>
      <c r="C11" s="288">
        <f>+'q26'!C11</f>
        <v>948.0501840434581</v>
      </c>
      <c r="D11" s="288">
        <f>+'q26'!D11</f>
        <v>945.40295345389006</v>
      </c>
      <c r="E11" s="288">
        <f>+'q26'!E11</f>
        <v>943.51593507773612</v>
      </c>
      <c r="F11" s="288">
        <f>+'q26'!F11</f>
        <v>938.6944916698601</v>
      </c>
      <c r="G11" s="288">
        <f>+'q26'!G11</f>
        <v>944.26457100554899</v>
      </c>
      <c r="H11" s="288">
        <f>+'q26'!H11</f>
        <v>962.82208556429498</v>
      </c>
      <c r="I11" s="288">
        <f>+'q26'!I11</f>
        <v>989.21400267856507</v>
      </c>
      <c r="J11" s="288">
        <f>+'q26'!J11</f>
        <v>1016.15395208083</v>
      </c>
      <c r="K11" s="288">
        <f>+'q26'!K11</f>
        <v>1055.5458432795401</v>
      </c>
      <c r="L11" s="288">
        <f>+'q26'!L11</f>
        <v>1090.06859460341</v>
      </c>
      <c r="M11" s="288">
        <f>+'q26'!M11</f>
        <v>1140.0500406969099</v>
      </c>
      <c r="P11" s="181" t="s">
        <v>33</v>
      </c>
      <c r="Q11" s="176" t="s">
        <v>45</v>
      </c>
      <c r="R11" s="361">
        <f>+q26_Aux!C11*q11a!C11</f>
        <v>258643259.01000008</v>
      </c>
      <c r="S11" s="361">
        <f>+q26_Aux!D11*q11a!D11</f>
        <v>250578107.41000012</v>
      </c>
      <c r="T11" s="361">
        <f>+q26_Aux!E11*q11a!E11</f>
        <v>252699985.8599999</v>
      </c>
      <c r="U11" s="361">
        <f>+q26_Aux!F11*q11a!F11</f>
        <v>257206984.19000003</v>
      </c>
      <c r="V11" s="361">
        <f>+q26_Aux!G11*q11a!G11</f>
        <v>265949283.62999985</v>
      </c>
      <c r="W11" s="361">
        <f>+q26_Aux!H11*q11a!H11</f>
        <v>276026649.5999999</v>
      </c>
      <c r="X11" s="361">
        <f>+q26_Aux!I11*q11a!I11</f>
        <v>289537003.29999995</v>
      </c>
      <c r="Y11" s="361">
        <f>+q26_Aux!J11*q11a!J11</f>
        <v>296496448.6000008</v>
      </c>
      <c r="Z11" s="361">
        <f>+q26_Aux!K11*q11a!K11</f>
        <v>296443716.80999917</v>
      </c>
      <c r="AA11" s="361">
        <f>+q26_Aux!L11*q11a!L11</f>
        <v>307553043.35000068</v>
      </c>
      <c r="AB11" s="361">
        <f>+q26_Aux!M11*q11a!M11</f>
        <v>339799894.97999889</v>
      </c>
    </row>
    <row r="12" spans="1:40" s="41" customFormat="1" ht="12.75" customHeight="1">
      <c r="A12" s="50"/>
      <c r="B12" s="57" t="str">
        <f>+'q26'!B12</f>
        <v>H</v>
      </c>
      <c r="C12" s="290">
        <f>+'q26'!C12</f>
        <v>1001.4236594483</v>
      </c>
      <c r="D12" s="290">
        <f>+'q26'!D12</f>
        <v>998.87772260797101</v>
      </c>
      <c r="E12" s="290">
        <f>+'q26'!E12</f>
        <v>991.31936145207601</v>
      </c>
      <c r="F12" s="290">
        <f>+'q26'!F12</f>
        <v>983.18961422067309</v>
      </c>
      <c r="G12" s="290">
        <f>+'q26'!G12</f>
        <v>986.256372942751</v>
      </c>
      <c r="H12" s="290">
        <f>+'q26'!H12</f>
        <v>1001.68300667301</v>
      </c>
      <c r="I12" s="290">
        <f>+'q26'!I12</f>
        <v>1029.09967289867</v>
      </c>
      <c r="J12" s="290">
        <f>+'q26'!J12</f>
        <v>1054.9375572746201</v>
      </c>
      <c r="K12" s="290">
        <f>+'q26'!K12</f>
        <v>1093.7640626945802</v>
      </c>
      <c r="L12" s="290">
        <f>+'q26'!L12</f>
        <v>1129.1506907033702</v>
      </c>
      <c r="M12" s="290">
        <f>+'q26'!M12</f>
        <v>1182.8289574084699</v>
      </c>
      <c r="P12" s="177"/>
      <c r="Q12" s="185" t="s">
        <v>53</v>
      </c>
      <c r="R12" s="361">
        <f>+q26_Aux!C12*q11a!C12</f>
        <v>148952756.52999958</v>
      </c>
      <c r="S12" s="361">
        <f>+q26_Aux!D12*q11a!D12</f>
        <v>143858369.60999998</v>
      </c>
      <c r="T12" s="361">
        <f>+q26_Aux!E12*q11a!E12</f>
        <v>144238949.72999996</v>
      </c>
      <c r="U12" s="361">
        <f>+q26_Aux!F12*q11a!F12</f>
        <v>145549424.11000001</v>
      </c>
      <c r="V12" s="361">
        <f>+q26_Aux!G12*q11a!G12</f>
        <v>150293636.15999994</v>
      </c>
      <c r="W12" s="361">
        <f>+q26_Aux!H12*q11a!H12</f>
        <v>154763029.58000007</v>
      </c>
      <c r="X12" s="361">
        <f>+q26_Aux!I12*q11a!I12</f>
        <v>162654348.79999927</v>
      </c>
      <c r="Y12" s="361">
        <f>+q26_Aux!J12*q11a!J12</f>
        <v>166645321.1099999</v>
      </c>
      <c r="Z12" s="361">
        <f>+q26_Aux!K12*q11a!K12</f>
        <v>168632168.12999958</v>
      </c>
      <c r="AA12" s="361">
        <f>+q26_Aux!L12*q11a!L12</f>
        <v>173842911.19000018</v>
      </c>
      <c r="AB12" s="361">
        <f>+q26_Aux!M12*q11a!M12</f>
        <v>191039887.73999938</v>
      </c>
    </row>
    <row r="13" spans="1:40" s="41" customFormat="1" ht="12.75" customHeight="1">
      <c r="A13" s="50"/>
      <c r="B13" s="57" t="str">
        <f>+'q26'!B13</f>
        <v>M</v>
      </c>
      <c r="C13" s="290">
        <f>+'q26'!C13</f>
        <v>884.06610904694696</v>
      </c>
      <c r="D13" s="290">
        <f>+'q26'!D13</f>
        <v>881.76997083343701</v>
      </c>
      <c r="E13" s="290">
        <f>+'q26'!E13</f>
        <v>886.65562619557602</v>
      </c>
      <c r="F13" s="290">
        <f>+'q26'!F13</f>
        <v>886.40326498209811</v>
      </c>
      <c r="G13" s="290">
        <f>+'q26'!G13</f>
        <v>894.7589527228281</v>
      </c>
      <c r="H13" s="290">
        <f>+'q26'!H13</f>
        <v>917.39888956136201</v>
      </c>
      <c r="I13" s="290">
        <f>+'q26'!I13</f>
        <v>942.39153959848204</v>
      </c>
      <c r="J13" s="290">
        <f>+'q26'!J13</f>
        <v>970.3707141896341</v>
      </c>
      <c r="K13" s="290">
        <f>+'q26'!K13</f>
        <v>1009.0279208639901</v>
      </c>
      <c r="L13" s="290">
        <f>+'q26'!L13</f>
        <v>1043.1272109968602</v>
      </c>
      <c r="M13" s="290">
        <f>+'q26'!M13</f>
        <v>1089.4497622779102</v>
      </c>
      <c r="P13" s="177"/>
      <c r="Q13" s="185" t="s">
        <v>54</v>
      </c>
      <c r="R13" s="361">
        <f>+q26_Aux!C13*q11a!C13</f>
        <v>109690502.47999994</v>
      </c>
      <c r="S13" s="361">
        <f>+q26_Aux!D13*q11a!D13</f>
        <v>106719737.80000004</v>
      </c>
      <c r="T13" s="361">
        <f>+q26_Aux!E13*q11a!E13</f>
        <v>108461036.13000003</v>
      </c>
      <c r="U13" s="361">
        <f>+q26_Aux!F13*q11a!F13</f>
        <v>111657560.07999995</v>
      </c>
      <c r="V13" s="361">
        <f>+q26_Aux!G13*q11a!G13</f>
        <v>115655647.47000004</v>
      </c>
      <c r="W13" s="361">
        <f>+q26_Aux!H13*q11a!H13</f>
        <v>121263620.01999995</v>
      </c>
      <c r="X13" s="361">
        <f>+q26_Aux!I13*q11a!I13</f>
        <v>126882654.50000003</v>
      </c>
      <c r="Y13" s="361">
        <f>+q26_Aux!J13*q11a!J13</f>
        <v>129851127.49000008</v>
      </c>
      <c r="Z13" s="361">
        <f>+q26_Aux!K13*q11a!K13</f>
        <v>127811548.67999989</v>
      </c>
      <c r="AA13" s="361">
        <f>+q26_Aux!L13*q11a!L13</f>
        <v>133710132.15999953</v>
      </c>
      <c r="AB13" s="361">
        <f>+q26_Aux!M13*q11a!M13</f>
        <v>148760007.23999953</v>
      </c>
    </row>
    <row r="14" spans="1:40" s="36" customFormat="1" ht="16.5" customHeight="1">
      <c r="A14" s="56" t="str">
        <f>+'q26'!A14</f>
        <v>10-19 pessoas</v>
      </c>
      <c r="B14" s="53" t="str">
        <f>+'q26'!B14</f>
        <v>T</v>
      </c>
      <c r="C14" s="288">
        <f>+'q26'!C14</f>
        <v>990.06584490736304</v>
      </c>
      <c r="D14" s="288">
        <f>+'q26'!D14</f>
        <v>991.34768878156103</v>
      </c>
      <c r="E14" s="288">
        <f>+'q26'!E14</f>
        <v>992.60047636725903</v>
      </c>
      <c r="F14" s="288">
        <f>+'q26'!F14</f>
        <v>990.45183750366903</v>
      </c>
      <c r="G14" s="288">
        <f>+'q26'!G14</f>
        <v>994.2129413822521</v>
      </c>
      <c r="H14" s="288">
        <f>+'q26'!H14</f>
        <v>1017.8720455152201</v>
      </c>
      <c r="I14" s="288">
        <f>+'q26'!I14</f>
        <v>1046.6739287159901</v>
      </c>
      <c r="J14" s="288">
        <f>+'q26'!J14</f>
        <v>1076.5283148486699</v>
      </c>
      <c r="K14" s="288">
        <f>+'q26'!K14</f>
        <v>1122.7911894484403</v>
      </c>
      <c r="L14" s="288">
        <f>+'q26'!L14</f>
        <v>1155.1997325263901</v>
      </c>
      <c r="M14" s="288">
        <f>+'q26'!M14</f>
        <v>1209.76479548917</v>
      </c>
      <c r="P14" s="181" t="s">
        <v>34</v>
      </c>
      <c r="Q14" s="176" t="s">
        <v>45</v>
      </c>
      <c r="R14" s="361">
        <f>+q26_Aux!C14*q11a!C14</f>
        <v>258693314.54999998</v>
      </c>
      <c r="S14" s="361">
        <f>+q26_Aux!D14*q11a!D14</f>
        <v>254110170.36999997</v>
      </c>
      <c r="T14" s="361">
        <f>+q26_Aux!E14*q11a!E14</f>
        <v>262023695.94999993</v>
      </c>
      <c r="U14" s="361">
        <f>+q26_Aux!F14*q11a!F14</f>
        <v>269957552.83000004</v>
      </c>
      <c r="V14" s="361">
        <f>+q26_Aux!G14*q11a!G14</f>
        <v>278515830.75999993</v>
      </c>
      <c r="W14" s="361">
        <f>+q26_Aux!H14*q11a!H14</f>
        <v>297387604.04999977</v>
      </c>
      <c r="X14" s="361">
        <f>+q26_Aux!I14*q11a!I14</f>
        <v>318066413.48000121</v>
      </c>
      <c r="Y14" s="361">
        <f>+q26_Aux!J14*q11a!J14</f>
        <v>331477063.0099985</v>
      </c>
      <c r="Z14" s="361">
        <f>+q26_Aux!K14*q11a!K14</f>
        <v>327742748.19999969</v>
      </c>
      <c r="AA14" s="361">
        <f>+q26_Aux!L14*q11a!L14</f>
        <v>343959565.16000015</v>
      </c>
      <c r="AB14" s="361">
        <f>+q26_Aux!M14*q11a!M14</f>
        <v>385122573.81999981</v>
      </c>
    </row>
    <row r="15" spans="1:40" s="41" customFormat="1" ht="12.75" customHeight="1">
      <c r="A15" s="50"/>
      <c r="B15" s="57" t="str">
        <f>+'q26'!B15</f>
        <v>H</v>
      </c>
      <c r="C15" s="290">
        <f>+'q26'!C15</f>
        <v>1066.5266230493401</v>
      </c>
      <c r="D15" s="290">
        <f>+'q26'!D15</f>
        <v>1067.9659414281502</v>
      </c>
      <c r="E15" s="290">
        <f>+'q26'!E15</f>
        <v>1065.0847666546501</v>
      </c>
      <c r="F15" s="290">
        <f>+'q26'!F15</f>
        <v>1063.7422974256801</v>
      </c>
      <c r="G15" s="290">
        <f>+'q26'!G15</f>
        <v>1059.9167319189999</v>
      </c>
      <c r="H15" s="290">
        <f>+'q26'!H15</f>
        <v>1080.5739159199702</v>
      </c>
      <c r="I15" s="290">
        <f>+'q26'!I15</f>
        <v>1108.77333543856</v>
      </c>
      <c r="J15" s="290">
        <f>+'q26'!J15</f>
        <v>1139.4002543988199</v>
      </c>
      <c r="K15" s="290">
        <f>+'q26'!K15</f>
        <v>1183.01226187059</v>
      </c>
      <c r="L15" s="290">
        <f>+'q26'!L15</f>
        <v>1218.7807271453298</v>
      </c>
      <c r="M15" s="290">
        <f>+'q26'!M15</f>
        <v>1273.7743966666701</v>
      </c>
      <c r="P15" s="177"/>
      <c r="Q15" s="185" t="s">
        <v>53</v>
      </c>
      <c r="R15" s="361">
        <f>+q26_Aux!C15*q11a!C15</f>
        <v>156166160.77999961</v>
      </c>
      <c r="S15" s="361">
        <f>+q26_Aux!D15*q11a!D15</f>
        <v>152759712.32999974</v>
      </c>
      <c r="T15" s="361">
        <f>+q26_Aux!E15*q11a!E15</f>
        <v>156536573.24000058</v>
      </c>
      <c r="U15" s="361">
        <f>+q26_Aux!F15*q11a!F15</f>
        <v>160119809.3200005</v>
      </c>
      <c r="V15" s="361">
        <f>+q26_Aux!G15*q11a!G15</f>
        <v>164870047.65000042</v>
      </c>
      <c r="W15" s="361">
        <f>+q26_Aux!H15*q11a!H15</f>
        <v>176068713.85999995</v>
      </c>
      <c r="X15" s="361">
        <f>+q26_Aux!I15*q11a!I15</f>
        <v>187848378.49000084</v>
      </c>
      <c r="Y15" s="361">
        <f>+q26_Aux!J15*q11a!J15</f>
        <v>196663902.10999951</v>
      </c>
      <c r="Z15" s="361">
        <f>+q26_Aux!K15*q11a!K15</f>
        <v>197823310.43000007</v>
      </c>
      <c r="AA15" s="361">
        <f>+q26_Aux!L15*q11a!L15</f>
        <v>205257299.81999928</v>
      </c>
      <c r="AB15" s="361">
        <f>+q26_Aux!M15*q11a!M15</f>
        <v>229279391.40000063</v>
      </c>
    </row>
    <row r="16" spans="1:40" s="41" customFormat="1" ht="12.75" customHeight="1">
      <c r="A16" s="50"/>
      <c r="B16" s="57" t="str">
        <f>+'q26'!B16</f>
        <v>M</v>
      </c>
      <c r="C16" s="290">
        <f>+'q26'!C16</f>
        <v>892.59605942680002</v>
      </c>
      <c r="D16" s="290">
        <f>+'q26'!D16</f>
        <v>894.61080448406699</v>
      </c>
      <c r="E16" s="290">
        <f>+'q26'!E16</f>
        <v>901.55310590909914</v>
      </c>
      <c r="F16" s="290">
        <f>+'q26'!F16</f>
        <v>900.05116163395701</v>
      </c>
      <c r="G16" s="290">
        <f>+'q26'!G16</f>
        <v>912.18010795668908</v>
      </c>
      <c r="H16" s="290">
        <f>+'q26'!H16</f>
        <v>938.81177309519808</v>
      </c>
      <c r="I16" s="290">
        <f>+'q26'!I16</f>
        <v>968.43023723998397</v>
      </c>
      <c r="J16" s="290">
        <f>+'q26'!J16</f>
        <v>996.32814204419503</v>
      </c>
      <c r="K16" s="290">
        <f>+'q26'!K16</f>
        <v>1042.0230812479901</v>
      </c>
      <c r="L16" s="290">
        <f>+'q26'!L16</f>
        <v>1072.4097925574301</v>
      </c>
      <c r="M16" s="290">
        <f>+'q26'!M16</f>
        <v>1126.4822177888602</v>
      </c>
      <c r="P16" s="177"/>
      <c r="Q16" s="185" t="s">
        <v>54</v>
      </c>
      <c r="R16" s="361">
        <f>+q26_Aux!C16*q11a!C16</f>
        <v>102527153.76999995</v>
      </c>
      <c r="S16" s="361">
        <f>+q26_Aux!D16*q11a!D16</f>
        <v>101350458.03999995</v>
      </c>
      <c r="T16" s="361">
        <f>+q26_Aux!E16*q11a!E16</f>
        <v>105487122.71000005</v>
      </c>
      <c r="U16" s="361">
        <f>+q26_Aux!F16*q11a!F16</f>
        <v>109837743.50999995</v>
      </c>
      <c r="V16" s="361">
        <f>+q26_Aux!G16*q11a!G16</f>
        <v>113645783.11000003</v>
      </c>
      <c r="W16" s="361">
        <f>+q26_Aux!H16*q11a!H16</f>
        <v>121318890.19000007</v>
      </c>
      <c r="X16" s="361">
        <f>+q26_Aux!I16*q11a!I16</f>
        <v>130218034.98999996</v>
      </c>
      <c r="Y16" s="361">
        <f>+q26_Aux!J16*q11a!J16</f>
        <v>134813160.90000004</v>
      </c>
      <c r="Z16" s="361">
        <f>+q26_Aux!K16*q11a!K16</f>
        <v>129919437.76999941</v>
      </c>
      <c r="AA16" s="361">
        <f>+q26_Aux!L16*q11a!L16</f>
        <v>138702265.34000033</v>
      </c>
      <c r="AB16" s="361">
        <f>+q26_Aux!M16*q11a!M16</f>
        <v>155843182.41999987</v>
      </c>
    </row>
    <row r="17" spans="1:28" s="36" customFormat="1" ht="16.5" customHeight="1">
      <c r="A17" s="56" t="str">
        <f>+'q26'!A17</f>
        <v>20-49 pessoas</v>
      </c>
      <c r="B17" s="53" t="str">
        <f>+'q26'!B17</f>
        <v>T</v>
      </c>
      <c r="C17" s="288">
        <f>+'q26'!C17</f>
        <v>1085.3852560206499</v>
      </c>
      <c r="D17" s="288">
        <f>+'q26'!D17</f>
        <v>1077.5847679434203</v>
      </c>
      <c r="E17" s="288">
        <f>+'q26'!E17</f>
        <v>1073.2276525198899</v>
      </c>
      <c r="F17" s="288">
        <f>+'q26'!F17</f>
        <v>1071.8828135377901</v>
      </c>
      <c r="G17" s="288">
        <f>+'q26'!G17</f>
        <v>1077.87750091462</v>
      </c>
      <c r="H17" s="288">
        <f>+'q26'!H17</f>
        <v>1097.35642562621</v>
      </c>
      <c r="I17" s="288">
        <f>+'q26'!I17</f>
        <v>1128.5714756341101</v>
      </c>
      <c r="J17" s="288">
        <f>+'q26'!J17</f>
        <v>1168.7236728640401</v>
      </c>
      <c r="K17" s="288">
        <f>+'q26'!K17</f>
        <v>1211.6995064422802</v>
      </c>
      <c r="L17" s="288">
        <f>+'q26'!L17</f>
        <v>1250.6399124690001</v>
      </c>
      <c r="M17" s="288">
        <f>+'q26'!M17</f>
        <v>1303.35298117039</v>
      </c>
      <c r="P17" s="181" t="s">
        <v>35</v>
      </c>
      <c r="Q17" s="176" t="s">
        <v>45</v>
      </c>
      <c r="R17" s="361">
        <f>+q26_Aux!C17*q11a!C17</f>
        <v>374660880.37000006</v>
      </c>
      <c r="S17" s="361">
        <f>+q26_Aux!D17*q11a!D17</f>
        <v>365987657.82999945</v>
      </c>
      <c r="T17" s="361">
        <f>+q26_Aux!E17*q11a!E17</f>
        <v>373047492.64999861</v>
      </c>
      <c r="U17" s="361">
        <f>+q26_Aux!F17*q11a!F17</f>
        <v>384737329.56000024</v>
      </c>
      <c r="V17" s="361">
        <f>+q26_Aux!G17*q11a!G17</f>
        <v>400690182.19000083</v>
      </c>
      <c r="W17" s="361">
        <f>+q26_Aux!H17*q11a!H17</f>
        <v>422889343.09999818</v>
      </c>
      <c r="X17" s="361">
        <f>+q26_Aux!I17*q11a!I17</f>
        <v>448771933.00000137</v>
      </c>
      <c r="Y17" s="361">
        <f>+q26_Aux!J17*q11a!J17</f>
        <v>466116218.83000076</v>
      </c>
      <c r="Z17" s="361">
        <f>+q26_Aux!K17*q11a!K17</f>
        <v>466357694.33999836</v>
      </c>
      <c r="AA17" s="361">
        <f>+q26_Aux!L17*q11a!L17</f>
        <v>494649346.26000154</v>
      </c>
      <c r="AB17" s="361">
        <f>+q26_Aux!M17*q11a!M17</f>
        <v>553261610.33000004</v>
      </c>
    </row>
    <row r="18" spans="1:28" s="41" customFormat="1" ht="12.75" customHeight="1">
      <c r="A18" s="50"/>
      <c r="B18" s="57" t="str">
        <f>+'q26'!B18</f>
        <v>H</v>
      </c>
      <c r="C18" s="290">
        <f>+'q26'!C18</f>
        <v>1217.2261988259902</v>
      </c>
      <c r="D18" s="290">
        <f>+'q26'!D18</f>
        <v>1209.5119169811701</v>
      </c>
      <c r="E18" s="290">
        <f>+'q26'!E18</f>
        <v>1201.4461794515601</v>
      </c>
      <c r="F18" s="290">
        <f>+'q26'!F18</f>
        <v>1192.8040538428702</v>
      </c>
      <c r="G18" s="290">
        <f>+'q26'!G18</f>
        <v>1193.9529407391401</v>
      </c>
      <c r="H18" s="290">
        <f>+'q26'!H18</f>
        <v>1207.5573427935201</v>
      </c>
      <c r="I18" s="290">
        <f>+'q26'!I18</f>
        <v>1235.6555327533301</v>
      </c>
      <c r="J18" s="290">
        <f>+'q26'!J18</f>
        <v>1274.69551666301</v>
      </c>
      <c r="K18" s="290">
        <f>+'q26'!K18</f>
        <v>1318.4964491649</v>
      </c>
      <c r="L18" s="290">
        <f>+'q26'!L18</f>
        <v>1360.4732269962301</v>
      </c>
      <c r="M18" s="290">
        <f>+'q26'!M18</f>
        <v>1413.7425465378601</v>
      </c>
      <c r="P18" s="177"/>
      <c r="Q18" s="185" t="s">
        <v>53</v>
      </c>
      <c r="R18" s="361">
        <f>+q26_Aux!C18*q11a!C18</f>
        <v>225402295.82000038</v>
      </c>
      <c r="S18" s="361">
        <f>+q26_Aux!D18*q11a!D18</f>
        <v>218566060.46999931</v>
      </c>
      <c r="T18" s="361">
        <f>+q26_Aux!E18*q11a!E18</f>
        <v>222263938.86000025</v>
      </c>
      <c r="U18" s="361">
        <f>+q26_Aux!F18*q11a!F18</f>
        <v>228977823.00000042</v>
      </c>
      <c r="V18" s="361">
        <f>+q26_Aux!G18*q11a!G18</f>
        <v>237679017.95999989</v>
      </c>
      <c r="W18" s="361">
        <f>+q26_Aux!H18*q11a!H18</f>
        <v>250527091.68000045</v>
      </c>
      <c r="X18" s="361">
        <f>+q26_Aux!I18*q11a!I18</f>
        <v>265591800.21000078</v>
      </c>
      <c r="Y18" s="361">
        <f>+q26_Aux!J18*q11a!J18</f>
        <v>278913576.6099999</v>
      </c>
      <c r="Z18" s="361">
        <f>+q26_Aux!K18*q11a!K18</f>
        <v>281115309.42999917</v>
      </c>
      <c r="AA18" s="361">
        <f>+q26_Aux!L18*q11a!L18</f>
        <v>296564116.86000019</v>
      </c>
      <c r="AB18" s="361">
        <f>+q26_Aux!M18*q11a!M18</f>
        <v>330288429.92000067</v>
      </c>
    </row>
    <row r="19" spans="1:28" s="41" customFormat="1" ht="12.75" customHeight="1">
      <c r="A19" s="50"/>
      <c r="B19" s="57" t="str">
        <f>+'q26'!B19</f>
        <v>M</v>
      </c>
      <c r="C19" s="290">
        <f>+'q26'!C19</f>
        <v>932.80785294669101</v>
      </c>
      <c r="D19" s="290">
        <f>+'q26'!D19</f>
        <v>927.58239336567408</v>
      </c>
      <c r="E19" s="290">
        <f>+'q26'!E19</f>
        <v>927.34523878054313</v>
      </c>
      <c r="F19" s="290">
        <f>+'q26'!F19</f>
        <v>932.85923555129716</v>
      </c>
      <c r="G19" s="290">
        <f>+'q26'!G19</f>
        <v>944.05640918278107</v>
      </c>
      <c r="H19" s="290">
        <f>+'q26'!H19</f>
        <v>968.84433501025808</v>
      </c>
      <c r="I19" s="290">
        <f>+'q26'!I19</f>
        <v>1002.5950586735</v>
      </c>
      <c r="J19" s="290">
        <f>+'q26'!J19</f>
        <v>1039.91646466723</v>
      </c>
      <c r="K19" s="290">
        <f>+'q26'!K19</f>
        <v>1079.0609012058001</v>
      </c>
      <c r="L19" s="290">
        <f>+'q26'!L19</f>
        <v>1115.7782550653098</v>
      </c>
      <c r="M19" s="290">
        <f>+'q26'!M19</f>
        <v>1168.2306794890601</v>
      </c>
      <c r="P19" s="177"/>
      <c r="Q19" s="185" t="s">
        <v>54</v>
      </c>
      <c r="R19" s="361">
        <f>+q26_Aux!C19*q11a!C19</f>
        <v>149258584.55000004</v>
      </c>
      <c r="S19" s="361">
        <f>+q26_Aux!D19*q11a!D19</f>
        <v>147421597.35999995</v>
      </c>
      <c r="T19" s="361">
        <f>+q26_Aux!E19*q11a!E19</f>
        <v>150783553.78999996</v>
      </c>
      <c r="U19" s="361">
        <f>+q26_Aux!F19*q11a!F19</f>
        <v>155759506.56000009</v>
      </c>
      <c r="V19" s="361">
        <f>+q26_Aux!G19*q11a!G19</f>
        <v>163011164.22999999</v>
      </c>
      <c r="W19" s="361">
        <f>+q26_Aux!H19*q11a!H19</f>
        <v>172362251.41999996</v>
      </c>
      <c r="X19" s="361">
        <f>+q26_Aux!I19*q11a!I19</f>
        <v>183180132.7900005</v>
      </c>
      <c r="Y19" s="361">
        <f>+q26_Aux!J19*q11a!J19</f>
        <v>187202642.22000074</v>
      </c>
      <c r="Z19" s="361">
        <f>+q26_Aux!K19*q11a!K19</f>
        <v>185242384.9099997</v>
      </c>
      <c r="AA19" s="361">
        <f>+q26_Aux!L19*q11a!L19</f>
        <v>198085229.39999953</v>
      </c>
      <c r="AB19" s="361">
        <f>+q26_Aux!M19*q11a!M19</f>
        <v>222973180.40999997</v>
      </c>
    </row>
    <row r="20" spans="1:28" s="36" customFormat="1" ht="16.5" customHeight="1">
      <c r="A20" s="56" t="str">
        <f>+'q26'!A20</f>
        <v>50-99 pessoas</v>
      </c>
      <c r="B20" s="53" t="str">
        <f>+'q26'!B20</f>
        <v>T</v>
      </c>
      <c r="C20" s="288">
        <f>+'q26'!C20</f>
        <v>1154.2580752932499</v>
      </c>
      <c r="D20" s="288">
        <f>+'q26'!D20</f>
        <v>1144.7507321879</v>
      </c>
      <c r="E20" s="288">
        <f>+'q26'!E20</f>
        <v>1150.3883815834699</v>
      </c>
      <c r="F20" s="288">
        <f>+'q26'!F20</f>
        <v>1152.6970783045701</v>
      </c>
      <c r="G20" s="288">
        <f>+'q26'!G20</f>
        <v>1157.8549277167801</v>
      </c>
      <c r="H20" s="288">
        <f>+'q26'!H20</f>
        <v>1193.6844893175501</v>
      </c>
      <c r="I20" s="288">
        <f>+'q26'!I20</f>
        <v>1225.6902500624701</v>
      </c>
      <c r="J20" s="288">
        <f>+'q26'!J20</f>
        <v>1259.0541087495001</v>
      </c>
      <c r="K20" s="288">
        <f>+'q26'!K20</f>
        <v>1298.2743023269202</v>
      </c>
      <c r="L20" s="288">
        <f>+'q26'!L20</f>
        <v>1354.7870776509601</v>
      </c>
      <c r="M20" s="288">
        <f>+'q26'!M20</f>
        <v>1418.2119665652901</v>
      </c>
      <c r="P20" s="181" t="s">
        <v>36</v>
      </c>
      <c r="Q20" s="176" t="s">
        <v>45</v>
      </c>
      <c r="R20" s="361">
        <f>+q26_Aux!C20*q11a!C20</f>
        <v>256044451.81000045</v>
      </c>
      <c r="S20" s="361">
        <f>+q26_Aux!D20*q11a!D20</f>
        <v>250983163.78000051</v>
      </c>
      <c r="T20" s="361">
        <f>+q26_Aux!E20*q11a!E20</f>
        <v>257455769.40999898</v>
      </c>
      <c r="U20" s="361">
        <f>+q26_Aux!F20*q11a!F20</f>
        <v>272008845.74999923</v>
      </c>
      <c r="V20" s="361">
        <f>+q26_Aux!G20*q11a!G20</f>
        <v>284405063.75000042</v>
      </c>
      <c r="W20" s="361">
        <f>+q26_Aux!H20*q11a!H20</f>
        <v>301984270.53000039</v>
      </c>
      <c r="X20" s="361">
        <f>+q26_Aux!I20*q11a!I20</f>
        <v>323746468.51000047</v>
      </c>
      <c r="Y20" s="361">
        <f>+q26_Aux!J20*q11a!J20</f>
        <v>337532261.69000095</v>
      </c>
      <c r="Z20" s="361">
        <f>+q26_Aux!K20*q11a!K20</f>
        <v>337495492.80999917</v>
      </c>
      <c r="AA20" s="361">
        <f>+q26_Aux!L20*q11a!L20</f>
        <v>363092420.32000089</v>
      </c>
      <c r="AB20" s="361">
        <f>+q26_Aux!M20*q11a!M20</f>
        <v>411278633.88000101</v>
      </c>
    </row>
    <row r="21" spans="1:28" s="41" customFormat="1" ht="12.75" customHeight="1">
      <c r="A21" s="50"/>
      <c r="B21" s="57" t="str">
        <f>+'q26'!B21</f>
        <v>H</v>
      </c>
      <c r="C21" s="290">
        <f>+'q26'!C21</f>
        <v>1320.3072833449899</v>
      </c>
      <c r="D21" s="290">
        <f>+'q26'!D21</f>
        <v>1302.4802471635899</v>
      </c>
      <c r="E21" s="290">
        <f>+'q26'!E21</f>
        <v>1303.5312513766801</v>
      </c>
      <c r="F21" s="290">
        <f>+'q26'!F21</f>
        <v>1305.5972507701902</v>
      </c>
      <c r="G21" s="290">
        <f>+'q26'!G21</f>
        <v>1304.8093246440901</v>
      </c>
      <c r="H21" s="290">
        <f>+'q26'!H21</f>
        <v>1340.32806709491</v>
      </c>
      <c r="I21" s="290">
        <f>+'q26'!I21</f>
        <v>1371.6150297217</v>
      </c>
      <c r="J21" s="290">
        <f>+'q26'!J21</f>
        <v>1397.32850611966</v>
      </c>
      <c r="K21" s="290">
        <f>+'q26'!K21</f>
        <v>1431.5670031340301</v>
      </c>
      <c r="L21" s="290">
        <f>+'q26'!L21</f>
        <v>1497.8970357150301</v>
      </c>
      <c r="M21" s="290">
        <f>+'q26'!M21</f>
        <v>1563.1128990474201</v>
      </c>
      <c r="P21" s="177"/>
      <c r="Q21" s="185" t="s">
        <v>53</v>
      </c>
      <c r="R21" s="361">
        <f>+q26_Aux!C21*q11a!C21</f>
        <v>154758497.90999964</v>
      </c>
      <c r="S21" s="361">
        <f>+q26_Aux!D21*q11a!D21</f>
        <v>150502895.03999996</v>
      </c>
      <c r="T21" s="361">
        <f>+q26_Aux!E21*q11a!E21</f>
        <v>153866221.85000056</v>
      </c>
      <c r="U21" s="361">
        <f>+q26_Aux!F21*q11a!F21</f>
        <v>161464517.60000017</v>
      </c>
      <c r="V21" s="361">
        <f>+q26_Aux!G21*q11a!G21</f>
        <v>168183397.90000001</v>
      </c>
      <c r="W21" s="361">
        <f>+q26_Aux!H21*q11a!H21</f>
        <v>180069054.82999986</v>
      </c>
      <c r="X21" s="361">
        <f>+q26_Aux!I21*q11a!I21</f>
        <v>192901194.55000046</v>
      </c>
      <c r="Y21" s="361">
        <f>+q26_Aux!J21*q11a!J21</f>
        <v>200477515.42999986</v>
      </c>
      <c r="Z21" s="361">
        <f>+q26_Aux!K21*q11a!K21</f>
        <v>200070078.0899995</v>
      </c>
      <c r="AA21" s="361">
        <f>+q26_Aux!L21*q11a!L21</f>
        <v>214440437.52999943</v>
      </c>
      <c r="AB21" s="361">
        <f>+q26_Aux!M21*q11a!M21</f>
        <v>244006612.87999943</v>
      </c>
    </row>
    <row r="22" spans="1:28" s="41" customFormat="1" ht="12.75" customHeight="1">
      <c r="A22" s="50"/>
      <c r="B22" s="57" t="str">
        <f>+'q26'!B22</f>
        <v>M</v>
      </c>
      <c r="C22" s="290">
        <f>+'q26'!C22</f>
        <v>968.20588364623609</v>
      </c>
      <c r="D22" s="290">
        <f>+'q26'!D22</f>
        <v>968.98885916525205</v>
      </c>
      <c r="E22" s="290">
        <f>+'q26'!E22</f>
        <v>979.46830646457602</v>
      </c>
      <c r="F22" s="290">
        <f>+'q26'!F22</f>
        <v>984.32240906460106</v>
      </c>
      <c r="G22" s="290">
        <f>+'q26'!G22</f>
        <v>995.59403997053209</v>
      </c>
      <c r="H22" s="290">
        <f>+'q26'!H22</f>
        <v>1027.6236593671501</v>
      </c>
      <c r="I22" s="290">
        <f>+'q26'!I22</f>
        <v>1059.5102186305598</v>
      </c>
      <c r="J22" s="290">
        <f>+'q26'!J22</f>
        <v>1099.85191040991</v>
      </c>
      <c r="K22" s="290">
        <f>+'q26'!K22</f>
        <v>1143.29676724819</v>
      </c>
      <c r="L22" s="290">
        <f>+'q26'!L22</f>
        <v>1190.6827835092802</v>
      </c>
      <c r="M22" s="290">
        <f>+'q26'!M22</f>
        <v>1249.2775757123102</v>
      </c>
      <c r="P22" s="177"/>
      <c r="Q22" s="185" t="s">
        <v>54</v>
      </c>
      <c r="R22" s="361">
        <f>+q26_Aux!C22*q11a!C22</f>
        <v>101285953.90000005</v>
      </c>
      <c r="S22" s="361">
        <f>+q26_Aux!D22*q11a!D22</f>
        <v>100480268.73999998</v>
      </c>
      <c r="T22" s="361">
        <f>+q26_Aux!E22*q11a!E22</f>
        <v>103589547.56000002</v>
      </c>
      <c r="U22" s="361">
        <f>+q26_Aux!F22*q11a!F22</f>
        <v>110544328.15000002</v>
      </c>
      <c r="V22" s="361">
        <f>+q26_Aux!G22*q11a!G22</f>
        <v>116221665.85000004</v>
      </c>
      <c r="W22" s="361">
        <f>+q26_Aux!H22*q11a!H22</f>
        <v>121915215.69999996</v>
      </c>
      <c r="X22" s="361">
        <f>+q26_Aux!I22*q11a!I22</f>
        <v>130845273.95999962</v>
      </c>
      <c r="Y22" s="361">
        <f>+q26_Aux!J22*q11a!J22</f>
        <v>137054746.25999972</v>
      </c>
      <c r="Z22" s="361">
        <f>+q26_Aux!K22*q11a!K22</f>
        <v>137425414.7199997</v>
      </c>
      <c r="AA22" s="361">
        <f>+q26_Aux!L22*q11a!L22</f>
        <v>148651982.7899996</v>
      </c>
      <c r="AB22" s="361">
        <f>+q26_Aux!M22*q11a!M22</f>
        <v>167272020.99999976</v>
      </c>
    </row>
    <row r="23" spans="1:28" s="36" customFormat="1" ht="16.5" customHeight="1">
      <c r="A23" s="56" t="str">
        <f>+'q26'!A23</f>
        <v>100-149 pessoas</v>
      </c>
      <c r="B23" s="53" t="str">
        <f>+'q26'!B23</f>
        <v>T</v>
      </c>
      <c r="C23" s="288">
        <f>+'q26'!C23</f>
        <v>1355.86361667091</v>
      </c>
      <c r="D23" s="288">
        <f>+'q26'!D23</f>
        <v>1323.2950946164801</v>
      </c>
      <c r="E23" s="288">
        <f>+'q26'!E23</f>
        <v>1313.5634630787799</v>
      </c>
      <c r="F23" s="288">
        <f>+'q26'!F23</f>
        <v>1327.5867928728501</v>
      </c>
      <c r="G23" s="288">
        <f>+'q26'!G23</f>
        <v>1303.4952444485903</v>
      </c>
      <c r="H23" s="288">
        <f>+'q26'!H23</f>
        <v>1300.1882690144002</v>
      </c>
      <c r="I23" s="288">
        <f>+'q26'!I23</f>
        <v>1352.9040719960001</v>
      </c>
      <c r="J23" s="288">
        <f>+'q26'!J23</f>
        <v>1389.8894796050902</v>
      </c>
      <c r="K23" s="288">
        <f>+'q26'!K23</f>
        <v>1425.8199824717999</v>
      </c>
      <c r="L23" s="288">
        <f>+'q26'!L23</f>
        <v>1467.4441438906401</v>
      </c>
      <c r="M23" s="288">
        <f>+'q26'!M23</f>
        <v>1552.23105497244</v>
      </c>
      <c r="P23" s="181" t="s">
        <v>37</v>
      </c>
      <c r="Q23" s="176" t="s">
        <v>45</v>
      </c>
      <c r="R23" s="361">
        <f>+q26_Aux!C23*q11a!C23</f>
        <v>149031105.28999975</v>
      </c>
      <c r="S23" s="361">
        <f>+q26_Aux!D23*q11a!D23</f>
        <v>147900722.84000012</v>
      </c>
      <c r="T23" s="361">
        <f>+q26_Aux!E23*q11a!E23</f>
        <v>154157180.89999947</v>
      </c>
      <c r="U23" s="361">
        <f>+q26_Aux!F23*q11a!F23</f>
        <v>150284152.53999951</v>
      </c>
      <c r="V23" s="361">
        <f>+q26_Aux!G23*q11a!G23</f>
        <v>153679482.32999989</v>
      </c>
      <c r="W23" s="361">
        <f>+q26_Aux!H23*q11a!H23</f>
        <v>158314824.20000041</v>
      </c>
      <c r="X23" s="361">
        <f>+q26_Aux!I23*q11a!I23</f>
        <v>170475383.39999998</v>
      </c>
      <c r="Y23" s="361">
        <f>+q26_Aux!J23*q11a!J23</f>
        <v>177664012.62000024</v>
      </c>
      <c r="Z23" s="361">
        <f>+q26_Aux!K23*q11a!K23</f>
        <v>174076935.83999959</v>
      </c>
      <c r="AA23" s="361">
        <f>+q26_Aux!L23*q11a!L23</f>
        <v>187220926.20999953</v>
      </c>
      <c r="AB23" s="361">
        <f>+q26_Aux!M23*q11a!M23</f>
        <v>214287049.3700003</v>
      </c>
    </row>
    <row r="24" spans="1:28" s="41" customFormat="1" ht="12.75" customHeight="1">
      <c r="A24" s="50"/>
      <c r="B24" s="57" t="str">
        <f>+'q26'!B24</f>
        <v>H</v>
      </c>
      <c r="C24" s="290">
        <f>+'q26'!C24</f>
        <v>1542.92489609216</v>
      </c>
      <c r="D24" s="290">
        <f>+'q26'!D24</f>
        <v>1487.5629483074501</v>
      </c>
      <c r="E24" s="290">
        <f>+'q26'!E24</f>
        <v>1472.2033426418</v>
      </c>
      <c r="F24" s="290">
        <f>+'q26'!F24</f>
        <v>1490.16416854614</v>
      </c>
      <c r="G24" s="290">
        <f>+'q26'!G24</f>
        <v>1453.72197977317</v>
      </c>
      <c r="H24" s="290">
        <f>+'q26'!H24</f>
        <v>1430.1933267639502</v>
      </c>
      <c r="I24" s="290">
        <f>+'q26'!I24</f>
        <v>1475.8155332505603</v>
      </c>
      <c r="J24" s="290">
        <f>+'q26'!J24</f>
        <v>1514.5836805440401</v>
      </c>
      <c r="K24" s="290">
        <f>+'q26'!K24</f>
        <v>1550.11054067289</v>
      </c>
      <c r="L24" s="290">
        <f>+'q26'!L24</f>
        <v>1599.5403427301801</v>
      </c>
      <c r="M24" s="290">
        <f>+'q26'!M24</f>
        <v>1681.31223385309</v>
      </c>
      <c r="P24" s="177"/>
      <c r="Q24" s="185" t="s">
        <v>53</v>
      </c>
      <c r="R24" s="361">
        <f>+q26_Aux!C24*q11a!C24</f>
        <v>95627399.209999889</v>
      </c>
      <c r="S24" s="361">
        <f>+q26_Aux!D24*q11a!D24</f>
        <v>93381764.080000177</v>
      </c>
      <c r="T24" s="361">
        <f>+q26_Aux!E24*q11a!E24</f>
        <v>98057575.839999735</v>
      </c>
      <c r="U24" s="361">
        <f>+q26_Aux!F24*q11a!F24</f>
        <v>95804144.559999883</v>
      </c>
      <c r="V24" s="361">
        <f>+q26_Aux!G24*q11a!G24</f>
        <v>95875872.01000011</v>
      </c>
      <c r="W24" s="361">
        <f>+q26_Aux!H24*q11a!H24</f>
        <v>98693350.899999902</v>
      </c>
      <c r="X24" s="361">
        <f>+q26_Aux!I24*q11a!I24</f>
        <v>105790884.86999992</v>
      </c>
      <c r="Y24" s="361">
        <f>+q26_Aux!J24*q11a!J24</f>
        <v>109577100.12000021</v>
      </c>
      <c r="Z24" s="361">
        <f>+q26_Aux!K24*q11a!K24</f>
        <v>107627275.06000009</v>
      </c>
      <c r="AA24" s="361">
        <f>+q26_Aux!L24*q11a!L24</f>
        <v>115182900.08000027</v>
      </c>
      <c r="AB24" s="361">
        <f>+q26_Aux!M24*q11a!M24</f>
        <v>131224738.53999983</v>
      </c>
    </row>
    <row r="25" spans="1:28" s="41" customFormat="1" ht="12.75" customHeight="1">
      <c r="A25" s="50"/>
      <c r="B25" s="57" t="str">
        <f>+'q26'!B25</f>
        <v>M</v>
      </c>
      <c r="C25" s="290">
        <f>+'q26'!C25</f>
        <v>1114.0161475238901</v>
      </c>
      <c r="D25" s="290">
        <f>+'q26'!D25</f>
        <v>1112.81349526453</v>
      </c>
      <c r="E25" s="290">
        <f>+'q26'!E25</f>
        <v>1105.3673758669602</v>
      </c>
      <c r="F25" s="290">
        <f>+'q26'!F25</f>
        <v>1113.8828047434101</v>
      </c>
      <c r="G25" s="290">
        <f>+'q26'!G25</f>
        <v>1112.7634528163901</v>
      </c>
      <c r="H25" s="290">
        <f>+'q26'!H25</f>
        <v>1130.1363503677301</v>
      </c>
      <c r="I25" s="290">
        <f>+'q26'!I25</f>
        <v>1190.71678318975</v>
      </c>
      <c r="J25" s="290">
        <f>+'q26'!J25</f>
        <v>1227.2777046757301</v>
      </c>
      <c r="K25" s="290">
        <f>+'q26'!K25</f>
        <v>1261.9340406783499</v>
      </c>
      <c r="L25" s="290">
        <f>+'q26'!L25</f>
        <v>1296.2774392240801</v>
      </c>
      <c r="M25" s="290">
        <f>+'q26'!M25</f>
        <v>1384.32570297657</v>
      </c>
      <c r="P25" s="177"/>
      <c r="Q25" s="185" t="s">
        <v>54</v>
      </c>
      <c r="R25" s="361">
        <f>+q26_Aux!C25*q11a!C25</f>
        <v>53403706.080000244</v>
      </c>
      <c r="S25" s="361">
        <f>+q26_Aux!D25*q11a!D25</f>
        <v>54518958.759999856</v>
      </c>
      <c r="T25" s="361">
        <f>+q26_Aux!E25*q11a!E25</f>
        <v>56099605.059999965</v>
      </c>
      <c r="U25" s="361">
        <f>+q26_Aux!F25*q11a!F25</f>
        <v>54480007.98000019</v>
      </c>
      <c r="V25" s="361">
        <f>+q26_Aux!G25*q11a!G25</f>
        <v>57803610.320000201</v>
      </c>
      <c r="W25" s="361">
        <f>+q26_Aux!H25*q11a!H25</f>
        <v>59621473.299999967</v>
      </c>
      <c r="X25" s="361">
        <f>+q26_Aux!I25*q11a!I25</f>
        <v>64684498.529999979</v>
      </c>
      <c r="Y25" s="361">
        <f>+q26_Aux!J25*q11a!J25</f>
        <v>68086912.500000149</v>
      </c>
      <c r="Z25" s="361">
        <f>+q26_Aux!K25*q11a!K25</f>
        <v>66449660.779999867</v>
      </c>
      <c r="AA25" s="361">
        <f>+q26_Aux!L25*q11a!L25</f>
        <v>72038026.129999802</v>
      </c>
      <c r="AB25" s="361">
        <f>+q26_Aux!M25*q11a!M25</f>
        <v>83062310.830000162</v>
      </c>
    </row>
    <row r="26" spans="1:28" s="36" customFormat="1" ht="16.5" customHeight="1">
      <c r="A26" s="56" t="str">
        <f>+'q26'!A26</f>
        <v>150-199 pessoas</v>
      </c>
      <c r="B26" s="53" t="str">
        <f>+'q26'!B26</f>
        <v>T</v>
      </c>
      <c r="C26" s="288">
        <f>+'q26'!C26</f>
        <v>1330.6379241824602</v>
      </c>
      <c r="D26" s="288">
        <f>+'q26'!D26</f>
        <v>1400.59204935563</v>
      </c>
      <c r="E26" s="288">
        <f>+'q26'!E26</f>
        <v>1384.81088318604</v>
      </c>
      <c r="F26" s="288">
        <f>+'q26'!F26</f>
        <v>1322.8371760863499</v>
      </c>
      <c r="G26" s="288">
        <f>+'q26'!G26</f>
        <v>1445.3933498080903</v>
      </c>
      <c r="H26" s="288">
        <f>+'q26'!H26</f>
        <v>1376.13837321613</v>
      </c>
      <c r="I26" s="288">
        <f>+'q26'!I26</f>
        <v>1396.0963163012402</v>
      </c>
      <c r="J26" s="288">
        <f>+'q26'!J26</f>
        <v>1402.3967330724502</v>
      </c>
      <c r="K26" s="288">
        <f>+'q26'!K26</f>
        <v>1472.48704151634</v>
      </c>
      <c r="L26" s="288">
        <f>+'q26'!L26</f>
        <v>1512.0010199931398</v>
      </c>
      <c r="M26" s="288">
        <f>+'q26'!M26</f>
        <v>1587.0819347728902</v>
      </c>
      <c r="P26" s="181" t="s">
        <v>38</v>
      </c>
      <c r="Q26" s="176" t="s">
        <v>45</v>
      </c>
      <c r="R26" s="361">
        <f>+q26_Aux!C26*q11a!C26</f>
        <v>95825890.109999865</v>
      </c>
      <c r="S26" s="361">
        <f>+q26_Aux!D26*q11a!D26</f>
        <v>102159184.07999966</v>
      </c>
      <c r="T26" s="361">
        <f>+q26_Aux!E26*q11a!E26</f>
        <v>97778726.839999914</v>
      </c>
      <c r="U26" s="361">
        <f>+q26_Aux!F26*q11a!F26</f>
        <v>99637418.939999968</v>
      </c>
      <c r="V26" s="361">
        <f>+q26_Aux!G26*q11a!G26</f>
        <v>109959744.48000027</v>
      </c>
      <c r="W26" s="361">
        <f>+q26_Aux!H26*q11a!H26</f>
        <v>107711726.60999972</v>
      </c>
      <c r="X26" s="361">
        <f>+q26_Aux!I26*q11a!I26</f>
        <v>117734198.44999988</v>
      </c>
      <c r="Y26" s="361">
        <f>+q26_Aux!J26*q11a!J26</f>
        <v>118264116.49999972</v>
      </c>
      <c r="Z26" s="361">
        <f>+q26_Aux!K26*q11a!K26</f>
        <v>115908289.96000022</v>
      </c>
      <c r="AA26" s="361">
        <f>+q26_Aux!L26*q11a!L26</f>
        <v>127883534.26999977</v>
      </c>
      <c r="AB26" s="361">
        <f>+q26_Aux!M26*q11a!M26</f>
        <v>152656650.06</v>
      </c>
    </row>
    <row r="27" spans="1:28" s="41" customFormat="1" ht="12.75" customHeight="1">
      <c r="A27" s="50"/>
      <c r="B27" s="57" t="str">
        <f>+'q26'!B27</f>
        <v>H</v>
      </c>
      <c r="C27" s="290">
        <f>+'q26'!C27</f>
        <v>1452.8806282033199</v>
      </c>
      <c r="D27" s="290">
        <f>+'q26'!D27</f>
        <v>1541.4117995994802</v>
      </c>
      <c r="E27" s="290">
        <f>+'q26'!E27</f>
        <v>1526.41651324285</v>
      </c>
      <c r="F27" s="290">
        <f>+'q26'!F27</f>
        <v>1434.0392576389702</v>
      </c>
      <c r="G27" s="290">
        <f>+'q26'!G27</f>
        <v>1628.6850673683302</v>
      </c>
      <c r="H27" s="290">
        <f>+'q26'!H27</f>
        <v>1522.40039353779</v>
      </c>
      <c r="I27" s="290">
        <f>+'q26'!I27</f>
        <v>1534.0830565787801</v>
      </c>
      <c r="J27" s="290">
        <f>+'q26'!J27</f>
        <v>1506.4298860157203</v>
      </c>
      <c r="K27" s="290">
        <f>+'q26'!K27</f>
        <v>1558.4978323768801</v>
      </c>
      <c r="L27" s="290">
        <f>+'q26'!L27</f>
        <v>1624.7732752239601</v>
      </c>
      <c r="M27" s="290">
        <f>+'q26'!M27</f>
        <v>1706.0875767092202</v>
      </c>
      <c r="P27" s="177"/>
      <c r="Q27" s="185" t="s">
        <v>53</v>
      </c>
      <c r="R27" s="361">
        <f>+q26_Aux!C27*q11a!C27</f>
        <v>61796824.640000008</v>
      </c>
      <c r="S27" s="361">
        <f>+q26_Aux!D27*q11a!D27</f>
        <v>66963552.810000218</v>
      </c>
      <c r="T27" s="361">
        <f>+q26_Aux!E27*q11a!E27</f>
        <v>62645660.119999804</v>
      </c>
      <c r="U27" s="361">
        <f>+q26_Aux!F27*q11a!F27</f>
        <v>63592470.880000129</v>
      </c>
      <c r="V27" s="361">
        <f>+q26_Aux!G27*q11a!G27</f>
        <v>71802209.880000204</v>
      </c>
      <c r="W27" s="361">
        <f>+q26_Aux!H27*q11a!H27</f>
        <v>67660040.689999998</v>
      </c>
      <c r="X27" s="361">
        <f>+q26_Aux!I27*q11a!I27</f>
        <v>74129961.459999815</v>
      </c>
      <c r="Y27" s="361">
        <f>+q26_Aux!J27*q11a!J27</f>
        <v>72820820.689999923</v>
      </c>
      <c r="Z27" s="361">
        <f>+q26_Aux!K27*q11a!K27</f>
        <v>71424397.160000041</v>
      </c>
      <c r="AA27" s="361">
        <f>+q26_Aux!L27*q11a!L27</f>
        <v>77264468.330000207</v>
      </c>
      <c r="AB27" s="361">
        <f>+q26_Aux!M27*q11a!M27</f>
        <v>92355638.790000215</v>
      </c>
    </row>
    <row r="28" spans="1:28" s="41" customFormat="1" ht="12.75" customHeight="1">
      <c r="A28" s="50"/>
      <c r="B28" s="57" t="str">
        <f>+'q26'!B28</f>
        <v>M</v>
      </c>
      <c r="C28" s="290">
        <f>+'q26'!C28</f>
        <v>1154.2710718767999</v>
      </c>
      <c r="D28" s="290">
        <f>+'q26'!D28</f>
        <v>1193.19358816151</v>
      </c>
      <c r="E28" s="290">
        <f>+'q26'!E28</f>
        <v>1188.2526708830799</v>
      </c>
      <c r="F28" s="290">
        <f>+'q26'!F28</f>
        <v>1163.6411434659099</v>
      </c>
      <c r="G28" s="290">
        <f>+'q26'!G28</f>
        <v>1192.7957049077802</v>
      </c>
      <c r="H28" s="290">
        <f>+'q26'!H28</f>
        <v>1183.9803098025302</v>
      </c>
      <c r="I28" s="290">
        <f>+'q26'!I28</f>
        <v>1210.9260737593402</v>
      </c>
      <c r="J28" s="290">
        <f>+'q26'!J28</f>
        <v>1262.6645126424</v>
      </c>
      <c r="K28" s="290">
        <f>+'q26'!K28</f>
        <v>1352.62847933834</v>
      </c>
      <c r="L28" s="290">
        <f>+'q26'!L28</f>
        <v>1367.1591070898</v>
      </c>
      <c r="M28" s="290">
        <f>+'q26'!M28</f>
        <v>1433.8947845627101</v>
      </c>
      <c r="P28" s="177"/>
      <c r="Q28" s="185" t="s">
        <v>54</v>
      </c>
      <c r="R28" s="361">
        <f>+q26_Aux!C28*q11a!C28</f>
        <v>34029065.469999939</v>
      </c>
      <c r="S28" s="361">
        <f>+q26_Aux!D28*q11a!D28</f>
        <v>35195631.270000063</v>
      </c>
      <c r="T28" s="361">
        <f>+q26_Aux!E28*q11a!E28</f>
        <v>35133066.720000021</v>
      </c>
      <c r="U28" s="361">
        <f>+q26_Aux!F28*q11a!F28</f>
        <v>36044948.060000025</v>
      </c>
      <c r="V28" s="361">
        <f>+q26_Aux!G28*q11a!G28</f>
        <v>38157534.59999989</v>
      </c>
      <c r="W28" s="361">
        <f>+q26_Aux!H28*q11a!H28</f>
        <v>40051685.919999994</v>
      </c>
      <c r="X28" s="361">
        <f>+q26_Aux!I28*q11a!I28</f>
        <v>43604236.990000077</v>
      </c>
      <c r="Y28" s="361">
        <f>+q26_Aux!J28*q11a!J28</f>
        <v>45443295.80999998</v>
      </c>
      <c r="Z28" s="361">
        <f>+q26_Aux!K28*q11a!K28</f>
        <v>44483892.79999999</v>
      </c>
      <c r="AA28" s="361">
        <f>+q26_Aux!L28*q11a!L28</f>
        <v>50619065.939999849</v>
      </c>
      <c r="AB28" s="361">
        <f>+q26_Aux!M28*q11a!M28</f>
        <v>60301011.270000212</v>
      </c>
    </row>
    <row r="29" spans="1:28" s="36" customFormat="1" ht="16.5" customHeight="1">
      <c r="A29" s="56" t="str">
        <f>+'q26'!A29</f>
        <v>200-249 pessoas</v>
      </c>
      <c r="B29" s="53" t="str">
        <f>+'q26'!B29</f>
        <v>T</v>
      </c>
      <c r="C29" s="288">
        <f>+'q26'!C29</f>
        <v>1445.6060275321802</v>
      </c>
      <c r="D29" s="288">
        <f>+'q26'!D29</f>
        <v>1439.84412212405</v>
      </c>
      <c r="E29" s="288">
        <f>+'q26'!E29</f>
        <v>1389.18314250241</v>
      </c>
      <c r="F29" s="288">
        <f>+'q26'!F29</f>
        <v>1550.4736885516302</v>
      </c>
      <c r="G29" s="288">
        <f>+'q26'!G29</f>
        <v>1457.9364476237999</v>
      </c>
      <c r="H29" s="288">
        <f>+'q26'!H29</f>
        <v>1565.5005851731601</v>
      </c>
      <c r="I29" s="288">
        <f>+'q26'!I29</f>
        <v>1614.6497674877201</v>
      </c>
      <c r="J29" s="288">
        <f>+'q26'!J29</f>
        <v>1633.3337905317803</v>
      </c>
      <c r="K29" s="288">
        <f>+'q26'!K29</f>
        <v>1753.6480236097502</v>
      </c>
      <c r="L29" s="288">
        <f>+'q26'!L29</f>
        <v>1653.7349287822001</v>
      </c>
      <c r="M29" s="288">
        <f>+'q26'!M29</f>
        <v>1727.9357602575599</v>
      </c>
      <c r="P29" s="181" t="s">
        <v>39</v>
      </c>
      <c r="Q29" s="176" t="s">
        <v>45</v>
      </c>
      <c r="R29" s="361">
        <f>+q26_Aux!C29*q11a!C29</f>
        <v>64582449.28000015</v>
      </c>
      <c r="S29" s="361">
        <f>+q26_Aux!D29*q11a!D29</f>
        <v>65835432.640000068</v>
      </c>
      <c r="T29" s="361">
        <f>+q26_Aux!E29*q11a!E29</f>
        <v>70491320.199999794</v>
      </c>
      <c r="U29" s="361">
        <f>+q26_Aux!F29*q11a!F29</f>
        <v>79891257.749999851</v>
      </c>
      <c r="V29" s="361">
        <f>+q26_Aux!G29*q11a!G29</f>
        <v>78872903.879999951</v>
      </c>
      <c r="W29" s="361">
        <f>+q26_Aux!H29*q11a!H29</f>
        <v>93527701.460000098</v>
      </c>
      <c r="X29" s="361">
        <f>+q26_Aux!I29*q11a!I29</f>
        <v>98262740.900000185</v>
      </c>
      <c r="Y29" s="361">
        <f>+q26_Aux!J29*q11a!J29</f>
        <v>100744028.20000021</v>
      </c>
      <c r="Z29" s="361">
        <f>+q26_Aux!K29*q11a!K29</f>
        <v>108889266.73000023</v>
      </c>
      <c r="AA29" s="361">
        <f>+q26_Aux!L29*q11a!L29</f>
        <v>103680911.36000003</v>
      </c>
      <c r="AB29" s="361">
        <f>+q26_Aux!M29*q11a!M29</f>
        <v>119687198.37000014</v>
      </c>
    </row>
    <row r="30" spans="1:28" s="41" customFormat="1" ht="12.75" customHeight="1">
      <c r="A30" s="50"/>
      <c r="B30" s="57" t="str">
        <f>+'q26'!B30</f>
        <v>H</v>
      </c>
      <c r="C30" s="290">
        <f>+'q26'!C30</f>
        <v>1597.9792037997902</v>
      </c>
      <c r="D30" s="290">
        <f>+'q26'!D30</f>
        <v>1618.3479253236999</v>
      </c>
      <c r="E30" s="290">
        <f>+'q26'!E30</f>
        <v>1529.71148298866</v>
      </c>
      <c r="F30" s="290">
        <f>+'q26'!F30</f>
        <v>1747.4328782482501</v>
      </c>
      <c r="G30" s="290">
        <f>+'q26'!G30</f>
        <v>1590.9405836933502</v>
      </c>
      <c r="H30" s="290">
        <f>+'q26'!H30</f>
        <v>1803.77936278938</v>
      </c>
      <c r="I30" s="290">
        <f>+'q26'!I30</f>
        <v>1843.0790868468703</v>
      </c>
      <c r="J30" s="290">
        <f>+'q26'!J30</f>
        <v>1875.3228046599802</v>
      </c>
      <c r="K30" s="290">
        <f>+'q26'!K30</f>
        <v>2004.1117696901201</v>
      </c>
      <c r="L30" s="290">
        <f>+'q26'!L30</f>
        <v>1802.3362045107103</v>
      </c>
      <c r="M30" s="290">
        <f>+'q26'!M30</f>
        <v>1868.1417712265302</v>
      </c>
      <c r="P30" s="177"/>
      <c r="Q30" s="185" t="s">
        <v>53</v>
      </c>
      <c r="R30" s="361">
        <f>+q26_Aux!C30*q11a!C30</f>
        <v>41886230.890000097</v>
      </c>
      <c r="S30" s="361">
        <f>+q26_Aux!D30*q11a!D30</f>
        <v>42996267.680000059</v>
      </c>
      <c r="T30" s="361">
        <f>+q26_Aux!E30*q11a!E30</f>
        <v>45860750.260000028</v>
      </c>
      <c r="U30" s="361">
        <f>+q26_Aux!F30*q11a!F30</f>
        <v>52989154.599999934</v>
      </c>
      <c r="V30" s="361">
        <f>+q26_Aux!G30*q11a!G30</f>
        <v>51923527.829999872</v>
      </c>
      <c r="W30" s="361">
        <f>+q26_Aux!H30*q11a!H30</f>
        <v>63889865.029999837</v>
      </c>
      <c r="X30" s="361">
        <f>+q26_Aux!I30*q11a!I30</f>
        <v>67231838.930000126</v>
      </c>
      <c r="Y30" s="361">
        <f>+q26_Aux!J30*q11a!J30</f>
        <v>69218164.719999865</v>
      </c>
      <c r="Z30" s="361">
        <f>+q26_Aux!K30*q11a!K30</f>
        <v>74504859.149999902</v>
      </c>
      <c r="AA30" s="361">
        <f>+q26_Aux!L30*q11a!L30</f>
        <v>67207314.729999885</v>
      </c>
      <c r="AB30" s="361">
        <f>+q26_Aux!M30*q11a!M30</f>
        <v>78196678.260000095</v>
      </c>
    </row>
    <row r="31" spans="1:28" s="41" customFormat="1" ht="12.75" customHeight="1">
      <c r="A31" s="50"/>
      <c r="B31" s="57" t="str">
        <f>+'q26'!B31</f>
        <v>M</v>
      </c>
      <c r="C31" s="290">
        <f>+'q26'!C31</f>
        <v>1229.28117803174</v>
      </c>
      <c r="D31" s="290">
        <f>+'q26'!D31</f>
        <v>1192.2721319691002</v>
      </c>
      <c r="E31" s="290">
        <f>+'q26'!E31</f>
        <v>1186.2722121080801</v>
      </c>
      <c r="F31" s="290">
        <f>+'q26'!F31</f>
        <v>1268.7875843041102</v>
      </c>
      <c r="G31" s="290">
        <f>+'q26'!G31</f>
        <v>1255.67869024322</v>
      </c>
      <c r="H31" s="290">
        <f>+'q26'!H31</f>
        <v>1218.51072770629</v>
      </c>
      <c r="I31" s="290">
        <f>+'q26'!I31</f>
        <v>1272.8537663562902</v>
      </c>
      <c r="J31" s="290">
        <f>+'q26'!J31</f>
        <v>1272.74378199435</v>
      </c>
      <c r="K31" s="290">
        <f>+'q26'!K31</f>
        <v>1379.9577629730702</v>
      </c>
      <c r="L31" s="290">
        <f>+'q26'!L31</f>
        <v>1435.6292462410502</v>
      </c>
      <c r="M31" s="290">
        <f>+'q26'!M31</f>
        <v>1513.8105702714502</v>
      </c>
      <c r="P31" s="177"/>
      <c r="Q31" s="185" t="s">
        <v>54</v>
      </c>
      <c r="R31" s="361">
        <f>+q26_Aux!C31*q11a!C31</f>
        <v>22696218.390000015</v>
      </c>
      <c r="S31" s="361">
        <f>+q26_Aux!D31*q11a!D31</f>
        <v>22839164.960000083</v>
      </c>
      <c r="T31" s="361">
        <f>+q26_Aux!E31*q11a!E31</f>
        <v>24630569.940000068</v>
      </c>
      <c r="U31" s="361">
        <f>+q26_Aux!F31*q11a!F31</f>
        <v>26902103.150000047</v>
      </c>
      <c r="V31" s="361">
        <f>+q26_Aux!G31*q11a!G31</f>
        <v>26949376.049999986</v>
      </c>
      <c r="W31" s="361">
        <f>+q26_Aux!H31*q11a!H31</f>
        <v>29637836.430000093</v>
      </c>
      <c r="X31" s="361">
        <f>+q26_Aux!I31*q11a!I31</f>
        <v>31030901.969999999</v>
      </c>
      <c r="Y31" s="361">
        <f>+q26_Aux!J31*q11a!J31</f>
        <v>31525863.480000049</v>
      </c>
      <c r="Z31" s="361">
        <f>+q26_Aux!K31*q11a!K31</f>
        <v>34384407.579999991</v>
      </c>
      <c r="AA31" s="361">
        <f>+q26_Aux!L31*q11a!L31</f>
        <v>36473596.630000122</v>
      </c>
      <c r="AB31" s="361">
        <f>+q26_Aux!M31*q11a!M31</f>
        <v>41490520.109999903</v>
      </c>
    </row>
    <row r="32" spans="1:28" s="36" customFormat="1" ht="16.5" customHeight="1">
      <c r="A32" s="56" t="str">
        <f>+'q26'!A32</f>
        <v>250-499 pessoas</v>
      </c>
      <c r="B32" s="53" t="str">
        <f>+'q26'!B32</f>
        <v>T</v>
      </c>
      <c r="C32" s="288">
        <f>+'q26'!C32</f>
        <v>1350.05243405488</v>
      </c>
      <c r="D32" s="288">
        <f>+'q26'!D32</f>
        <v>1331.73112902299</v>
      </c>
      <c r="E32" s="288">
        <f>+'q26'!E32</f>
        <v>1380.76556600918</v>
      </c>
      <c r="F32" s="288">
        <f>+'q26'!F32</f>
        <v>1377.5002039337703</v>
      </c>
      <c r="G32" s="288">
        <f>+'q26'!G32</f>
        <v>1431.9194051126501</v>
      </c>
      <c r="H32" s="288">
        <f>+'q26'!H32</f>
        <v>1464.3111441568701</v>
      </c>
      <c r="I32" s="288">
        <f>+'q26'!I32</f>
        <v>1486.22384669906</v>
      </c>
      <c r="J32" s="288">
        <f>+'q26'!J32</f>
        <v>1501.6884175034902</v>
      </c>
      <c r="K32" s="288">
        <f>+'q26'!K32</f>
        <v>1567.0818415384203</v>
      </c>
      <c r="L32" s="288">
        <f>+'q26'!L32</f>
        <v>1645.9818256118301</v>
      </c>
      <c r="M32" s="288">
        <f>+'q26'!M32</f>
        <v>1710.60056361237</v>
      </c>
      <c r="P32" s="181" t="s">
        <v>40</v>
      </c>
      <c r="Q32" s="176" t="s">
        <v>45</v>
      </c>
      <c r="R32" s="361">
        <f>+q26_Aux!C32*q11a!C32</f>
        <v>167771015.97999993</v>
      </c>
      <c r="S32" s="361">
        <f>+q26_Aux!D32*q11a!D32</f>
        <v>162163567.85000047</v>
      </c>
      <c r="T32" s="361">
        <f>+q26_Aux!E32*q11a!E32</f>
        <v>164225494.88999987</v>
      </c>
      <c r="U32" s="361">
        <f>+q26_Aux!F32*q11a!F32</f>
        <v>180619204.23999989</v>
      </c>
      <c r="V32" s="361">
        <f>+q26_Aux!G32*q11a!G32</f>
        <v>198292199.21999979</v>
      </c>
      <c r="W32" s="361">
        <f>+q26_Aux!H32*q11a!H32</f>
        <v>216634583.59999985</v>
      </c>
      <c r="X32" s="361">
        <f>+q26_Aux!I32*q11a!I32</f>
        <v>232753057.95999968</v>
      </c>
      <c r="Y32" s="361">
        <f>+q26_Aux!J32*q11a!J32</f>
        <v>235829654.1500006</v>
      </c>
      <c r="Z32" s="361">
        <f>+q26_Aux!K32*q11a!K32</f>
        <v>241537458.3999998</v>
      </c>
      <c r="AA32" s="361">
        <f>+q26_Aux!L32*q11a!L32</f>
        <v>251538942.58999988</v>
      </c>
      <c r="AB32" s="361">
        <f>+q26_Aux!M32*q11a!M32</f>
        <v>281320236.88999951</v>
      </c>
    </row>
    <row r="33" spans="1:28" s="41" customFormat="1" ht="12.75" customHeight="1">
      <c r="A33" s="50"/>
      <c r="B33" s="57" t="str">
        <f>+'q26'!B33</f>
        <v>H</v>
      </c>
      <c r="C33" s="290">
        <f>+'q26'!C33</f>
        <v>1478.2781274249</v>
      </c>
      <c r="D33" s="290">
        <f>+'q26'!D33</f>
        <v>1440.5967258338701</v>
      </c>
      <c r="E33" s="290">
        <f>+'q26'!E33</f>
        <v>1496.8265813471201</v>
      </c>
      <c r="F33" s="290">
        <f>+'q26'!F33</f>
        <v>1498.3163956664202</v>
      </c>
      <c r="G33" s="290">
        <f>+'q26'!G33</f>
        <v>1550.3309697921402</v>
      </c>
      <c r="H33" s="290">
        <f>+'q26'!H33</f>
        <v>1569.7017801704001</v>
      </c>
      <c r="I33" s="290">
        <f>+'q26'!I33</f>
        <v>1588.9555480635902</v>
      </c>
      <c r="J33" s="290">
        <f>+'q26'!J33</f>
        <v>1606.9556804891602</v>
      </c>
      <c r="K33" s="290">
        <f>+'q26'!K33</f>
        <v>1674.0281141989501</v>
      </c>
      <c r="L33" s="290">
        <f>+'q26'!L33</f>
        <v>1781.2465525209202</v>
      </c>
      <c r="M33" s="290">
        <f>+'q26'!M33</f>
        <v>1854.4482327746</v>
      </c>
      <c r="P33" s="177"/>
      <c r="Q33" s="185" t="s">
        <v>53</v>
      </c>
      <c r="R33" s="361">
        <f>+q26_Aux!C33*q11a!C33</f>
        <v>106684375.90000018</v>
      </c>
      <c r="S33" s="361">
        <f>+q26_Aux!D33*q11a!D33</f>
        <v>103397389.4000002</v>
      </c>
      <c r="T33" s="361">
        <f>+q26_Aux!E33*q11a!E33</f>
        <v>105379584.97999994</v>
      </c>
      <c r="U33" s="361">
        <f>+q26_Aux!F33*q11a!F33</f>
        <v>115202551.02999972</v>
      </c>
      <c r="V33" s="361">
        <f>+q26_Aux!G33*q11a!G33</f>
        <v>125379916.51999976</v>
      </c>
      <c r="W33" s="361">
        <f>+q26_Aux!H33*q11a!H33</f>
        <v>137626742.98000017</v>
      </c>
      <c r="X33" s="361">
        <f>+q26_Aux!I33*q11a!I33</f>
        <v>148932803.52000031</v>
      </c>
      <c r="Y33" s="361">
        <f>+q26_Aux!J33*q11a!J33</f>
        <v>150591030.73000017</v>
      </c>
      <c r="Z33" s="361">
        <f>+q26_Aux!K33*q11a!K33</f>
        <v>153243881.63000029</v>
      </c>
      <c r="AA33" s="361">
        <f>+q26_Aux!L33*q11a!L33</f>
        <v>162656310.19000036</v>
      </c>
      <c r="AB33" s="361">
        <f>+q26_Aux!M33*q11a!M33</f>
        <v>180111430.16000026</v>
      </c>
    </row>
    <row r="34" spans="1:28" s="41" customFormat="1" ht="12.75" customHeight="1">
      <c r="A34" s="50"/>
      <c r="B34" s="57" t="str">
        <f>+'q26'!B34</f>
        <v>M</v>
      </c>
      <c r="C34" s="290">
        <f>+'q26'!C34</f>
        <v>1172.4432858623502</v>
      </c>
      <c r="D34" s="290">
        <f>+'q26'!D34</f>
        <v>1175.4411131113102</v>
      </c>
      <c r="E34" s="290">
        <f>+'q26'!E34</f>
        <v>1212.41779112411</v>
      </c>
      <c r="F34" s="290">
        <f>+'q26'!F34</f>
        <v>1206.2149099256901</v>
      </c>
      <c r="G34" s="290">
        <f>+'q26'!G34</f>
        <v>1265.6844255038502</v>
      </c>
      <c r="H34" s="290">
        <f>+'q26'!H34</f>
        <v>1310.9853087976601</v>
      </c>
      <c r="I34" s="290">
        <f>+'q26'!I34</f>
        <v>1333.0829148973401</v>
      </c>
      <c r="J34" s="290">
        <f>+'q26'!J34</f>
        <v>1345.9225879900803</v>
      </c>
      <c r="K34" s="290">
        <f>+'q26'!K34</f>
        <v>1410.66586946797</v>
      </c>
      <c r="L34" s="290">
        <f>+'q26'!L34</f>
        <v>1445.1520616545301</v>
      </c>
      <c r="M34" s="290">
        <f>+'q26'!M34</f>
        <v>1503.1085311808499</v>
      </c>
      <c r="P34" s="177"/>
      <c r="Q34" s="185" t="s">
        <v>54</v>
      </c>
      <c r="R34" s="361">
        <f>+q26_Aux!C34*q11a!C34</f>
        <v>61086640.08000017</v>
      </c>
      <c r="S34" s="361">
        <f>+q26_Aux!D34*q11a!D34</f>
        <v>58766178.449999951</v>
      </c>
      <c r="T34" s="361">
        <f>+q26_Aux!E34*q11a!E34</f>
        <v>58845909.909999803</v>
      </c>
      <c r="U34" s="361">
        <f>+q26_Aux!F34*q11a!F34</f>
        <v>65416653.209999949</v>
      </c>
      <c r="V34" s="361">
        <f>+q26_Aux!G34*q11a!G34</f>
        <v>72912282.700000301</v>
      </c>
      <c r="W34" s="361">
        <f>+q26_Aux!H34*q11a!H34</f>
        <v>79007840.619999781</v>
      </c>
      <c r="X34" s="361">
        <f>+q26_Aux!I34*q11a!I34</f>
        <v>83820254.440000057</v>
      </c>
      <c r="Y34" s="361">
        <f>+q26_Aux!J34*q11a!J34</f>
        <v>85238623.419999778</v>
      </c>
      <c r="Z34" s="361">
        <f>+q26_Aux!K34*q11a!K34</f>
        <v>88293576.770000234</v>
      </c>
      <c r="AA34" s="361">
        <f>+q26_Aux!L34*q11a!L34</f>
        <v>88882632.400000215</v>
      </c>
      <c r="AB34" s="361">
        <f>+q26_Aux!M34*q11a!M34</f>
        <v>101208806.73000017</v>
      </c>
    </row>
    <row r="35" spans="1:28" s="36" customFormat="1" ht="16.5" customHeight="1">
      <c r="A35" s="56" t="str">
        <f>+'q26'!A35</f>
        <v>500-999 pessoas</v>
      </c>
      <c r="B35" s="53" t="str">
        <f>+'q26'!B35</f>
        <v>T</v>
      </c>
      <c r="C35" s="288">
        <f>+'q26'!C35</f>
        <v>1477.16956037766</v>
      </c>
      <c r="D35" s="288">
        <f>+'q26'!D35</f>
        <v>1485.52176284805</v>
      </c>
      <c r="E35" s="288">
        <f>+'q26'!E35</f>
        <v>1449.3986879582599</v>
      </c>
      <c r="F35" s="288">
        <f>+'q26'!F35</f>
        <v>1435.2919921521302</v>
      </c>
      <c r="G35" s="288">
        <f>+'q26'!G35</f>
        <v>1436.3914667570298</v>
      </c>
      <c r="H35" s="288">
        <f>+'q26'!H35</f>
        <v>1413.6745277566702</v>
      </c>
      <c r="I35" s="288">
        <f>+'q26'!I35</f>
        <v>1480.5491944217401</v>
      </c>
      <c r="J35" s="288">
        <f>+'q26'!J35</f>
        <v>1546.2711630349902</v>
      </c>
      <c r="K35" s="288">
        <f>+'q26'!K35</f>
        <v>1593.8169652680101</v>
      </c>
      <c r="L35" s="288">
        <f>+'q26'!L35</f>
        <v>1639.0664659625402</v>
      </c>
      <c r="M35" s="288">
        <f>+'q26'!M35</f>
        <v>1762.59821678653</v>
      </c>
      <c r="P35" s="181" t="s">
        <v>41</v>
      </c>
      <c r="Q35" s="176" t="s">
        <v>45</v>
      </c>
      <c r="R35" s="361">
        <f>+q26_Aux!C35*q11a!C35</f>
        <v>120627143.47000009</v>
      </c>
      <c r="S35" s="361">
        <f>+q26_Aux!D35*q11a!D35</f>
        <v>122762032.96000001</v>
      </c>
      <c r="T35" s="361">
        <f>+q26_Aux!E35*q11a!E35</f>
        <v>123349625.93999974</v>
      </c>
      <c r="U35" s="361">
        <f>+q26_Aux!F35*q11a!F35</f>
        <v>128388303.9900002</v>
      </c>
      <c r="V35" s="361">
        <f>+q26_Aux!G35*q11a!G35</f>
        <v>125046495.52999999</v>
      </c>
      <c r="W35" s="361">
        <f>+q26_Aux!H35*q11a!H35</f>
        <v>132089506.84999999</v>
      </c>
      <c r="X35" s="361">
        <f>+q26_Aux!I35*q11a!I35</f>
        <v>144916155.14999992</v>
      </c>
      <c r="Y35" s="361">
        <f>+q26_Aux!J35*q11a!J35</f>
        <v>172225228.41000023</v>
      </c>
      <c r="Z35" s="361">
        <f>+q26_Aux!K35*q11a!K35</f>
        <v>179058960.77999985</v>
      </c>
      <c r="AA35" s="361">
        <f>+q26_Aux!L35*q11a!L35</f>
        <v>177378133.88000014</v>
      </c>
      <c r="AB35" s="361">
        <f>+q26_Aux!M35*q11a!M35</f>
        <v>223021552.36999965</v>
      </c>
    </row>
    <row r="36" spans="1:28" s="41" customFormat="1" ht="12.75" customHeight="1">
      <c r="A36" s="50"/>
      <c r="B36" s="57" t="str">
        <f>+'q26'!B36</f>
        <v>H</v>
      </c>
      <c r="C36" s="290">
        <f>+'q26'!C36</f>
        <v>1651.8940737374201</v>
      </c>
      <c r="D36" s="290">
        <f>+'q26'!D36</f>
        <v>1654.2405252914002</v>
      </c>
      <c r="E36" s="290">
        <f>+'q26'!E36</f>
        <v>1578.3269082074601</v>
      </c>
      <c r="F36" s="290">
        <f>+'q26'!F36</f>
        <v>1569.60504806126</v>
      </c>
      <c r="G36" s="290">
        <f>+'q26'!G36</f>
        <v>1561.9542755599603</v>
      </c>
      <c r="H36" s="290">
        <f>+'q26'!H36</f>
        <v>1527.73665522237</v>
      </c>
      <c r="I36" s="290">
        <f>+'q26'!I36</f>
        <v>1622.2185746153002</v>
      </c>
      <c r="J36" s="290">
        <f>+'q26'!J36</f>
        <v>1694.0735741330702</v>
      </c>
      <c r="K36" s="290">
        <f>+'q26'!K36</f>
        <v>1734.1126673402002</v>
      </c>
      <c r="L36" s="290">
        <f>+'q26'!L36</f>
        <v>1782.4455703905999</v>
      </c>
      <c r="M36" s="290">
        <f>+'q26'!M36</f>
        <v>1884.3572820592701</v>
      </c>
      <c r="P36" s="177"/>
      <c r="Q36" s="185" t="s">
        <v>53</v>
      </c>
      <c r="R36" s="361">
        <f>+q26_Aux!C36*q11a!C36</f>
        <v>74510334.090000063</v>
      </c>
      <c r="S36" s="361">
        <f>+q26_Aux!D36*q11a!D36</f>
        <v>75643456.499999851</v>
      </c>
      <c r="T36" s="361">
        <f>+q26_Aux!E36*q11a!E36</f>
        <v>74710104.200000122</v>
      </c>
      <c r="U36" s="361">
        <f>+q26_Aux!F36*q11a!F36</f>
        <v>77073886.28000012</v>
      </c>
      <c r="V36" s="361">
        <f>+q26_Aux!G36*q11a!G36</f>
        <v>75592339.119999841</v>
      </c>
      <c r="W36" s="361">
        <f>+q26_Aux!H36*q11a!H36</f>
        <v>76981122.320000008</v>
      </c>
      <c r="X36" s="361">
        <f>+q26_Aux!I36*q11a!I36</f>
        <v>85812118.160000145</v>
      </c>
      <c r="Y36" s="361">
        <f>+q26_Aux!J36*q11a!J36</f>
        <v>101564792.98999996</v>
      </c>
      <c r="Z36" s="361">
        <f>+q26_Aux!K36*q11a!K36</f>
        <v>108135797.7100002</v>
      </c>
      <c r="AA36" s="361">
        <f>+q26_Aux!L36*q11a!L36</f>
        <v>105732888.78999999</v>
      </c>
      <c r="AB36" s="361">
        <f>+q26_Aux!M36*q11a!M36</f>
        <v>133086501.76000006</v>
      </c>
    </row>
    <row r="37" spans="1:28" s="41" customFormat="1" ht="12.75" customHeight="1">
      <c r="A37" s="58"/>
      <c r="B37" s="57" t="str">
        <f>+'q26'!B37</f>
        <v>M</v>
      </c>
      <c r="C37" s="290">
        <f>+'q26'!C37</f>
        <v>1261.5732288332599</v>
      </c>
      <c r="D37" s="290">
        <f>+'q26'!D37</f>
        <v>1276.5110657780701</v>
      </c>
      <c r="E37" s="290">
        <f>+'q26'!E37</f>
        <v>1287.8159797717701</v>
      </c>
      <c r="F37" s="290">
        <f>+'q26'!F37</f>
        <v>1271.8273405705502</v>
      </c>
      <c r="G37" s="290">
        <f>+'q26'!G37</f>
        <v>1279.20735669943</v>
      </c>
      <c r="H37" s="290">
        <f>+'q26'!H37</f>
        <v>1280.1613206188399</v>
      </c>
      <c r="I37" s="290">
        <f>+'q26'!I37</f>
        <v>1313.9486236716903</v>
      </c>
      <c r="J37" s="290">
        <f>+'q26'!J37</f>
        <v>1373.96817725753</v>
      </c>
      <c r="K37" s="290">
        <f>+'q26'!K37</f>
        <v>1418.8037743058303</v>
      </c>
      <c r="L37" s="290">
        <f>+'q26'!L37</f>
        <v>1465.1379364008201</v>
      </c>
      <c r="M37" s="290">
        <f>+'q26'!M37</f>
        <v>1608.7696654920101</v>
      </c>
      <c r="P37" s="182"/>
      <c r="Q37" s="185" t="s">
        <v>54</v>
      </c>
      <c r="R37" s="361">
        <f>+q26_Aux!C37*q11a!C37</f>
        <v>46116809.379999816</v>
      </c>
      <c r="S37" s="361">
        <f>+q26_Aux!D37*q11a!D37</f>
        <v>47118576.460000128</v>
      </c>
      <c r="T37" s="361">
        <f>+q26_Aux!E37*q11a!E37</f>
        <v>48639521.739999987</v>
      </c>
      <c r="U37" s="361">
        <f>+q26_Aux!F37*q11a!F37</f>
        <v>51314417.709999986</v>
      </c>
      <c r="V37" s="361">
        <f>+q26_Aux!G37*q11a!G37</f>
        <v>49454156.409999959</v>
      </c>
      <c r="W37" s="361">
        <f>+q26_Aux!H37*q11a!H37</f>
        <v>55108384.529999822</v>
      </c>
      <c r="X37" s="361">
        <f>+q26_Aux!I37*q11a!I37</f>
        <v>59104036.989999972</v>
      </c>
      <c r="Y37" s="361">
        <f>+q26_Aux!J37*q11a!J37</f>
        <v>70660435.420000255</v>
      </c>
      <c r="Z37" s="361">
        <f>+q26_Aux!K37*q11a!K37</f>
        <v>70923163.069999844</v>
      </c>
      <c r="AA37" s="361">
        <f>+q26_Aux!L37*q11a!L37</f>
        <v>71645245.090000108</v>
      </c>
      <c r="AB37" s="361">
        <f>+q26_Aux!M37*q11a!M37</f>
        <v>89935050.609999835</v>
      </c>
    </row>
    <row r="38" spans="1:28" s="36" customFormat="1" ht="16.5" customHeight="1">
      <c r="A38" s="56" t="str">
        <f>+'q26'!A38</f>
        <v>1 000 e + pessoas</v>
      </c>
      <c r="B38" s="53" t="str">
        <f>+'q26'!B38</f>
        <v>T</v>
      </c>
      <c r="C38" s="288">
        <f>+'q26'!C38</f>
        <v>1280.9206108466301</v>
      </c>
      <c r="D38" s="288">
        <f>+'q26'!D38</f>
        <v>1255.66568744507</v>
      </c>
      <c r="E38" s="288">
        <f>+'q26'!E38</f>
        <v>1228.8137283898602</v>
      </c>
      <c r="F38" s="288">
        <f>+'q26'!F38</f>
        <v>1254.7110846253199</v>
      </c>
      <c r="G38" s="288">
        <f>+'q26'!G38</f>
        <v>1252.4902639367301</v>
      </c>
      <c r="H38" s="288">
        <f>+'q26'!H38</f>
        <v>1299.7550748196099</v>
      </c>
      <c r="I38" s="288">
        <f>+'q26'!I38</f>
        <v>1358.68525101774</v>
      </c>
      <c r="J38" s="288">
        <f>+'q26'!J38</f>
        <v>1430.3556594421202</v>
      </c>
      <c r="K38" s="288">
        <f>+'q26'!K38</f>
        <v>1373.1289094202202</v>
      </c>
      <c r="L38" s="288">
        <f>+'q26'!L38</f>
        <v>1471.9395520576502</v>
      </c>
      <c r="M38" s="288">
        <f>+'q26'!M38</f>
        <v>1625.2925218512401</v>
      </c>
      <c r="P38" s="181" t="s">
        <v>72</v>
      </c>
      <c r="Q38" s="176" t="s">
        <v>45</v>
      </c>
      <c r="R38" s="361">
        <f>+q26_Aux!C38*q11a!C38</f>
        <v>119463779.85000011</v>
      </c>
      <c r="S38" s="361">
        <f>+q26_Aux!D38*q11a!D38</f>
        <v>124307136.0599996</v>
      </c>
      <c r="T38" s="361">
        <f>+q26_Aux!E38*q11a!E38</f>
        <v>128296754.94000013</v>
      </c>
      <c r="U38" s="361">
        <f>+q26_Aux!F38*q11a!F38</f>
        <v>135960493.12999967</v>
      </c>
      <c r="V38" s="361">
        <f>+q26_Aux!G38*q11a!G38</f>
        <v>149812865.45000017</v>
      </c>
      <c r="W38" s="361">
        <f>+q26_Aux!H38*q11a!H38</f>
        <v>173110479.14999938</v>
      </c>
      <c r="X38" s="361">
        <f>+q26_Aux!I38*q11a!I38</f>
        <v>191907498.28000069</v>
      </c>
      <c r="Y38" s="361">
        <f>+q26_Aux!J38*q11a!J38</f>
        <v>218443916.3100006</v>
      </c>
      <c r="Z38" s="361">
        <f>+q26_Aux!K38*q11a!K38</f>
        <v>210002216.02000022</v>
      </c>
      <c r="AA38" s="361">
        <f>+q26_Aux!L38*q11a!L38</f>
        <v>231630295.67000008</v>
      </c>
      <c r="AB38" s="361">
        <f>+q26_Aux!M38*q11a!M38</f>
        <v>286176631.37000078</v>
      </c>
    </row>
    <row r="39" spans="1:28" s="41" customFormat="1" ht="12.75" customHeight="1">
      <c r="A39" s="58"/>
      <c r="B39" s="57" t="str">
        <f>+'q26'!B39</f>
        <v>H</v>
      </c>
      <c r="C39" s="290">
        <f>+'q26'!C39</f>
        <v>1434.5102006654001</v>
      </c>
      <c r="D39" s="290">
        <f>+'q26'!D39</f>
        <v>1408.2725565291998</v>
      </c>
      <c r="E39" s="290">
        <f>+'q26'!E39</f>
        <v>1369.9264986271701</v>
      </c>
      <c r="F39" s="290">
        <f>+'q26'!F39</f>
        <v>1410.7889684946199</v>
      </c>
      <c r="G39" s="290">
        <f>+'q26'!G39</f>
        <v>1406.3056853604</v>
      </c>
      <c r="H39" s="290">
        <f>+'q26'!H39</f>
        <v>1427.0292114816502</v>
      </c>
      <c r="I39" s="290">
        <f>+'q26'!I39</f>
        <v>1487.0769411098399</v>
      </c>
      <c r="J39" s="290">
        <f>+'q26'!J39</f>
        <v>1570.9429588589098</v>
      </c>
      <c r="K39" s="290">
        <f>+'q26'!K39</f>
        <v>1476.0099259506198</v>
      </c>
      <c r="L39" s="290">
        <f>+'q26'!L39</f>
        <v>1576.9962571613</v>
      </c>
      <c r="M39" s="290">
        <f>+'q26'!M39</f>
        <v>1807.9568015727502</v>
      </c>
      <c r="P39" s="182"/>
      <c r="Q39" s="185" t="s">
        <v>53</v>
      </c>
      <c r="R39" s="361">
        <f>+q26_Aux!C39*q11a!C39</f>
        <v>68556677.000000134</v>
      </c>
      <c r="S39" s="361">
        <f>+q26_Aux!D39*q11a!D39</f>
        <v>68944799.550000042</v>
      </c>
      <c r="T39" s="361">
        <f>+q26_Aux!E39*q11a!E39</f>
        <v>73344494.810000062</v>
      </c>
      <c r="U39" s="361">
        <f>+q26_Aux!F39*q11a!F39</f>
        <v>76303932.150000006</v>
      </c>
      <c r="V39" s="361">
        <f>+q26_Aux!G39*q11a!G39</f>
        <v>81748549.490000054</v>
      </c>
      <c r="W39" s="361">
        <f>+q26_Aux!H39*q11a!H39</f>
        <v>97093640.519999996</v>
      </c>
      <c r="X39" s="361">
        <f>+q26_Aux!I39*q11a!I39</f>
        <v>107648012.69000021</v>
      </c>
      <c r="Y39" s="361">
        <f>+q26_Aux!J39*q11a!J39</f>
        <v>120929618.03000002</v>
      </c>
      <c r="Z39" s="361">
        <f>+q26_Aux!K39*q11a!K39</f>
        <v>106241718.45999967</v>
      </c>
      <c r="AA39" s="361">
        <f>+q26_Aux!L39*q11a!L39</f>
        <v>119739748.81000035</v>
      </c>
      <c r="AB39" s="361">
        <f>+q26_Aux!M39*q11a!M39</f>
        <v>156798669.52999991</v>
      </c>
    </row>
    <row r="40" spans="1:28" s="41" customFormat="1" ht="12.75" customHeight="1">
      <c r="A40" s="59"/>
      <c r="B40" s="60" t="str">
        <f>+'q26'!B40</f>
        <v>M</v>
      </c>
      <c r="C40" s="291">
        <f>+'q26'!C40</f>
        <v>1119.5017449915301</v>
      </c>
      <c r="D40" s="291">
        <f>+'q26'!D40</f>
        <v>1106.3616408872899</v>
      </c>
      <c r="E40" s="291">
        <f>+'q26'!E40</f>
        <v>1080.29134485335</v>
      </c>
      <c r="F40" s="291">
        <f>+'q26'!F40</f>
        <v>1099.1738397759502</v>
      </c>
      <c r="G40" s="291">
        <f>+'q26'!G40</f>
        <v>1107.0608626915198</v>
      </c>
      <c r="H40" s="291">
        <f>+'q26'!H40</f>
        <v>1166.83303601031</v>
      </c>
      <c r="I40" s="291">
        <f>+'q26'!I40</f>
        <v>1223.70578584292</v>
      </c>
      <c r="J40" s="291">
        <f>+'q26'!J40</f>
        <v>1287.47043582736</v>
      </c>
      <c r="K40" s="291">
        <f>+'q26'!K40</f>
        <v>1281.65836063144</v>
      </c>
      <c r="L40" s="291">
        <f>+'q26'!L40</f>
        <v>1373.9859625468202</v>
      </c>
      <c r="M40" s="291">
        <f>+'q26'!M40</f>
        <v>1447.99061936206</v>
      </c>
      <c r="P40" s="183"/>
      <c r="Q40" s="184" t="s">
        <v>54</v>
      </c>
      <c r="R40" s="361">
        <f>+q26_Aux!C40*q11a!C40</f>
        <v>50907102.849999852</v>
      </c>
      <c r="S40" s="361">
        <f>+q26_Aux!D40*q11a!D40</f>
        <v>55362336.50999999</v>
      </c>
      <c r="T40" s="361">
        <f>+q26_Aux!E40*q11a!E40</f>
        <v>54952260.130000204</v>
      </c>
      <c r="U40" s="361">
        <f>+q26_Aux!F40*q11a!F40</f>
        <v>59656560.979999922</v>
      </c>
      <c r="V40" s="361">
        <f>+q26_Aux!G40*q11a!G40</f>
        <v>68064315.960000023</v>
      </c>
      <c r="W40" s="361">
        <f>+q26_Aux!H40*q11a!H40</f>
        <v>76016838.629999682</v>
      </c>
      <c r="X40" s="361">
        <f>+q26_Aux!I40*q11a!I40</f>
        <v>84259485.590000108</v>
      </c>
      <c r="Y40" s="361">
        <f>+q26_Aux!J40*q11a!J40</f>
        <v>97514298.280000076</v>
      </c>
      <c r="Z40" s="361">
        <f>+q26_Aux!K40*q11a!K40</f>
        <v>103760497.56000012</v>
      </c>
      <c r="AA40" s="361">
        <f>+q26_Aux!L40*q11a!L40</f>
        <v>111890546.86000031</v>
      </c>
      <c r="AB40" s="361">
        <f>+q26_Aux!M40*q11a!M40</f>
        <v>129377961.84000006</v>
      </c>
    </row>
    <row r="41" spans="1:28" s="41" customFormat="1" ht="15" customHeight="1">
      <c r="A41" s="20" t="str">
        <f>+'q26'!A41</f>
        <v>Fonte: GEP/MTSSS, Quadros de Pessoal.</v>
      </c>
      <c r="B41" s="53"/>
      <c r="C41" s="74"/>
      <c r="D41" s="73"/>
      <c r="E41" s="73"/>
      <c r="F41" s="73"/>
      <c r="G41" s="73"/>
      <c r="H41" s="73"/>
      <c r="I41" s="73"/>
      <c r="J41" s="73"/>
      <c r="K41" s="73"/>
      <c r="L41" s="73"/>
      <c r="M41" s="73"/>
    </row>
    <row r="42" spans="1:28" s="41" customFormat="1" ht="23.25" customHeight="1">
      <c r="A42" s="588" t="s">
        <v>5</v>
      </c>
      <c r="B42" s="588"/>
      <c r="C42" s="588"/>
      <c r="D42" s="588"/>
      <c r="E42" s="588"/>
      <c r="F42" s="588"/>
      <c r="G42" s="588"/>
      <c r="H42" s="588"/>
      <c r="I42" s="588"/>
      <c r="J42" s="588"/>
      <c r="K42" s="588"/>
      <c r="L42" s="588"/>
      <c r="M42" s="588"/>
    </row>
    <row r="43" spans="1:28">
      <c r="P43" s="41"/>
      <c r="Q43" s="41"/>
      <c r="R43" s="41"/>
      <c r="S43" s="41"/>
      <c r="T43" s="41"/>
      <c r="U43" s="41"/>
      <c r="V43" s="41"/>
      <c r="W43" s="41"/>
      <c r="X43" s="41"/>
      <c r="Y43" s="41"/>
      <c r="Z43" s="41"/>
      <c r="AA43" s="41"/>
      <c r="AB43" s="41"/>
    </row>
    <row r="44" spans="1:28">
      <c r="P44" s="41"/>
      <c r="Q44" s="41"/>
      <c r="R44" s="41"/>
      <c r="S44" s="41"/>
      <c r="T44" s="41"/>
      <c r="U44" s="41"/>
      <c r="V44" s="41"/>
      <c r="W44" s="41"/>
      <c r="X44" s="41"/>
      <c r="Y44" s="41"/>
      <c r="Z44" s="41"/>
      <c r="AA44" s="41"/>
      <c r="AB44" s="41"/>
    </row>
    <row r="45" spans="1:28">
      <c r="P45" s="41"/>
      <c r="Q45" s="41"/>
      <c r="R45" s="41"/>
      <c r="S45" s="41"/>
      <c r="T45" s="41"/>
      <c r="U45" s="41"/>
      <c r="V45" s="41"/>
      <c r="W45" s="41"/>
      <c r="X45" s="41"/>
      <c r="Y45" s="41"/>
      <c r="Z45" s="41"/>
      <c r="AA45" s="41"/>
      <c r="AB45" s="41"/>
    </row>
    <row r="46" spans="1:28">
      <c r="P46" s="41"/>
      <c r="Q46" s="41"/>
      <c r="R46" s="41"/>
      <c r="S46" s="41"/>
      <c r="T46" s="41"/>
      <c r="U46" s="41"/>
      <c r="V46" s="41"/>
      <c r="W46" s="41"/>
      <c r="X46" s="41"/>
      <c r="Y46" s="41"/>
      <c r="Z46" s="41"/>
      <c r="AA46" s="41"/>
      <c r="AB46" s="41"/>
    </row>
    <row r="47" spans="1:28">
      <c r="P47" s="41"/>
      <c r="Q47" s="41"/>
      <c r="R47" s="41"/>
      <c r="S47" s="41"/>
      <c r="T47" s="41"/>
      <c r="U47" s="41"/>
      <c r="V47" s="41"/>
      <c r="W47" s="41"/>
      <c r="X47" s="41"/>
      <c r="Y47" s="41"/>
      <c r="Z47" s="41"/>
      <c r="AA47" s="41"/>
      <c r="AB47" s="41"/>
    </row>
    <row r="48" spans="1:28">
      <c r="P48" s="41"/>
      <c r="Q48" s="41"/>
      <c r="R48" s="41"/>
      <c r="S48" s="41"/>
      <c r="T48" s="41"/>
      <c r="U48" s="41"/>
      <c r="V48" s="41"/>
      <c r="W48" s="41"/>
      <c r="X48" s="41"/>
      <c r="Y48" s="41"/>
      <c r="Z48" s="41"/>
      <c r="AA48" s="41"/>
      <c r="AB48" s="41"/>
    </row>
    <row r="49" spans="16:28">
      <c r="P49" s="41"/>
      <c r="Q49" s="41"/>
      <c r="R49" s="41"/>
      <c r="S49" s="41"/>
      <c r="T49" s="41"/>
      <c r="U49" s="41"/>
      <c r="V49" s="41"/>
      <c r="W49" s="41"/>
      <c r="X49" s="41"/>
      <c r="Y49" s="41"/>
      <c r="Z49" s="41"/>
      <c r="AA49" s="41"/>
      <c r="AB49" s="41"/>
    </row>
    <row r="50" spans="16:28">
      <c r="P50" s="41"/>
      <c r="Q50" s="41"/>
      <c r="R50" s="41"/>
      <c r="S50" s="41"/>
      <c r="T50" s="41"/>
      <c r="U50" s="41"/>
      <c r="V50" s="41"/>
      <c r="W50" s="41"/>
      <c r="X50" s="41"/>
      <c r="Y50" s="41"/>
      <c r="Z50" s="41"/>
      <c r="AA50" s="41"/>
      <c r="AB50" s="41"/>
    </row>
  </sheetData>
  <mergeCells count="2">
    <mergeCell ref="A1:M1"/>
    <mergeCell ref="A42:M42"/>
  </mergeCells>
  <conditionalFormatting sqref="A1 N1:O1048576 A2:E2 A3:C3 E3 A4:M4 A5:I40">
    <cfRule type="cellIs" dxfId="114" priority="41" operator="equal">
      <formula>0</formula>
    </cfRule>
  </conditionalFormatting>
  <conditionalFormatting sqref="A41:A42">
    <cfRule type="cellIs" dxfId="113" priority="40" operator="equal">
      <formula>0</formula>
    </cfRule>
  </conditionalFormatting>
  <conditionalFormatting sqref="B41:I41">
    <cfRule type="cellIs" dxfId="112" priority="34" operator="equal">
      <formula>0</formula>
    </cfRule>
  </conditionalFormatting>
  <conditionalFormatting sqref="F2:M3 A43:M1048576">
    <cfRule type="cellIs" dxfId="111" priority="13" operator="equal">
      <formula>0</formula>
    </cfRule>
  </conditionalFormatting>
  <conditionalFormatting sqref="J5:M41">
    <cfRule type="cellIs" dxfId="110" priority="14" operator="equal">
      <formula>0</formula>
    </cfRule>
  </conditionalFormatting>
  <conditionalFormatting sqref="P1:AB1 Q2:AB2">
    <cfRule type="cellIs" dxfId="109" priority="11" operator="equal">
      <formula>0</formula>
    </cfRule>
  </conditionalFormatting>
  <conditionalFormatting sqref="P3:AB1048576">
    <cfRule type="cellIs" dxfId="108" priority="2" operator="equal">
      <formula>0</formula>
    </cfRule>
  </conditionalFormatting>
  <conditionalFormatting sqref="AC1:XFD1048576">
    <cfRule type="cellIs" dxfId="107"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54790-05D9-4620-B516-B940A16569A7}">
  <sheetPr codeName="Folha1"/>
  <dimension ref="A1:CX140"/>
  <sheetViews>
    <sheetView topLeftCell="AV1" zoomScale="120" zoomScaleNormal="120" workbookViewId="0">
      <selection activeCell="J56" sqref="J56"/>
    </sheetView>
  </sheetViews>
  <sheetFormatPr defaultColWidth="9.140625" defaultRowHeight="12.75"/>
  <cols>
    <col min="1" max="1" width="17.28515625" style="373" customWidth="1"/>
    <col min="2" max="19" width="9.140625" style="373"/>
    <col min="20" max="26" width="10.85546875" style="373" bestFit="1" customWidth="1"/>
    <col min="27" max="27" width="15.42578125" style="373" bestFit="1" customWidth="1"/>
    <col min="28" max="30" width="10.85546875" style="373" bestFit="1" customWidth="1"/>
    <col min="31" max="31" width="9.140625" style="373"/>
    <col min="32" max="33" width="18.28515625" style="373" bestFit="1" customWidth="1"/>
    <col min="34" max="52" width="9.140625" style="373"/>
    <col min="53" max="54" width="9.42578125" style="373" bestFit="1" customWidth="1"/>
    <col min="55" max="55" width="9.140625" style="373"/>
    <col min="56" max="56" width="9.5703125" style="373" customWidth="1"/>
    <col min="57" max="57" width="9.28515625" style="373" customWidth="1"/>
    <col min="58" max="92" width="9.140625" style="373"/>
    <col min="93" max="93" width="9.42578125" style="373" bestFit="1" customWidth="1"/>
    <col min="94" max="16384" width="9.140625" style="373"/>
  </cols>
  <sheetData>
    <row r="1" spans="1:98">
      <c r="A1" s="376" t="s">
        <v>354</v>
      </c>
      <c r="D1" s="382" t="s">
        <v>355</v>
      </c>
      <c r="AI1" s="393" t="s">
        <v>401</v>
      </c>
      <c r="AJ1" s="393"/>
      <c r="AK1" s="393"/>
      <c r="AL1" s="393"/>
      <c r="AM1" s="393"/>
      <c r="AO1" s="402" t="s">
        <v>425</v>
      </c>
      <c r="AY1" s="480" t="s">
        <v>571</v>
      </c>
      <c r="BL1" s="480" t="s">
        <v>572</v>
      </c>
    </row>
    <row r="2" spans="1:98" ht="12.95" customHeight="1">
      <c r="A2" s="375" t="s">
        <v>15</v>
      </c>
      <c r="B2" s="373">
        <v>1</v>
      </c>
      <c r="D2" s="383">
        <f>+C21</f>
        <v>2012</v>
      </c>
      <c r="E2" s="373">
        <v>1</v>
      </c>
      <c r="Q2" s="373">
        <v>11</v>
      </c>
      <c r="AV2" s="373" t="s">
        <v>409</v>
      </c>
      <c r="AW2" s="373">
        <f>+AS18</f>
        <v>2022</v>
      </c>
      <c r="AX2" s="373" t="s">
        <v>506</v>
      </c>
      <c r="AY2" s="591" t="str">
        <f>CONCATENATE(AS18,AX2,CHAR(10),AV3,S20,AV5,AW6,AV7,AW8,AV9,AV10,AV11,AW12," ",AV13,AW14,AV15,AV16,AV17)</f>
        <v>2022:
As empresas do distrito de Lisboa tinham ao seu serviço 981.424 pessoas (29,4% do Continente, ocupando a 1º posição entre 18 distritos) e  937.531 TCO ( 29,8% do Continente, sendo o 1º de 18 distritos).</v>
      </c>
      <c r="AZ2" s="591"/>
      <c r="BA2" s="591"/>
      <c r="BB2" s="591"/>
      <c r="BC2" s="591"/>
      <c r="BD2" s="591"/>
      <c r="BH2" s="373" t="s">
        <v>421</v>
      </c>
      <c r="BI2" s="373">
        <f>+AZ18</f>
        <v>2022</v>
      </c>
      <c r="BJ2" s="373" t="s">
        <v>506</v>
      </c>
      <c r="BL2" s="589" t="str">
        <f>CONCATENATE(AZ18,BJ2,CHAR(10),BH3,S20,BH5,BI6,BH7,BI8,BH9,BH10,BH11,BI12,BH13,BI14,BH15,BH16,BH17)</f>
        <v>2022:
No distrito de Lisboa a remuneração média mensal base era de 1.388,4 euros (+21,4% que no Continente, sendo o 1º de 18 distritos) e  1.668,9 euros a remuneração média mensal ganho (+22,0% que no Continente, sendo o 1º de 18 distritos).</v>
      </c>
      <c r="BM2" s="589"/>
      <c r="BN2" s="589"/>
      <c r="BO2" s="589"/>
      <c r="BP2" s="589"/>
    </row>
    <row r="3" spans="1:98" ht="12.95" customHeight="1">
      <c r="A3" s="375" t="s">
        <v>16</v>
      </c>
      <c r="B3" s="373">
        <v>2</v>
      </c>
      <c r="D3" s="383">
        <f>+D21</f>
        <v>2013</v>
      </c>
      <c r="E3" s="373">
        <v>2</v>
      </c>
      <c r="AI3" s="373" t="s">
        <v>402</v>
      </c>
      <c r="AJ3" s="373">
        <f>+AL18</f>
        <v>2022</v>
      </c>
      <c r="AK3" s="373" t="s">
        <v>506</v>
      </c>
      <c r="AL3" s="480" t="s">
        <v>570</v>
      </c>
      <c r="AM3" s="398"/>
      <c r="AN3" s="398"/>
      <c r="AO3" s="398"/>
      <c r="AP3" s="398"/>
      <c r="AV3" s="373" t="s">
        <v>514</v>
      </c>
      <c r="AY3" s="591"/>
      <c r="AZ3" s="591"/>
      <c r="BA3" s="591"/>
      <c r="BB3" s="591"/>
      <c r="BC3" s="591"/>
      <c r="BD3" s="591"/>
      <c r="BH3" s="373" t="s">
        <v>521</v>
      </c>
      <c r="BL3" s="589"/>
      <c r="BM3" s="589"/>
      <c r="BN3" s="589"/>
      <c r="BO3" s="589"/>
      <c r="BP3" s="589"/>
    </row>
    <row r="4" spans="1:98" ht="12.95" customHeight="1">
      <c r="A4" s="375" t="s">
        <v>66</v>
      </c>
      <c r="B4" s="373">
        <v>3</v>
      </c>
      <c r="D4" s="383">
        <f>+E21</f>
        <v>2014</v>
      </c>
      <c r="E4" s="373">
        <v>3</v>
      </c>
      <c r="AI4" s="373" t="s">
        <v>512</v>
      </c>
      <c r="AL4" s="591" t="str">
        <f>CONCATENATE(AL18,AK3,CHAR(10),AI4,S20," ",AI6,AJ7,AI8,AJ9,AI10,AI11,AI12,CHAR(10),AK12,AJ13,AI14,AJ15,AI16,AI17,AI18)</f>
        <v>2022:
O distrito de Lisboa era a sede de 63.924 empresas (equivalendo a 22,4% do Continente, sendo o 1º de 18 distritos);
Era também a localização de 75.266 estabelecimentos (constituindo 22,6% do Continente, sendo o 1º de 18 distritos).</v>
      </c>
      <c r="AM4" s="591"/>
      <c r="AN4" s="591"/>
      <c r="AO4" s="591"/>
      <c r="AP4" s="591"/>
      <c r="AQ4" s="591"/>
      <c r="AV4" s="373" t="s">
        <v>364</v>
      </c>
      <c r="AW4" s="373" t="str">
        <f>+S20</f>
        <v>Lisboa</v>
      </c>
      <c r="AY4" s="591"/>
      <c r="AZ4" s="591"/>
      <c r="BA4" s="591"/>
      <c r="BB4" s="591"/>
      <c r="BC4" s="591"/>
      <c r="BD4" s="591"/>
      <c r="BH4" s="373" t="s">
        <v>364</v>
      </c>
      <c r="BI4" s="373" t="str">
        <f>+S20</f>
        <v>Lisboa</v>
      </c>
      <c r="BL4" s="589"/>
      <c r="BM4" s="589"/>
      <c r="BN4" s="589"/>
      <c r="BO4" s="589"/>
      <c r="BP4" s="589"/>
      <c r="BX4" s="387"/>
      <c r="CC4" s="387"/>
      <c r="CH4" s="387"/>
      <c r="CM4" s="387"/>
      <c r="CO4" s="378"/>
      <c r="CR4" s="387"/>
      <c r="CT4" s="378"/>
    </row>
    <row r="5" spans="1:98">
      <c r="A5" s="375" t="s">
        <v>17</v>
      </c>
      <c r="B5" s="373">
        <v>4</v>
      </c>
      <c r="D5" s="383">
        <f>+F21</f>
        <v>2015</v>
      </c>
      <c r="E5" s="373">
        <v>4</v>
      </c>
      <c r="AI5" s="373" t="s">
        <v>364</v>
      </c>
      <c r="AJ5" s="373" t="str">
        <f>+S20</f>
        <v>Lisboa</v>
      </c>
      <c r="AL5" s="591"/>
      <c r="AM5" s="591"/>
      <c r="AN5" s="591"/>
      <c r="AO5" s="591"/>
      <c r="AP5" s="591"/>
      <c r="AQ5" s="591"/>
      <c r="AV5" s="373" t="s">
        <v>388</v>
      </c>
      <c r="AY5" s="591"/>
      <c r="AZ5" s="591"/>
      <c r="BA5" s="591"/>
      <c r="BB5" s="591"/>
      <c r="BC5" s="591"/>
      <c r="BD5" s="591"/>
      <c r="BH5" s="373" t="s">
        <v>395</v>
      </c>
      <c r="BL5" s="589"/>
      <c r="BM5" s="589"/>
      <c r="BN5" s="589"/>
      <c r="BO5" s="589"/>
      <c r="BP5" s="589"/>
      <c r="CO5" s="378"/>
      <c r="CT5" s="378"/>
    </row>
    <row r="6" spans="1:98">
      <c r="A6" s="375" t="s">
        <v>18</v>
      </c>
      <c r="B6" s="373">
        <v>5</v>
      </c>
      <c r="D6" s="383">
        <f>+G21</f>
        <v>2016</v>
      </c>
      <c r="E6" s="373">
        <v>5</v>
      </c>
      <c r="AI6" s="373" t="s">
        <v>517</v>
      </c>
      <c r="AL6" s="591"/>
      <c r="AM6" s="591"/>
      <c r="AN6" s="591"/>
      <c r="AO6" s="591"/>
      <c r="AP6" s="591"/>
      <c r="AQ6" s="591"/>
      <c r="AV6" s="373">
        <f>INDEX($AS$20:$AY$37,MATCH($AJ$5,$AS$20:$AS$37,0),2)</f>
        <v>981424</v>
      </c>
      <c r="AW6" s="373" t="str">
        <f>TEXT(AV6,"##.###")</f>
        <v>981.424</v>
      </c>
      <c r="AY6" s="591"/>
      <c r="AZ6" s="591"/>
      <c r="BA6" s="591"/>
      <c r="BB6" s="591"/>
      <c r="BC6" s="591"/>
      <c r="BD6" s="591"/>
      <c r="BH6" s="397">
        <f>INDEX($AZ$20:$BF$37,MATCH($AJ$5,$AZ$20:$AZ$37,0),2)</f>
        <v>1388.3698339134201</v>
      </c>
      <c r="BI6" s="373" t="str">
        <f>TEXT(BH6,"##.###,0")</f>
        <v>1.388,4</v>
      </c>
      <c r="BL6" s="589"/>
      <c r="BM6" s="589"/>
      <c r="BN6" s="589"/>
      <c r="BO6" s="589"/>
      <c r="BP6" s="589"/>
      <c r="CO6" s="378"/>
      <c r="CT6" s="378"/>
    </row>
    <row r="7" spans="1:98">
      <c r="A7" s="375" t="s">
        <v>19</v>
      </c>
      <c r="B7" s="373">
        <v>6</v>
      </c>
      <c r="D7" s="383">
        <f>+H21</f>
        <v>2017</v>
      </c>
      <c r="E7" s="373">
        <v>6</v>
      </c>
      <c r="AI7" s="373">
        <f>INDEX($AL$20:$AR$37,MATCH($AJ$5,$AL$20:$AL$37,0),2)</f>
        <v>63924</v>
      </c>
      <c r="AJ7" s="373" t="str">
        <f>TEXT(AI7,"##.###")</f>
        <v>63.924</v>
      </c>
      <c r="AL7" s="591"/>
      <c r="AM7" s="591"/>
      <c r="AN7" s="591"/>
      <c r="AO7" s="591"/>
      <c r="AP7" s="591"/>
      <c r="AQ7" s="591"/>
      <c r="AV7" s="373" t="s">
        <v>380</v>
      </c>
      <c r="BH7" s="373" t="s">
        <v>391</v>
      </c>
      <c r="BL7" s="589"/>
      <c r="BM7" s="589"/>
      <c r="BN7" s="589"/>
      <c r="BO7" s="589"/>
      <c r="BP7" s="589"/>
      <c r="BX7" s="387"/>
      <c r="CC7" s="387"/>
      <c r="CH7" s="387"/>
      <c r="CM7" s="387"/>
      <c r="CO7" s="378"/>
      <c r="CR7" s="387"/>
      <c r="CT7" s="378"/>
    </row>
    <row r="8" spans="1:98">
      <c r="A8" s="375" t="s">
        <v>20</v>
      </c>
      <c r="B8" s="373">
        <v>7</v>
      </c>
      <c r="D8" s="383">
        <f>+I21</f>
        <v>2018</v>
      </c>
      <c r="E8" s="373">
        <v>7</v>
      </c>
      <c r="AI8" s="373" t="s">
        <v>427</v>
      </c>
      <c r="AL8" s="591"/>
      <c r="AM8" s="591"/>
      <c r="AN8" s="591"/>
      <c r="AO8" s="591"/>
      <c r="AP8" s="591"/>
      <c r="AQ8" s="591"/>
      <c r="AV8" s="373">
        <f>INDEX($AS$20:$AY$37,MATCH($AJ$5,$AS$20:$AS$37,0),4)</f>
        <v>29.409645912207132</v>
      </c>
      <c r="AW8" s="373" t="str">
        <f>TEXT(AV8,"##.###,0")</f>
        <v>29,4</v>
      </c>
      <c r="AY8" s="402" t="s">
        <v>425</v>
      </c>
      <c r="BH8" s="373">
        <f>INDEX($AZ$20:$BF$37,MATCH($AJ$5,$AZ$20:$AZ$37,0),4)</f>
        <v>21.419843211479161</v>
      </c>
      <c r="BI8" s="373" t="str">
        <f>IF(BH8&gt;0,"+"&amp;TEXT(BH8,"##.###,0"),TEXT(BH8,"##.###,0"))</f>
        <v>+21,4</v>
      </c>
      <c r="BL8" s="589"/>
      <c r="BM8" s="589"/>
      <c r="BN8" s="589"/>
      <c r="BO8" s="589"/>
      <c r="BP8" s="589"/>
      <c r="CO8" s="378"/>
      <c r="CT8" s="378"/>
    </row>
    <row r="9" spans="1:98">
      <c r="A9" s="375" t="s">
        <v>21</v>
      </c>
      <c r="B9" s="373">
        <v>8</v>
      </c>
      <c r="D9" s="383">
        <f>+J21</f>
        <v>2019</v>
      </c>
      <c r="E9" s="373">
        <v>8</v>
      </c>
      <c r="AI9" s="373">
        <f>INDEX($AL$20:$AR$37,MATCH($AJ$5,$AL$20:$AL$37,0),4)</f>
        <v>22.440497086288001</v>
      </c>
      <c r="AJ9" s="373" t="str">
        <f>TEXT(AI9,"##.###,0")</f>
        <v>22,4</v>
      </c>
      <c r="AL9" s="591"/>
      <c r="AM9" s="591"/>
      <c r="AN9" s="591"/>
      <c r="AO9" s="591"/>
      <c r="AP9" s="591"/>
      <c r="AQ9" s="591"/>
      <c r="AV9" s="373" t="s">
        <v>415</v>
      </c>
      <c r="BH9" s="373" t="s">
        <v>424</v>
      </c>
      <c r="BL9" s="403"/>
      <c r="BM9" s="403"/>
      <c r="BN9" s="403"/>
      <c r="BO9" s="403"/>
      <c r="BP9" s="403"/>
      <c r="CO9" s="378"/>
      <c r="CT9" s="378"/>
    </row>
    <row r="10" spans="1:98">
      <c r="A10" s="375" t="s">
        <v>22</v>
      </c>
      <c r="B10" s="373">
        <v>9</v>
      </c>
      <c r="D10" s="383">
        <f>+K21</f>
        <v>2020</v>
      </c>
      <c r="E10" s="373">
        <v>9</v>
      </c>
      <c r="AI10" s="373" t="s">
        <v>408</v>
      </c>
      <c r="AL10" s="591"/>
      <c r="AM10" s="591"/>
      <c r="AN10" s="591"/>
      <c r="AO10" s="591"/>
      <c r="AP10" s="591"/>
      <c r="AQ10" s="591"/>
      <c r="AV10" s="373">
        <f>INDEX($AS$20:$AY$37,MATCH($AJ$5,$AS$20:$AS$37,0),6)</f>
        <v>1</v>
      </c>
      <c r="BH10" s="373">
        <f>INDEX($AZ$20:$BF$37,MATCH($AJ$5,$AZ$20:$AZ$37,0),6)</f>
        <v>1</v>
      </c>
      <c r="BX10" s="387"/>
      <c r="CC10" s="387"/>
      <c r="CH10" s="387"/>
      <c r="CM10" s="387"/>
      <c r="CO10" s="378"/>
      <c r="CR10" s="387"/>
      <c r="CT10" s="378"/>
    </row>
    <row r="11" spans="1:98">
      <c r="A11" s="375" t="s">
        <v>23</v>
      </c>
      <c r="B11" s="373">
        <v>10</v>
      </c>
      <c r="D11" s="383">
        <f>+L21</f>
        <v>2021</v>
      </c>
      <c r="E11" s="373">
        <v>10</v>
      </c>
      <c r="AI11" s="373">
        <f>INDEX($AL$20:$AR$37,MATCH($AJ$5,$AL$20:$AL$37,0),6)</f>
        <v>1</v>
      </c>
      <c r="AV11" s="373" t="s">
        <v>416</v>
      </c>
      <c r="BH11" s="373" t="s">
        <v>426</v>
      </c>
      <c r="BL11" s="402"/>
      <c r="CO11" s="378"/>
      <c r="CT11" s="378"/>
    </row>
    <row r="12" spans="1:98">
      <c r="A12" s="375" t="s">
        <v>24</v>
      </c>
      <c r="B12" s="373">
        <v>11</v>
      </c>
      <c r="D12" s="383">
        <f>+M21</f>
        <v>2022</v>
      </c>
      <c r="E12" s="373">
        <v>11</v>
      </c>
      <c r="AI12" s="373" t="s">
        <v>519</v>
      </c>
      <c r="AK12" s="373" t="s">
        <v>518</v>
      </c>
      <c r="AV12" s="373">
        <f>INDEX($AS$20:$AY$37,MATCH($AJ$5,$AS$20:$AS$37,0),3)</f>
        <v>937531</v>
      </c>
      <c r="AW12" s="373" t="str">
        <f>TEXT(AV12,"##.###")</f>
        <v>937.531</v>
      </c>
      <c r="BH12" s="373">
        <f>INDEX($AZ$20:$BF$37,MATCH($AJ$5,$AZ$20:$AZ$37,0),3)</f>
        <v>1668.91834858224</v>
      </c>
      <c r="BI12" s="373" t="str">
        <f>TEXT(BH12,"##.###,0")</f>
        <v>1.668,9</v>
      </c>
      <c r="BM12" s="402"/>
      <c r="CO12" s="378"/>
      <c r="CT12" s="378"/>
    </row>
    <row r="13" spans="1:98">
      <c r="A13" s="375" t="s">
        <v>25</v>
      </c>
      <c r="B13" s="373">
        <v>12</v>
      </c>
      <c r="D13" s="384"/>
      <c r="AI13" s="373">
        <f>INDEX($AL$20:$AR$37,MATCH($AJ$5,$AL$20:$AL$37,0),3)</f>
        <v>75266</v>
      </c>
      <c r="AJ13" s="373" t="str">
        <f>TEXT(AI13,"##.###")</f>
        <v>75.266</v>
      </c>
      <c r="AV13" s="373" t="s">
        <v>520</v>
      </c>
      <c r="BH13" s="373" t="s">
        <v>400</v>
      </c>
      <c r="BX13" s="387"/>
      <c r="CC13" s="387"/>
      <c r="CH13" s="387"/>
      <c r="CM13" s="387"/>
      <c r="CO13" s="378"/>
      <c r="CR13" s="387"/>
      <c r="CT13" s="378"/>
    </row>
    <row r="14" spans="1:98">
      <c r="A14" s="375" t="s">
        <v>26</v>
      </c>
      <c r="B14" s="373">
        <v>13</v>
      </c>
      <c r="AI14" s="373" t="s">
        <v>414</v>
      </c>
      <c r="AV14" s="373">
        <f>INDEX($AS$20:$AY$37,MATCH($AJ$5,$AS$20:$AS$37,0),5)</f>
        <v>29.780407331677967</v>
      </c>
      <c r="AW14" s="373" t="str">
        <f>TEXT(AV14,"##.###,0")</f>
        <v>29,8</v>
      </c>
      <c r="BH14" s="373">
        <f>INDEX($AZ$20:$BF$37,MATCH($AJ$5,$AZ$20:$AZ$37,0),5)</f>
        <v>21.99737899794625</v>
      </c>
      <c r="BI14" s="373" t="str">
        <f>IF(BH14&gt;0,"+"&amp;TEXT(BH14,"##.###,0"),TEXT(BH14,"##.###,0"))</f>
        <v>+22,0</v>
      </c>
      <c r="CO14" s="378"/>
      <c r="CT14" s="378"/>
    </row>
    <row r="15" spans="1:98">
      <c r="A15" s="375" t="s">
        <v>27</v>
      </c>
      <c r="B15" s="373">
        <v>14</v>
      </c>
      <c r="AI15" s="373">
        <f>INDEX($AL$20:$AR$37,MATCH($AJ$5,$AL$20:$AL$37,0),5)</f>
        <v>22.623939305585196</v>
      </c>
      <c r="AJ15" s="373" t="str">
        <f>TEXT(AI15,"##.###,0")</f>
        <v>22,6</v>
      </c>
      <c r="AV15" s="373" t="s">
        <v>408</v>
      </c>
      <c r="BH15" s="373" t="s">
        <v>424</v>
      </c>
      <c r="CO15" s="378"/>
      <c r="CT15" s="378"/>
    </row>
    <row r="16" spans="1:98">
      <c r="A16" s="375" t="s">
        <v>28</v>
      </c>
      <c r="B16" s="373">
        <v>15</v>
      </c>
      <c r="AI16" s="373" t="s">
        <v>408</v>
      </c>
      <c r="AL16" s="373">
        <v>11</v>
      </c>
      <c r="AS16" s="373">
        <v>11</v>
      </c>
      <c r="AV16" s="373">
        <f>INDEX($AS$20:$AY$37,MATCH($AJ$5,$AS$20:$AS$37,0),7)</f>
        <v>1</v>
      </c>
      <c r="AZ16" s="373">
        <v>11</v>
      </c>
      <c r="BH16" s="373">
        <f>INDEX($AZ$20:$BF$37,MATCH($AJ$5,$AZ$20:$AZ$37,0),7)</f>
        <v>1</v>
      </c>
      <c r="BX16" s="387"/>
      <c r="CC16" s="387"/>
      <c r="CH16" s="387"/>
      <c r="CM16" s="387"/>
      <c r="CO16" s="378"/>
      <c r="CR16" s="387"/>
      <c r="CT16" s="378"/>
    </row>
    <row r="17" spans="1:102">
      <c r="A17" s="375" t="s">
        <v>29</v>
      </c>
      <c r="B17" s="373">
        <v>16</v>
      </c>
      <c r="AI17" s="373">
        <f>INDEX($AL$20:$AR$37,MATCH($AJ$5,$AL$20:$AL$37,0),7)</f>
        <v>1</v>
      </c>
      <c r="AV17" s="373" t="s">
        <v>407</v>
      </c>
      <c r="BH17" s="373" t="s">
        <v>407</v>
      </c>
      <c r="CO17" s="378"/>
      <c r="CT17" s="378"/>
    </row>
    <row r="18" spans="1:102">
      <c r="A18" s="375" t="s">
        <v>30</v>
      </c>
      <c r="B18" s="373">
        <v>17</v>
      </c>
      <c r="AI18" s="373" t="s">
        <v>407</v>
      </c>
      <c r="AL18" s="373">
        <f>INDEX($D$2:$D$12,$AL$16)</f>
        <v>2022</v>
      </c>
      <c r="AS18" s="373">
        <f>INDEX($D$2:$D$12,$AS$16)</f>
        <v>2022</v>
      </c>
      <c r="AZ18" s="373">
        <f>INDEX($D$2:$D$12,$AZ$16)</f>
        <v>2022</v>
      </c>
      <c r="BC18" s="402"/>
      <c r="CO18" s="378"/>
      <c r="CT18" s="378"/>
    </row>
    <row r="19" spans="1:102" ht="33.75">
      <c r="A19" s="375" t="s">
        <v>31</v>
      </c>
      <c r="B19" s="373">
        <v>18</v>
      </c>
      <c r="AM19" s="375" t="s">
        <v>280</v>
      </c>
      <c r="AN19" s="388" t="s">
        <v>356</v>
      </c>
      <c r="AO19" s="400" t="s">
        <v>405</v>
      </c>
      <c r="AP19" s="400" t="s">
        <v>406</v>
      </c>
      <c r="AQ19" s="400" t="s">
        <v>403</v>
      </c>
      <c r="AR19" s="400" t="s">
        <v>404</v>
      </c>
      <c r="AT19" s="375" t="s">
        <v>265</v>
      </c>
      <c r="AU19" s="375" t="s">
        <v>186</v>
      </c>
      <c r="AV19" s="400" t="s">
        <v>410</v>
      </c>
      <c r="AW19" s="400" t="s">
        <v>411</v>
      </c>
      <c r="AX19" s="400" t="s">
        <v>412</v>
      </c>
      <c r="AY19" s="400" t="s">
        <v>413</v>
      </c>
      <c r="BA19" s="375" t="s">
        <v>352</v>
      </c>
      <c r="BB19" s="375" t="s">
        <v>353</v>
      </c>
      <c r="BC19" s="401" t="s">
        <v>417</v>
      </c>
      <c r="BD19" s="401" t="s">
        <v>418</v>
      </c>
      <c r="BE19" s="401" t="s">
        <v>419</v>
      </c>
      <c r="BF19" s="401" t="s">
        <v>420</v>
      </c>
      <c r="BG19" s="373" t="s">
        <v>422</v>
      </c>
      <c r="BH19" s="373" t="s">
        <v>423</v>
      </c>
      <c r="BX19" s="387"/>
      <c r="CC19" s="387"/>
      <c r="CH19" s="387"/>
      <c r="CM19" s="387"/>
      <c r="CO19" s="378"/>
      <c r="CR19" s="387"/>
      <c r="CT19" s="378"/>
    </row>
    <row r="20" spans="1:102">
      <c r="S20" s="373" t="str">
        <f>INDEX($A$2:$A$19,$Q$2)</f>
        <v>Lisboa</v>
      </c>
      <c r="AL20" s="375" t="s">
        <v>15</v>
      </c>
      <c r="AM20" s="385">
        <f>INDEX($B$21:$M$40,MATCH($AL$20:$AL$38,$B$21:$B$40,0),MATCH($AL$18,$B$21:$M$21,0))</f>
        <v>19850</v>
      </c>
      <c r="AN20" s="385">
        <f>INDEX($B$41:$M$60,MATCH($AL$20:$AL$38,$B$41:$B$60,0),MATCH($AL$18,$B$41:$M$41,0))</f>
        <v>22628</v>
      </c>
      <c r="AO20" s="397">
        <f>+AM20/$AM$38*100</f>
        <v>6.9683353226146174</v>
      </c>
      <c r="AP20" s="397">
        <f>+AN20/$AN$38*100</f>
        <v>6.8016700582837109</v>
      </c>
      <c r="AQ20" s="387">
        <f>RANK(AM20,$AM$20:$AM$37,0)</f>
        <v>4</v>
      </c>
      <c r="AR20" s="387">
        <f>RANK(AN20,$AN$20:$AN$37,0)</f>
        <v>4</v>
      </c>
      <c r="AS20" s="375" t="s">
        <v>15</v>
      </c>
      <c r="AT20" s="385">
        <f>INDEX($B$61:$M$80,MATCH($AS$20:$AS$38,$B$61:$B$80,0),MATCH($AS$18,$B$61:$M$61,0))</f>
        <v>250317</v>
      </c>
      <c r="AU20" s="385">
        <f>INDEX($B$81:$M$100,MATCH($AS$20:$AS$38,$B$81:$B$100,0),MATCH($AS$18,$B$81:$M$81,0))</f>
        <v>234940</v>
      </c>
      <c r="AV20" s="397">
        <f>+AT20/$AT$38*100</f>
        <v>7.501074291851384</v>
      </c>
      <c r="AW20" s="397">
        <f>+AU20/$AU$38*100</f>
        <v>7.4628027217280515</v>
      </c>
      <c r="AX20" s="387">
        <f>RANK(AT20,$AT$20:$AT$37,0)</f>
        <v>4</v>
      </c>
      <c r="AY20" s="387">
        <f>RANK(AU20,$AU$20:$AU$37,0)</f>
        <v>4</v>
      </c>
      <c r="AZ20" s="375" t="s">
        <v>15</v>
      </c>
      <c r="BA20" s="386">
        <f>INDEX($B$101:$M$120,MATCH($AZ$20:$AZ$38,$B$101:$B$120,0),MATCH($AZ$18,$B$101:$M$101,0))</f>
        <v>1052.7972743375899</v>
      </c>
      <c r="BB20" s="386">
        <f>INDEX($B$121:$M$140,MATCH($AZ$20:$AZ$38,$B$121:$B$140,0),MATCH($AZ$18,$B$121:$M$121,0))</f>
        <v>1252.0317901891301</v>
      </c>
      <c r="BC20" s="397">
        <f>+(BA20/$BA$38-1)*100</f>
        <v>-7.9276451698572341</v>
      </c>
      <c r="BD20" s="397">
        <f>+(BB20/$BB$38-1)*100</f>
        <v>-8.4768904632523068</v>
      </c>
      <c r="BE20" s="387">
        <f>RANK(BA20,$BA$20:$BA$37,0)</f>
        <v>4</v>
      </c>
      <c r="BF20" s="387">
        <f>RANK(BB20,$BB$20:$BB$37,0)</f>
        <v>4</v>
      </c>
      <c r="BG20" s="386">
        <f>+BA20-$BA$38</f>
        <v>-90.648308519300144</v>
      </c>
      <c r="BH20" s="386">
        <f>+BB20-$BB$38</f>
        <v>-115.96345879923979</v>
      </c>
      <c r="CO20" s="378"/>
      <c r="CP20" s="375"/>
      <c r="CT20" s="378"/>
    </row>
    <row r="21" spans="1:102" ht="13.5" thickBot="1">
      <c r="A21" s="375" t="s">
        <v>280</v>
      </c>
      <c r="C21" s="375">
        <f>+'q3'!$B$4</f>
        <v>2012</v>
      </c>
      <c r="D21" s="375">
        <f>+'q3'!$C$4</f>
        <v>2013</v>
      </c>
      <c r="E21" s="375">
        <f>+'q3'!$D$4</f>
        <v>2014</v>
      </c>
      <c r="F21" s="375">
        <f>+'q3'!$E$4</f>
        <v>2015</v>
      </c>
      <c r="G21" s="375">
        <f>+'q3'!$F$4</f>
        <v>2016</v>
      </c>
      <c r="H21" s="375">
        <f>+'q3'!$G$4</f>
        <v>2017</v>
      </c>
      <c r="I21" s="375">
        <f>+'q3'!$H$4</f>
        <v>2018</v>
      </c>
      <c r="J21" s="375">
        <f>+'q3'!$I$4</f>
        <v>2019</v>
      </c>
      <c r="K21" s="375">
        <f>+'q3'!$J$4</f>
        <v>2020</v>
      </c>
      <c r="L21" s="375">
        <f>+'q3'!$K$4</f>
        <v>2021</v>
      </c>
      <c r="M21" s="375">
        <f>+'q3'!$L$4</f>
        <v>2022</v>
      </c>
      <c r="T21" s="6">
        <f>+'q3'!B$4</f>
        <v>2012</v>
      </c>
      <c r="U21" s="6">
        <f>+'q3'!C$4</f>
        <v>2013</v>
      </c>
      <c r="V21" s="6">
        <f>+'q3'!D$4</f>
        <v>2014</v>
      </c>
      <c r="W21" s="6">
        <f>+'q3'!E$4</f>
        <v>2015</v>
      </c>
      <c r="X21" s="6">
        <f>+'q3'!F$4</f>
        <v>2016</v>
      </c>
      <c r="Y21" s="6">
        <f>+'q3'!G$4</f>
        <v>2017</v>
      </c>
      <c r="Z21" s="6">
        <f>+'q3'!H$4</f>
        <v>2018</v>
      </c>
      <c r="AA21" s="6">
        <f>+'q3'!I$4</f>
        <v>2019</v>
      </c>
      <c r="AB21" s="6">
        <f>+'q3'!J$4</f>
        <v>2020</v>
      </c>
      <c r="AC21" s="6">
        <f>+'q3'!K$4</f>
        <v>2021</v>
      </c>
      <c r="AD21" s="6">
        <f>+'q3'!L$4</f>
        <v>2022</v>
      </c>
      <c r="AF21" s="341" t="s">
        <v>664</v>
      </c>
      <c r="AG21" s="341" t="s">
        <v>665</v>
      </c>
      <c r="AL21" s="375" t="s">
        <v>16</v>
      </c>
      <c r="AM21" s="385">
        <f t="shared" ref="AM21:AM38" si="0">INDEX($B$21:$M$40,MATCH($AL$20:$AL$38,$B$21:$B$40,0),MATCH($AL$18,$B$21:$M$21,0))</f>
        <v>4593</v>
      </c>
      <c r="AN21" s="385">
        <f t="shared" ref="AN21:AN38" si="1">INDEX($B$41:$M$60,MATCH($AL$20:$AL$38,$B$41:$B$60,0),MATCH($AL$18,$B$41:$M$41,0))</f>
        <v>5312</v>
      </c>
      <c r="AO21" s="397">
        <f t="shared" ref="AO21:AO37" si="2">+AM21/$AM$38*100</f>
        <v>1.612370989257881</v>
      </c>
      <c r="AP21" s="397">
        <f t="shared" ref="AP21:AP37" si="3">+AN21/$AN$38*100</f>
        <v>1.5967151913383011</v>
      </c>
      <c r="AQ21" s="387">
        <f t="shared" ref="AQ21:AQ37" si="4">RANK(AM21,$AM$20:$AM$37,0)</f>
        <v>15</v>
      </c>
      <c r="AR21" s="387">
        <f t="shared" ref="AR21:AR37" si="5">RANK(AN21,$AN$20:$AN$37,0)</f>
        <v>15</v>
      </c>
      <c r="AS21" s="375" t="s">
        <v>16</v>
      </c>
      <c r="AT21" s="385">
        <f t="shared" ref="AT21:AT38" si="6">INDEX($B$61:$M$80,MATCH($AS$20:$AS$38,$B$61:$B$80,0),MATCH($AS$18,$B$61:$M$61,0))</f>
        <v>45331</v>
      </c>
      <c r="AU21" s="385">
        <f t="shared" ref="AU21:AU38" si="7">INDEX($B$81:$M$100,MATCH($AS$20:$AS$38,$B$81:$B$100,0),MATCH($AS$18,$B$81:$M$81,0))</f>
        <v>43289</v>
      </c>
      <c r="AV21" s="397">
        <f t="shared" ref="AV21:AV37" si="8">+AT21/$AT$38*100</f>
        <v>1.3584023407276178</v>
      </c>
      <c r="AW21" s="397">
        <f t="shared" ref="AW21:AW37" si="9">+AU21/$AU$38*100</f>
        <v>1.3750628544346881</v>
      </c>
      <c r="AX21" s="387">
        <f t="shared" ref="AX21:AX37" si="10">RANK(AT21,$AT$20:$AT$37,0)</f>
        <v>12</v>
      </c>
      <c r="AY21" s="387">
        <f t="shared" ref="AY21:AY37" si="11">RANK(AU21,$AU$20:$AU$37,0)</f>
        <v>12</v>
      </c>
      <c r="AZ21" s="375" t="s">
        <v>16</v>
      </c>
      <c r="BA21" s="386">
        <f t="shared" ref="BA21:BA38" si="12">INDEX($B$101:$M$120,MATCH($AZ$20:$AZ$38,$B$101:$B$120,0),MATCH($AZ$18,$B$101:$M$101,0))</f>
        <v>947.74026093299312</v>
      </c>
      <c r="BB21" s="386">
        <f t="shared" ref="BB21:BB38" si="13">INDEX($B$121:$M$140,MATCH($AZ$20:$AZ$38,$B$121:$B$140,0),MATCH($AZ$18,$B$121:$M$121,0))</f>
        <v>1192.7577344915603</v>
      </c>
      <c r="BC21" s="397">
        <f t="shared" ref="BC21:BC37" si="14">+(BA21/$BA$38-1)*100</f>
        <v>-17.115403203966096</v>
      </c>
      <c r="BD21" s="397">
        <f t="shared" ref="BD21:BD37" si="15">+(BB21/$BB$38-1)*100</f>
        <v>-12.80980431959814</v>
      </c>
      <c r="BE21" s="387">
        <f t="shared" ref="BE21:BE37" si="16">RANK(BA21,$BA$20:$BA$37,0)</f>
        <v>12</v>
      </c>
      <c r="BF21" s="387">
        <f t="shared" ref="BF21:BF37" si="17">RANK(BB21,$BB$20:$BB$37,0)</f>
        <v>7</v>
      </c>
      <c r="BG21" s="386">
        <f t="shared" ref="BG21:BG37" si="18">+BA21-$BA$38</f>
        <v>-195.70532192389692</v>
      </c>
      <c r="BH21" s="386">
        <f t="shared" ref="BH21:BH37" si="19">+BB21-$BB$38</f>
        <v>-175.23751449680958</v>
      </c>
      <c r="BI21" s="375"/>
      <c r="BJ21" s="375"/>
      <c r="BK21" s="375"/>
      <c r="BL21" s="375"/>
      <c r="BM21" s="375"/>
      <c r="BN21" s="375"/>
      <c r="BO21" s="375"/>
      <c r="BP21" s="375"/>
      <c r="BQ21" s="375"/>
      <c r="BS21" s="375"/>
      <c r="BX21" s="375"/>
      <c r="CC21" s="375"/>
      <c r="CH21" s="375"/>
      <c r="CM21" s="375"/>
      <c r="CO21" s="378"/>
      <c r="CR21" s="375"/>
      <c r="CT21" s="378"/>
    </row>
    <row r="22" spans="1:102" ht="13.5" thickTop="1">
      <c r="B22" s="375" t="str">
        <f>+'q3'!$A$6</f>
        <v>Aveiro</v>
      </c>
      <c r="C22" s="373">
        <f>+'q3'!$B$6</f>
        <v>19255</v>
      </c>
      <c r="D22" s="373">
        <f>+'q3'!$C$6</f>
        <v>19183</v>
      </c>
      <c r="E22" s="373">
        <f>+'q3'!$D$6</f>
        <v>19346</v>
      </c>
      <c r="F22" s="373">
        <f>+'q3'!$E$6</f>
        <v>19511</v>
      </c>
      <c r="G22" s="373">
        <f>+'q3'!$F$6</f>
        <v>19753</v>
      </c>
      <c r="H22" s="373">
        <f>+'q3'!$G$6</f>
        <v>19926</v>
      </c>
      <c r="I22" s="373">
        <f>+'q3'!$H$6</f>
        <v>20182</v>
      </c>
      <c r="J22" s="373">
        <f>+'q3'!$I$6</f>
        <v>19828</v>
      </c>
      <c r="K22" s="373">
        <f>+'q3'!$J$6</f>
        <v>19735</v>
      </c>
      <c r="L22" s="373">
        <f>+'q3'!$K$6</f>
        <v>19227</v>
      </c>
      <c r="M22" s="373">
        <f>+'q3'!$L$6</f>
        <v>19850</v>
      </c>
      <c r="N22" s="373">
        <f>+M22-C22</f>
        <v>595</v>
      </c>
      <c r="S22" s="345" t="s">
        <v>280</v>
      </c>
      <c r="T22" s="346">
        <f>VLOOKUP($S$20,$B$21:$M$39,COLUMN(C22)-1,0)</f>
        <v>59928</v>
      </c>
      <c r="U22" s="346">
        <f t="shared" ref="U22:AD22" si="20">VLOOKUP($S$20,$B$21:$M$39,COLUMN(D22)-1,0)</f>
        <v>59109</v>
      </c>
      <c r="V22" s="346">
        <f t="shared" si="20"/>
        <v>59911</v>
      </c>
      <c r="W22" s="346">
        <f t="shared" si="20"/>
        <v>60537</v>
      </c>
      <c r="X22" s="346">
        <f t="shared" si="20"/>
        <v>60939</v>
      </c>
      <c r="Y22" s="346">
        <f t="shared" si="20"/>
        <v>61816</v>
      </c>
      <c r="Z22" s="346">
        <f t="shared" si="20"/>
        <v>62991</v>
      </c>
      <c r="AA22" s="346">
        <f t="shared" si="20"/>
        <v>61257</v>
      </c>
      <c r="AB22" s="346">
        <f t="shared" si="20"/>
        <v>62466</v>
      </c>
      <c r="AC22" s="346">
        <f t="shared" si="20"/>
        <v>60609</v>
      </c>
      <c r="AD22" s="396">
        <f t="shared" si="20"/>
        <v>63924</v>
      </c>
      <c r="AE22" s="385" t="str">
        <f>TEXT(AD22,"##.###")</f>
        <v>63.924</v>
      </c>
      <c r="AF22" s="347">
        <f>+(AD22/AC22-1)</f>
        <v>5.4694847299906035E-2</v>
      </c>
      <c r="AG22" s="347">
        <f>+(AD22/T22-1)</f>
        <v>6.6680016019223132E-2</v>
      </c>
      <c r="AH22" s="394">
        <f>+AD22-T22</f>
        <v>3996</v>
      </c>
      <c r="AI22" s="373" t="str">
        <f>IF(AH22&gt;0,", mais",", menos")</f>
        <v>, mais</v>
      </c>
      <c r="AJ22" s="373">
        <f>IF(AH22&gt;0,AH22,AH22*-1)</f>
        <v>3996</v>
      </c>
      <c r="AL22" s="375" t="s">
        <v>66</v>
      </c>
      <c r="AM22" s="385">
        <f t="shared" si="0"/>
        <v>28579</v>
      </c>
      <c r="AN22" s="385">
        <f t="shared" si="1"/>
        <v>31910</v>
      </c>
      <c r="AO22" s="397">
        <f t="shared" si="2"/>
        <v>10.032647616372955</v>
      </c>
      <c r="AP22" s="397">
        <f t="shared" si="3"/>
        <v>9.5917134329076035</v>
      </c>
      <c r="AQ22" s="387">
        <f t="shared" si="4"/>
        <v>3</v>
      </c>
      <c r="AR22" s="387">
        <f t="shared" si="5"/>
        <v>3</v>
      </c>
      <c r="AS22" s="375" t="s">
        <v>66</v>
      </c>
      <c r="AT22" s="385">
        <f t="shared" si="6"/>
        <v>304660</v>
      </c>
      <c r="AU22" s="385">
        <f t="shared" si="7"/>
        <v>285498</v>
      </c>
      <c r="AV22" s="397">
        <f t="shared" si="8"/>
        <v>9.1295329272699934</v>
      </c>
      <c r="AW22" s="397">
        <f t="shared" si="9"/>
        <v>9.0687633074313236</v>
      </c>
      <c r="AX22" s="387">
        <f t="shared" si="10"/>
        <v>3</v>
      </c>
      <c r="AY22" s="387">
        <f t="shared" si="11"/>
        <v>3</v>
      </c>
      <c r="AZ22" s="375" t="s">
        <v>66</v>
      </c>
      <c r="BA22" s="386">
        <f t="shared" si="12"/>
        <v>988.00150691903912</v>
      </c>
      <c r="BB22" s="386">
        <f t="shared" si="13"/>
        <v>1156.32258506215</v>
      </c>
      <c r="BC22" s="397">
        <f t="shared" si="14"/>
        <v>-13.594357114002321</v>
      </c>
      <c r="BD22" s="397">
        <f t="shared" si="15"/>
        <v>-15.473201685660198</v>
      </c>
      <c r="BE22" s="387">
        <f t="shared" si="16"/>
        <v>7</v>
      </c>
      <c r="BF22" s="387">
        <f t="shared" si="17"/>
        <v>10</v>
      </c>
      <c r="BG22" s="386">
        <f t="shared" si="18"/>
        <v>-155.44407593785093</v>
      </c>
      <c r="BH22" s="386">
        <f t="shared" si="19"/>
        <v>-211.67266392621991</v>
      </c>
      <c r="BX22" s="387"/>
      <c r="CC22" s="387"/>
      <c r="CH22" s="387"/>
      <c r="CM22" s="387"/>
      <c r="CO22" s="378"/>
      <c r="CR22" s="387"/>
      <c r="CT22" s="378"/>
    </row>
    <row r="23" spans="1:102">
      <c r="B23" s="375" t="str">
        <f>+'q3'!$A$7</f>
        <v>Beja</v>
      </c>
      <c r="C23" s="373">
        <f>+'q3'!$B$7</f>
        <v>4056</v>
      </c>
      <c r="D23" s="373">
        <f>+'q3'!$C$7</f>
        <v>4027</v>
      </c>
      <c r="E23" s="373">
        <f>+'q3'!$D$7</f>
        <v>4126</v>
      </c>
      <c r="F23" s="373">
        <f>+'q3'!$E$7</f>
        <v>4182</v>
      </c>
      <c r="G23" s="373">
        <f>+'q3'!$F$7</f>
        <v>4271</v>
      </c>
      <c r="H23" s="373">
        <f>+'q3'!$G$7</f>
        <v>4352</v>
      </c>
      <c r="I23" s="373">
        <f>+'q3'!$H$7</f>
        <v>4398</v>
      </c>
      <c r="J23" s="373">
        <f>+'q3'!$I$7</f>
        <v>4357</v>
      </c>
      <c r="K23" s="373">
        <f>+'q3'!$J$7</f>
        <v>4387</v>
      </c>
      <c r="L23" s="373">
        <f>+'q3'!$K$7</f>
        <v>4403</v>
      </c>
      <c r="M23" s="373">
        <f>+'q3'!$L$7</f>
        <v>4593</v>
      </c>
      <c r="N23" s="373">
        <f t="shared" ref="N23:N86" si="21">+M23-C23</f>
        <v>537</v>
      </c>
      <c r="S23" s="345" t="s">
        <v>264</v>
      </c>
      <c r="T23" s="344">
        <f t="shared" ref="T23:AD23" si="22">VLOOKUP($S$20,$B$41:$M$59,COLUMN(C42)-1,0)</f>
        <v>72164</v>
      </c>
      <c r="U23" s="344">
        <f t="shared" si="22"/>
        <v>70961</v>
      </c>
      <c r="V23" s="344">
        <f t="shared" si="22"/>
        <v>71690</v>
      </c>
      <c r="W23" s="344">
        <f t="shared" si="22"/>
        <v>72246</v>
      </c>
      <c r="X23" s="344">
        <f t="shared" si="22"/>
        <v>72756</v>
      </c>
      <c r="Y23" s="344">
        <f t="shared" si="22"/>
        <v>73389</v>
      </c>
      <c r="Z23" s="344">
        <f t="shared" si="22"/>
        <v>74689</v>
      </c>
      <c r="AA23" s="344">
        <f t="shared" si="22"/>
        <v>72677</v>
      </c>
      <c r="AB23" s="344">
        <f t="shared" si="22"/>
        <v>73809</v>
      </c>
      <c r="AC23" s="344">
        <f t="shared" si="22"/>
        <v>71616</v>
      </c>
      <c r="AD23" s="344">
        <f t="shared" si="22"/>
        <v>75266</v>
      </c>
      <c r="AE23" s="385" t="str">
        <f>TEXT(AD23,"##.###")</f>
        <v>75.266</v>
      </c>
      <c r="AF23" s="347">
        <f>+(AD23/AC23-1)</f>
        <v>5.0966264521894455E-2</v>
      </c>
      <c r="AG23" s="347">
        <f>+(AD23/T23-1)</f>
        <v>4.2985422094119041E-2</v>
      </c>
      <c r="AH23" s="394">
        <f>+AD23-T23</f>
        <v>3102</v>
      </c>
      <c r="AI23" s="373" t="str">
        <f>IF(AH23&gt;0,", mais",", menos")</f>
        <v>, mais</v>
      </c>
      <c r="AJ23" s="373">
        <f>IF(AH23&gt;0,AH23,AH23*-1)</f>
        <v>3102</v>
      </c>
      <c r="AL23" s="375" t="s">
        <v>17</v>
      </c>
      <c r="AM23" s="385">
        <f t="shared" si="0"/>
        <v>3640</v>
      </c>
      <c r="AN23" s="385">
        <f t="shared" si="1"/>
        <v>4210</v>
      </c>
      <c r="AO23" s="397">
        <f t="shared" si="2"/>
        <v>1.2778206838446957</v>
      </c>
      <c r="AP23" s="397">
        <f t="shared" si="3"/>
        <v>1.2654689298822002</v>
      </c>
      <c r="AQ23" s="387">
        <f t="shared" si="4"/>
        <v>17</v>
      </c>
      <c r="AR23" s="387">
        <f t="shared" si="5"/>
        <v>17</v>
      </c>
      <c r="AS23" s="375" t="s">
        <v>17</v>
      </c>
      <c r="AT23" s="385">
        <f t="shared" si="6"/>
        <v>23249</v>
      </c>
      <c r="AU23" s="385">
        <f t="shared" si="7"/>
        <v>21226</v>
      </c>
      <c r="AV23" s="397">
        <f t="shared" si="8"/>
        <v>0.69668650635495322</v>
      </c>
      <c r="AW23" s="397">
        <f t="shared" si="9"/>
        <v>0.67423789295734926</v>
      </c>
      <c r="AX23" s="387">
        <f t="shared" si="10"/>
        <v>17</v>
      </c>
      <c r="AY23" s="387">
        <f t="shared" si="11"/>
        <v>18</v>
      </c>
      <c r="AZ23" s="375" t="s">
        <v>17</v>
      </c>
      <c r="BA23" s="386">
        <f t="shared" si="12"/>
        <v>892.75012004236817</v>
      </c>
      <c r="BB23" s="386">
        <f t="shared" si="13"/>
        <v>1054.3714764034401</v>
      </c>
      <c r="BC23" s="397">
        <f t="shared" si="14"/>
        <v>-21.924564366951437</v>
      </c>
      <c r="BD23" s="397">
        <f t="shared" si="15"/>
        <v>-22.925793990648291</v>
      </c>
      <c r="BE23" s="387">
        <f t="shared" si="16"/>
        <v>18</v>
      </c>
      <c r="BF23" s="387">
        <f t="shared" si="17"/>
        <v>18</v>
      </c>
      <c r="BG23" s="386">
        <f t="shared" si="18"/>
        <v>-250.69546281452187</v>
      </c>
      <c r="BH23" s="386">
        <f t="shared" si="19"/>
        <v>-313.62377258492984</v>
      </c>
      <c r="CO23" s="378"/>
      <c r="CT23" s="378"/>
    </row>
    <row r="24" spans="1:102">
      <c r="B24" s="375" t="str">
        <f>+'q3'!$A$8</f>
        <v>Braga</v>
      </c>
      <c r="C24" s="373">
        <f>+'q3'!$B$8</f>
        <v>25267</v>
      </c>
      <c r="D24" s="373">
        <f>+'q3'!$C$8</f>
        <v>25389</v>
      </c>
      <c r="E24" s="373">
        <f>+'q3'!$D$8</f>
        <v>26240</v>
      </c>
      <c r="F24" s="373">
        <f>+'q3'!$E$8</f>
        <v>26600</v>
      </c>
      <c r="G24" s="373">
        <f>+'q3'!$F$8</f>
        <v>27141</v>
      </c>
      <c r="H24" s="373">
        <f>+'q3'!$G$8</f>
        <v>27607</v>
      </c>
      <c r="I24" s="373">
        <f>+'q3'!$H$8</f>
        <v>27722</v>
      </c>
      <c r="J24" s="373">
        <f>+'q3'!$I$8</f>
        <v>26943</v>
      </c>
      <c r="K24" s="373">
        <f>+'q3'!$J$8</f>
        <v>27215</v>
      </c>
      <c r="L24" s="373">
        <f>+'q3'!$K$8</f>
        <v>26761</v>
      </c>
      <c r="M24" s="373">
        <f>+'q3'!$L$8</f>
        <v>28579</v>
      </c>
      <c r="N24" s="373">
        <f t="shared" si="21"/>
        <v>3312</v>
      </c>
      <c r="AL24" s="375" t="s">
        <v>18</v>
      </c>
      <c r="AM24" s="385">
        <f t="shared" si="0"/>
        <v>4718</v>
      </c>
      <c r="AN24" s="385">
        <f t="shared" si="1"/>
        <v>5592</v>
      </c>
      <c r="AO24" s="397">
        <f t="shared" si="2"/>
        <v>1.6562521940602402</v>
      </c>
      <c r="AP24" s="397">
        <f t="shared" si="3"/>
        <v>1.6808793957010126</v>
      </c>
      <c r="AQ24" s="387">
        <f t="shared" si="4"/>
        <v>14</v>
      </c>
      <c r="AR24" s="387">
        <f t="shared" si="5"/>
        <v>14</v>
      </c>
      <c r="AS24" s="375" t="s">
        <v>18</v>
      </c>
      <c r="AT24" s="385">
        <f t="shared" si="6"/>
        <v>42765</v>
      </c>
      <c r="AU24" s="385">
        <f t="shared" si="7"/>
        <v>39840</v>
      </c>
      <c r="AV24" s="397">
        <f t="shared" si="8"/>
        <v>1.2815088151864413</v>
      </c>
      <c r="AW24" s="397">
        <f t="shared" si="9"/>
        <v>1.2655063438905489</v>
      </c>
      <c r="AX24" s="387">
        <f t="shared" si="10"/>
        <v>14</v>
      </c>
      <c r="AY24" s="387">
        <f t="shared" si="11"/>
        <v>14</v>
      </c>
      <c r="AZ24" s="375" t="s">
        <v>18</v>
      </c>
      <c r="BA24" s="386">
        <f t="shared" si="12"/>
        <v>932.85300061654311</v>
      </c>
      <c r="BB24" s="386">
        <f t="shared" si="13"/>
        <v>1106.65014764578</v>
      </c>
      <c r="BC24" s="397">
        <f t="shared" si="14"/>
        <v>-18.417368119450252</v>
      </c>
      <c r="BD24" s="397">
        <f t="shared" si="15"/>
        <v>-19.10424042304637</v>
      </c>
      <c r="BE24" s="387">
        <f t="shared" si="16"/>
        <v>14</v>
      </c>
      <c r="BF24" s="387">
        <f t="shared" si="17"/>
        <v>15</v>
      </c>
      <c r="BG24" s="386">
        <f t="shared" si="18"/>
        <v>-210.59258224034693</v>
      </c>
      <c r="BH24" s="386">
        <f t="shared" si="19"/>
        <v>-261.34510134258994</v>
      </c>
      <c r="CO24" s="378"/>
      <c r="CT24" s="378"/>
    </row>
    <row r="25" spans="1:102">
      <c r="B25" s="375" t="str">
        <f>+'q3'!$A$9</f>
        <v>Bragança</v>
      </c>
      <c r="C25" s="373">
        <f>+'q3'!$B$9</f>
        <v>3597</v>
      </c>
      <c r="D25" s="373">
        <f>+'q3'!$C$9</f>
        <v>3580</v>
      </c>
      <c r="E25" s="373">
        <f>+'q3'!$D$9</f>
        <v>3603</v>
      </c>
      <c r="F25" s="373">
        <f>+'q3'!$E$9</f>
        <v>3624</v>
      </c>
      <c r="G25" s="373">
        <f>+'q3'!$F$9</f>
        <v>3653</v>
      </c>
      <c r="H25" s="373">
        <f>+'q3'!$G$9</f>
        <v>3691</v>
      </c>
      <c r="I25" s="373">
        <f>+'q3'!$H$9</f>
        <v>3714</v>
      </c>
      <c r="J25" s="373">
        <f>+'q3'!$I$9</f>
        <v>3441</v>
      </c>
      <c r="K25" s="373">
        <f>+'q3'!$J$9</f>
        <v>3474</v>
      </c>
      <c r="L25" s="373">
        <f>+'q3'!$K$9</f>
        <v>3568</v>
      </c>
      <c r="M25" s="373">
        <f>+'q3'!$L$9</f>
        <v>3640</v>
      </c>
      <c r="N25" s="373">
        <f t="shared" si="21"/>
        <v>43</v>
      </c>
      <c r="AE25" s="395"/>
      <c r="AG25" s="397">
        <f>+(AD22/T22-1)*100</f>
        <v>6.6680016019223132</v>
      </c>
      <c r="AL25" s="375" t="s">
        <v>19</v>
      </c>
      <c r="AM25" s="385">
        <f t="shared" si="0"/>
        <v>10273</v>
      </c>
      <c r="AN25" s="385">
        <f t="shared" si="1"/>
        <v>12457</v>
      </c>
      <c r="AO25" s="397">
        <f t="shared" si="2"/>
        <v>3.6063329354770768</v>
      </c>
      <c r="AP25" s="397">
        <f t="shared" si="3"/>
        <v>3.7444053348082109</v>
      </c>
      <c r="AQ25" s="387">
        <f t="shared" si="4"/>
        <v>9</v>
      </c>
      <c r="AR25" s="387">
        <f t="shared" si="5"/>
        <v>9</v>
      </c>
      <c r="AS25" s="375" t="s">
        <v>19</v>
      </c>
      <c r="AT25" s="385">
        <f t="shared" si="6"/>
        <v>109304</v>
      </c>
      <c r="AU25" s="385">
        <f t="shared" si="7"/>
        <v>101940</v>
      </c>
      <c r="AV25" s="397">
        <f t="shared" si="8"/>
        <v>3.2754364441748813</v>
      </c>
      <c r="AW25" s="397">
        <f t="shared" si="9"/>
        <v>3.2380952985994615</v>
      </c>
      <c r="AX25" s="387">
        <f t="shared" si="10"/>
        <v>9</v>
      </c>
      <c r="AY25" s="387">
        <f t="shared" si="11"/>
        <v>9</v>
      </c>
      <c r="AZ25" s="375" t="s">
        <v>19</v>
      </c>
      <c r="BA25" s="386">
        <f t="shared" si="12"/>
        <v>1016.0729735121099</v>
      </c>
      <c r="BB25" s="386">
        <f t="shared" si="13"/>
        <v>1222.9665008964</v>
      </c>
      <c r="BC25" s="397">
        <f t="shared" si="14"/>
        <v>-11.139367824268531</v>
      </c>
      <c r="BD25" s="397">
        <f t="shared" si="15"/>
        <v>-10.60155349217904</v>
      </c>
      <c r="BE25" s="387">
        <f t="shared" si="16"/>
        <v>5</v>
      </c>
      <c r="BF25" s="387">
        <f t="shared" si="17"/>
        <v>5</v>
      </c>
      <c r="BG25" s="386">
        <f t="shared" si="18"/>
        <v>-127.37260934478013</v>
      </c>
      <c r="BH25" s="386">
        <f t="shared" si="19"/>
        <v>-145.02874809196987</v>
      </c>
      <c r="BX25" s="387"/>
      <c r="CC25" s="387"/>
      <c r="CH25" s="387"/>
      <c r="CM25" s="387"/>
      <c r="CO25" s="378"/>
      <c r="CR25" s="387"/>
      <c r="CT25" s="378"/>
    </row>
    <row r="26" spans="1:102">
      <c r="B26" s="375" t="str">
        <f>+'q3'!$A$10</f>
        <v>Castelo Branco</v>
      </c>
      <c r="C26" s="373">
        <f>+'q3'!$B$10</f>
        <v>4768</v>
      </c>
      <c r="D26" s="373">
        <f>+'q3'!$C$10</f>
        <v>4611</v>
      </c>
      <c r="E26" s="373">
        <f>+'q3'!$D$10</f>
        <v>4726</v>
      </c>
      <c r="F26" s="373">
        <f>+'q3'!$E$10</f>
        <v>4738</v>
      </c>
      <c r="G26" s="373">
        <f>+'q3'!$F$10</f>
        <v>4744</v>
      </c>
      <c r="H26" s="373">
        <f>+'q3'!$G$10</f>
        <v>4692</v>
      </c>
      <c r="I26" s="373">
        <f>+'q3'!$H$10</f>
        <v>4696</v>
      </c>
      <c r="J26" s="373">
        <f>+'q3'!$I$10</f>
        <v>4527</v>
      </c>
      <c r="K26" s="373">
        <f>+'q3'!$J$10</f>
        <v>4500</v>
      </c>
      <c r="L26" s="373">
        <f>+'q3'!$K$10</f>
        <v>4479</v>
      </c>
      <c r="M26" s="373">
        <f>+'q3'!$L$10</f>
        <v>4718</v>
      </c>
      <c r="N26" s="373">
        <f t="shared" si="21"/>
        <v>-50</v>
      </c>
      <c r="AA26" s="393" t="s">
        <v>369</v>
      </c>
      <c r="AB26" s="393"/>
      <c r="AC26" s="393"/>
      <c r="AG26" s="397">
        <f>+(AD23/T23-1)*100</f>
        <v>4.2985422094119041</v>
      </c>
      <c r="AL26" s="375" t="s">
        <v>20</v>
      </c>
      <c r="AM26" s="385">
        <f t="shared" si="0"/>
        <v>5048</v>
      </c>
      <c r="AN26" s="385">
        <f t="shared" si="1"/>
        <v>6051</v>
      </c>
      <c r="AO26" s="397">
        <f t="shared" si="2"/>
        <v>1.7720985747384681</v>
      </c>
      <c r="AP26" s="397">
        <f t="shared" si="3"/>
        <v>1.8188485735670292</v>
      </c>
      <c r="AQ26" s="387">
        <f t="shared" si="4"/>
        <v>13</v>
      </c>
      <c r="AR26" s="387">
        <f t="shared" si="5"/>
        <v>13</v>
      </c>
      <c r="AS26" s="375" t="s">
        <v>20</v>
      </c>
      <c r="AT26" s="385">
        <f t="shared" si="6"/>
        <v>43523</v>
      </c>
      <c r="AU26" s="385">
        <f t="shared" si="7"/>
        <v>40691</v>
      </c>
      <c r="AV26" s="397">
        <f t="shared" si="8"/>
        <v>1.3042232705099843</v>
      </c>
      <c r="AW26" s="397">
        <f t="shared" si="9"/>
        <v>1.2925381184550786</v>
      </c>
      <c r="AX26" s="387">
        <f t="shared" si="10"/>
        <v>13</v>
      </c>
      <c r="AY26" s="387">
        <f t="shared" si="11"/>
        <v>13</v>
      </c>
      <c r="AZ26" s="375" t="s">
        <v>20</v>
      </c>
      <c r="BA26" s="386">
        <f t="shared" si="12"/>
        <v>984.10746899954609</v>
      </c>
      <c r="BB26" s="386">
        <f t="shared" si="13"/>
        <v>1190.5704398493799</v>
      </c>
      <c r="BC26" s="397">
        <f t="shared" si="14"/>
        <v>-13.934910086340867</v>
      </c>
      <c r="BD26" s="397">
        <f t="shared" si="15"/>
        <v>-12.969694834115497</v>
      </c>
      <c r="BE26" s="387">
        <f t="shared" si="16"/>
        <v>8</v>
      </c>
      <c r="BF26" s="387">
        <f t="shared" si="17"/>
        <v>8</v>
      </c>
      <c r="BG26" s="386">
        <f t="shared" si="18"/>
        <v>-159.33811385734396</v>
      </c>
      <c r="BH26" s="386">
        <f t="shared" si="19"/>
        <v>-177.42480913898999</v>
      </c>
      <c r="CO26" s="378"/>
      <c r="CT26" s="378"/>
    </row>
    <row r="27" spans="1:102">
      <c r="B27" s="375" t="str">
        <f>+'q3'!$A$11</f>
        <v>Coimbra</v>
      </c>
      <c r="C27" s="373">
        <f>+'q3'!$B$11</f>
        <v>10193</v>
      </c>
      <c r="D27" s="373">
        <f>+'q3'!$C$11</f>
        <v>9990</v>
      </c>
      <c r="E27" s="373">
        <f>+'q3'!$D$11</f>
        <v>10077</v>
      </c>
      <c r="F27" s="373">
        <f>+'q3'!$E$11</f>
        <v>10100</v>
      </c>
      <c r="G27" s="373">
        <f>+'q3'!$F$11</f>
        <v>10154</v>
      </c>
      <c r="H27" s="373">
        <f>+'q3'!$G$11</f>
        <v>10202</v>
      </c>
      <c r="I27" s="373">
        <f>+'q3'!$H$11</f>
        <v>10207</v>
      </c>
      <c r="J27" s="373">
        <f>+'q3'!$I$11</f>
        <v>9886</v>
      </c>
      <c r="K27" s="373">
        <f>+'q3'!$J$11</f>
        <v>9993</v>
      </c>
      <c r="L27" s="373">
        <f>+'q3'!$K$11</f>
        <v>9818</v>
      </c>
      <c r="M27" s="373">
        <f>+'q3'!$L$11</f>
        <v>10273</v>
      </c>
      <c r="N27" s="373">
        <f t="shared" si="21"/>
        <v>80</v>
      </c>
      <c r="AL27" s="375" t="s">
        <v>21</v>
      </c>
      <c r="AM27" s="385">
        <f t="shared" si="0"/>
        <v>17066</v>
      </c>
      <c r="AN27" s="385">
        <f t="shared" si="1"/>
        <v>20699</v>
      </c>
      <c r="AO27" s="397">
        <f t="shared" si="2"/>
        <v>5.9910131292564772</v>
      </c>
      <c r="AP27" s="397">
        <f t="shared" si="3"/>
        <v>6.2218388075134587</v>
      </c>
      <c r="AQ27" s="387">
        <f t="shared" si="4"/>
        <v>5</v>
      </c>
      <c r="AR27" s="387">
        <f t="shared" si="5"/>
        <v>5</v>
      </c>
      <c r="AS27" s="375" t="s">
        <v>21</v>
      </c>
      <c r="AT27" s="385">
        <f t="shared" si="6"/>
        <v>165503</v>
      </c>
      <c r="AU27" s="385">
        <f t="shared" si="7"/>
        <v>154670</v>
      </c>
      <c r="AV27" s="397">
        <f t="shared" si="8"/>
        <v>4.959512532206281</v>
      </c>
      <c r="AW27" s="397">
        <f t="shared" si="9"/>
        <v>4.9130488506413457</v>
      </c>
      <c r="AX27" s="387">
        <f t="shared" si="10"/>
        <v>6</v>
      </c>
      <c r="AY27" s="387">
        <f t="shared" si="11"/>
        <v>6</v>
      </c>
      <c r="AZ27" s="375" t="s">
        <v>21</v>
      </c>
      <c r="BA27" s="386">
        <f t="shared" si="12"/>
        <v>965.82601351644109</v>
      </c>
      <c r="BB27" s="386">
        <f t="shared" si="13"/>
        <v>1150.8139774726001</v>
      </c>
      <c r="BC27" s="397">
        <f t="shared" si="14"/>
        <v>-15.533714240835828</v>
      </c>
      <c r="BD27" s="397">
        <f t="shared" si="15"/>
        <v>-15.875879077531518</v>
      </c>
      <c r="BE27" s="387">
        <f t="shared" si="16"/>
        <v>10</v>
      </c>
      <c r="BF27" s="387">
        <f t="shared" si="17"/>
        <v>12</v>
      </c>
      <c r="BG27" s="386">
        <f t="shared" si="18"/>
        <v>-177.61956934044895</v>
      </c>
      <c r="BH27" s="386">
        <f t="shared" si="19"/>
        <v>-217.18127151576982</v>
      </c>
      <c r="CO27" s="378"/>
      <c r="CT27" s="378"/>
    </row>
    <row r="28" spans="1:102">
      <c r="B28" s="375" t="str">
        <f>+'q3'!$A$12</f>
        <v>Évora</v>
      </c>
      <c r="C28" s="373">
        <f>+'q3'!$B$12</f>
        <v>4842</v>
      </c>
      <c r="D28" s="373">
        <f>+'q3'!$C$12</f>
        <v>4860</v>
      </c>
      <c r="E28" s="373">
        <f>+'q3'!$D$12</f>
        <v>5026</v>
      </c>
      <c r="F28" s="373">
        <f>+'q3'!$E$12</f>
        <v>5065</v>
      </c>
      <c r="G28" s="373">
        <f>+'q3'!$F$12</f>
        <v>5038</v>
      </c>
      <c r="H28" s="373">
        <f>+'q3'!$G$12</f>
        <v>5034</v>
      </c>
      <c r="I28" s="373">
        <f>+'q3'!$H$12</f>
        <v>4966</v>
      </c>
      <c r="J28" s="373">
        <f>+'q3'!$I$12</f>
        <v>4869</v>
      </c>
      <c r="K28" s="373">
        <f>+'q3'!$J$12</f>
        <v>4904</v>
      </c>
      <c r="L28" s="373">
        <f>+'q3'!$K$12</f>
        <v>4640</v>
      </c>
      <c r="M28" s="373">
        <f>+'q3'!$L$12</f>
        <v>5048</v>
      </c>
      <c r="N28" s="373">
        <f t="shared" si="21"/>
        <v>206</v>
      </c>
      <c r="AA28" s="373">
        <f>+AD21</f>
        <v>2022</v>
      </c>
      <c r="AB28" s="373" t="s">
        <v>506</v>
      </c>
      <c r="AC28" s="373" t="s">
        <v>512</v>
      </c>
      <c r="AL28" s="375" t="s">
        <v>22</v>
      </c>
      <c r="AM28" s="385">
        <f t="shared" si="0"/>
        <v>4127</v>
      </c>
      <c r="AN28" s="385">
        <f t="shared" si="1"/>
        <v>4760</v>
      </c>
      <c r="AO28" s="397">
        <f t="shared" si="2"/>
        <v>1.4487818577546865</v>
      </c>
      <c r="AP28" s="397">
        <f t="shared" si="3"/>
        <v>1.4307914741660981</v>
      </c>
      <c r="AQ28" s="387">
        <f t="shared" si="4"/>
        <v>16</v>
      </c>
      <c r="AR28" s="387">
        <f t="shared" si="5"/>
        <v>16</v>
      </c>
      <c r="AS28" s="375" t="s">
        <v>22</v>
      </c>
      <c r="AT28" s="385">
        <f t="shared" si="6"/>
        <v>31779</v>
      </c>
      <c r="AU28" s="385">
        <f t="shared" si="7"/>
        <v>29721</v>
      </c>
      <c r="AV28" s="397">
        <f t="shared" si="8"/>
        <v>0.95229904449456138</v>
      </c>
      <c r="AW28" s="397">
        <f t="shared" si="9"/>
        <v>0.94407916784063772</v>
      </c>
      <c r="AX28" s="387">
        <f t="shared" si="10"/>
        <v>16</v>
      </c>
      <c r="AY28" s="387">
        <f t="shared" si="11"/>
        <v>16</v>
      </c>
      <c r="AZ28" s="375" t="s">
        <v>22</v>
      </c>
      <c r="BA28" s="386">
        <f t="shared" si="12"/>
        <v>905.20674300469909</v>
      </c>
      <c r="BB28" s="386">
        <f t="shared" si="13"/>
        <v>1100.1031647123602</v>
      </c>
      <c r="BC28" s="397">
        <f t="shared" si="14"/>
        <v>-20.83517077016932</v>
      </c>
      <c r="BD28" s="397">
        <f t="shared" si="15"/>
        <v>-19.582822708932312</v>
      </c>
      <c r="BE28" s="387">
        <f t="shared" si="16"/>
        <v>17</v>
      </c>
      <c r="BF28" s="387">
        <f t="shared" si="17"/>
        <v>17</v>
      </c>
      <c r="BG28" s="386">
        <f t="shared" si="18"/>
        <v>-238.23883985219095</v>
      </c>
      <c r="BH28" s="386">
        <f t="shared" si="19"/>
        <v>-267.89208427600965</v>
      </c>
      <c r="BX28" s="387"/>
      <c r="CC28" s="387"/>
      <c r="CH28" s="387"/>
      <c r="CM28" s="387"/>
      <c r="CO28" s="378"/>
      <c r="CR28" s="387"/>
      <c r="CT28" s="378"/>
    </row>
    <row r="29" spans="1:102" ht="12.95" customHeight="1">
      <c r="B29" s="375" t="str">
        <f>+'q3'!$A$13</f>
        <v>Faro</v>
      </c>
      <c r="C29" s="373">
        <f>+'q3'!$B$13</f>
        <v>15093</v>
      </c>
      <c r="D29" s="373">
        <f>+'q3'!$C$13</f>
        <v>15012</v>
      </c>
      <c r="E29" s="373">
        <f>+'q3'!$D$13</f>
        <v>15485</v>
      </c>
      <c r="F29" s="373">
        <f>+'q3'!$E$13</f>
        <v>15831</v>
      </c>
      <c r="G29" s="373">
        <f>+'q3'!$F$13</f>
        <v>16300</v>
      </c>
      <c r="H29" s="373">
        <f>+'q3'!$G$13</f>
        <v>16481</v>
      </c>
      <c r="I29" s="373">
        <f>+'q3'!$H$13</f>
        <v>17081</v>
      </c>
      <c r="J29" s="373">
        <f>+'q3'!$I$13</f>
        <v>17191</v>
      </c>
      <c r="K29" s="373">
        <f>+'q3'!$J$13</f>
        <v>16775</v>
      </c>
      <c r="L29" s="373">
        <f>+'q3'!$K$13</f>
        <v>16329</v>
      </c>
      <c r="M29" s="373">
        <f>+'q3'!$L$13</f>
        <v>17066</v>
      </c>
      <c r="N29" s="373">
        <f t="shared" si="21"/>
        <v>1973</v>
      </c>
      <c r="AA29" s="373" t="s">
        <v>364</v>
      </c>
      <c r="AB29" s="373" t="str">
        <f>+S20</f>
        <v>Lisboa</v>
      </c>
      <c r="AE29" s="590" t="str">
        <f>CONCATENATE(AA28,AB28,CHAR(10),AC28,S20,AA30,AE22,AA32,AB33,AA34,AI22," ",AB36,AA37,AE23,AA39,AB40,AA41,AI23," ",AB43," ",AA44)</f>
        <v>2022:
O distrito de Lisboa era a sede de 63.924 empresas (6,7%, ou seja, mais 3.996 que em 2012) e era a localização de 75.266 estabelecimentos (4,3%, ou seja, mais 3.102 que em 2012).</v>
      </c>
      <c r="AF29" s="590"/>
      <c r="AG29" s="590"/>
      <c r="AH29" s="590"/>
      <c r="AL29" s="375" t="s">
        <v>23</v>
      </c>
      <c r="AM29" s="385">
        <f t="shared" si="0"/>
        <v>15824</v>
      </c>
      <c r="AN29" s="385">
        <f t="shared" si="1"/>
        <v>18449</v>
      </c>
      <c r="AO29" s="397">
        <f t="shared" si="2"/>
        <v>5.5550094783402368</v>
      </c>
      <c r="AP29" s="397">
        <f t="shared" si="3"/>
        <v>5.5455193081702401</v>
      </c>
      <c r="AQ29" s="387">
        <f t="shared" si="4"/>
        <v>7</v>
      </c>
      <c r="AR29" s="387">
        <f t="shared" si="5"/>
        <v>7</v>
      </c>
      <c r="AS29" s="375" t="s">
        <v>23</v>
      </c>
      <c r="AT29" s="385">
        <f t="shared" si="6"/>
        <v>157094</v>
      </c>
      <c r="AU29" s="385">
        <f t="shared" si="7"/>
        <v>145795</v>
      </c>
      <c r="AV29" s="397">
        <f t="shared" si="8"/>
        <v>4.7075259163544683</v>
      </c>
      <c r="AW29" s="397">
        <f t="shared" si="9"/>
        <v>4.6311369831205473</v>
      </c>
      <c r="AX29" s="387">
        <f t="shared" si="10"/>
        <v>7</v>
      </c>
      <c r="AY29" s="387">
        <f t="shared" si="11"/>
        <v>7</v>
      </c>
      <c r="AZ29" s="375" t="s">
        <v>23</v>
      </c>
      <c r="BA29" s="386">
        <f t="shared" si="12"/>
        <v>1007.35363342332</v>
      </c>
      <c r="BB29" s="386">
        <f t="shared" si="13"/>
        <v>1211.2745490185598</v>
      </c>
      <c r="BC29" s="397">
        <f t="shared" si="14"/>
        <v>-11.901917456670329</v>
      </c>
      <c r="BD29" s="397">
        <f t="shared" si="15"/>
        <v>-11.456231305313725</v>
      </c>
      <c r="BE29" s="387">
        <f t="shared" si="16"/>
        <v>6</v>
      </c>
      <c r="BF29" s="387">
        <f t="shared" si="17"/>
        <v>6</v>
      </c>
      <c r="BG29" s="386">
        <f t="shared" si="18"/>
        <v>-136.09194943356999</v>
      </c>
      <c r="BH29" s="386">
        <f t="shared" si="19"/>
        <v>-156.72069996981008</v>
      </c>
      <c r="CO29" s="378"/>
      <c r="CT29" s="378"/>
    </row>
    <row r="30" spans="1:102">
      <c r="B30" s="375" t="str">
        <f>+'q3'!$A$14</f>
        <v>Guarda</v>
      </c>
      <c r="C30" s="373">
        <f>+'q3'!$B$14</f>
        <v>4293</v>
      </c>
      <c r="D30" s="373">
        <f>+'q3'!$C$14</f>
        <v>4293</v>
      </c>
      <c r="E30" s="373">
        <f>+'q3'!$D$14</f>
        <v>4352</v>
      </c>
      <c r="F30" s="373">
        <f>+'q3'!$E$14</f>
        <v>4323</v>
      </c>
      <c r="G30" s="373">
        <f>+'q3'!$F$14</f>
        <v>4348</v>
      </c>
      <c r="H30" s="373">
        <f>+'q3'!$G$14</f>
        <v>4380</v>
      </c>
      <c r="I30" s="373">
        <f>+'q3'!$H$14</f>
        <v>4347</v>
      </c>
      <c r="J30" s="373">
        <f>+'q3'!$I$14</f>
        <v>4183</v>
      </c>
      <c r="K30" s="373">
        <f>+'q3'!$J$14</f>
        <v>4178</v>
      </c>
      <c r="L30" s="373">
        <f>+'q3'!$K$14</f>
        <v>4076</v>
      </c>
      <c r="M30" s="373">
        <f>+'q3'!$L$14</f>
        <v>4127</v>
      </c>
      <c r="N30" s="373">
        <f t="shared" si="21"/>
        <v>-166</v>
      </c>
      <c r="AA30" s="373" t="s">
        <v>513</v>
      </c>
      <c r="AE30" s="590"/>
      <c r="AF30" s="590"/>
      <c r="AG30" s="590"/>
      <c r="AH30" s="590"/>
      <c r="AL30" s="375" t="s">
        <v>24</v>
      </c>
      <c r="AM30" s="385">
        <f t="shared" si="0"/>
        <v>63924</v>
      </c>
      <c r="AN30" s="385">
        <f t="shared" si="1"/>
        <v>75266</v>
      </c>
      <c r="AO30" s="397">
        <f t="shared" si="2"/>
        <v>22.440497086288001</v>
      </c>
      <c r="AP30" s="397">
        <f t="shared" si="3"/>
        <v>22.623939305585196</v>
      </c>
      <c r="AQ30" s="387">
        <f t="shared" si="4"/>
        <v>1</v>
      </c>
      <c r="AR30" s="387">
        <f t="shared" si="5"/>
        <v>1</v>
      </c>
      <c r="AS30" s="375" t="s">
        <v>24</v>
      </c>
      <c r="AT30" s="385">
        <f t="shared" si="6"/>
        <v>981424</v>
      </c>
      <c r="AU30" s="385">
        <f t="shared" si="7"/>
        <v>937531</v>
      </c>
      <c r="AV30" s="397">
        <f t="shared" si="8"/>
        <v>29.409645912207132</v>
      </c>
      <c r="AW30" s="397">
        <f t="shared" si="9"/>
        <v>29.780407331677967</v>
      </c>
      <c r="AX30" s="387">
        <f t="shared" si="10"/>
        <v>1</v>
      </c>
      <c r="AY30" s="387">
        <f t="shared" si="11"/>
        <v>1</v>
      </c>
      <c r="AZ30" s="375" t="s">
        <v>24</v>
      </c>
      <c r="BA30" s="386">
        <f t="shared" si="12"/>
        <v>1388.3698339134201</v>
      </c>
      <c r="BB30" s="386">
        <f t="shared" si="13"/>
        <v>1668.91834858224</v>
      </c>
      <c r="BC30" s="397">
        <f t="shared" si="14"/>
        <v>21.419843211479161</v>
      </c>
      <c r="BD30" s="397">
        <f t="shared" si="15"/>
        <v>21.99737899794625</v>
      </c>
      <c r="BE30" s="387">
        <f t="shared" si="16"/>
        <v>1</v>
      </c>
      <c r="BF30" s="387">
        <f t="shared" si="17"/>
        <v>1</v>
      </c>
      <c r="BG30" s="386">
        <f t="shared" si="18"/>
        <v>244.92425105653001</v>
      </c>
      <c r="BH30" s="386">
        <f t="shared" si="19"/>
        <v>300.92309959387012</v>
      </c>
      <c r="CO30" s="378"/>
      <c r="CP30" s="378"/>
      <c r="CT30" s="378"/>
      <c r="CU30" s="378"/>
      <c r="CV30" s="378"/>
      <c r="CW30" s="378"/>
      <c r="CX30" s="378"/>
    </row>
    <row r="31" spans="1:102">
      <c r="B31" s="375" t="str">
        <f>+'q3'!$A$15</f>
        <v>Leiria</v>
      </c>
      <c r="C31" s="373">
        <f>+'q3'!$B$15</f>
        <v>15531</v>
      </c>
      <c r="D31" s="373">
        <f>+'q3'!$C$15</f>
        <v>15459</v>
      </c>
      <c r="E31" s="373">
        <f>+'q3'!$D$15</f>
        <v>15521</v>
      </c>
      <c r="F31" s="373">
        <f>+'q3'!$E$15</f>
        <v>15665</v>
      </c>
      <c r="G31" s="373">
        <f>+'q3'!$F$15</f>
        <v>15801</v>
      </c>
      <c r="H31" s="373">
        <f>+'q3'!$G$15</f>
        <v>15981</v>
      </c>
      <c r="I31" s="373">
        <f>+'q3'!$H$15</f>
        <v>15931</v>
      </c>
      <c r="J31" s="373">
        <f>+'q3'!$I$15</f>
        <v>15567</v>
      </c>
      <c r="K31" s="373">
        <f>+'q3'!$J$15</f>
        <v>15528</v>
      </c>
      <c r="L31" s="373">
        <f>+'q3'!$K$15</f>
        <v>15232</v>
      </c>
      <c r="M31" s="373">
        <f>+'q3'!$L$15</f>
        <v>15824</v>
      </c>
      <c r="N31" s="373">
        <f t="shared" si="21"/>
        <v>293</v>
      </c>
      <c r="AA31" s="373" t="s">
        <v>372</v>
      </c>
      <c r="AB31" s="394" t="str">
        <f>+AE22</f>
        <v>63.924</v>
      </c>
      <c r="AE31" s="590"/>
      <c r="AF31" s="590"/>
      <c r="AG31" s="590"/>
      <c r="AH31" s="590"/>
      <c r="AL31" s="375" t="s">
        <v>25</v>
      </c>
      <c r="AM31" s="385">
        <f t="shared" si="0"/>
        <v>2877</v>
      </c>
      <c r="AN31" s="385">
        <f t="shared" si="1"/>
        <v>3433</v>
      </c>
      <c r="AO31" s="397">
        <f t="shared" si="2"/>
        <v>1.0099698097310961</v>
      </c>
      <c r="AP31" s="397">
        <f t="shared" si="3"/>
        <v>1.0319132627756753</v>
      </c>
      <c r="AQ31" s="387">
        <f t="shared" si="4"/>
        <v>18</v>
      </c>
      <c r="AR31" s="387">
        <f t="shared" si="5"/>
        <v>18</v>
      </c>
      <c r="AS31" s="375" t="s">
        <v>25</v>
      </c>
      <c r="AT31" s="385">
        <f t="shared" si="6"/>
        <v>23056</v>
      </c>
      <c r="AU31" s="385">
        <f t="shared" si="7"/>
        <v>21623</v>
      </c>
      <c r="AV31" s="397">
        <f t="shared" si="8"/>
        <v>0.69090301047442049</v>
      </c>
      <c r="AW31" s="397">
        <f t="shared" si="9"/>
        <v>0.68684848579180069</v>
      </c>
      <c r="AX31" s="387">
        <f t="shared" si="10"/>
        <v>18</v>
      </c>
      <c r="AY31" s="387">
        <f t="shared" si="11"/>
        <v>17</v>
      </c>
      <c r="AZ31" s="375" t="s">
        <v>25</v>
      </c>
      <c r="BA31" s="386">
        <f t="shared" si="12"/>
        <v>939.134315018758</v>
      </c>
      <c r="BB31" s="386">
        <f t="shared" si="13"/>
        <v>1126.59658901125</v>
      </c>
      <c r="BC31" s="397">
        <f t="shared" si="14"/>
        <v>-17.868035952149285</v>
      </c>
      <c r="BD31" s="397">
        <f t="shared" si="15"/>
        <v>-17.646162159966106</v>
      </c>
      <c r="BE31" s="387">
        <f t="shared" si="16"/>
        <v>13</v>
      </c>
      <c r="BF31" s="387">
        <f t="shared" si="17"/>
        <v>14</v>
      </c>
      <c r="BG31" s="386">
        <f t="shared" si="18"/>
        <v>-204.31126783813204</v>
      </c>
      <c r="BH31" s="386">
        <f t="shared" si="19"/>
        <v>-241.39865997711991</v>
      </c>
      <c r="BX31" s="387"/>
      <c r="CC31" s="387"/>
      <c r="CH31" s="387"/>
      <c r="CM31" s="387"/>
      <c r="CO31" s="378"/>
      <c r="CP31" s="378"/>
      <c r="CR31" s="387"/>
      <c r="CT31" s="378"/>
      <c r="CU31" s="378"/>
      <c r="CV31" s="378"/>
      <c r="CW31" s="378"/>
      <c r="CX31" s="378"/>
    </row>
    <row r="32" spans="1:102">
      <c r="B32" s="375" t="str">
        <f>+'q3'!$A$16</f>
        <v>Lisboa</v>
      </c>
      <c r="C32" s="373">
        <f>+'q3'!$B$16</f>
        <v>59928</v>
      </c>
      <c r="D32" s="373">
        <f>+'q3'!$C$16</f>
        <v>59109</v>
      </c>
      <c r="E32" s="373">
        <f>+'q3'!$D$16</f>
        <v>59911</v>
      </c>
      <c r="F32" s="373">
        <f>+'q3'!$E$16</f>
        <v>60537</v>
      </c>
      <c r="G32" s="373">
        <f>+'q3'!$F$16</f>
        <v>60939</v>
      </c>
      <c r="H32" s="373">
        <f>+'q3'!$G$16</f>
        <v>61816</v>
      </c>
      <c r="I32" s="373">
        <f>+'q3'!$H$16</f>
        <v>62991</v>
      </c>
      <c r="J32" s="373">
        <f>+'q3'!$I$16</f>
        <v>61257</v>
      </c>
      <c r="K32" s="373">
        <f>+'q3'!$J$16</f>
        <v>62466</v>
      </c>
      <c r="L32" s="373">
        <f>+'q3'!$K$16</f>
        <v>60609</v>
      </c>
      <c r="M32" s="373">
        <f>+'q3'!$L$16</f>
        <v>63924</v>
      </c>
      <c r="N32" s="373">
        <f t="shared" si="21"/>
        <v>3996</v>
      </c>
      <c r="AA32" s="373" t="s">
        <v>370</v>
      </c>
      <c r="AE32" s="590"/>
      <c r="AF32" s="590"/>
      <c r="AG32" s="590"/>
      <c r="AH32" s="590"/>
      <c r="AL32" s="375" t="s">
        <v>26</v>
      </c>
      <c r="AM32" s="385">
        <f t="shared" si="0"/>
        <v>53630</v>
      </c>
      <c r="AN32" s="385">
        <f t="shared" si="1"/>
        <v>61907</v>
      </c>
      <c r="AO32" s="397">
        <f t="shared" si="2"/>
        <v>18.826792108404128</v>
      </c>
      <c r="AP32" s="397">
        <f t="shared" si="3"/>
        <v>18.608404998151393</v>
      </c>
      <c r="AQ32" s="387">
        <f t="shared" si="4"/>
        <v>2</v>
      </c>
      <c r="AR32" s="387">
        <f t="shared" si="5"/>
        <v>2</v>
      </c>
      <c r="AS32" s="375" t="s">
        <v>26</v>
      </c>
      <c r="AT32" s="385">
        <f t="shared" si="6"/>
        <v>647496</v>
      </c>
      <c r="AU32" s="385">
        <f t="shared" si="7"/>
        <v>611659</v>
      </c>
      <c r="AV32" s="397">
        <f t="shared" si="8"/>
        <v>19.403059319489302</v>
      </c>
      <c r="AW32" s="397">
        <f t="shared" si="9"/>
        <v>19.429175321228648</v>
      </c>
      <c r="AX32" s="387">
        <f t="shared" si="10"/>
        <v>2</v>
      </c>
      <c r="AY32" s="387">
        <f t="shared" si="11"/>
        <v>2</v>
      </c>
      <c r="AZ32" s="375" t="s">
        <v>26</v>
      </c>
      <c r="BA32" s="386">
        <f t="shared" si="12"/>
        <v>1135.72575816629</v>
      </c>
      <c r="BB32" s="386">
        <f t="shared" si="13"/>
        <v>1343.1844642727101</v>
      </c>
      <c r="BC32" s="397">
        <f t="shared" si="14"/>
        <v>-0.67513704249152484</v>
      </c>
      <c r="BD32" s="397">
        <f t="shared" si="15"/>
        <v>-1.8136601522561802</v>
      </c>
      <c r="BE32" s="387">
        <f t="shared" si="16"/>
        <v>2</v>
      </c>
      <c r="BF32" s="387">
        <f t="shared" si="17"/>
        <v>3</v>
      </c>
      <c r="BG32" s="386">
        <f t="shared" si="18"/>
        <v>-7.719824690600035</v>
      </c>
      <c r="BH32" s="386">
        <f t="shared" si="19"/>
        <v>-24.810784715659793</v>
      </c>
      <c r="CO32" s="378"/>
      <c r="CP32" s="378"/>
      <c r="CT32" s="378"/>
      <c r="CU32" s="378"/>
      <c r="CV32" s="378"/>
      <c r="CW32" s="378"/>
      <c r="CX32" s="378"/>
    </row>
    <row r="33" spans="1:102">
      <c r="B33" s="375" t="str">
        <f>+'q3'!$A$17</f>
        <v>Portalegre</v>
      </c>
      <c r="C33" s="373">
        <f>+'q3'!$B$17</f>
        <v>2862</v>
      </c>
      <c r="D33" s="373">
        <f>+'q3'!$C$17</f>
        <v>2880</v>
      </c>
      <c r="E33" s="373">
        <f>+'q3'!$D$17</f>
        <v>2917</v>
      </c>
      <c r="F33" s="373">
        <f>+'q3'!$E$17</f>
        <v>2906</v>
      </c>
      <c r="G33" s="373">
        <f>+'q3'!$F$17</f>
        <v>2929</v>
      </c>
      <c r="H33" s="373">
        <f>+'q3'!$G$17</f>
        <v>2901</v>
      </c>
      <c r="I33" s="373">
        <f>+'q3'!$H$17</f>
        <v>2878</v>
      </c>
      <c r="J33" s="373">
        <f>+'q3'!$I$17</f>
        <v>2783</v>
      </c>
      <c r="K33" s="373">
        <f>+'q3'!$J$17</f>
        <v>2770</v>
      </c>
      <c r="L33" s="373">
        <f>+'q3'!$K$17</f>
        <v>2634</v>
      </c>
      <c r="M33" s="373">
        <f>+'q3'!$L$17</f>
        <v>2877</v>
      </c>
      <c r="N33" s="373">
        <f t="shared" si="21"/>
        <v>15</v>
      </c>
      <c r="AA33" s="373" t="s">
        <v>373</v>
      </c>
      <c r="AB33" s="397">
        <f>ROUND(AG25,1)</f>
        <v>6.7</v>
      </c>
      <c r="AE33" s="590"/>
      <c r="AF33" s="590"/>
      <c r="AG33" s="590"/>
      <c r="AH33" s="590"/>
      <c r="AL33" s="375" t="s">
        <v>27</v>
      </c>
      <c r="AM33" s="385">
        <f t="shared" si="0"/>
        <v>11687</v>
      </c>
      <c r="AN33" s="385">
        <f t="shared" si="1"/>
        <v>13899</v>
      </c>
      <c r="AO33" s="397">
        <f t="shared" si="2"/>
        <v>4.1027171242013623</v>
      </c>
      <c r="AP33" s="397">
        <f t="shared" si="3"/>
        <v>4.1778509872761758</v>
      </c>
      <c r="AQ33" s="387">
        <f t="shared" si="4"/>
        <v>8</v>
      </c>
      <c r="AR33" s="387">
        <f t="shared" si="5"/>
        <v>8</v>
      </c>
      <c r="AS33" s="375" t="s">
        <v>27</v>
      </c>
      <c r="AT33" s="385">
        <f t="shared" si="6"/>
        <v>116005</v>
      </c>
      <c r="AU33" s="385">
        <f t="shared" si="7"/>
        <v>108232</v>
      </c>
      <c r="AV33" s="397">
        <f t="shared" si="8"/>
        <v>3.4762406197989737</v>
      </c>
      <c r="AW33" s="397">
        <f t="shared" si="9"/>
        <v>3.4379589009026579</v>
      </c>
      <c r="AX33" s="387">
        <f t="shared" si="10"/>
        <v>8</v>
      </c>
      <c r="AY33" s="387">
        <f t="shared" si="11"/>
        <v>8</v>
      </c>
      <c r="AZ33" s="375" t="s">
        <v>27</v>
      </c>
      <c r="BA33" s="386">
        <f t="shared" si="12"/>
        <v>975.11611004518909</v>
      </c>
      <c r="BB33" s="386">
        <f t="shared" si="13"/>
        <v>1182.0420284769402</v>
      </c>
      <c r="BC33" s="397">
        <f t="shared" si="14"/>
        <v>-14.721249120673596</v>
      </c>
      <c r="BD33" s="397">
        <f t="shared" si="15"/>
        <v>-13.593118883193622</v>
      </c>
      <c r="BE33" s="387">
        <f t="shared" si="16"/>
        <v>9</v>
      </c>
      <c r="BF33" s="387">
        <f t="shared" si="17"/>
        <v>9</v>
      </c>
      <c r="BG33" s="386">
        <f t="shared" si="18"/>
        <v>-168.32947281170095</v>
      </c>
      <c r="BH33" s="386">
        <f t="shared" si="19"/>
        <v>-185.95322051142966</v>
      </c>
      <c r="CO33" s="378"/>
      <c r="CT33" s="378"/>
    </row>
    <row r="34" spans="1:102">
      <c r="B34" s="375" t="str">
        <f>+'q3'!$A$18</f>
        <v>Porto</v>
      </c>
      <c r="C34" s="373">
        <f>+'q3'!$B$18</f>
        <v>49685</v>
      </c>
      <c r="D34" s="373">
        <f>+'q3'!$C$18</f>
        <v>49445</v>
      </c>
      <c r="E34" s="373">
        <f>+'q3'!$D$18</f>
        <v>50528</v>
      </c>
      <c r="F34" s="373">
        <f>+'q3'!$E$18</f>
        <v>51144</v>
      </c>
      <c r="G34" s="373">
        <f>+'q3'!$F$18</f>
        <v>51885</v>
      </c>
      <c r="H34" s="373">
        <f>+'q3'!$G$18</f>
        <v>52500</v>
      </c>
      <c r="I34" s="373">
        <f>+'q3'!$H$18</f>
        <v>53324</v>
      </c>
      <c r="J34" s="373">
        <f>+'q3'!$I$18</f>
        <v>52245</v>
      </c>
      <c r="K34" s="373">
        <f>+'q3'!$J$18</f>
        <v>52499</v>
      </c>
      <c r="L34" s="373">
        <f>+'q3'!$K$18</f>
        <v>51434</v>
      </c>
      <c r="M34" s="373">
        <f>+'q3'!$L$18</f>
        <v>53630</v>
      </c>
      <c r="N34" s="373">
        <f t="shared" si="21"/>
        <v>3945</v>
      </c>
      <c r="AA34" s="373" t="s">
        <v>374</v>
      </c>
      <c r="AE34" s="590"/>
      <c r="AF34" s="590"/>
      <c r="AG34" s="590"/>
      <c r="AH34" s="590"/>
      <c r="AL34" s="375" t="s">
        <v>28</v>
      </c>
      <c r="AM34" s="385">
        <f t="shared" si="0"/>
        <v>16564</v>
      </c>
      <c r="AN34" s="385">
        <f t="shared" si="1"/>
        <v>20105</v>
      </c>
      <c r="AO34" s="397">
        <f t="shared" si="2"/>
        <v>5.8147862107702029</v>
      </c>
      <c r="AP34" s="397">
        <f t="shared" si="3"/>
        <v>6.0432904596868484</v>
      </c>
      <c r="AQ34" s="387">
        <f t="shared" si="4"/>
        <v>6</v>
      </c>
      <c r="AR34" s="387">
        <f t="shared" si="5"/>
        <v>6</v>
      </c>
      <c r="AS34" s="375" t="s">
        <v>28</v>
      </c>
      <c r="AT34" s="385">
        <f t="shared" si="6"/>
        <v>189206</v>
      </c>
      <c r="AU34" s="385">
        <f t="shared" si="7"/>
        <v>178440</v>
      </c>
      <c r="AV34" s="397">
        <f t="shared" si="8"/>
        <v>5.6698037387154407</v>
      </c>
      <c r="AW34" s="397">
        <f t="shared" si="9"/>
        <v>5.668096184835079</v>
      </c>
      <c r="AX34" s="387">
        <f t="shared" si="10"/>
        <v>5</v>
      </c>
      <c r="AY34" s="387">
        <f t="shared" si="11"/>
        <v>5</v>
      </c>
      <c r="AZ34" s="375" t="s">
        <v>28</v>
      </c>
      <c r="BA34" s="386">
        <f t="shared" si="12"/>
        <v>1127.3913262441799</v>
      </c>
      <c r="BB34" s="386">
        <f t="shared" si="13"/>
        <v>1373.2480942960999</v>
      </c>
      <c r="BC34" s="397">
        <f t="shared" si="14"/>
        <v>-1.404024542435911</v>
      </c>
      <c r="BD34" s="397">
        <f t="shared" si="15"/>
        <v>0.38398125370788794</v>
      </c>
      <c r="BE34" s="387">
        <f t="shared" si="16"/>
        <v>3</v>
      </c>
      <c r="BF34" s="387">
        <f t="shared" si="17"/>
        <v>2</v>
      </c>
      <c r="BG34" s="386">
        <f t="shared" si="18"/>
        <v>-16.054256612710105</v>
      </c>
      <c r="BH34" s="386">
        <f t="shared" si="19"/>
        <v>5.2528453077300128</v>
      </c>
      <c r="BX34" s="387"/>
      <c r="CC34" s="387"/>
      <c r="CH34" s="387"/>
      <c r="CM34" s="387"/>
      <c r="CO34" s="378"/>
      <c r="CR34" s="387"/>
      <c r="CT34" s="378"/>
    </row>
    <row r="35" spans="1:102">
      <c r="B35" s="375" t="str">
        <f>+'q3'!$A$19</f>
        <v>Santarém</v>
      </c>
      <c r="C35" s="373">
        <f>+'q3'!$B$19</f>
        <v>12111</v>
      </c>
      <c r="D35" s="373">
        <f>+'q3'!$C$19</f>
        <v>11981</v>
      </c>
      <c r="E35" s="373">
        <f>+'q3'!$D$19</f>
        <v>11954</v>
      </c>
      <c r="F35" s="373">
        <f>+'q3'!$E$19</f>
        <v>12046</v>
      </c>
      <c r="G35" s="373">
        <f>+'q3'!$F$19</f>
        <v>12047</v>
      </c>
      <c r="H35" s="373">
        <f>+'q3'!$G$19</f>
        <v>12029</v>
      </c>
      <c r="I35" s="373">
        <f>+'q3'!$H$19</f>
        <v>11936</v>
      </c>
      <c r="J35" s="373">
        <f>+'q3'!$I$19</f>
        <v>11616</v>
      </c>
      <c r="K35" s="373">
        <f>+'q3'!$J$19</f>
        <v>11534</v>
      </c>
      <c r="L35" s="373">
        <f>+'q3'!$K$19</f>
        <v>11335</v>
      </c>
      <c r="M35" s="373">
        <f>+'q3'!$L$19</f>
        <v>11687</v>
      </c>
      <c r="N35" s="373">
        <f t="shared" si="21"/>
        <v>-424</v>
      </c>
      <c r="AA35" s="373" t="s">
        <v>365</v>
      </c>
      <c r="AB35" s="373" t="str">
        <f>+AI22</f>
        <v>, mais</v>
      </c>
      <c r="AE35" s="590"/>
      <c r="AF35" s="590"/>
      <c r="AG35" s="590"/>
      <c r="AH35" s="590"/>
      <c r="AL35" s="375" t="s">
        <v>29</v>
      </c>
      <c r="AM35" s="385">
        <f t="shared" si="0"/>
        <v>7227</v>
      </c>
      <c r="AN35" s="385">
        <f t="shared" si="1"/>
        <v>8261</v>
      </c>
      <c r="AO35" s="397">
        <f t="shared" si="2"/>
        <v>2.5370357368531908</v>
      </c>
      <c r="AP35" s="397">
        <f t="shared" si="3"/>
        <v>2.4831446151441465</v>
      </c>
      <c r="AQ35" s="387">
        <f t="shared" si="4"/>
        <v>11</v>
      </c>
      <c r="AR35" s="387">
        <f t="shared" si="5"/>
        <v>11</v>
      </c>
      <c r="AS35" s="375" t="s">
        <v>29</v>
      </c>
      <c r="AT35" s="385">
        <f t="shared" si="6"/>
        <v>68558</v>
      </c>
      <c r="AU35" s="385">
        <f t="shared" si="7"/>
        <v>64187</v>
      </c>
      <c r="AV35" s="397">
        <f t="shared" si="8"/>
        <v>2.0544295884847901</v>
      </c>
      <c r="AW35" s="397">
        <f t="shared" si="9"/>
        <v>2.0388819200628179</v>
      </c>
      <c r="AX35" s="387">
        <f t="shared" si="10"/>
        <v>11</v>
      </c>
      <c r="AY35" s="387">
        <f t="shared" si="11"/>
        <v>11</v>
      </c>
      <c r="AZ35" s="375" t="s">
        <v>29</v>
      </c>
      <c r="BA35" s="386">
        <f t="shared" si="12"/>
        <v>955.66561814916508</v>
      </c>
      <c r="BB35" s="386">
        <f t="shared" si="13"/>
        <v>1154.3373996243001</v>
      </c>
      <c r="BC35" s="397">
        <f t="shared" si="14"/>
        <v>-16.422291320463035</v>
      </c>
      <c r="BD35" s="397">
        <f t="shared" si="15"/>
        <v>-15.618318084223571</v>
      </c>
      <c r="BE35" s="387">
        <f t="shared" si="16"/>
        <v>11</v>
      </c>
      <c r="BF35" s="387">
        <f t="shared" si="17"/>
        <v>11</v>
      </c>
      <c r="BG35" s="386">
        <f t="shared" si="18"/>
        <v>-187.77996470772496</v>
      </c>
      <c r="BH35" s="386">
        <f t="shared" si="19"/>
        <v>-213.65784936406976</v>
      </c>
      <c r="CO35" s="378"/>
      <c r="CT35" s="378"/>
    </row>
    <row r="36" spans="1:102">
      <c r="B36" s="375" t="str">
        <f>+'q3'!$A$20</f>
        <v>Setúbal</v>
      </c>
      <c r="C36" s="373">
        <f>+'q3'!$B$20</f>
        <v>15209</v>
      </c>
      <c r="D36" s="373">
        <f>+'q3'!$C$20</f>
        <v>14860</v>
      </c>
      <c r="E36" s="373">
        <f>+'q3'!$D$20</f>
        <v>14912</v>
      </c>
      <c r="F36" s="373">
        <f>+'q3'!$E$20</f>
        <v>15034</v>
      </c>
      <c r="G36" s="373">
        <f>+'q3'!$F$20</f>
        <v>15272</v>
      </c>
      <c r="H36" s="373">
        <f>+'q3'!$G$20</f>
        <v>15474</v>
      </c>
      <c r="I36" s="373">
        <f>+'q3'!$H$20</f>
        <v>15628</v>
      </c>
      <c r="J36" s="373">
        <f>+'q3'!$I$20</f>
        <v>15397</v>
      </c>
      <c r="K36" s="373">
        <f>+'q3'!$J$20</f>
        <v>15843</v>
      </c>
      <c r="L36" s="373">
        <f>+'q3'!$K$20</f>
        <v>15594</v>
      </c>
      <c r="M36" s="373">
        <f>+'q3'!$L$20</f>
        <v>16564</v>
      </c>
      <c r="N36" s="373">
        <f t="shared" si="21"/>
        <v>1355</v>
      </c>
      <c r="AA36" s="373" t="s">
        <v>367</v>
      </c>
      <c r="AB36" s="394" t="str">
        <f>TEXT(AJ22,"##.###")</f>
        <v>3.996</v>
      </c>
      <c r="AE36" s="398"/>
      <c r="AF36" s="398"/>
      <c r="AG36" s="398"/>
      <c r="AH36" s="398"/>
      <c r="AL36" s="375" t="s">
        <v>30</v>
      </c>
      <c r="AM36" s="385">
        <f t="shared" si="0"/>
        <v>5152</v>
      </c>
      <c r="AN36" s="385">
        <f t="shared" si="1"/>
        <v>6063</v>
      </c>
      <c r="AO36" s="397">
        <f t="shared" si="2"/>
        <v>1.8086077371340308</v>
      </c>
      <c r="AP36" s="397">
        <f t="shared" si="3"/>
        <v>1.8224556108968597</v>
      </c>
      <c r="AQ36" s="387">
        <f t="shared" si="4"/>
        <v>12</v>
      </c>
      <c r="AR36" s="387">
        <f t="shared" si="5"/>
        <v>12</v>
      </c>
      <c r="AS36" s="375" t="s">
        <v>30</v>
      </c>
      <c r="AT36" s="385">
        <f t="shared" si="6"/>
        <v>38651</v>
      </c>
      <c r="AU36" s="385">
        <f t="shared" si="7"/>
        <v>35875</v>
      </c>
      <c r="AV36" s="397">
        <f t="shared" si="8"/>
        <v>1.1582274574014064</v>
      </c>
      <c r="AW36" s="397">
        <f t="shared" si="9"/>
        <v>1.1395592391333695</v>
      </c>
      <c r="AX36" s="387">
        <f t="shared" si="10"/>
        <v>15</v>
      </c>
      <c r="AY36" s="387">
        <f t="shared" si="11"/>
        <v>15</v>
      </c>
      <c r="AZ36" s="375" t="s">
        <v>30</v>
      </c>
      <c r="BA36" s="386">
        <f t="shared" si="12"/>
        <v>927.78715854618304</v>
      </c>
      <c r="BB36" s="386">
        <f t="shared" si="13"/>
        <v>1104.2442491235602</v>
      </c>
      <c r="BC36" s="397">
        <f t="shared" si="14"/>
        <v>-18.860401189524566</v>
      </c>
      <c r="BD36" s="397">
        <f t="shared" si="15"/>
        <v>-19.280110808853546</v>
      </c>
      <c r="BE36" s="387">
        <f t="shared" si="16"/>
        <v>16</v>
      </c>
      <c r="BF36" s="387">
        <f t="shared" si="17"/>
        <v>16</v>
      </c>
      <c r="BG36" s="386">
        <f t="shared" si="18"/>
        <v>-215.65842431070701</v>
      </c>
      <c r="BH36" s="386">
        <f t="shared" si="19"/>
        <v>-263.75099986480973</v>
      </c>
      <c r="CO36" s="378"/>
      <c r="CT36" s="378"/>
    </row>
    <row r="37" spans="1:102">
      <c r="B37" s="375" t="str">
        <f>+'q3'!$A$21</f>
        <v>Viana do Castelo</v>
      </c>
      <c r="C37" s="373">
        <f>+'q3'!$B$21</f>
        <v>7126</v>
      </c>
      <c r="D37" s="373">
        <f>+'q3'!$C$21</f>
        <v>7051</v>
      </c>
      <c r="E37" s="373">
        <f>+'q3'!$D$21</f>
        <v>7129</v>
      </c>
      <c r="F37" s="373">
        <f>+'q3'!$E$21</f>
        <v>7173</v>
      </c>
      <c r="G37" s="373">
        <f>+'q3'!$F$21</f>
        <v>7291</v>
      </c>
      <c r="H37" s="373">
        <f>+'q3'!$G$21</f>
        <v>7270</v>
      </c>
      <c r="I37" s="373">
        <f>+'q3'!$H$21</f>
        <v>7341</v>
      </c>
      <c r="J37" s="373">
        <f>+'q3'!$I$21</f>
        <v>7045</v>
      </c>
      <c r="K37" s="373">
        <f>+'q3'!$J$21</f>
        <v>7037</v>
      </c>
      <c r="L37" s="373">
        <f>+'q3'!$K$21</f>
        <v>6974</v>
      </c>
      <c r="M37" s="373">
        <f>+'q3'!$L$21</f>
        <v>7227</v>
      </c>
      <c r="N37" s="373">
        <f t="shared" si="21"/>
        <v>101</v>
      </c>
      <c r="AA37" s="373" t="s">
        <v>672</v>
      </c>
      <c r="AL37" s="375" t="s">
        <v>31</v>
      </c>
      <c r="AM37" s="385">
        <f t="shared" si="0"/>
        <v>10081</v>
      </c>
      <c r="AN37" s="385">
        <f t="shared" si="1"/>
        <v>11681</v>
      </c>
      <c r="AO37" s="397">
        <f t="shared" si="2"/>
        <v>3.5389314049006524</v>
      </c>
      <c r="AP37" s="397">
        <f t="shared" si="3"/>
        <v>3.5111502541458388</v>
      </c>
      <c r="AQ37" s="387">
        <f t="shared" si="4"/>
        <v>10</v>
      </c>
      <c r="AR37" s="387">
        <f t="shared" si="5"/>
        <v>10</v>
      </c>
      <c r="AS37" s="375" t="s">
        <v>31</v>
      </c>
      <c r="AT37" s="385">
        <f t="shared" si="6"/>
        <v>99161</v>
      </c>
      <c r="AU37" s="385">
        <f t="shared" si="7"/>
        <v>92990</v>
      </c>
      <c r="AV37" s="397">
        <f t="shared" si="8"/>
        <v>2.9714882642979705</v>
      </c>
      <c r="AW37" s="397">
        <f t="shared" si="9"/>
        <v>2.9538010772686283</v>
      </c>
      <c r="AX37" s="387">
        <f t="shared" si="10"/>
        <v>10</v>
      </c>
      <c r="AY37" s="387">
        <f t="shared" si="11"/>
        <v>10</v>
      </c>
      <c r="AZ37" s="375" t="s">
        <v>31</v>
      </c>
      <c r="BA37" s="386">
        <f t="shared" si="12"/>
        <v>932.68407294832809</v>
      </c>
      <c r="BB37" s="386">
        <f t="shared" si="13"/>
        <v>1127.39969363407</v>
      </c>
      <c r="BC37" s="397">
        <f t="shared" si="14"/>
        <v>-18.432141683732418</v>
      </c>
      <c r="BD37" s="397">
        <f t="shared" si="15"/>
        <v>-17.587455477803736</v>
      </c>
      <c r="BE37" s="387">
        <f t="shared" si="16"/>
        <v>15</v>
      </c>
      <c r="BF37" s="387">
        <f t="shared" si="17"/>
        <v>13</v>
      </c>
      <c r="BG37" s="386">
        <f t="shared" si="18"/>
        <v>-210.76150990856195</v>
      </c>
      <c r="BH37" s="386">
        <f t="shared" si="19"/>
        <v>-240.5955553542999</v>
      </c>
      <c r="BX37" s="387"/>
      <c r="CC37" s="387"/>
      <c r="CH37" s="387"/>
      <c r="CM37" s="387"/>
      <c r="CO37" s="378"/>
      <c r="CP37" s="378"/>
      <c r="CR37" s="387"/>
      <c r="CT37" s="378"/>
      <c r="CU37" s="378"/>
      <c r="CV37" s="378"/>
      <c r="CW37" s="378"/>
      <c r="CX37" s="378"/>
    </row>
    <row r="38" spans="1:102">
      <c r="B38" s="375" t="str">
        <f>+'q3'!$A$22</f>
        <v>Vila Real</v>
      </c>
      <c r="C38" s="373">
        <f>+'q3'!$B$22</f>
        <v>4931</v>
      </c>
      <c r="D38" s="373">
        <f>+'q3'!$C$22</f>
        <v>4874</v>
      </c>
      <c r="E38" s="373">
        <f>+'q3'!$D$22</f>
        <v>4930</v>
      </c>
      <c r="F38" s="373">
        <f>+'q3'!$E$22</f>
        <v>4976</v>
      </c>
      <c r="G38" s="373">
        <f>+'q3'!$F$22</f>
        <v>5034</v>
      </c>
      <c r="H38" s="373">
        <f>+'q3'!$G$22</f>
        <v>5076</v>
      </c>
      <c r="I38" s="373">
        <f>+'q3'!$H$22</f>
        <v>5093</v>
      </c>
      <c r="J38" s="373">
        <f>+'q3'!$I$22</f>
        <v>5005</v>
      </c>
      <c r="K38" s="373">
        <f>+'q3'!$J$22</f>
        <v>5085</v>
      </c>
      <c r="L38" s="373">
        <f>+'q3'!$K$22</f>
        <v>5019</v>
      </c>
      <c r="M38" s="373">
        <f>+'q3'!$L$22</f>
        <v>5152</v>
      </c>
      <c r="N38" s="373">
        <f t="shared" si="21"/>
        <v>221</v>
      </c>
      <c r="AA38" s="373" t="s">
        <v>377</v>
      </c>
      <c r="AB38" s="394" t="str">
        <f>+AE23</f>
        <v>75.266</v>
      </c>
      <c r="AL38" s="375" t="s">
        <v>14</v>
      </c>
      <c r="AM38" s="385">
        <f t="shared" si="0"/>
        <v>284860</v>
      </c>
      <c r="AN38" s="385">
        <f t="shared" si="1"/>
        <v>332683</v>
      </c>
      <c r="AS38" s="375" t="s">
        <v>14</v>
      </c>
      <c r="AT38" s="385">
        <f t="shared" si="6"/>
        <v>3337082</v>
      </c>
      <c r="AU38" s="385">
        <f t="shared" si="7"/>
        <v>3148147</v>
      </c>
      <c r="AV38" s="385"/>
      <c r="AW38" s="385"/>
      <c r="AZ38" s="375" t="s">
        <v>14</v>
      </c>
      <c r="BA38" s="386">
        <f t="shared" si="12"/>
        <v>1143.44558285689</v>
      </c>
      <c r="BB38" s="386">
        <f t="shared" si="13"/>
        <v>1367.9952489883699</v>
      </c>
      <c r="CO38" s="378"/>
      <c r="CP38" s="378"/>
      <c r="CT38" s="378"/>
      <c r="CU38" s="378"/>
      <c r="CV38" s="378"/>
      <c r="CW38" s="378"/>
      <c r="CX38" s="378"/>
    </row>
    <row r="39" spans="1:102">
      <c r="B39" s="375" t="str">
        <f>+'q3'!$A$23</f>
        <v>Viseu</v>
      </c>
      <c r="C39" s="373">
        <f>+'q3'!$B$23</f>
        <v>9279</v>
      </c>
      <c r="D39" s="373">
        <f>+'q3'!$C$23</f>
        <v>9256</v>
      </c>
      <c r="E39" s="373">
        <f>+'q3'!$D$23</f>
        <v>9398</v>
      </c>
      <c r="F39" s="373">
        <f>+'q3'!$E$23</f>
        <v>9605</v>
      </c>
      <c r="G39" s="373">
        <f>+'q3'!$F$23</f>
        <v>9732</v>
      </c>
      <c r="H39" s="373">
        <f>+'q3'!$G$23</f>
        <v>9779</v>
      </c>
      <c r="I39" s="373">
        <f>+'q3'!$H$23</f>
        <v>9801</v>
      </c>
      <c r="J39" s="373">
        <f>+'q3'!$I$23</f>
        <v>9611</v>
      </c>
      <c r="K39" s="373">
        <f>+'q3'!$J$23</f>
        <v>9718</v>
      </c>
      <c r="L39" s="373">
        <f>+'q3'!$K$23</f>
        <v>9674</v>
      </c>
      <c r="M39" s="373">
        <f>+'q3'!$L$23</f>
        <v>10081</v>
      </c>
      <c r="N39" s="373">
        <f t="shared" si="21"/>
        <v>802</v>
      </c>
      <c r="AA39" s="373" t="s">
        <v>371</v>
      </c>
      <c r="CO39" s="378"/>
      <c r="CP39" s="378"/>
      <c r="CT39" s="378"/>
      <c r="CU39" s="378"/>
      <c r="CV39" s="378"/>
      <c r="CW39" s="378"/>
      <c r="CX39" s="378"/>
    </row>
    <row r="40" spans="1:102">
      <c r="B40" s="375" t="s">
        <v>14</v>
      </c>
      <c r="C40" s="373">
        <f>+'q3'!$B$5</f>
        <v>268026</v>
      </c>
      <c r="D40" s="373">
        <f>+'q3'!$C$5</f>
        <v>265860</v>
      </c>
      <c r="E40" s="373">
        <f>+'q3'!$D$5</f>
        <v>270181</v>
      </c>
      <c r="F40" s="373">
        <f>+'q3'!$E$5</f>
        <v>273060</v>
      </c>
      <c r="G40" s="373">
        <f>+'q3'!$F$5</f>
        <v>276332</v>
      </c>
      <c r="H40" s="373">
        <f>+'q3'!$G$5</f>
        <v>279191</v>
      </c>
      <c r="I40" s="373">
        <f>+'q3'!$H$5</f>
        <v>282236</v>
      </c>
      <c r="J40" s="373">
        <f>+'q3'!$I$5</f>
        <v>275751</v>
      </c>
      <c r="K40" s="373">
        <f>+'q3'!$J$5</f>
        <v>277641</v>
      </c>
      <c r="L40" s="373">
        <f>+'q3'!$K$5</f>
        <v>271806</v>
      </c>
      <c r="M40" s="373">
        <f>+'q3'!$L$5</f>
        <v>284860</v>
      </c>
      <c r="N40" s="373">
        <f t="shared" si="21"/>
        <v>16834</v>
      </c>
      <c r="AA40" s="373" t="s">
        <v>375</v>
      </c>
      <c r="AB40" s="397">
        <f>ROUND(AG26,1)</f>
        <v>4.3</v>
      </c>
      <c r="BX40" s="387"/>
      <c r="CC40" s="387"/>
      <c r="CH40" s="387"/>
      <c r="CM40" s="387"/>
      <c r="CO40" s="378"/>
      <c r="CR40" s="387"/>
      <c r="CT40" s="378"/>
    </row>
    <row r="41" spans="1:102">
      <c r="A41" s="375" t="s">
        <v>264</v>
      </c>
      <c r="C41" s="377">
        <f>+'q6'!$B$4</f>
        <v>2012</v>
      </c>
      <c r="D41" s="377">
        <f>+'q6'!$C$4</f>
        <v>2013</v>
      </c>
      <c r="E41" s="377">
        <f>+'q6'!$D$4</f>
        <v>2014</v>
      </c>
      <c r="F41" s="377">
        <f>+'q6'!$E$4</f>
        <v>2015</v>
      </c>
      <c r="G41" s="377">
        <f>+'q6'!$F$4</f>
        <v>2016</v>
      </c>
      <c r="H41" s="377">
        <f>+'q6'!$G$4</f>
        <v>2017</v>
      </c>
      <c r="I41" s="377">
        <f>+'q6'!$H$4</f>
        <v>2018</v>
      </c>
      <c r="J41" s="377">
        <f>+'q6'!$I$4</f>
        <v>2019</v>
      </c>
      <c r="K41" s="377">
        <f>+'q6'!$J$4</f>
        <v>2020</v>
      </c>
      <c r="L41" s="377">
        <f>+'q6'!$K$4</f>
        <v>2021</v>
      </c>
      <c r="M41" s="377">
        <f>+'q6'!$L$4</f>
        <v>2022</v>
      </c>
      <c r="N41" s="373">
        <f t="shared" si="21"/>
        <v>10</v>
      </c>
      <c r="AA41" s="373" t="s">
        <v>374</v>
      </c>
      <c r="CO41" s="378"/>
      <c r="CT41" s="378"/>
    </row>
    <row r="42" spans="1:102">
      <c r="B42" s="375" t="str">
        <f>+'q6'!$A$6</f>
        <v>Aveiro</v>
      </c>
      <c r="C42" s="373">
        <f>+'q6'!$B$6</f>
        <v>22122</v>
      </c>
      <c r="D42" s="373">
        <f>+'q6'!$C$6</f>
        <v>21892</v>
      </c>
      <c r="E42" s="373">
        <f>+'q6'!$D$6</f>
        <v>21970</v>
      </c>
      <c r="F42" s="373">
        <f>+'q6'!$E$6</f>
        <v>22127</v>
      </c>
      <c r="G42" s="373">
        <f>+'q6'!$F$6</f>
        <v>22400</v>
      </c>
      <c r="H42" s="373">
        <f>+'q6'!$G$6</f>
        <v>22594</v>
      </c>
      <c r="I42" s="373">
        <f>+'q6'!$H$6</f>
        <v>22863</v>
      </c>
      <c r="J42" s="373">
        <f>+'q6'!$I$6</f>
        <v>22490</v>
      </c>
      <c r="K42" s="373">
        <f>+'q6'!$J$6</f>
        <v>22462</v>
      </c>
      <c r="L42" s="373">
        <f>+'q6'!$K$6</f>
        <v>21931</v>
      </c>
      <c r="M42" s="373">
        <f>+'q6'!$L$6</f>
        <v>22628</v>
      </c>
      <c r="N42" s="373">
        <f t="shared" si="21"/>
        <v>506</v>
      </c>
      <c r="AA42" s="373" t="s">
        <v>366</v>
      </c>
      <c r="AB42" s="373" t="str">
        <f>+AI23</f>
        <v>, mais</v>
      </c>
      <c r="CO42" s="378"/>
      <c r="CT42" s="378"/>
    </row>
    <row r="43" spans="1:102">
      <c r="B43" s="375" t="str">
        <f>+'q6'!$A$7</f>
        <v>Beja</v>
      </c>
      <c r="C43" s="373">
        <f>+'q6'!$B$7</f>
        <v>4815</v>
      </c>
      <c r="D43" s="373">
        <f>+'q6'!$C$7</f>
        <v>4788</v>
      </c>
      <c r="E43" s="373">
        <f>+'q6'!$D$7</f>
        <v>4897</v>
      </c>
      <c r="F43" s="373">
        <f>+'q6'!$E$7</f>
        <v>4930</v>
      </c>
      <c r="G43" s="373">
        <f>+'q6'!$F$7</f>
        <v>5018</v>
      </c>
      <c r="H43" s="373">
        <f>+'q6'!$G$7</f>
        <v>5102</v>
      </c>
      <c r="I43" s="373">
        <f>+'q6'!$H$7</f>
        <v>5142</v>
      </c>
      <c r="J43" s="373">
        <f>+'q6'!$I$7</f>
        <v>5061</v>
      </c>
      <c r="K43" s="373">
        <f>+'q6'!$J$7</f>
        <v>5111</v>
      </c>
      <c r="L43" s="373">
        <f>+'q6'!$K$7</f>
        <v>5088</v>
      </c>
      <c r="M43" s="373">
        <f>+'q6'!$L$7</f>
        <v>5312</v>
      </c>
      <c r="N43" s="373">
        <f t="shared" si="21"/>
        <v>497</v>
      </c>
      <c r="AA43" s="373" t="s">
        <v>368</v>
      </c>
      <c r="AB43" s="394" t="str">
        <f>TEXT(AJ23,"##.###")</f>
        <v>3.102</v>
      </c>
      <c r="BX43" s="387"/>
      <c r="CC43" s="387"/>
      <c r="CH43" s="387"/>
      <c r="CM43" s="387"/>
      <c r="CO43" s="378"/>
      <c r="CR43" s="387"/>
      <c r="CT43" s="378"/>
    </row>
    <row r="44" spans="1:102">
      <c r="B44" s="375" t="str">
        <f>+'q6'!$A$8</f>
        <v>Braga</v>
      </c>
      <c r="C44" s="373">
        <f>+'q6'!$B$8</f>
        <v>28776</v>
      </c>
      <c r="D44" s="373">
        <f>+'q6'!$C$8</f>
        <v>28756</v>
      </c>
      <c r="E44" s="373">
        <f>+'q6'!$D$8</f>
        <v>29605</v>
      </c>
      <c r="F44" s="373">
        <f>+'q6'!$E$8</f>
        <v>29920</v>
      </c>
      <c r="G44" s="373">
        <f>+'q6'!$F$8</f>
        <v>30520</v>
      </c>
      <c r="H44" s="373">
        <f>+'q6'!$G$8</f>
        <v>30960</v>
      </c>
      <c r="I44" s="373">
        <f>+'q6'!$H$8</f>
        <v>31136</v>
      </c>
      <c r="J44" s="373">
        <f>+'q6'!$I$8</f>
        <v>30216</v>
      </c>
      <c r="K44" s="373">
        <f>+'q6'!$J$8</f>
        <v>30496</v>
      </c>
      <c r="L44" s="373">
        <f>+'q6'!$K$8</f>
        <v>29956</v>
      </c>
      <c r="M44" s="373">
        <f>+'q6'!$L$8</f>
        <v>31910</v>
      </c>
      <c r="N44" s="373">
        <f t="shared" si="21"/>
        <v>3134</v>
      </c>
      <c r="AA44" s="373" t="s">
        <v>669</v>
      </c>
      <c r="CO44" s="378"/>
      <c r="CT44" s="378"/>
    </row>
    <row r="45" spans="1:102">
      <c r="B45" s="375" t="str">
        <f>+'q6'!$A$9</f>
        <v>Bragança</v>
      </c>
      <c r="C45" s="373">
        <f>+'q6'!$B$9</f>
        <v>4213</v>
      </c>
      <c r="D45" s="373">
        <f>+'q6'!$C$9</f>
        <v>4169</v>
      </c>
      <c r="E45" s="373">
        <f>+'q6'!$D$9</f>
        <v>4203</v>
      </c>
      <c r="F45" s="373">
        <f>+'q6'!$E$9</f>
        <v>4211</v>
      </c>
      <c r="G45" s="373">
        <f>+'q6'!$F$9</f>
        <v>4240</v>
      </c>
      <c r="H45" s="373">
        <f>+'q6'!$G$9</f>
        <v>4267</v>
      </c>
      <c r="I45" s="373">
        <f>+'q6'!$H$9</f>
        <v>4280</v>
      </c>
      <c r="J45" s="373">
        <f>+'q6'!$I$9</f>
        <v>3997</v>
      </c>
      <c r="K45" s="373">
        <f>+'q6'!$J$9</f>
        <v>4025</v>
      </c>
      <c r="L45" s="373">
        <f>+'q6'!$K$9</f>
        <v>4148</v>
      </c>
      <c r="M45" s="373">
        <f>+'q6'!$L$9</f>
        <v>4210</v>
      </c>
      <c r="N45" s="373">
        <f t="shared" si="21"/>
        <v>-3</v>
      </c>
      <c r="CO45" s="378"/>
      <c r="CT45" s="378"/>
    </row>
    <row r="46" spans="1:102">
      <c r="B46" s="375" t="str">
        <f>+'q6'!$A$10</f>
        <v>Castelo Branco</v>
      </c>
      <c r="C46" s="373">
        <f>+'q6'!$B$10</f>
        <v>5838</v>
      </c>
      <c r="D46" s="373">
        <f>+'q6'!$C$10</f>
        <v>5629</v>
      </c>
      <c r="E46" s="373">
        <f>+'q6'!$D$10</f>
        <v>5698</v>
      </c>
      <c r="F46" s="373">
        <f>+'q6'!$E$10</f>
        <v>5686</v>
      </c>
      <c r="G46" s="373">
        <f>+'q6'!$F$10</f>
        <v>5691</v>
      </c>
      <c r="H46" s="373">
        <f>+'q6'!$G$10</f>
        <v>5612</v>
      </c>
      <c r="I46" s="373">
        <f>+'q6'!$H$10</f>
        <v>5626</v>
      </c>
      <c r="J46" s="373">
        <f>+'q6'!$I$10</f>
        <v>5451</v>
      </c>
      <c r="K46" s="373">
        <f>+'q6'!$J$10</f>
        <v>5400</v>
      </c>
      <c r="L46" s="373">
        <f>+'q6'!$K$10</f>
        <v>5369</v>
      </c>
      <c r="M46" s="373">
        <f>+'q6'!$L$10</f>
        <v>5592</v>
      </c>
      <c r="N46" s="373">
        <f t="shared" si="21"/>
        <v>-246</v>
      </c>
      <c r="BX46" s="387"/>
      <c r="CC46" s="387"/>
      <c r="CH46" s="387"/>
      <c r="CM46" s="387"/>
      <c r="CO46" s="378"/>
      <c r="CR46" s="387"/>
      <c r="CT46" s="378"/>
    </row>
    <row r="47" spans="1:102">
      <c r="B47" s="375" t="str">
        <f>+'q6'!$A$11</f>
        <v>Coimbra</v>
      </c>
      <c r="C47" s="373">
        <f>+'q6'!$B$11</f>
        <v>12556</v>
      </c>
      <c r="D47" s="373">
        <f>+'q6'!$C$11</f>
        <v>12300</v>
      </c>
      <c r="E47" s="373">
        <f>+'q6'!$D$11</f>
        <v>12323</v>
      </c>
      <c r="F47" s="373">
        <f>+'q6'!$E$11</f>
        <v>12342</v>
      </c>
      <c r="G47" s="373">
        <f>+'q6'!$F$11</f>
        <v>12392</v>
      </c>
      <c r="H47" s="373">
        <f>+'q6'!$G$11</f>
        <v>12407</v>
      </c>
      <c r="I47" s="373">
        <f>+'q6'!$H$11</f>
        <v>12372</v>
      </c>
      <c r="J47" s="373">
        <f>+'q6'!$I$11</f>
        <v>11967</v>
      </c>
      <c r="K47" s="373">
        <f>+'q6'!$J$11</f>
        <v>12128</v>
      </c>
      <c r="L47" s="373">
        <f>+'q6'!$K$11</f>
        <v>11961</v>
      </c>
      <c r="M47" s="373">
        <f>+'q6'!$L$11</f>
        <v>12457</v>
      </c>
      <c r="N47" s="373">
        <f t="shared" si="21"/>
        <v>-99</v>
      </c>
      <c r="CO47" s="378"/>
      <c r="CT47" s="378"/>
    </row>
    <row r="48" spans="1:102">
      <c r="B48" s="375" t="str">
        <f>+'q6'!$A$12</f>
        <v>Évora</v>
      </c>
      <c r="C48" s="373">
        <f>+'q6'!$B$12</f>
        <v>5976</v>
      </c>
      <c r="D48" s="373">
        <f>+'q6'!$C$12</f>
        <v>5978</v>
      </c>
      <c r="E48" s="373">
        <f>+'q6'!$D$12</f>
        <v>6131</v>
      </c>
      <c r="F48" s="373">
        <f>+'q6'!$E$12</f>
        <v>6132</v>
      </c>
      <c r="G48" s="373">
        <f>+'q6'!$F$12</f>
        <v>6087</v>
      </c>
      <c r="H48" s="373">
        <f>+'q6'!$G$12</f>
        <v>6073</v>
      </c>
      <c r="I48" s="373">
        <f>+'q6'!$H$12</f>
        <v>6029</v>
      </c>
      <c r="J48" s="373">
        <f>+'q6'!$I$12</f>
        <v>5879</v>
      </c>
      <c r="K48" s="373">
        <f>+'q6'!$J$12</f>
        <v>5902</v>
      </c>
      <c r="L48" s="373">
        <f>+'q6'!$K$12</f>
        <v>5608</v>
      </c>
      <c r="M48" s="373">
        <f>+'q6'!$L$12</f>
        <v>6051</v>
      </c>
      <c r="N48" s="373">
        <f t="shared" si="21"/>
        <v>75</v>
      </c>
      <c r="CO48" s="378"/>
      <c r="CT48" s="378"/>
    </row>
    <row r="49" spans="1:98">
      <c r="B49" s="375" t="str">
        <f>+'q6'!$A$13</f>
        <v>Faro</v>
      </c>
      <c r="C49" s="373">
        <f>+'q6'!$B$13</f>
        <v>18829</v>
      </c>
      <c r="D49" s="373">
        <f>+'q6'!$C$13</f>
        <v>18636</v>
      </c>
      <c r="E49" s="373">
        <f>+'q6'!$D$13</f>
        <v>19056</v>
      </c>
      <c r="F49" s="373">
        <f>+'q6'!$E$13</f>
        <v>19415</v>
      </c>
      <c r="G49" s="373">
        <f>+'q6'!$F$13</f>
        <v>19902</v>
      </c>
      <c r="H49" s="373">
        <f>+'q6'!$G$13</f>
        <v>20073</v>
      </c>
      <c r="I49" s="373">
        <f>+'q6'!$H$13</f>
        <v>20768</v>
      </c>
      <c r="J49" s="373">
        <f>+'q6'!$I$13</f>
        <v>20888</v>
      </c>
      <c r="K49" s="373">
        <f>+'q6'!$J$13</f>
        <v>20366</v>
      </c>
      <c r="L49" s="373">
        <f>+'q6'!$K$13</f>
        <v>19836</v>
      </c>
      <c r="M49" s="373">
        <f>+'q6'!$L$13</f>
        <v>20699</v>
      </c>
      <c r="N49" s="373">
        <f t="shared" si="21"/>
        <v>1870</v>
      </c>
      <c r="BX49" s="387"/>
      <c r="CC49" s="387"/>
      <c r="CH49" s="387"/>
      <c r="CM49" s="387"/>
      <c r="CO49" s="378"/>
      <c r="CR49" s="387"/>
      <c r="CT49" s="378"/>
    </row>
    <row r="50" spans="1:98">
      <c r="B50" s="375" t="str">
        <f>+'q6'!$A$14</f>
        <v>Guarda</v>
      </c>
      <c r="C50" s="373">
        <f>+'q6'!$B$14</f>
        <v>5059</v>
      </c>
      <c r="D50" s="373">
        <f>+'q6'!$C$14</f>
        <v>5026</v>
      </c>
      <c r="E50" s="373">
        <f>+'q6'!$D$14</f>
        <v>5076</v>
      </c>
      <c r="F50" s="373">
        <f>+'q6'!$E$14</f>
        <v>5042</v>
      </c>
      <c r="G50" s="373">
        <f>+'q6'!$F$14</f>
        <v>5051</v>
      </c>
      <c r="H50" s="373">
        <f>+'q6'!$G$14</f>
        <v>5078</v>
      </c>
      <c r="I50" s="373">
        <f>+'q6'!$H$14</f>
        <v>5030</v>
      </c>
      <c r="J50" s="373">
        <f>+'q6'!$I$14</f>
        <v>4836</v>
      </c>
      <c r="K50" s="373">
        <f>+'q6'!$J$14</f>
        <v>4831</v>
      </c>
      <c r="L50" s="373">
        <f>+'q6'!$K$14</f>
        <v>4694</v>
      </c>
      <c r="M50" s="373">
        <f>+'q6'!$L$14</f>
        <v>4760</v>
      </c>
      <c r="N50" s="373">
        <f t="shared" si="21"/>
        <v>-299</v>
      </c>
      <c r="CO50" s="378"/>
      <c r="CT50" s="378"/>
    </row>
    <row r="51" spans="1:98">
      <c r="B51" s="375" t="str">
        <f>+'q6'!$A$15</f>
        <v>Leiria</v>
      </c>
      <c r="C51" s="373">
        <f>+'q6'!$B$15</f>
        <v>18118</v>
      </c>
      <c r="D51" s="373">
        <f>+'q6'!$C$15</f>
        <v>17969</v>
      </c>
      <c r="E51" s="373">
        <f>+'q6'!$D$15</f>
        <v>17991</v>
      </c>
      <c r="F51" s="373">
        <f>+'q6'!$E$15</f>
        <v>18146</v>
      </c>
      <c r="G51" s="373">
        <f>+'q6'!$F$15</f>
        <v>18317</v>
      </c>
      <c r="H51" s="373">
        <f>+'q6'!$G$15</f>
        <v>18481</v>
      </c>
      <c r="I51" s="373">
        <f>+'q6'!$H$15</f>
        <v>18423</v>
      </c>
      <c r="J51" s="373">
        <f>+'q6'!$I$15</f>
        <v>18034</v>
      </c>
      <c r="K51" s="373">
        <f>+'q6'!$J$15</f>
        <v>18042</v>
      </c>
      <c r="L51" s="373">
        <f>+'q6'!$K$15</f>
        <v>17743</v>
      </c>
      <c r="M51" s="373">
        <f>+'q6'!$L$15</f>
        <v>18449</v>
      </c>
      <c r="N51" s="373">
        <f t="shared" si="21"/>
        <v>331</v>
      </c>
      <c r="CO51" s="378"/>
      <c r="CT51" s="378"/>
    </row>
    <row r="52" spans="1:98">
      <c r="B52" s="375" t="str">
        <f>+'q6'!$A$16</f>
        <v>Lisboa</v>
      </c>
      <c r="C52" s="373">
        <f>+'q6'!$B$16</f>
        <v>72164</v>
      </c>
      <c r="D52" s="373">
        <f>+'q6'!$C$16</f>
        <v>70961</v>
      </c>
      <c r="E52" s="373">
        <f>+'q6'!$D$16</f>
        <v>71690</v>
      </c>
      <c r="F52" s="373">
        <f>+'q6'!$E$16</f>
        <v>72246</v>
      </c>
      <c r="G52" s="373">
        <f>+'q6'!$F$16</f>
        <v>72756</v>
      </c>
      <c r="H52" s="373">
        <f>+'q6'!$G$16</f>
        <v>73389</v>
      </c>
      <c r="I52" s="373">
        <f>+'q6'!$H$16</f>
        <v>74689</v>
      </c>
      <c r="J52" s="373">
        <f>+'q6'!$I$16</f>
        <v>72677</v>
      </c>
      <c r="K52" s="373">
        <f>+'q6'!$J$16</f>
        <v>73809</v>
      </c>
      <c r="L52" s="373">
        <f>+'q6'!$K$16</f>
        <v>71616</v>
      </c>
      <c r="M52" s="373">
        <f>+'q6'!$L$16</f>
        <v>75266</v>
      </c>
      <c r="N52" s="373">
        <f t="shared" si="21"/>
        <v>3102</v>
      </c>
      <c r="BX52" s="387"/>
      <c r="CC52" s="387"/>
      <c r="CH52" s="387"/>
      <c r="CM52" s="387"/>
      <c r="CO52" s="378"/>
      <c r="CR52" s="387"/>
      <c r="CT52" s="378"/>
    </row>
    <row r="53" spans="1:98">
      <c r="B53" s="375" t="str">
        <f>+'q6'!$A$17</f>
        <v>Portalegre</v>
      </c>
      <c r="C53" s="373">
        <f>+'q6'!$B$17</f>
        <v>3495</v>
      </c>
      <c r="D53" s="373">
        <f>+'q6'!$C$17</f>
        <v>3471</v>
      </c>
      <c r="E53" s="373">
        <f>+'q6'!$D$17</f>
        <v>3518</v>
      </c>
      <c r="F53" s="373">
        <f>+'q6'!$E$17</f>
        <v>3504</v>
      </c>
      <c r="G53" s="373">
        <f>+'q6'!$F$17</f>
        <v>3523</v>
      </c>
      <c r="H53" s="373">
        <f>+'q6'!$G$17</f>
        <v>3473</v>
      </c>
      <c r="I53" s="373">
        <f>+'q6'!$H$17</f>
        <v>3444</v>
      </c>
      <c r="J53" s="373">
        <f>+'q6'!$I$17</f>
        <v>3298</v>
      </c>
      <c r="K53" s="373">
        <f>+'q6'!$J$17</f>
        <v>3302</v>
      </c>
      <c r="L53" s="373">
        <f>+'q6'!$K$17</f>
        <v>3192</v>
      </c>
      <c r="M53" s="373">
        <f>+'q6'!$L$17</f>
        <v>3433</v>
      </c>
      <c r="N53" s="373">
        <f t="shared" si="21"/>
        <v>-62</v>
      </c>
      <c r="CO53" s="378"/>
      <c r="CT53" s="378"/>
    </row>
    <row r="54" spans="1:98">
      <c r="B54" s="375" t="str">
        <f>+'q6'!$A$18</f>
        <v>Porto</v>
      </c>
      <c r="C54" s="373">
        <f>+'q6'!$B$18</f>
        <v>58207</v>
      </c>
      <c r="D54" s="373">
        <f>+'q6'!$C$18</f>
        <v>57670</v>
      </c>
      <c r="E54" s="373">
        <f>+'q6'!$D$18</f>
        <v>58698</v>
      </c>
      <c r="F54" s="373">
        <f>+'q6'!$E$18</f>
        <v>59308</v>
      </c>
      <c r="G54" s="373">
        <f>+'q6'!$F$18</f>
        <v>60064</v>
      </c>
      <c r="H54" s="373">
        <f>+'q6'!$G$18</f>
        <v>60629</v>
      </c>
      <c r="I54" s="373">
        <f>+'q6'!$H$18</f>
        <v>61580</v>
      </c>
      <c r="J54" s="373">
        <f>+'q6'!$I$18</f>
        <v>60330</v>
      </c>
      <c r="K54" s="373">
        <f>+'q6'!$J$18</f>
        <v>60643</v>
      </c>
      <c r="L54" s="373">
        <f>+'q6'!$K$18</f>
        <v>59433</v>
      </c>
      <c r="M54" s="373">
        <f>+'q6'!$L$18</f>
        <v>61907</v>
      </c>
      <c r="N54" s="373">
        <f t="shared" si="21"/>
        <v>3700</v>
      </c>
      <c r="BS54" s="375"/>
      <c r="BX54" s="375"/>
      <c r="CC54" s="375"/>
      <c r="CH54" s="375"/>
      <c r="CM54" s="375"/>
      <c r="CO54" s="378"/>
      <c r="CR54" s="375"/>
      <c r="CT54" s="378"/>
    </row>
    <row r="55" spans="1:98">
      <c r="B55" s="375" t="str">
        <f>+'q6'!$A$19</f>
        <v>Santarém</v>
      </c>
      <c r="C55" s="373">
        <f>+'q6'!$B$19</f>
        <v>14634</v>
      </c>
      <c r="D55" s="373">
        <f>+'q6'!$C$19</f>
        <v>14366</v>
      </c>
      <c r="E55" s="373">
        <f>+'q6'!$D$19</f>
        <v>14316</v>
      </c>
      <c r="F55" s="373">
        <f>+'q6'!$E$19</f>
        <v>14410</v>
      </c>
      <c r="G55" s="373">
        <f>+'q6'!$F$19</f>
        <v>14376</v>
      </c>
      <c r="H55" s="373">
        <f>+'q6'!$G$19</f>
        <v>14353</v>
      </c>
      <c r="I55" s="373">
        <f>+'q6'!$H$19</f>
        <v>14254</v>
      </c>
      <c r="J55" s="373">
        <f>+'q6'!$I$19</f>
        <v>13858</v>
      </c>
      <c r="K55" s="373">
        <f>+'q6'!$J$19</f>
        <v>13738</v>
      </c>
      <c r="L55" s="373">
        <f>+'q6'!$K$19</f>
        <v>13511</v>
      </c>
      <c r="M55" s="373">
        <f>+'q6'!$L$19</f>
        <v>13899</v>
      </c>
      <c r="N55" s="373">
        <f t="shared" si="21"/>
        <v>-735</v>
      </c>
      <c r="BX55" s="387"/>
      <c r="CC55" s="387"/>
      <c r="CH55" s="387"/>
      <c r="CM55" s="387"/>
      <c r="CO55" s="378"/>
      <c r="CR55" s="387"/>
      <c r="CT55" s="378"/>
    </row>
    <row r="56" spans="1:98">
      <c r="B56" s="375" t="str">
        <f>+'q6'!$A$20</f>
        <v>Setúbal</v>
      </c>
      <c r="C56" s="373">
        <f>+'q6'!$B$20</f>
        <v>19270</v>
      </c>
      <c r="D56" s="373">
        <f>+'q6'!$C$20</f>
        <v>18705</v>
      </c>
      <c r="E56" s="373">
        <f>+'q6'!$D$20</f>
        <v>18689</v>
      </c>
      <c r="F56" s="373">
        <f>+'q6'!$E$20</f>
        <v>18787</v>
      </c>
      <c r="G56" s="373">
        <f>+'q6'!$F$20</f>
        <v>18918</v>
      </c>
      <c r="H56" s="373">
        <f>+'q6'!$G$20</f>
        <v>19094</v>
      </c>
      <c r="I56" s="373">
        <f>+'q6'!$H$20</f>
        <v>19213</v>
      </c>
      <c r="J56" s="373">
        <f>+'q6'!$I$20</f>
        <v>18872</v>
      </c>
      <c r="K56" s="373">
        <f>+'q6'!$J$20</f>
        <v>19347</v>
      </c>
      <c r="L56" s="373">
        <f>+'q6'!$K$20</f>
        <v>19056</v>
      </c>
      <c r="M56" s="373">
        <f>+'q6'!$L$20</f>
        <v>20105</v>
      </c>
      <c r="N56" s="373">
        <f t="shared" si="21"/>
        <v>835</v>
      </c>
      <c r="CO56" s="378"/>
      <c r="CT56" s="378"/>
    </row>
    <row r="57" spans="1:98">
      <c r="B57" s="375" t="str">
        <f>+'q6'!$A$21</f>
        <v>Viana do Castelo</v>
      </c>
      <c r="C57" s="373">
        <f>+'q6'!$B$21</f>
        <v>8273</v>
      </c>
      <c r="D57" s="373">
        <f>+'q6'!$C$21</f>
        <v>8133</v>
      </c>
      <c r="E57" s="373">
        <f>+'q6'!$D$21</f>
        <v>8188</v>
      </c>
      <c r="F57" s="373">
        <f>+'q6'!$E$21</f>
        <v>8233</v>
      </c>
      <c r="G57" s="373">
        <f>+'q6'!$F$21</f>
        <v>8364</v>
      </c>
      <c r="H57" s="373">
        <f>+'q6'!$G$21</f>
        <v>8315</v>
      </c>
      <c r="I57" s="373">
        <f>+'q6'!$H$21</f>
        <v>8400</v>
      </c>
      <c r="J57" s="373">
        <f>+'q6'!$I$21</f>
        <v>8045</v>
      </c>
      <c r="K57" s="373">
        <f>+'q6'!$J$21</f>
        <v>8065</v>
      </c>
      <c r="L57" s="373">
        <f>+'q6'!$K$21</f>
        <v>7974</v>
      </c>
      <c r="M57" s="373">
        <f>+'q6'!$L$21</f>
        <v>8261</v>
      </c>
      <c r="N57" s="373">
        <f t="shared" si="21"/>
        <v>-12</v>
      </c>
      <c r="CO57" s="378"/>
      <c r="CT57" s="378"/>
    </row>
    <row r="58" spans="1:98">
      <c r="B58" s="375" t="str">
        <f>+'q6'!$A$22</f>
        <v>Vila Real</v>
      </c>
      <c r="C58" s="373">
        <f>+'q6'!$B$22</f>
        <v>5919</v>
      </c>
      <c r="D58" s="373">
        <f>+'q6'!$C$22</f>
        <v>5849</v>
      </c>
      <c r="E58" s="373">
        <f>+'q6'!$D$22</f>
        <v>5912</v>
      </c>
      <c r="F58" s="373">
        <f>+'q6'!$E$22</f>
        <v>5937</v>
      </c>
      <c r="G58" s="373">
        <f>+'q6'!$F$22</f>
        <v>6002</v>
      </c>
      <c r="H58" s="373">
        <f>+'q6'!$G$22</f>
        <v>6020</v>
      </c>
      <c r="I58" s="373">
        <f>+'q6'!$H$22</f>
        <v>6022</v>
      </c>
      <c r="J58" s="373">
        <f>+'q6'!$I$22</f>
        <v>5921</v>
      </c>
      <c r="K58" s="373">
        <f>+'q6'!$J$22</f>
        <v>5994</v>
      </c>
      <c r="L58" s="373">
        <f>+'q6'!$K$22</f>
        <v>5922</v>
      </c>
      <c r="M58" s="373">
        <f>+'q6'!$L$22</f>
        <v>6063</v>
      </c>
      <c r="N58" s="373">
        <f t="shared" si="21"/>
        <v>144</v>
      </c>
      <c r="BX58" s="387"/>
      <c r="CC58" s="387"/>
      <c r="CH58" s="387"/>
      <c r="CM58" s="387"/>
      <c r="CO58" s="378"/>
      <c r="CR58" s="387"/>
      <c r="CT58" s="378"/>
    </row>
    <row r="59" spans="1:98">
      <c r="B59" s="375" t="str">
        <f>+'q6'!$A$23</f>
        <v>Viseu</v>
      </c>
      <c r="C59" s="373">
        <f>+'q6'!$B$23</f>
        <v>10913</v>
      </c>
      <c r="D59" s="373">
        <f>+'q6'!$C$23</f>
        <v>10814</v>
      </c>
      <c r="E59" s="373">
        <f>+'q6'!$D$23</f>
        <v>10925</v>
      </c>
      <c r="F59" s="373">
        <f>+'q6'!$E$23</f>
        <v>11124</v>
      </c>
      <c r="G59" s="373">
        <f>+'q6'!$F$23</f>
        <v>11312</v>
      </c>
      <c r="H59" s="373">
        <f>+'q6'!$G$23</f>
        <v>11375</v>
      </c>
      <c r="I59" s="373">
        <f>+'q6'!$H$23</f>
        <v>11397</v>
      </c>
      <c r="J59" s="373">
        <f>+'q6'!$I$23</f>
        <v>11158</v>
      </c>
      <c r="K59" s="373">
        <f>+'q6'!$J$23</f>
        <v>11298</v>
      </c>
      <c r="L59" s="373">
        <f>+'q6'!$K$23</f>
        <v>11216</v>
      </c>
      <c r="M59" s="373">
        <f>+'q6'!$L$23</f>
        <v>11681</v>
      </c>
      <c r="N59" s="373">
        <f t="shared" si="21"/>
        <v>768</v>
      </c>
      <c r="CO59" s="378"/>
      <c r="CT59" s="378"/>
    </row>
    <row r="60" spans="1:98">
      <c r="B60" s="375" t="s">
        <v>14</v>
      </c>
      <c r="C60" s="373">
        <f>+'q6'!$B$5</f>
        <v>319177</v>
      </c>
      <c r="D60" s="373">
        <f>+'q6'!$C$5</f>
        <v>315112</v>
      </c>
      <c r="E60" s="373">
        <f>+'q6'!$D$5</f>
        <v>318886</v>
      </c>
      <c r="F60" s="373">
        <f>+'q6'!$E$5</f>
        <v>321500</v>
      </c>
      <c r="G60" s="373">
        <f>+'q6'!$F$5</f>
        <v>324933</v>
      </c>
      <c r="H60" s="373">
        <f>+'q6'!$G$5</f>
        <v>327295</v>
      </c>
      <c r="I60" s="373">
        <f>+'q6'!$H$5</f>
        <v>330668</v>
      </c>
      <c r="J60" s="373">
        <f>+'q6'!$I$5</f>
        <v>322978</v>
      </c>
      <c r="K60" s="373">
        <f>+'q6'!$J$5</f>
        <v>324959</v>
      </c>
      <c r="L60" s="373">
        <f>+'q6'!$K$5</f>
        <v>318254</v>
      </c>
      <c r="M60" s="373">
        <f>+'q6'!$L$5</f>
        <v>332683</v>
      </c>
      <c r="N60" s="373">
        <f t="shared" si="21"/>
        <v>13506</v>
      </c>
      <c r="S60" s="373" t="str">
        <f>INDEX($A$2:$A$19,$Q$2)</f>
        <v>Lisboa</v>
      </c>
      <c r="CO60" s="378"/>
      <c r="CT60" s="378"/>
    </row>
    <row r="61" spans="1:98" ht="13.5" thickBot="1">
      <c r="A61" s="375" t="s">
        <v>265</v>
      </c>
      <c r="C61" s="377">
        <f>+'q9'!$B$4</f>
        <v>2012</v>
      </c>
      <c r="D61" s="377">
        <f>+'q9'!$C$4</f>
        <v>2013</v>
      </c>
      <c r="E61" s="377">
        <f>+'q9'!$D$4</f>
        <v>2014</v>
      </c>
      <c r="F61" s="377">
        <f>+'q9'!$E$4</f>
        <v>2015</v>
      </c>
      <c r="G61" s="377">
        <f>+'q9'!$F$4</f>
        <v>2016</v>
      </c>
      <c r="H61" s="377">
        <f>+'q9'!$G$4</f>
        <v>2017</v>
      </c>
      <c r="I61" s="377">
        <f>+'q9'!$H$4</f>
        <v>2018</v>
      </c>
      <c r="J61" s="377">
        <f>+'q9'!$I$4</f>
        <v>2019</v>
      </c>
      <c r="K61" s="377">
        <f>+'q9'!$J$4</f>
        <v>2020</v>
      </c>
      <c r="L61" s="377">
        <f>+'q9'!$K$4</f>
        <v>2021</v>
      </c>
      <c r="M61" s="377">
        <f>+'q9'!$L$4</f>
        <v>2022</v>
      </c>
      <c r="N61" s="373">
        <f t="shared" si="21"/>
        <v>10</v>
      </c>
      <c r="T61" s="6">
        <f>+'q9'!B$4</f>
        <v>2012</v>
      </c>
      <c r="U61" s="6">
        <f>+'q9'!C$4</f>
        <v>2013</v>
      </c>
      <c r="V61" s="6">
        <f>+'q9'!D$4</f>
        <v>2014</v>
      </c>
      <c r="W61" s="6">
        <f>+'q9'!E$4</f>
        <v>2015</v>
      </c>
      <c r="X61" s="6">
        <f>+'q9'!F$4</f>
        <v>2016</v>
      </c>
      <c r="Y61" s="6">
        <f>+'q9'!G$4</f>
        <v>2017</v>
      </c>
      <c r="Z61" s="6">
        <f>+'q9'!H$4</f>
        <v>2018</v>
      </c>
      <c r="AA61" s="6">
        <f>+'q9'!I$4</f>
        <v>2019</v>
      </c>
      <c r="AB61" s="6">
        <f>+'q9'!J$4</f>
        <v>2020</v>
      </c>
      <c r="AC61" s="6">
        <f>+'q9'!K$4</f>
        <v>2021</v>
      </c>
      <c r="AD61" s="6">
        <f>+'q9'!L$4</f>
        <v>2022</v>
      </c>
      <c r="AF61" s="341" t="s">
        <v>664</v>
      </c>
      <c r="AG61" s="341" t="s">
        <v>665</v>
      </c>
      <c r="BX61" s="387"/>
      <c r="CC61" s="387"/>
      <c r="CH61" s="387"/>
      <c r="CM61" s="387"/>
      <c r="CO61" s="378"/>
      <c r="CR61" s="387"/>
      <c r="CT61" s="378"/>
    </row>
    <row r="62" spans="1:98" ht="13.5" thickTop="1">
      <c r="B62" s="375" t="str">
        <f>+'q9'!$A$6</f>
        <v>Aveiro</v>
      </c>
      <c r="C62" s="373">
        <f>+'q9'!$B$6</f>
        <v>197528</v>
      </c>
      <c r="D62" s="373">
        <f>+'q9'!$C$6</f>
        <v>197532</v>
      </c>
      <c r="E62" s="373">
        <f>+'q9'!$D$6</f>
        <v>203446</v>
      </c>
      <c r="F62" s="373">
        <f>+'q9'!$E$6</f>
        <v>208145</v>
      </c>
      <c r="G62" s="373">
        <f>+'q9'!$F$6</f>
        <v>216490</v>
      </c>
      <c r="H62" s="373">
        <f>+'q9'!$G$6</f>
        <v>226181</v>
      </c>
      <c r="I62" s="373">
        <f>+'q9'!$H$6</f>
        <v>234445</v>
      </c>
      <c r="J62" s="373">
        <f>+'q9'!$I$6</f>
        <v>236315</v>
      </c>
      <c r="K62" s="373">
        <f>+'q9'!$J$6</f>
        <v>234063</v>
      </c>
      <c r="L62" s="373">
        <f>+'q9'!$K$6</f>
        <v>234211</v>
      </c>
      <c r="M62" s="373">
        <f>+'q9'!$L$6</f>
        <v>250317</v>
      </c>
      <c r="N62" s="373">
        <f t="shared" si="21"/>
        <v>52789</v>
      </c>
      <c r="S62" s="345" t="s">
        <v>265</v>
      </c>
      <c r="T62" s="346">
        <f t="shared" ref="T62:AD62" si="23">VLOOKUP($S$60,$B$61:$M$79,COLUMN(C62)-1,0)</f>
        <v>737138</v>
      </c>
      <c r="U62" s="346">
        <f t="shared" si="23"/>
        <v>739291</v>
      </c>
      <c r="V62" s="346">
        <f t="shared" si="23"/>
        <v>764524</v>
      </c>
      <c r="W62" s="346">
        <f t="shared" si="23"/>
        <v>780947</v>
      </c>
      <c r="X62" s="346">
        <f t="shared" si="23"/>
        <v>817508</v>
      </c>
      <c r="Y62" s="346">
        <f t="shared" si="23"/>
        <v>847011</v>
      </c>
      <c r="Z62" s="346">
        <f t="shared" si="23"/>
        <v>886123</v>
      </c>
      <c r="AA62" s="346">
        <f t="shared" si="23"/>
        <v>905022</v>
      </c>
      <c r="AB62" s="346">
        <f t="shared" si="23"/>
        <v>895425</v>
      </c>
      <c r="AC62" s="346">
        <f t="shared" si="23"/>
        <v>900307</v>
      </c>
      <c r="AD62" s="346">
        <f t="shared" si="23"/>
        <v>981424</v>
      </c>
      <c r="AE62" s="385" t="str">
        <f>TEXT(AD62,"##.###")</f>
        <v>981.424</v>
      </c>
      <c r="AF62" s="347">
        <f>+(AD62/AC62-1)</f>
        <v>9.0099266139217038E-2</v>
      </c>
      <c r="AG62" s="347">
        <f>+(AD62/T62-1)</f>
        <v>0.33139792006381441</v>
      </c>
      <c r="AH62" s="394">
        <f>+AD62-T62</f>
        <v>244286</v>
      </c>
      <c r="AI62" s="373" t="str">
        <f>IF(AH62&gt;0,", mais",", menos")</f>
        <v>, mais</v>
      </c>
      <c r="AJ62" s="373">
        <f>IF(AH62&gt;0,AH62,AH62*-1)</f>
        <v>244286</v>
      </c>
      <c r="CO62" s="378"/>
      <c r="CT62" s="378"/>
    </row>
    <row r="63" spans="1:98">
      <c r="B63" s="375" t="str">
        <f>+'q9'!$A$7</f>
        <v>Beja</v>
      </c>
      <c r="C63" s="373">
        <f>+'q9'!$B$7</f>
        <v>29172</v>
      </c>
      <c r="D63" s="373">
        <f>+'q9'!$C$7</f>
        <v>29270</v>
      </c>
      <c r="E63" s="373">
        <f>+'q9'!$D$7</f>
        <v>30159</v>
      </c>
      <c r="F63" s="373">
        <f>+'q9'!$E$7</f>
        <v>32039</v>
      </c>
      <c r="G63" s="373">
        <f>+'q9'!$F$7</f>
        <v>33160</v>
      </c>
      <c r="H63" s="373">
        <f>+'q9'!$G$7</f>
        <v>35441</v>
      </c>
      <c r="I63" s="373">
        <f>+'q9'!$H$7</f>
        <v>36806</v>
      </c>
      <c r="J63" s="373">
        <f>+'q9'!$I$7</f>
        <v>38732</v>
      </c>
      <c r="K63" s="373">
        <f>+'q9'!$J$7</f>
        <v>41050</v>
      </c>
      <c r="L63" s="373">
        <f>+'q9'!$K$7</f>
        <v>41359</v>
      </c>
      <c r="M63" s="373">
        <f>+'q9'!$L$7</f>
        <v>45331</v>
      </c>
      <c r="N63" s="373">
        <f t="shared" si="21"/>
        <v>16159</v>
      </c>
      <c r="S63" s="345" t="s">
        <v>186</v>
      </c>
      <c r="T63" s="344">
        <f t="shared" ref="T63:AD63" si="24">VLOOKUP($S$60,$B$81:$M$99,COLUMN(C82)-1,0)</f>
        <v>696796</v>
      </c>
      <c r="U63" s="344">
        <f t="shared" si="24"/>
        <v>699433</v>
      </c>
      <c r="V63" s="344">
        <f t="shared" si="24"/>
        <v>722854</v>
      </c>
      <c r="W63" s="344">
        <f t="shared" si="24"/>
        <v>739126</v>
      </c>
      <c r="X63" s="344">
        <f t="shared" si="24"/>
        <v>776535</v>
      </c>
      <c r="Y63" s="344">
        <f t="shared" si="24"/>
        <v>805619</v>
      </c>
      <c r="Z63" s="344">
        <f t="shared" si="24"/>
        <v>843599</v>
      </c>
      <c r="AA63" s="344">
        <f t="shared" si="24"/>
        <v>863493</v>
      </c>
      <c r="AB63" s="344">
        <f t="shared" si="24"/>
        <v>853268</v>
      </c>
      <c r="AC63" s="344">
        <f t="shared" si="24"/>
        <v>859051</v>
      </c>
      <c r="AD63" s="344">
        <f t="shared" si="24"/>
        <v>937531</v>
      </c>
      <c r="AE63" s="385" t="str">
        <f>TEXT(AD63,"##.###")</f>
        <v>937.531</v>
      </c>
      <c r="AF63" s="347">
        <f>+(AD63/AC63-1)</f>
        <v>9.1356624926808738E-2</v>
      </c>
      <c r="AG63" s="347">
        <f>+(AD63/T63-1)</f>
        <v>0.34548849304531015</v>
      </c>
      <c r="AH63" s="394">
        <f>+AD63-T63</f>
        <v>240735</v>
      </c>
      <c r="AI63" s="373" t="str">
        <f>IF(AH63&gt;0,", mais",", menos")</f>
        <v>, mais</v>
      </c>
      <c r="AJ63" s="373">
        <f>IF(AH63&gt;0,AH63,AH63*-1)</f>
        <v>240735</v>
      </c>
      <c r="CO63" s="378"/>
      <c r="CT63" s="378"/>
    </row>
    <row r="64" spans="1:98">
      <c r="B64" s="375" t="str">
        <f>+'q9'!$A$8</f>
        <v>Braga</v>
      </c>
      <c r="C64" s="373">
        <f>+'q9'!$B$8</f>
        <v>228429</v>
      </c>
      <c r="D64" s="373">
        <f>+'q9'!$C$8</f>
        <v>230411</v>
      </c>
      <c r="E64" s="373">
        <f>+'q9'!$D$8</f>
        <v>240842</v>
      </c>
      <c r="F64" s="373">
        <f>+'q9'!$E$8</f>
        <v>249721</v>
      </c>
      <c r="G64" s="373">
        <f>+'q9'!$F$8</f>
        <v>261360</v>
      </c>
      <c r="H64" s="373">
        <f>+'q9'!$G$8</f>
        <v>273109</v>
      </c>
      <c r="I64" s="373">
        <f>+'q9'!$H$8</f>
        <v>282974</v>
      </c>
      <c r="J64" s="373">
        <f>+'q9'!$I$8</f>
        <v>279950</v>
      </c>
      <c r="K64" s="373">
        <f>+'q9'!$J$8</f>
        <v>281810</v>
      </c>
      <c r="L64" s="373">
        <f>+'q9'!$K$8</f>
        <v>284569</v>
      </c>
      <c r="M64" s="373">
        <f>+'q9'!$L$8</f>
        <v>304660</v>
      </c>
      <c r="N64" s="373">
        <f t="shared" si="21"/>
        <v>76231</v>
      </c>
      <c r="BX64" s="387"/>
      <c r="CC64" s="387"/>
      <c r="CH64" s="387"/>
      <c r="CM64" s="387"/>
      <c r="CO64" s="378"/>
      <c r="CR64" s="387"/>
      <c r="CT64" s="378"/>
    </row>
    <row r="65" spans="2:98">
      <c r="B65" s="375" t="str">
        <f>+'q9'!$A$9</f>
        <v>Bragança</v>
      </c>
      <c r="C65" s="373">
        <f>+'q9'!$B$9</f>
        <v>19849</v>
      </c>
      <c r="D65" s="373">
        <f>+'q9'!$C$9</f>
        <v>19709</v>
      </c>
      <c r="E65" s="373">
        <f>+'q9'!$D$9</f>
        <v>19925</v>
      </c>
      <c r="F65" s="373">
        <f>+'q9'!$E$9</f>
        <v>20381</v>
      </c>
      <c r="G65" s="373">
        <f>+'q9'!$F$9</f>
        <v>20798</v>
      </c>
      <c r="H65" s="373">
        <f>+'q9'!$G$9</f>
        <v>21150</v>
      </c>
      <c r="I65" s="373">
        <f>+'q9'!$H$9</f>
        <v>21768</v>
      </c>
      <c r="J65" s="373">
        <f>+'q9'!$I$9</f>
        <v>21436</v>
      </c>
      <c r="K65" s="373">
        <f>+'q9'!$J$9</f>
        <v>22299</v>
      </c>
      <c r="L65" s="373">
        <f>+'q9'!$K$9</f>
        <v>22605</v>
      </c>
      <c r="M65" s="373">
        <f>+'q9'!$L$9</f>
        <v>23249</v>
      </c>
      <c r="N65" s="373">
        <f t="shared" si="21"/>
        <v>3400</v>
      </c>
      <c r="AG65" s="397">
        <f>+(AD62/T62-1)*100</f>
        <v>33.139792006381441</v>
      </c>
      <c r="CO65" s="378"/>
      <c r="CT65" s="378"/>
    </row>
    <row r="66" spans="2:98">
      <c r="B66" s="375" t="str">
        <f>+'q9'!$A$10</f>
        <v>Castelo Branco</v>
      </c>
      <c r="C66" s="373">
        <f>+'q9'!$B$10</f>
        <v>37826</v>
      </c>
      <c r="D66" s="373">
        <f>+'q9'!$C$10</f>
        <v>37109</v>
      </c>
      <c r="E66" s="373">
        <f>+'q9'!$D$10</f>
        <v>38714</v>
      </c>
      <c r="F66" s="373">
        <f>+'q9'!$E$10</f>
        <v>38487</v>
      </c>
      <c r="G66" s="373">
        <f>+'q9'!$F$10</f>
        <v>38942</v>
      </c>
      <c r="H66" s="373">
        <f>+'q9'!$G$10</f>
        <v>39544</v>
      </c>
      <c r="I66" s="373">
        <f>+'q9'!$H$10</f>
        <v>41834</v>
      </c>
      <c r="J66" s="373">
        <f>+'q9'!$I$10</f>
        <v>40763</v>
      </c>
      <c r="K66" s="373">
        <f>+'q9'!$J$10</f>
        <v>40114</v>
      </c>
      <c r="L66" s="373">
        <f>+'q9'!$K$10</f>
        <v>40323</v>
      </c>
      <c r="M66" s="373">
        <f>+'q9'!$L$10</f>
        <v>42765</v>
      </c>
      <c r="N66" s="373">
        <f t="shared" si="21"/>
        <v>4939</v>
      </c>
      <c r="AA66" s="393" t="s">
        <v>369</v>
      </c>
      <c r="AG66" s="397">
        <f>+(AD63/T63-1)*100</f>
        <v>34.548849304531018</v>
      </c>
      <c r="CO66" s="378"/>
      <c r="CT66" s="378"/>
    </row>
    <row r="67" spans="2:98">
      <c r="B67" s="375" t="str">
        <f>+'q9'!$A$11</f>
        <v>Coimbra</v>
      </c>
      <c r="C67" s="373">
        <f>+'q9'!$B$11</f>
        <v>93478</v>
      </c>
      <c r="D67" s="373">
        <f>+'q9'!$C$11</f>
        <v>92473</v>
      </c>
      <c r="E67" s="373">
        <f>+'q9'!$D$11</f>
        <v>91625</v>
      </c>
      <c r="F67" s="373">
        <f>+'q9'!$E$11</f>
        <v>94165</v>
      </c>
      <c r="G67" s="373">
        <f>+'q9'!$F$11</f>
        <v>95440</v>
      </c>
      <c r="H67" s="373">
        <f>+'q9'!$G$11</f>
        <v>99946</v>
      </c>
      <c r="I67" s="373">
        <f>+'q9'!$H$11</f>
        <v>100811</v>
      </c>
      <c r="J67" s="373">
        <f>+'q9'!$I$11</f>
        <v>101713</v>
      </c>
      <c r="K67" s="373">
        <f>+'q9'!$J$11</f>
        <v>102994</v>
      </c>
      <c r="L67" s="373">
        <f>+'q9'!$K$11</f>
        <v>102989</v>
      </c>
      <c r="M67" s="373">
        <f>+'q9'!$L$11</f>
        <v>109304</v>
      </c>
      <c r="N67" s="373">
        <f t="shared" si="21"/>
        <v>15826</v>
      </c>
      <c r="BX67" s="387"/>
      <c r="CC67" s="387"/>
      <c r="CH67" s="387"/>
      <c r="CM67" s="387"/>
      <c r="CO67" s="378"/>
      <c r="CR67" s="387"/>
      <c r="CT67" s="378"/>
    </row>
    <row r="68" spans="2:98">
      <c r="B68" s="375" t="str">
        <f>+'q9'!$A$12</f>
        <v>Évora</v>
      </c>
      <c r="C68" s="373">
        <f>+'q9'!$B$12</f>
        <v>35126</v>
      </c>
      <c r="D68" s="373">
        <f>+'q9'!$C$12</f>
        <v>34466</v>
      </c>
      <c r="E68" s="373">
        <f>+'q9'!$D$12</f>
        <v>35478</v>
      </c>
      <c r="F68" s="373">
        <f>+'q9'!$E$12</f>
        <v>36817</v>
      </c>
      <c r="G68" s="373">
        <f>+'q9'!$F$12</f>
        <v>38198</v>
      </c>
      <c r="H68" s="373">
        <f>+'q9'!$G$12</f>
        <v>39029</v>
      </c>
      <c r="I68" s="373">
        <f>+'q9'!$H$12</f>
        <v>40741</v>
      </c>
      <c r="J68" s="373">
        <f>+'q9'!$I$12</f>
        <v>40944</v>
      </c>
      <c r="K68" s="373">
        <f>+'q9'!$J$12</f>
        <v>40465</v>
      </c>
      <c r="L68" s="373">
        <f>+'q9'!$K$12</f>
        <v>40725</v>
      </c>
      <c r="M68" s="373">
        <f>+'q9'!$L$12</f>
        <v>43523</v>
      </c>
      <c r="N68" s="373">
        <f t="shared" si="21"/>
        <v>8397</v>
      </c>
      <c r="AA68" s="373">
        <f>+AD61</f>
        <v>2022</v>
      </c>
      <c r="AB68" s="373" t="s">
        <v>506</v>
      </c>
      <c r="AC68" s="373" t="s">
        <v>514</v>
      </c>
      <c r="CO68" s="378"/>
      <c r="CT68" s="378"/>
    </row>
    <row r="69" spans="2:98" ht="12.95" customHeight="1">
      <c r="B69" s="375" t="str">
        <f>+'q9'!$A$13</f>
        <v>Faro</v>
      </c>
      <c r="C69" s="373">
        <f>+'q9'!$B$13</f>
        <v>114854</v>
      </c>
      <c r="D69" s="373">
        <f>+'q9'!$C$13</f>
        <v>114172</v>
      </c>
      <c r="E69" s="373">
        <f>+'q9'!$D$13</f>
        <v>119459</v>
      </c>
      <c r="F69" s="373">
        <f>+'q9'!$E$13</f>
        <v>126980</v>
      </c>
      <c r="G69" s="373">
        <f>+'q9'!$F$13</f>
        <v>135848</v>
      </c>
      <c r="H69" s="373">
        <f>+'q9'!$G$13</f>
        <v>145770</v>
      </c>
      <c r="I69" s="373">
        <f>+'q9'!$H$13</f>
        <v>154417</v>
      </c>
      <c r="J69" s="373">
        <f>+'q9'!$I$13</f>
        <v>160288</v>
      </c>
      <c r="K69" s="373">
        <f>+'q9'!$J$13</f>
        <v>144668</v>
      </c>
      <c r="L69" s="373">
        <f>+'q9'!$K$13</f>
        <v>148406</v>
      </c>
      <c r="M69" s="373">
        <f>+'q9'!$L$13</f>
        <v>165503</v>
      </c>
      <c r="N69" s="373">
        <f t="shared" si="21"/>
        <v>50649</v>
      </c>
      <c r="AA69" s="373" t="s">
        <v>378</v>
      </c>
      <c r="AB69" s="373" t="str">
        <f>+S60</f>
        <v>Lisboa</v>
      </c>
      <c r="AE69" s="592" t="str">
        <f>CONCATENATE(AA68,AB68,CHAR(10),AC68,S60,AA70,AE62,AA72,AB73,AA74,AI62," ",AB76,AA77," ",AB77,AE63," ",AA79,AB80,AA81,AI63," ",AB83," ",AA84)</f>
        <v>2022:
As empresas do distrito de Lisboa tinham ao seu serviço 981.424 pessoas (33,1%, ou seja, mais 244.286 que em 2012) e tinham 937.531 TCO (34,5%, mais 240.735 que em 2012).</v>
      </c>
      <c r="AF69" s="592"/>
      <c r="AG69" s="592"/>
      <c r="AH69" s="592"/>
      <c r="CO69" s="378"/>
      <c r="CT69" s="378"/>
    </row>
    <row r="70" spans="2:98">
      <c r="B70" s="375" t="str">
        <f>+'q9'!$A$14</f>
        <v>Guarda</v>
      </c>
      <c r="C70" s="373">
        <f>+'q9'!$B$14</f>
        <v>28183</v>
      </c>
      <c r="D70" s="373">
        <f>+'q9'!$C$14</f>
        <v>27724</v>
      </c>
      <c r="E70" s="373">
        <f>+'q9'!$D$14</f>
        <v>28347</v>
      </c>
      <c r="F70" s="373">
        <f>+'q9'!$E$14</f>
        <v>28671</v>
      </c>
      <c r="G70" s="373">
        <f>+'q9'!$F$14</f>
        <v>28979</v>
      </c>
      <c r="H70" s="373">
        <f>+'q9'!$G$14</f>
        <v>29930</v>
      </c>
      <c r="I70" s="373">
        <f>+'q9'!$H$14</f>
        <v>30579</v>
      </c>
      <c r="J70" s="373">
        <f>+'q9'!$I$14</f>
        <v>30148</v>
      </c>
      <c r="K70" s="373">
        <f>+'q9'!$J$14</f>
        <v>30772</v>
      </c>
      <c r="L70" s="373">
        <f>+'q9'!$K$14</f>
        <v>30792</v>
      </c>
      <c r="M70" s="373">
        <f>+'q9'!$L$14</f>
        <v>31779</v>
      </c>
      <c r="N70" s="373">
        <f t="shared" si="21"/>
        <v>3596</v>
      </c>
      <c r="AA70" s="373" t="s">
        <v>388</v>
      </c>
      <c r="AE70" s="592"/>
      <c r="AF70" s="592"/>
      <c r="AG70" s="592"/>
      <c r="AH70" s="592"/>
    </row>
    <row r="71" spans="2:98">
      <c r="B71" s="375" t="str">
        <f>+'q9'!$A$15</f>
        <v>Leiria</v>
      </c>
      <c r="C71" s="373">
        <f>+'q9'!$B$15</f>
        <v>122147</v>
      </c>
      <c r="D71" s="373">
        <f>+'q9'!$C$15</f>
        <v>123221</v>
      </c>
      <c r="E71" s="373">
        <f>+'q9'!$D$15</f>
        <v>128192</v>
      </c>
      <c r="F71" s="373">
        <f>+'q9'!$E$15</f>
        <v>131409</v>
      </c>
      <c r="G71" s="373">
        <f>+'q9'!$F$15</f>
        <v>135744</v>
      </c>
      <c r="H71" s="373">
        <f>+'q9'!$G$15</f>
        <v>142737</v>
      </c>
      <c r="I71" s="373">
        <f>+'q9'!$H$15</f>
        <v>150327</v>
      </c>
      <c r="J71" s="373">
        <f>+'q9'!$I$15</f>
        <v>152235</v>
      </c>
      <c r="K71" s="373">
        <f>+'q9'!$J$15</f>
        <v>151214</v>
      </c>
      <c r="L71" s="373">
        <f>+'q9'!$K$15</f>
        <v>150268</v>
      </c>
      <c r="M71" s="373">
        <f>+'q9'!$L$15</f>
        <v>157094</v>
      </c>
      <c r="N71" s="373">
        <f t="shared" si="21"/>
        <v>34947</v>
      </c>
      <c r="AA71" s="373" t="s">
        <v>379</v>
      </c>
      <c r="AB71" s="394" t="str">
        <f>+AE62</f>
        <v>981.424</v>
      </c>
      <c r="AE71" s="592"/>
      <c r="AF71" s="592"/>
      <c r="AG71" s="592"/>
      <c r="AH71" s="592"/>
    </row>
    <row r="72" spans="2:98">
      <c r="B72" s="375" t="str">
        <f>+'q9'!$A$16</f>
        <v>Lisboa</v>
      </c>
      <c r="C72" s="373">
        <f>+'q9'!$B$16</f>
        <v>737138</v>
      </c>
      <c r="D72" s="373">
        <f>+'q9'!$C$16</f>
        <v>739291</v>
      </c>
      <c r="E72" s="373">
        <f>+'q9'!$D$16</f>
        <v>764524</v>
      </c>
      <c r="F72" s="373">
        <f>+'q9'!$E$16</f>
        <v>780947</v>
      </c>
      <c r="G72" s="373">
        <f>+'q9'!$F$16</f>
        <v>817508</v>
      </c>
      <c r="H72" s="373">
        <f>+'q9'!$G$16</f>
        <v>847011</v>
      </c>
      <c r="I72" s="373">
        <f>+'q9'!$H$16</f>
        <v>886123</v>
      </c>
      <c r="J72" s="373">
        <f>+'q9'!$I$16</f>
        <v>905022</v>
      </c>
      <c r="K72" s="373">
        <f>+'q9'!$J$16</f>
        <v>895425</v>
      </c>
      <c r="L72" s="373">
        <f>+'q9'!$K$16</f>
        <v>900307</v>
      </c>
      <c r="M72" s="373">
        <f>+'q9'!$L$16</f>
        <v>981424</v>
      </c>
      <c r="N72" s="373">
        <f t="shared" si="21"/>
        <v>244286</v>
      </c>
      <c r="AA72" s="373" t="s">
        <v>380</v>
      </c>
      <c r="AE72" s="592"/>
      <c r="AF72" s="592"/>
      <c r="AG72" s="592"/>
      <c r="AH72" s="592"/>
    </row>
    <row r="73" spans="2:98">
      <c r="B73" s="375" t="str">
        <f>+'q9'!$A$17</f>
        <v>Portalegre</v>
      </c>
      <c r="C73" s="373">
        <f>+'q9'!$B$17</f>
        <v>20456</v>
      </c>
      <c r="D73" s="373">
        <f>+'q9'!$C$17</f>
        <v>20094</v>
      </c>
      <c r="E73" s="373">
        <f>+'q9'!$D$17</f>
        <v>20497</v>
      </c>
      <c r="F73" s="373">
        <f>+'q9'!$E$17</f>
        <v>20704</v>
      </c>
      <c r="G73" s="373">
        <f>+'q9'!$F$17</f>
        <v>21614</v>
      </c>
      <c r="H73" s="373">
        <f>+'q9'!$G$17</f>
        <v>22068</v>
      </c>
      <c r="I73" s="373">
        <f>+'q9'!$H$17</f>
        <v>22056</v>
      </c>
      <c r="J73" s="373">
        <f>+'q9'!$I$17</f>
        <v>22201</v>
      </c>
      <c r="K73" s="373">
        <f>+'q9'!$J$17</f>
        <v>22475</v>
      </c>
      <c r="L73" s="373">
        <f>+'q9'!$K$17</f>
        <v>21854</v>
      </c>
      <c r="M73" s="373">
        <f>+'q9'!$L$17</f>
        <v>23056</v>
      </c>
      <c r="N73" s="373">
        <f t="shared" si="21"/>
        <v>2600</v>
      </c>
      <c r="AA73" s="373" t="s">
        <v>381</v>
      </c>
      <c r="AB73" s="397">
        <f>ROUND(AG65,1)</f>
        <v>33.1</v>
      </c>
      <c r="AE73" s="592"/>
      <c r="AF73" s="592"/>
      <c r="AG73" s="592"/>
      <c r="AH73" s="592"/>
    </row>
    <row r="74" spans="2:98">
      <c r="B74" s="375" t="str">
        <f>+'q9'!$A$18</f>
        <v>Porto</v>
      </c>
      <c r="C74" s="373">
        <f>+'q9'!$B$18</f>
        <v>495679</v>
      </c>
      <c r="D74" s="373">
        <f>+'q9'!$C$18</f>
        <v>492740</v>
      </c>
      <c r="E74" s="373">
        <f>+'q9'!$D$18</f>
        <v>511719</v>
      </c>
      <c r="F74" s="373">
        <f>+'q9'!$E$18</f>
        <v>532550</v>
      </c>
      <c r="G74" s="373">
        <f>+'q9'!$F$18</f>
        <v>551277</v>
      </c>
      <c r="H74" s="373">
        <f>+'q9'!$G$18</f>
        <v>580272</v>
      </c>
      <c r="I74" s="373">
        <f>+'q9'!$H$18</f>
        <v>593048</v>
      </c>
      <c r="J74" s="373">
        <f>+'q9'!$I$18</f>
        <v>607009</v>
      </c>
      <c r="K74" s="373">
        <f>+'q9'!$J$18</f>
        <v>599969</v>
      </c>
      <c r="L74" s="373">
        <f>+'q9'!$K$18</f>
        <v>603391</v>
      </c>
      <c r="M74" s="373">
        <f>+'q9'!$L$18</f>
        <v>647496</v>
      </c>
      <c r="N74" s="373">
        <f t="shared" si="21"/>
        <v>151817</v>
      </c>
      <c r="AA74" s="373" t="s">
        <v>374</v>
      </c>
      <c r="AE74" s="592"/>
      <c r="AF74" s="592"/>
      <c r="AG74" s="592"/>
      <c r="AH74" s="592"/>
    </row>
    <row r="75" spans="2:98">
      <c r="B75" s="375" t="str">
        <f>+'q9'!$A$19</f>
        <v>Santarém</v>
      </c>
      <c r="C75" s="373">
        <f>+'q9'!$B$19</f>
        <v>98004</v>
      </c>
      <c r="D75" s="373">
        <f>+'q9'!$C$19</f>
        <v>96319</v>
      </c>
      <c r="E75" s="373">
        <f>+'q9'!$D$19</f>
        <v>97672</v>
      </c>
      <c r="F75" s="373">
        <f>+'q9'!$E$19</f>
        <v>99795</v>
      </c>
      <c r="G75" s="373">
        <f>+'q9'!$F$19</f>
        <v>101230</v>
      </c>
      <c r="H75" s="373">
        <f>+'q9'!$G$19</f>
        <v>104902</v>
      </c>
      <c r="I75" s="373">
        <f>+'q9'!$H$19</f>
        <v>107738</v>
      </c>
      <c r="J75" s="373">
        <f>+'q9'!$I$19</f>
        <v>110106</v>
      </c>
      <c r="K75" s="373">
        <f>+'q9'!$J$19</f>
        <v>110997</v>
      </c>
      <c r="L75" s="373">
        <f>+'q9'!$K$19</f>
        <v>110211</v>
      </c>
      <c r="M75" s="373">
        <f>+'q9'!$L$19</f>
        <v>116005</v>
      </c>
      <c r="N75" s="373">
        <f t="shared" si="21"/>
        <v>18001</v>
      </c>
      <c r="AA75" s="373" t="s">
        <v>382</v>
      </c>
      <c r="AB75" s="373" t="str">
        <f>+AI62</f>
        <v>, mais</v>
      </c>
    </row>
    <row r="76" spans="2:98">
      <c r="B76" s="375" t="str">
        <f>+'q9'!$A$20</f>
        <v>Setúbal</v>
      </c>
      <c r="C76" s="373">
        <f>+'q9'!$B$20</f>
        <v>145616</v>
      </c>
      <c r="D76" s="373">
        <f>+'q9'!$C$20</f>
        <v>143967</v>
      </c>
      <c r="E76" s="373">
        <f>+'q9'!$D$20</f>
        <v>145403</v>
      </c>
      <c r="F76" s="373">
        <f>+'q9'!$E$20</f>
        <v>148477</v>
      </c>
      <c r="G76" s="373">
        <f>+'q9'!$F$20</f>
        <v>152690</v>
      </c>
      <c r="H76" s="373">
        <f>+'q9'!$G$20</f>
        <v>161083</v>
      </c>
      <c r="I76" s="373">
        <f>+'q9'!$H$20</f>
        <v>170243</v>
      </c>
      <c r="J76" s="373">
        <f>+'q9'!$I$20</f>
        <v>173740</v>
      </c>
      <c r="K76" s="373">
        <f>+'q9'!$J$20</f>
        <v>174949</v>
      </c>
      <c r="L76" s="373">
        <f>+'q9'!$K$20</f>
        <v>176465</v>
      </c>
      <c r="M76" s="373">
        <f>+'q9'!$L$20</f>
        <v>189206</v>
      </c>
      <c r="N76" s="373">
        <f t="shared" si="21"/>
        <v>43590</v>
      </c>
      <c r="AA76" s="373" t="s">
        <v>383</v>
      </c>
      <c r="AB76" s="394" t="str">
        <f>TEXT(AJ62,"##.###")</f>
        <v>244.286</v>
      </c>
    </row>
    <row r="77" spans="2:98">
      <c r="B77" s="375" t="str">
        <f>+'q9'!$A$21</f>
        <v>Viana do Castelo</v>
      </c>
      <c r="C77" s="373">
        <f>+'q9'!$B$21</f>
        <v>51891</v>
      </c>
      <c r="D77" s="373">
        <f>+'q9'!$C$21</f>
        <v>53023</v>
      </c>
      <c r="E77" s="373">
        <f>+'q9'!$D$21</f>
        <v>54568</v>
      </c>
      <c r="F77" s="373">
        <f>+'q9'!$E$21</f>
        <v>56865</v>
      </c>
      <c r="G77" s="373">
        <f>+'q9'!$F$21</f>
        <v>57001</v>
      </c>
      <c r="H77" s="373">
        <f>+'q9'!$G$21</f>
        <v>59646</v>
      </c>
      <c r="I77" s="373">
        <f>+'q9'!$H$21</f>
        <v>62987</v>
      </c>
      <c r="J77" s="373">
        <f>+'q9'!$I$21</f>
        <v>63449</v>
      </c>
      <c r="K77" s="373">
        <f>+'q9'!$J$21</f>
        <v>64864</v>
      </c>
      <c r="L77" s="373">
        <f>+'q9'!$K$21</f>
        <v>65112</v>
      </c>
      <c r="M77" s="373">
        <f>+'q9'!$L$21</f>
        <v>68558</v>
      </c>
      <c r="N77" s="373">
        <f t="shared" si="21"/>
        <v>16667</v>
      </c>
      <c r="AA77" s="373" t="s">
        <v>668</v>
      </c>
    </row>
    <row r="78" spans="2:98">
      <c r="B78" s="375" t="str">
        <f>+'q9'!$A$22</f>
        <v>Vila Real</v>
      </c>
      <c r="C78" s="373">
        <f>+'q9'!$B$22</f>
        <v>31205</v>
      </c>
      <c r="D78" s="373">
        <f>+'q9'!$C$22</f>
        <v>31008</v>
      </c>
      <c r="E78" s="373">
        <f>+'q9'!$D$22</f>
        <v>31502</v>
      </c>
      <c r="F78" s="373">
        <f>+'q9'!$E$22</f>
        <v>32630</v>
      </c>
      <c r="G78" s="373">
        <f>+'q9'!$F$22</f>
        <v>33121</v>
      </c>
      <c r="H78" s="373">
        <f>+'q9'!$G$22</f>
        <v>34749</v>
      </c>
      <c r="I78" s="373">
        <f>+'q9'!$H$22</f>
        <v>35689</v>
      </c>
      <c r="J78" s="373">
        <f>+'q9'!$I$22</f>
        <v>36501</v>
      </c>
      <c r="K78" s="373">
        <f>+'q9'!$J$22</f>
        <v>36381</v>
      </c>
      <c r="L78" s="373">
        <f>+'q9'!$K$22</f>
        <v>36810</v>
      </c>
      <c r="M78" s="373">
        <f>+'q9'!$L$22</f>
        <v>38651</v>
      </c>
      <c r="N78" s="373">
        <f t="shared" si="21"/>
        <v>7446</v>
      </c>
      <c r="AA78" s="373" t="s">
        <v>384</v>
      </c>
      <c r="AB78" s="394" t="str">
        <f>+AE63</f>
        <v>937.531</v>
      </c>
    </row>
    <row r="79" spans="2:98">
      <c r="B79" s="375" t="str">
        <f>+'q9'!$A$23</f>
        <v>Viseu</v>
      </c>
      <c r="C79" s="373">
        <f>+'q9'!$B$23</f>
        <v>73151</v>
      </c>
      <c r="D79" s="373">
        <f>+'q9'!$C$23</f>
        <v>73147</v>
      </c>
      <c r="E79" s="373">
        <f>+'q9'!$D$23</f>
        <v>74809</v>
      </c>
      <c r="F79" s="373">
        <f>+'q9'!$E$23</f>
        <v>77228</v>
      </c>
      <c r="G79" s="373">
        <f>+'q9'!$F$23</f>
        <v>80578</v>
      </c>
      <c r="H79" s="373">
        <f>+'q9'!$G$23</f>
        <v>84335</v>
      </c>
      <c r="I79" s="373">
        <f>+'q9'!$H$23</f>
        <v>87903</v>
      </c>
      <c r="J79" s="373">
        <f>+'q9'!$I$23</f>
        <v>90397</v>
      </c>
      <c r="K79" s="373">
        <f>+'q9'!$J$23</f>
        <v>91057</v>
      </c>
      <c r="L79" s="373">
        <f>+'q9'!$K$23</f>
        <v>91948</v>
      </c>
      <c r="M79" s="373">
        <f>+'q9'!$L$23</f>
        <v>99161</v>
      </c>
      <c r="N79" s="373">
        <f t="shared" si="21"/>
        <v>26010</v>
      </c>
      <c r="AA79" s="373" t="s">
        <v>515</v>
      </c>
    </row>
    <row r="80" spans="2:98">
      <c r="B80" s="375" t="s">
        <v>14</v>
      </c>
      <c r="C80" s="373">
        <f>+'q9'!$B$5</f>
        <v>2559732</v>
      </c>
      <c r="D80" s="373">
        <f>+'q9'!$C$5</f>
        <v>2555676</v>
      </c>
      <c r="E80" s="373">
        <f>+'q9'!$D$5</f>
        <v>2636881</v>
      </c>
      <c r="F80" s="373">
        <f>+'q9'!$E$5</f>
        <v>2716011</v>
      </c>
      <c r="G80" s="373">
        <f>+'q9'!$F$5</f>
        <v>2819978</v>
      </c>
      <c r="H80" s="373">
        <f>+'q9'!$G$5</f>
        <v>2946903</v>
      </c>
      <c r="I80" s="373">
        <f>+'q9'!$H$5</f>
        <v>3060489</v>
      </c>
      <c r="J80" s="373">
        <f>+'q9'!$I$5</f>
        <v>3110949</v>
      </c>
      <c r="K80" s="373">
        <f>+'q9'!$J$5</f>
        <v>3085566</v>
      </c>
      <c r="L80" s="373">
        <f>+'q9'!$K$5</f>
        <v>3102345</v>
      </c>
      <c r="M80" s="373">
        <f>+'q9'!$L$5</f>
        <v>3337082</v>
      </c>
      <c r="N80" s="373">
        <f t="shared" si="21"/>
        <v>777350</v>
      </c>
      <c r="AA80" s="373" t="s">
        <v>385</v>
      </c>
      <c r="AB80" s="397">
        <f>ROUND(AG66,1)</f>
        <v>34.5</v>
      </c>
    </row>
    <row r="81" spans="1:28">
      <c r="A81" s="375" t="s">
        <v>186</v>
      </c>
      <c r="C81" s="377">
        <f>+'q12'!$B$4</f>
        <v>2012</v>
      </c>
      <c r="D81" s="377">
        <f>+'q12'!$C$4</f>
        <v>2013</v>
      </c>
      <c r="E81" s="377">
        <f>+'q12'!$D$4</f>
        <v>2014</v>
      </c>
      <c r="F81" s="377">
        <f>+'q12'!$E$4</f>
        <v>2015</v>
      </c>
      <c r="G81" s="377">
        <f>+'q12'!$F$4</f>
        <v>2016</v>
      </c>
      <c r="H81" s="377">
        <f>+'q12'!$G$4</f>
        <v>2017</v>
      </c>
      <c r="I81" s="377">
        <f>+'q12'!$H$4</f>
        <v>2018</v>
      </c>
      <c r="J81" s="377">
        <f>+'q12'!$I$4</f>
        <v>2019</v>
      </c>
      <c r="K81" s="377">
        <f>+'q12'!$J$4</f>
        <v>2020</v>
      </c>
      <c r="L81" s="377">
        <f>+'q12'!$K$4</f>
        <v>2021</v>
      </c>
      <c r="M81" s="377">
        <f>+'q12'!$L$4</f>
        <v>2022</v>
      </c>
      <c r="N81" s="373">
        <f t="shared" si="21"/>
        <v>10</v>
      </c>
      <c r="AA81" s="373" t="s">
        <v>376</v>
      </c>
    </row>
    <row r="82" spans="1:28">
      <c r="B82" s="375" t="str">
        <f>+'q12'!$A$6</f>
        <v>Aveiro</v>
      </c>
      <c r="C82" s="373">
        <f>+'q12'!$B$6</f>
        <v>183040</v>
      </c>
      <c r="D82" s="373">
        <f>+'q12'!$C$6</f>
        <v>183121</v>
      </c>
      <c r="E82" s="373">
        <f>+'q12'!$D$6</f>
        <v>188531</v>
      </c>
      <c r="F82" s="373">
        <f>+'q12'!$E$6</f>
        <v>193207</v>
      </c>
      <c r="G82" s="373">
        <f>+'q12'!$F$6</f>
        <v>201583</v>
      </c>
      <c r="H82" s="373">
        <f>+'q12'!$G$6</f>
        <v>211076</v>
      </c>
      <c r="I82" s="373">
        <f>+'q12'!$H$6</f>
        <v>219148</v>
      </c>
      <c r="J82" s="373">
        <f>+'q12'!$I$6</f>
        <v>221154</v>
      </c>
      <c r="K82" s="373">
        <f>+'q12'!$J$6</f>
        <v>218824</v>
      </c>
      <c r="L82" s="373">
        <f>+'q12'!$K$6</f>
        <v>219217</v>
      </c>
      <c r="M82" s="373">
        <f>+'q12'!$L$6</f>
        <v>234940</v>
      </c>
      <c r="N82" s="373">
        <f t="shared" si="21"/>
        <v>51900</v>
      </c>
      <c r="AA82" s="373" t="s">
        <v>386</v>
      </c>
      <c r="AB82" s="373" t="str">
        <f>+AI63</f>
        <v>, mais</v>
      </c>
    </row>
    <row r="83" spans="1:28">
      <c r="B83" s="375" t="str">
        <f>+'q12'!$A$7</f>
        <v>Beja</v>
      </c>
      <c r="C83" s="373">
        <f>+'q12'!$B$7</f>
        <v>27295</v>
      </c>
      <c r="D83" s="373">
        <f>+'q12'!$C$7</f>
        <v>27466</v>
      </c>
      <c r="E83" s="373">
        <f>+'q12'!$D$7</f>
        <v>28261</v>
      </c>
      <c r="F83" s="373">
        <f>+'q12'!$E$7</f>
        <v>30156</v>
      </c>
      <c r="G83" s="373">
        <f>+'q12'!$F$7</f>
        <v>31333</v>
      </c>
      <c r="H83" s="373">
        <f>+'q12'!$G$7</f>
        <v>33532</v>
      </c>
      <c r="I83" s="373">
        <f>+'q12'!$H$7</f>
        <v>34861</v>
      </c>
      <c r="J83" s="373">
        <f>+'q12'!$I$7</f>
        <v>36824</v>
      </c>
      <c r="K83" s="373">
        <f>+'q12'!$J$7</f>
        <v>39057</v>
      </c>
      <c r="L83" s="373">
        <f>+'q12'!$K$7</f>
        <v>39335</v>
      </c>
      <c r="M83" s="373">
        <f>+'q12'!$L$7</f>
        <v>43289</v>
      </c>
      <c r="N83" s="373">
        <f t="shared" si="21"/>
        <v>15994</v>
      </c>
      <c r="AA83" s="373" t="s">
        <v>387</v>
      </c>
      <c r="AB83" s="394" t="str">
        <f>TEXT(AJ63,"##.###")</f>
        <v>240.735</v>
      </c>
    </row>
    <row r="84" spans="1:28">
      <c r="B84" s="375" t="str">
        <f>+'q12'!$A$8</f>
        <v>Braga</v>
      </c>
      <c r="C84" s="373">
        <f>+'q12'!$B$8</f>
        <v>212191</v>
      </c>
      <c r="D84" s="373">
        <f>+'q12'!$C$8</f>
        <v>213863</v>
      </c>
      <c r="E84" s="373">
        <f>+'q12'!$D$8</f>
        <v>223498</v>
      </c>
      <c r="F84" s="373">
        <f>+'q12'!$E$8</f>
        <v>232168</v>
      </c>
      <c r="G84" s="373">
        <f>+'q12'!$F$8</f>
        <v>243606</v>
      </c>
      <c r="H84" s="373">
        <f>+'q12'!$G$8</f>
        <v>254948</v>
      </c>
      <c r="I84" s="373">
        <f>+'q12'!$H$8</f>
        <v>264675</v>
      </c>
      <c r="J84" s="373">
        <f>+'q12'!$I$8</f>
        <v>261930</v>
      </c>
      <c r="K84" s="373">
        <f>+'q12'!$J$8</f>
        <v>263588</v>
      </c>
      <c r="L84" s="373">
        <f>+'q12'!$K$8</f>
        <v>266470</v>
      </c>
      <c r="M84" s="373">
        <f>+'q12'!$L$8</f>
        <v>285498</v>
      </c>
      <c r="N84" s="373">
        <f t="shared" si="21"/>
        <v>73307</v>
      </c>
      <c r="AA84" s="373" t="s">
        <v>669</v>
      </c>
    </row>
    <row r="85" spans="1:28">
      <c r="B85" s="375" t="str">
        <f>+'q12'!$A$9</f>
        <v>Bragança</v>
      </c>
      <c r="C85" s="373">
        <f>+'q12'!$B$9</f>
        <v>17928</v>
      </c>
      <c r="D85" s="373">
        <f>+'q12'!$C$9</f>
        <v>17863</v>
      </c>
      <c r="E85" s="373">
        <f>+'q12'!$D$9</f>
        <v>18027</v>
      </c>
      <c r="F85" s="373">
        <f>+'q12'!$E$9</f>
        <v>18508</v>
      </c>
      <c r="G85" s="373">
        <f>+'q12'!$F$9</f>
        <v>18920</v>
      </c>
      <c r="H85" s="373">
        <f>+'q12'!$G$9</f>
        <v>19168</v>
      </c>
      <c r="I85" s="373">
        <f>+'q12'!$H$9</f>
        <v>19762</v>
      </c>
      <c r="J85" s="373">
        <f>+'q12'!$I$9</f>
        <v>19512</v>
      </c>
      <c r="K85" s="373">
        <f>+'q12'!$J$9</f>
        <v>20332</v>
      </c>
      <c r="L85" s="373">
        <f>+'q12'!$K$9</f>
        <v>20601</v>
      </c>
      <c r="M85" s="373">
        <f>+'q12'!$L$9</f>
        <v>21226</v>
      </c>
      <c r="N85" s="373">
        <f t="shared" si="21"/>
        <v>3298</v>
      </c>
    </row>
    <row r="86" spans="1:28">
      <c r="B86" s="375" t="str">
        <f>+'q12'!$A$10</f>
        <v>Castelo Branco</v>
      </c>
      <c r="C86" s="373">
        <f>+'q12'!$B$10</f>
        <v>35105</v>
      </c>
      <c r="D86" s="373">
        <f>+'q12'!$C$10</f>
        <v>34335</v>
      </c>
      <c r="E86" s="373">
        <f>+'q12'!$D$10</f>
        <v>35837</v>
      </c>
      <c r="F86" s="373">
        <f>+'q12'!$E$10</f>
        <v>35619</v>
      </c>
      <c r="G86" s="373">
        <f>+'q12'!$F$10</f>
        <v>36035</v>
      </c>
      <c r="H86" s="373">
        <f>+'q12'!$G$10</f>
        <v>36753</v>
      </c>
      <c r="I86" s="373">
        <f>+'q12'!$H$10</f>
        <v>38953</v>
      </c>
      <c r="J86" s="373">
        <f>+'q12'!$I$10</f>
        <v>38009</v>
      </c>
      <c r="K86" s="373">
        <f>+'q12'!$J$10</f>
        <v>37294</v>
      </c>
      <c r="L86" s="373">
        <f>+'q12'!$K$10</f>
        <v>37537</v>
      </c>
      <c r="M86" s="373">
        <f>+'q12'!$L$10</f>
        <v>39840</v>
      </c>
      <c r="N86" s="373">
        <f t="shared" si="21"/>
        <v>4735</v>
      </c>
    </row>
    <row r="87" spans="1:28">
      <c r="B87" s="375" t="str">
        <f>+'q12'!$A$11</f>
        <v>Coimbra</v>
      </c>
      <c r="C87" s="373">
        <f>+'q12'!$B$11</f>
        <v>86456</v>
      </c>
      <c r="D87" s="373">
        <f>+'q12'!$C$11</f>
        <v>85563</v>
      </c>
      <c r="E87" s="373">
        <f>+'q12'!$D$11</f>
        <v>84401</v>
      </c>
      <c r="F87" s="373">
        <f>+'q12'!$E$11</f>
        <v>87151</v>
      </c>
      <c r="G87" s="373">
        <f>+'q12'!$F$11</f>
        <v>88449</v>
      </c>
      <c r="H87" s="373">
        <f>+'q12'!$G$11</f>
        <v>92904</v>
      </c>
      <c r="I87" s="373">
        <f>+'q12'!$H$11</f>
        <v>93788</v>
      </c>
      <c r="J87" s="373">
        <f>+'q12'!$I$11</f>
        <v>94736</v>
      </c>
      <c r="K87" s="373">
        <f>+'q12'!$J$11</f>
        <v>95872</v>
      </c>
      <c r="L87" s="373">
        <f>+'q12'!$K$11</f>
        <v>95954</v>
      </c>
      <c r="M87" s="373">
        <f>+'q12'!$L$11</f>
        <v>101940</v>
      </c>
      <c r="N87" s="373">
        <f t="shared" ref="N87:N140" si="25">+M87-C87</f>
        <v>15484</v>
      </c>
    </row>
    <row r="88" spans="1:28">
      <c r="B88" s="375" t="str">
        <f>+'q12'!$A$12</f>
        <v>Évora</v>
      </c>
      <c r="C88" s="373">
        <f>+'q12'!$B$12</f>
        <v>32525</v>
      </c>
      <c r="D88" s="373">
        <f>+'q12'!$C$12</f>
        <v>31718</v>
      </c>
      <c r="E88" s="373">
        <f>+'q12'!$D$12</f>
        <v>32529</v>
      </c>
      <c r="F88" s="373">
        <f>+'q12'!$E$12</f>
        <v>34031</v>
      </c>
      <c r="G88" s="373">
        <f>+'q12'!$F$12</f>
        <v>35370</v>
      </c>
      <c r="H88" s="373">
        <f>+'q12'!$G$12</f>
        <v>36298</v>
      </c>
      <c r="I88" s="373">
        <f>+'q12'!$H$12</f>
        <v>38027</v>
      </c>
      <c r="J88" s="373">
        <f>+'q12'!$I$12</f>
        <v>38257</v>
      </c>
      <c r="K88" s="373">
        <f>+'q12'!$J$12</f>
        <v>37783</v>
      </c>
      <c r="L88" s="373">
        <f>+'q12'!$K$12</f>
        <v>38189</v>
      </c>
      <c r="M88" s="373">
        <f>+'q12'!$L$12</f>
        <v>40691</v>
      </c>
      <c r="N88" s="373">
        <f t="shared" si="25"/>
        <v>8166</v>
      </c>
    </row>
    <row r="89" spans="1:28">
      <c r="B89" s="375" t="str">
        <f>+'q12'!$A$13</f>
        <v>Faro</v>
      </c>
      <c r="C89" s="373">
        <f>+'q12'!$B$13</f>
        <v>105489</v>
      </c>
      <c r="D89" s="373">
        <f>+'q12'!$C$13</f>
        <v>104938</v>
      </c>
      <c r="E89" s="373">
        <f>+'q12'!$D$13</f>
        <v>109922</v>
      </c>
      <c r="F89" s="373">
        <f>+'q12'!$E$13</f>
        <v>117234</v>
      </c>
      <c r="G89" s="373">
        <f>+'q12'!$F$13</f>
        <v>125990</v>
      </c>
      <c r="H89" s="373">
        <f>+'q12'!$G$13</f>
        <v>135848</v>
      </c>
      <c r="I89" s="373">
        <f>+'q12'!$H$13</f>
        <v>144110</v>
      </c>
      <c r="J89" s="373">
        <f>+'q12'!$I$13</f>
        <v>149611</v>
      </c>
      <c r="K89" s="373">
        <f>+'q12'!$J$13</f>
        <v>133944</v>
      </c>
      <c r="L89" s="373">
        <f>+'q12'!$K$13</f>
        <v>137936</v>
      </c>
      <c r="M89" s="373">
        <f>+'q12'!$L$13</f>
        <v>154670</v>
      </c>
      <c r="N89" s="373">
        <f t="shared" si="25"/>
        <v>49181</v>
      </c>
    </row>
    <row r="90" spans="1:28">
      <c r="B90" s="375" t="str">
        <f>+'q12'!$A$14</f>
        <v>Guarda</v>
      </c>
      <c r="C90" s="373">
        <f>+'q12'!$B$14</f>
        <v>26082</v>
      </c>
      <c r="D90" s="373">
        <f>+'q12'!$C$14</f>
        <v>25577</v>
      </c>
      <c r="E90" s="373">
        <f>+'q12'!$D$14</f>
        <v>26046</v>
      </c>
      <c r="F90" s="373">
        <f>+'q12'!$E$14</f>
        <v>26456</v>
      </c>
      <c r="G90" s="373">
        <f>+'q12'!$F$14</f>
        <v>26786</v>
      </c>
      <c r="H90" s="373">
        <f>+'q12'!$G$14</f>
        <v>27741</v>
      </c>
      <c r="I90" s="373">
        <f>+'q12'!$H$14</f>
        <v>28412</v>
      </c>
      <c r="J90" s="373">
        <f>+'q12'!$I$14</f>
        <v>28057</v>
      </c>
      <c r="K90" s="373">
        <f>+'q12'!$J$14</f>
        <v>28646</v>
      </c>
      <c r="L90" s="373">
        <f>+'q12'!$K$14</f>
        <v>28719</v>
      </c>
      <c r="M90" s="373">
        <f>+'q12'!$L$14</f>
        <v>29721</v>
      </c>
      <c r="N90" s="373">
        <f t="shared" si="25"/>
        <v>3639</v>
      </c>
    </row>
    <row r="91" spans="1:28">
      <c r="B91" s="375" t="str">
        <f>+'q12'!$A$15</f>
        <v>Leiria</v>
      </c>
      <c r="C91" s="373">
        <f>+'q12'!$B$15</f>
        <v>111965</v>
      </c>
      <c r="D91" s="373">
        <f>+'q12'!$C$15</f>
        <v>113088</v>
      </c>
      <c r="E91" s="373">
        <f>+'q12'!$D$15</f>
        <v>117819</v>
      </c>
      <c r="F91" s="373">
        <f>+'q12'!$E$15</f>
        <v>121050</v>
      </c>
      <c r="G91" s="373">
        <f>+'q12'!$F$15</f>
        <v>125303</v>
      </c>
      <c r="H91" s="373">
        <f>+'q12'!$G$15</f>
        <v>132189</v>
      </c>
      <c r="I91" s="373">
        <f>+'q12'!$H$15</f>
        <v>139739</v>
      </c>
      <c r="J91" s="373">
        <f>+'q12'!$I$15</f>
        <v>141609</v>
      </c>
      <c r="K91" s="373">
        <f>+'q12'!$J$15</f>
        <v>140537</v>
      </c>
      <c r="L91" s="373">
        <f>+'q12'!$K$15</f>
        <v>139576</v>
      </c>
      <c r="M91" s="373">
        <f>+'q12'!$L$15</f>
        <v>145795</v>
      </c>
      <c r="N91" s="373">
        <f t="shared" si="25"/>
        <v>33830</v>
      </c>
    </row>
    <row r="92" spans="1:28">
      <c r="B92" s="375" t="str">
        <f>+'q12'!$A$16</f>
        <v>Lisboa</v>
      </c>
      <c r="C92" s="373">
        <f>+'q12'!$B$16</f>
        <v>696796</v>
      </c>
      <c r="D92" s="373">
        <f>+'q12'!$C$16</f>
        <v>699433</v>
      </c>
      <c r="E92" s="373">
        <f>+'q12'!$D$16</f>
        <v>722854</v>
      </c>
      <c r="F92" s="373">
        <f>+'q12'!$E$16</f>
        <v>739126</v>
      </c>
      <c r="G92" s="373">
        <f>+'q12'!$F$16</f>
        <v>776535</v>
      </c>
      <c r="H92" s="373">
        <f>+'q12'!$G$16</f>
        <v>805619</v>
      </c>
      <c r="I92" s="373">
        <f>+'q12'!$H$16</f>
        <v>843599</v>
      </c>
      <c r="J92" s="373">
        <f>+'q12'!$I$16</f>
        <v>863493</v>
      </c>
      <c r="K92" s="373">
        <f>+'q12'!$J$16</f>
        <v>853268</v>
      </c>
      <c r="L92" s="373">
        <f>+'q12'!$K$16</f>
        <v>859051</v>
      </c>
      <c r="M92" s="373">
        <f>+'q12'!$L$16</f>
        <v>937531</v>
      </c>
      <c r="N92" s="373">
        <f t="shared" si="25"/>
        <v>240735</v>
      </c>
    </row>
    <row r="93" spans="1:28">
      <c r="B93" s="375" t="str">
        <f>+'q12'!$A$17</f>
        <v>Portalegre</v>
      </c>
      <c r="C93" s="373">
        <f>+'q12'!$B$17</f>
        <v>19060</v>
      </c>
      <c r="D93" s="373">
        <f>+'q12'!$C$17</f>
        <v>18653</v>
      </c>
      <c r="E93" s="373">
        <f>+'q12'!$D$17</f>
        <v>19009</v>
      </c>
      <c r="F93" s="373">
        <f>+'q12'!$E$17</f>
        <v>19293</v>
      </c>
      <c r="G93" s="373">
        <f>+'q12'!$F$17</f>
        <v>20176</v>
      </c>
      <c r="H93" s="373">
        <f>+'q12'!$G$17</f>
        <v>20664</v>
      </c>
      <c r="I93" s="373">
        <f>+'q12'!$H$17</f>
        <v>20620</v>
      </c>
      <c r="J93" s="373">
        <f>+'q12'!$I$17</f>
        <v>20826</v>
      </c>
      <c r="K93" s="373">
        <f>+'q12'!$J$17</f>
        <v>21098</v>
      </c>
      <c r="L93" s="373">
        <f>+'q12'!$K$17</f>
        <v>20537</v>
      </c>
      <c r="M93" s="373">
        <f>+'q12'!$L$17</f>
        <v>21623</v>
      </c>
      <c r="N93" s="373">
        <f t="shared" si="25"/>
        <v>2563</v>
      </c>
    </row>
    <row r="94" spans="1:28">
      <c r="B94" s="375" t="str">
        <f>+'q12'!$A$18</f>
        <v>Porto</v>
      </c>
      <c r="C94" s="373">
        <f>+'q12'!$B$18</f>
        <v>463288</v>
      </c>
      <c r="D94" s="373">
        <f>+'q12'!$C$18</f>
        <v>460333</v>
      </c>
      <c r="E94" s="373">
        <f>+'q12'!$D$18</f>
        <v>477642</v>
      </c>
      <c r="F94" s="373">
        <f>+'q12'!$E$18</f>
        <v>498411</v>
      </c>
      <c r="G94" s="373">
        <f>+'q12'!$F$18</f>
        <v>517250</v>
      </c>
      <c r="H94" s="373">
        <f>+'q12'!$G$18</f>
        <v>546130</v>
      </c>
      <c r="I94" s="373">
        <f>+'q12'!$H$18</f>
        <v>558004</v>
      </c>
      <c r="J94" s="373">
        <f>+'q12'!$I$18</f>
        <v>572263</v>
      </c>
      <c r="K94" s="373">
        <f>+'q12'!$J$18</f>
        <v>564899</v>
      </c>
      <c r="L94" s="373">
        <f>+'q12'!$K$18</f>
        <v>569083</v>
      </c>
      <c r="M94" s="373">
        <f>+'q12'!$L$18</f>
        <v>611659</v>
      </c>
      <c r="N94" s="373">
        <f t="shared" si="25"/>
        <v>148371</v>
      </c>
    </row>
    <row r="95" spans="1:28">
      <c r="B95" s="375" t="str">
        <f>+'q12'!$A$19</f>
        <v>Santarém</v>
      </c>
      <c r="C95" s="373">
        <f>+'q12'!$B$19</f>
        <v>90358</v>
      </c>
      <c r="D95" s="373">
        <f>+'q12'!$C$19</f>
        <v>88785</v>
      </c>
      <c r="E95" s="373">
        <f>+'q12'!$D$19</f>
        <v>90076</v>
      </c>
      <c r="F95" s="373">
        <f>+'q12'!$E$19</f>
        <v>92191</v>
      </c>
      <c r="G95" s="373">
        <f>+'q12'!$F$19</f>
        <v>93792</v>
      </c>
      <c r="H95" s="373">
        <f>+'q12'!$G$19</f>
        <v>97412</v>
      </c>
      <c r="I95" s="373">
        <f>+'q12'!$H$19</f>
        <v>100090</v>
      </c>
      <c r="J95" s="373">
        <f>+'q12'!$I$19</f>
        <v>102585</v>
      </c>
      <c r="K95" s="373">
        <f>+'q12'!$J$19</f>
        <v>103403</v>
      </c>
      <c r="L95" s="373">
        <f>+'q12'!$K$19</f>
        <v>102715</v>
      </c>
      <c r="M95" s="373">
        <f>+'q12'!$L$19</f>
        <v>108232</v>
      </c>
      <c r="N95" s="373">
        <f t="shared" si="25"/>
        <v>17874</v>
      </c>
    </row>
    <row r="96" spans="1:28">
      <c r="B96" s="375" t="str">
        <f>+'q12'!$A$20</f>
        <v>Setúbal</v>
      </c>
      <c r="C96" s="373">
        <f>+'q12'!$B$20</f>
        <v>135651</v>
      </c>
      <c r="D96" s="373">
        <f>+'q12'!$C$20</f>
        <v>134300</v>
      </c>
      <c r="E96" s="373">
        <f>+'q12'!$D$20</f>
        <v>135568</v>
      </c>
      <c r="F96" s="373">
        <f>+'q12'!$E$20</f>
        <v>138934</v>
      </c>
      <c r="G96" s="373">
        <f>+'q12'!$F$20</f>
        <v>143036</v>
      </c>
      <c r="H96" s="373">
        <f>+'q12'!$G$20</f>
        <v>151328</v>
      </c>
      <c r="I96" s="373">
        <f>+'q12'!$H$20</f>
        <v>160472</v>
      </c>
      <c r="J96" s="373">
        <f>+'q12'!$I$20</f>
        <v>163930</v>
      </c>
      <c r="K96" s="373">
        <f>+'q12'!$J$20</f>
        <v>164805</v>
      </c>
      <c r="L96" s="373">
        <f>+'q12'!$K$20</f>
        <v>166416</v>
      </c>
      <c r="M96" s="373">
        <f>+'q12'!$L$20</f>
        <v>178440</v>
      </c>
      <c r="N96" s="373">
        <f t="shared" si="25"/>
        <v>42789</v>
      </c>
    </row>
    <row r="97" spans="1:55">
      <c r="B97" s="375" t="str">
        <f>+'q12'!$A$21</f>
        <v>Viana do Castelo</v>
      </c>
      <c r="C97" s="373">
        <f>+'q12'!$B$21</f>
        <v>47838</v>
      </c>
      <c r="D97" s="373">
        <f>+'q12'!$C$21</f>
        <v>48873</v>
      </c>
      <c r="E97" s="373">
        <f>+'q12'!$D$21</f>
        <v>50225</v>
      </c>
      <c r="F97" s="373">
        <f>+'q12'!$E$21</f>
        <v>52609</v>
      </c>
      <c r="G97" s="373">
        <f>+'q12'!$F$21</f>
        <v>52622</v>
      </c>
      <c r="H97" s="373">
        <f>+'q12'!$G$21</f>
        <v>55356</v>
      </c>
      <c r="I97" s="373">
        <f>+'q12'!$H$21</f>
        <v>58686</v>
      </c>
      <c r="J97" s="373">
        <f>+'q12'!$I$21</f>
        <v>59295</v>
      </c>
      <c r="K97" s="373">
        <f>+'q12'!$J$21</f>
        <v>60629</v>
      </c>
      <c r="L97" s="373">
        <f>+'q12'!$K$21</f>
        <v>60893</v>
      </c>
      <c r="M97" s="373">
        <f>+'q12'!$L$21</f>
        <v>64187</v>
      </c>
      <c r="N97" s="373">
        <f t="shared" si="25"/>
        <v>16349</v>
      </c>
    </row>
    <row r="98" spans="1:55">
      <c r="B98" s="375" t="str">
        <f>+'q12'!$A$22</f>
        <v>Vila Real</v>
      </c>
      <c r="C98" s="373">
        <f>+'q12'!$B$22</f>
        <v>28668</v>
      </c>
      <c r="D98" s="373">
        <f>+'q12'!$C$22</f>
        <v>28520</v>
      </c>
      <c r="E98" s="373">
        <f>+'q12'!$D$22</f>
        <v>28912</v>
      </c>
      <c r="F98" s="373">
        <f>+'q12'!$E$22</f>
        <v>30088</v>
      </c>
      <c r="G98" s="373">
        <f>+'q12'!$F$22</f>
        <v>30474</v>
      </c>
      <c r="H98" s="373">
        <f>+'q12'!$G$22</f>
        <v>32127</v>
      </c>
      <c r="I98" s="373">
        <f>+'q12'!$H$22</f>
        <v>33024</v>
      </c>
      <c r="J98" s="373">
        <f>+'q12'!$I$22</f>
        <v>33808</v>
      </c>
      <c r="K98" s="373">
        <f>+'q12'!$J$22</f>
        <v>33688</v>
      </c>
      <c r="L98" s="373">
        <f>+'q12'!$K$22</f>
        <v>34125</v>
      </c>
      <c r="M98" s="373">
        <f>+'q12'!$L$22</f>
        <v>35875</v>
      </c>
      <c r="N98" s="373">
        <f t="shared" si="25"/>
        <v>7207</v>
      </c>
    </row>
    <row r="99" spans="1:55">
      <c r="B99" s="375" t="str">
        <f>+'q12'!$A$23</f>
        <v>Viseu</v>
      </c>
      <c r="C99" s="373">
        <f>+'q12'!$B$23</f>
        <v>67651</v>
      </c>
      <c r="D99" s="373">
        <f>+'q12'!$C$23</f>
        <v>67692</v>
      </c>
      <c r="E99" s="373">
        <f>+'q12'!$D$23</f>
        <v>69006</v>
      </c>
      <c r="F99" s="373">
        <f>+'q12'!$E$23</f>
        <v>71421</v>
      </c>
      <c r="G99" s="373">
        <f>+'q12'!$F$23</f>
        <v>74659</v>
      </c>
      <c r="H99" s="373">
        <f>+'q12'!$G$23</f>
        <v>78428</v>
      </c>
      <c r="I99" s="373">
        <f>+'q12'!$H$23</f>
        <v>81948</v>
      </c>
      <c r="J99" s="373">
        <f>+'q12'!$I$23</f>
        <v>84583</v>
      </c>
      <c r="K99" s="373">
        <f>+'q12'!$J$23</f>
        <v>85158</v>
      </c>
      <c r="L99" s="373">
        <f>+'q12'!$K$23</f>
        <v>85989</v>
      </c>
      <c r="M99" s="373">
        <f>+'q12'!$L$23</f>
        <v>92990</v>
      </c>
      <c r="N99" s="373">
        <f t="shared" si="25"/>
        <v>25339</v>
      </c>
    </row>
    <row r="100" spans="1:55">
      <c r="B100" s="375" t="s">
        <v>14</v>
      </c>
      <c r="C100" s="373">
        <f>+'q12'!$B$5</f>
        <v>2387386</v>
      </c>
      <c r="D100" s="373">
        <f>+'q12'!$C$5</f>
        <v>2384121</v>
      </c>
      <c r="E100" s="373">
        <f>+'q12'!$D$5</f>
        <v>2458163</v>
      </c>
      <c r="F100" s="373">
        <f>+'q12'!$E$5</f>
        <v>2537653</v>
      </c>
      <c r="G100" s="373">
        <f>+'q12'!$F$5</f>
        <v>2641919</v>
      </c>
      <c r="H100" s="373">
        <f>+'q12'!$G$5</f>
        <v>2767521</v>
      </c>
      <c r="I100" s="373">
        <f>+'q12'!$H$5</f>
        <v>2877918</v>
      </c>
      <c r="J100" s="373">
        <f>+'q12'!$I$5</f>
        <v>2930482</v>
      </c>
      <c r="K100" s="373">
        <f>+'q12'!$J$5</f>
        <v>2902825</v>
      </c>
      <c r="L100" s="373">
        <f>+'q12'!$K$5</f>
        <v>2922343</v>
      </c>
      <c r="M100" s="373">
        <f>+'q12'!$L$5</f>
        <v>3148147</v>
      </c>
      <c r="N100" s="373">
        <f t="shared" si="25"/>
        <v>760761</v>
      </c>
      <c r="S100" s="373" t="str">
        <f>INDEX($A$2:$A$19,$Q$2)</f>
        <v>Lisboa</v>
      </c>
    </row>
    <row r="101" spans="1:55" ht="13.5" thickBot="1">
      <c r="A101" s="375" t="s">
        <v>346</v>
      </c>
      <c r="C101" s="377">
        <f>+'q19'!$B$4</f>
        <v>2012</v>
      </c>
      <c r="D101" s="377">
        <f>+'q19'!$C$4</f>
        <v>2013</v>
      </c>
      <c r="E101" s="377">
        <f>+'q19'!$D$4</f>
        <v>2014</v>
      </c>
      <c r="F101" s="377">
        <f>+'q19'!$E$4</f>
        <v>2015</v>
      </c>
      <c r="G101" s="377">
        <f>+'q19'!$F$4</f>
        <v>2016</v>
      </c>
      <c r="H101" s="377">
        <f>+'q19'!$G$4</f>
        <v>2017</v>
      </c>
      <c r="I101" s="377">
        <f>+'q19'!$H$4</f>
        <v>2018</v>
      </c>
      <c r="J101" s="377">
        <f>+'q19'!$I$4</f>
        <v>2019</v>
      </c>
      <c r="K101" s="377">
        <f>+'q19'!$J$4</f>
        <v>2020</v>
      </c>
      <c r="L101" s="377">
        <f>+'q19'!$K$4</f>
        <v>2021</v>
      </c>
      <c r="M101" s="377">
        <f>+'q19'!$L$4</f>
        <v>2022</v>
      </c>
      <c r="N101" s="373">
        <f t="shared" si="25"/>
        <v>10</v>
      </c>
      <c r="T101" s="6">
        <f>+'q19'!B$4</f>
        <v>2012</v>
      </c>
      <c r="U101" s="6">
        <f>+'q19'!C$4</f>
        <v>2013</v>
      </c>
      <c r="V101" s="6">
        <f>+'q19'!D$4</f>
        <v>2014</v>
      </c>
      <c r="W101" s="6">
        <f>+'q19'!E$4</f>
        <v>2015</v>
      </c>
      <c r="X101" s="6">
        <f>+'q19'!F$4</f>
        <v>2016</v>
      </c>
      <c r="Y101" s="6">
        <f>+'q19'!G$4</f>
        <v>2017</v>
      </c>
      <c r="Z101" s="6">
        <f>+'q19'!H$4</f>
        <v>2018</v>
      </c>
      <c r="AA101" s="6">
        <f>+'q19'!I$4</f>
        <v>2019</v>
      </c>
      <c r="AB101" s="6">
        <f>+'q19'!J$4</f>
        <v>2020</v>
      </c>
      <c r="AC101" s="6">
        <f>+'q19'!K$4</f>
        <v>2021</v>
      </c>
      <c r="AD101" s="6">
        <f>+'q19'!L$4</f>
        <v>2022</v>
      </c>
      <c r="AF101" s="341" t="s">
        <v>297</v>
      </c>
      <c r="AG101" s="341" t="s">
        <v>298</v>
      </c>
      <c r="BC101" s="429"/>
    </row>
    <row r="102" spans="1:55" ht="13.5" thickTop="1">
      <c r="B102" s="375" t="str">
        <f>+'q19'!$A$6</f>
        <v>Aveiro</v>
      </c>
      <c r="C102" s="378">
        <f>+'q19'!$B$6</f>
        <v>814.04086857411801</v>
      </c>
      <c r="D102" s="378">
        <f>+'q19'!$C$6</f>
        <v>814.32212032682708</v>
      </c>
      <c r="E102" s="378">
        <f>+'q19'!$D$6</f>
        <v>822.65482247798707</v>
      </c>
      <c r="F102" s="378">
        <f>+'q19'!$E$6</f>
        <v>833.47621656852607</v>
      </c>
      <c r="G102" s="378">
        <f>+'q19'!$F$6</f>
        <v>848.24619959365202</v>
      </c>
      <c r="H102" s="378">
        <f>+'q19'!$G$6</f>
        <v>866.16639225268409</v>
      </c>
      <c r="I102" s="378">
        <f>+'q19'!$H$6</f>
        <v>898.44652733664407</v>
      </c>
      <c r="J102" s="378">
        <f>+'q19'!$I$6</f>
        <v>933.567989602804</v>
      </c>
      <c r="K102" s="378">
        <f>+'q19'!$J$6</f>
        <v>962.64234393580011</v>
      </c>
      <c r="L102" s="378">
        <f>+'q19'!$K$6</f>
        <v>993.47741240526011</v>
      </c>
      <c r="M102" s="378">
        <f>+'q19'!$L$6</f>
        <v>1052.7972743375899</v>
      </c>
      <c r="N102" s="373">
        <f t="shared" si="25"/>
        <v>238.75640576347189</v>
      </c>
      <c r="S102" s="345" t="s">
        <v>352</v>
      </c>
      <c r="T102" s="379">
        <f t="shared" ref="T102:AD102" si="26">VLOOKUP($S$100,$B$101:$M$119,COLUMN(C102)-1,0)</f>
        <v>1167.6580160847802</v>
      </c>
      <c r="U102" s="379">
        <f t="shared" si="26"/>
        <v>1160.86936374842</v>
      </c>
      <c r="V102" s="379">
        <f t="shared" si="26"/>
        <v>1150.4698448745501</v>
      </c>
      <c r="W102" s="379">
        <f t="shared" si="26"/>
        <v>1151.63595646608</v>
      </c>
      <c r="X102" s="379">
        <f t="shared" si="26"/>
        <v>1155.93299539847</v>
      </c>
      <c r="Y102" s="379">
        <f t="shared" si="26"/>
        <v>1171.8790741674702</v>
      </c>
      <c r="Z102" s="379">
        <f t="shared" si="26"/>
        <v>1194.2196335718302</v>
      </c>
      <c r="AA102" s="379">
        <f t="shared" si="26"/>
        <v>1230.1318842360802</v>
      </c>
      <c r="AB102" s="379">
        <f t="shared" si="26"/>
        <v>1266.69296096934</v>
      </c>
      <c r="AC102" s="379">
        <f t="shared" si="26"/>
        <v>1312.06898770012</v>
      </c>
      <c r="AD102" s="379">
        <f t="shared" si="26"/>
        <v>1388.3698339134201</v>
      </c>
      <c r="AE102" s="385" t="str">
        <f>TEXT(AD102,"##.###,0")</f>
        <v>1.388,4</v>
      </c>
      <c r="AF102" s="347">
        <f>+(AD102/AC102-1)</f>
        <v>5.8153074974392149E-2</v>
      </c>
      <c r="AG102" s="347">
        <f>+(AD102/T102-1)</f>
        <v>0.18902094173831685</v>
      </c>
      <c r="AH102" s="394">
        <f>+AD102-T102</f>
        <v>220.71181782863982</v>
      </c>
      <c r="AI102" s="373" t="str">
        <f>IF(AH102&gt;0,", mais",", menos")</f>
        <v>, mais</v>
      </c>
      <c r="AJ102" s="387">
        <f>IF(AH102&gt;0,AH102,AH102*-1)</f>
        <v>220.71181782863982</v>
      </c>
      <c r="BC102" s="429"/>
    </row>
    <row r="103" spans="1:55">
      <c r="B103" s="375" t="str">
        <f>+'q19'!$A$7</f>
        <v>Beja</v>
      </c>
      <c r="C103" s="378">
        <f>+'q19'!$B$7</f>
        <v>763.24835811452112</v>
      </c>
      <c r="D103" s="378">
        <f>+'q19'!$C$7</f>
        <v>768.28900669994198</v>
      </c>
      <c r="E103" s="378">
        <f>+'q19'!$D$7</f>
        <v>766.65191729653702</v>
      </c>
      <c r="F103" s="378">
        <f>+'q19'!$E$7</f>
        <v>771.56351129106304</v>
      </c>
      <c r="G103" s="378">
        <f>+'q19'!$F$7</f>
        <v>774.7519727973521</v>
      </c>
      <c r="H103" s="378">
        <f>+'q19'!$G$7</f>
        <v>798.43359179550907</v>
      </c>
      <c r="I103" s="378">
        <f>+'q19'!$H$7</f>
        <v>825.41418479278207</v>
      </c>
      <c r="J103" s="378">
        <f>+'q19'!$I$7</f>
        <v>846.77599739526806</v>
      </c>
      <c r="K103" s="378">
        <f>+'q19'!$J$7</f>
        <v>870.723383406685</v>
      </c>
      <c r="L103" s="378">
        <f>+'q19'!$K$7</f>
        <v>905.26368882292707</v>
      </c>
      <c r="M103" s="378">
        <f>+'q19'!$L$7</f>
        <v>947.74026093299312</v>
      </c>
      <c r="N103" s="373">
        <f t="shared" si="25"/>
        <v>184.491902818472</v>
      </c>
      <c r="S103" s="345" t="s">
        <v>353</v>
      </c>
      <c r="T103" s="380">
        <f t="shared" ref="T103:AD103" si="27">VLOOKUP($S$100,$B$121:$M$139,COLUMN(C122)-1,0)</f>
        <v>1405.9388575032701</v>
      </c>
      <c r="U103" s="380">
        <f t="shared" si="27"/>
        <v>1399.09217671998</v>
      </c>
      <c r="V103" s="380">
        <f t="shared" si="27"/>
        <v>1392.4169824671101</v>
      </c>
      <c r="W103" s="380">
        <f t="shared" si="27"/>
        <v>1391.1672518277201</v>
      </c>
      <c r="X103" s="380">
        <f t="shared" si="27"/>
        <v>1395.7455929932601</v>
      </c>
      <c r="Y103" s="380">
        <f t="shared" si="27"/>
        <v>1416.5629019995702</v>
      </c>
      <c r="Z103" s="380">
        <f t="shared" si="27"/>
        <v>1449.4349569758201</v>
      </c>
      <c r="AA103" s="380">
        <f t="shared" si="27"/>
        <v>1487.75002061441</v>
      </c>
      <c r="AB103" s="380">
        <f t="shared" si="27"/>
        <v>1526.7734244358101</v>
      </c>
      <c r="AC103" s="380">
        <f t="shared" si="27"/>
        <v>1576.1486947511598</v>
      </c>
      <c r="AD103" s="380">
        <f t="shared" si="27"/>
        <v>1668.91834858224</v>
      </c>
      <c r="AE103" s="385" t="str">
        <f>TEXT(AD103,"##.###,0")</f>
        <v>1.668,9</v>
      </c>
      <c r="AF103" s="347">
        <f>+(AD103/AC103-1)</f>
        <v>5.8858440285500135E-2</v>
      </c>
      <c r="AG103" s="347">
        <f>+(AD103/T103-1)</f>
        <v>0.18704902398528245</v>
      </c>
      <c r="AH103" s="394">
        <f>+AD103-T103</f>
        <v>262.97949107896989</v>
      </c>
      <c r="AI103" s="373" t="str">
        <f>IF(AH103&gt;0,", mais",", menos")</f>
        <v>, mais</v>
      </c>
      <c r="AJ103" s="387">
        <f>IF(AH103&gt;0,AH103,AH103*-1)</f>
        <v>262.97949107896989</v>
      </c>
      <c r="BC103" s="429"/>
    </row>
    <row r="104" spans="1:55">
      <c r="B104" s="375" t="str">
        <f>+'q19'!$A$8</f>
        <v>Braga</v>
      </c>
      <c r="C104" s="378">
        <f>+'q19'!$B$8</f>
        <v>733.04839275631207</v>
      </c>
      <c r="D104" s="378">
        <f>+'q19'!$C$8</f>
        <v>732.12397412125608</v>
      </c>
      <c r="E104" s="378">
        <f>+'q19'!$D$8</f>
        <v>739.18011428445107</v>
      </c>
      <c r="F104" s="378">
        <f>+'q19'!$E$8</f>
        <v>743.71596674791601</v>
      </c>
      <c r="G104" s="378">
        <f>+'q19'!$F$8</f>
        <v>761.02360793718697</v>
      </c>
      <c r="H104" s="378">
        <f>+'q19'!$G$8</f>
        <v>787.64607867219115</v>
      </c>
      <c r="I104" s="378">
        <f>+'q19'!$H$8</f>
        <v>818.10755215690006</v>
      </c>
      <c r="J104" s="378">
        <f>+'q19'!$I$8</f>
        <v>855.13970360862209</v>
      </c>
      <c r="K104" s="378">
        <f>+'q19'!$J$8</f>
        <v>897.25287991757614</v>
      </c>
      <c r="L104" s="378">
        <f>+'q19'!$K$8</f>
        <v>943.6080715686511</v>
      </c>
      <c r="M104" s="378">
        <f>+'q19'!$L$8</f>
        <v>988.00150691903912</v>
      </c>
      <c r="N104" s="373">
        <f t="shared" si="25"/>
        <v>254.95311416272705</v>
      </c>
      <c r="BC104" s="429"/>
    </row>
    <row r="105" spans="1:55">
      <c r="B105" s="375" t="str">
        <f>+'q19'!$A$9</f>
        <v>Bragança</v>
      </c>
      <c r="C105" s="378">
        <f>+'q19'!$B$9</f>
        <v>702.44470030298999</v>
      </c>
      <c r="D105" s="378">
        <f>+'q19'!$C$9</f>
        <v>715.55134097035011</v>
      </c>
      <c r="E105" s="378">
        <f>+'q19'!$D$9</f>
        <v>706.01042858090602</v>
      </c>
      <c r="F105" s="378">
        <f>+'q19'!$E$9</f>
        <v>708.22745568300297</v>
      </c>
      <c r="G105" s="378">
        <f>+'q19'!$F$9</f>
        <v>726.97779831180503</v>
      </c>
      <c r="H105" s="378">
        <f>+'q19'!$G$9</f>
        <v>745.82629187817315</v>
      </c>
      <c r="I105" s="378">
        <f>+'q19'!$H$9</f>
        <v>766.61063185121304</v>
      </c>
      <c r="J105" s="378">
        <f>+'q19'!$I$9</f>
        <v>793.80467814135307</v>
      </c>
      <c r="K105" s="378">
        <f>+'q19'!$J$9</f>
        <v>827.35869379940698</v>
      </c>
      <c r="L105" s="378">
        <f>+'q19'!$K$9</f>
        <v>858.77248238153106</v>
      </c>
      <c r="M105" s="378">
        <f>+'q19'!$L$9</f>
        <v>892.75012004236817</v>
      </c>
      <c r="N105" s="373">
        <f t="shared" si="25"/>
        <v>190.30541973937818</v>
      </c>
      <c r="AG105" s="397">
        <f>+(AD102/T102-1)*100</f>
        <v>18.902094173831685</v>
      </c>
      <c r="BC105" s="429"/>
    </row>
    <row r="106" spans="1:55">
      <c r="B106" s="375" t="str">
        <f>+'q19'!$A$10</f>
        <v>Castelo Branco</v>
      </c>
      <c r="C106" s="378">
        <f>+'q19'!$B$10</f>
        <v>710.93857245656704</v>
      </c>
      <c r="D106" s="378">
        <f>+'q19'!$C$10</f>
        <v>714.41865989236715</v>
      </c>
      <c r="E106" s="378">
        <f>+'q19'!$D$10</f>
        <v>720.73257118528602</v>
      </c>
      <c r="F106" s="378">
        <f>+'q19'!$E$10</f>
        <v>727.47418887026697</v>
      </c>
      <c r="G106" s="378">
        <f>+'q19'!$F$10</f>
        <v>746.22250849300212</v>
      </c>
      <c r="H106" s="378">
        <f>+'q19'!$G$10</f>
        <v>764.31757621643396</v>
      </c>
      <c r="I106" s="378">
        <f>+'q19'!$H$10</f>
        <v>784.67502689297612</v>
      </c>
      <c r="J106" s="378">
        <f>+'q19'!$I$10</f>
        <v>816.48797818902813</v>
      </c>
      <c r="K106" s="378">
        <f>+'q19'!$J$10</f>
        <v>854.54879239097011</v>
      </c>
      <c r="L106" s="378">
        <f>+'q19'!$K$10</f>
        <v>893.36371952050104</v>
      </c>
      <c r="M106" s="378">
        <f>+'q19'!$L$10</f>
        <v>932.85300061654311</v>
      </c>
      <c r="N106" s="373">
        <f t="shared" si="25"/>
        <v>221.91442815997607</v>
      </c>
      <c r="AA106" s="393" t="s">
        <v>369</v>
      </c>
      <c r="AG106" s="397">
        <f>+(AD103/T103-1)*100</f>
        <v>18.704902398528244</v>
      </c>
      <c r="BC106" s="429"/>
    </row>
    <row r="107" spans="1:55">
      <c r="B107" s="375" t="str">
        <f>+'q19'!$A$11</f>
        <v>Coimbra</v>
      </c>
      <c r="C107" s="378">
        <f>+'q19'!$B$11</f>
        <v>812.1180321302071</v>
      </c>
      <c r="D107" s="378">
        <f>+'q19'!$C$11</f>
        <v>816.6465485115051</v>
      </c>
      <c r="E107" s="378">
        <f>+'q19'!$D$11</f>
        <v>802.90606423090003</v>
      </c>
      <c r="F107" s="378">
        <f>+'q19'!$E$11</f>
        <v>802.07598060838711</v>
      </c>
      <c r="G107" s="378">
        <f>+'q19'!$F$11</f>
        <v>816.40504654292613</v>
      </c>
      <c r="H107" s="378">
        <f>+'q19'!$G$11</f>
        <v>834.24928808467109</v>
      </c>
      <c r="I107" s="378">
        <f>+'q19'!$H$11</f>
        <v>862.98138061357599</v>
      </c>
      <c r="J107" s="378">
        <f>+'q19'!$I$11</f>
        <v>896.41803716406298</v>
      </c>
      <c r="K107" s="378">
        <f>+'q19'!$J$11</f>
        <v>924.3968412620651</v>
      </c>
      <c r="L107" s="378">
        <f>+'q19'!$K$11</f>
        <v>969.39124593846498</v>
      </c>
      <c r="M107" s="378">
        <f>+'q19'!$L$11</f>
        <v>1016.0729735121099</v>
      </c>
      <c r="N107" s="373">
        <f t="shared" si="25"/>
        <v>203.95494138190281</v>
      </c>
      <c r="BC107" s="429"/>
    </row>
    <row r="108" spans="1:55">
      <c r="B108" s="375" t="str">
        <f>+'q19'!$A$12</f>
        <v>Évora</v>
      </c>
      <c r="C108" s="378">
        <f>+'q19'!$B$12</f>
        <v>782.2058064269321</v>
      </c>
      <c r="D108" s="378">
        <f>+'q19'!$C$12</f>
        <v>789.16583271994693</v>
      </c>
      <c r="E108" s="378">
        <f>+'q19'!$D$12</f>
        <v>791.90848027258301</v>
      </c>
      <c r="F108" s="378">
        <f>+'q19'!$E$12</f>
        <v>796.54554832782105</v>
      </c>
      <c r="G108" s="378">
        <f>+'q19'!$F$12</f>
        <v>804.01786004498308</v>
      </c>
      <c r="H108" s="378">
        <f>+'q19'!$G$12</f>
        <v>819.60018360678998</v>
      </c>
      <c r="I108" s="378">
        <f>+'q19'!$H$12</f>
        <v>839.16181474480209</v>
      </c>
      <c r="J108" s="378">
        <f>+'q19'!$I$12</f>
        <v>861.12811243331998</v>
      </c>
      <c r="K108" s="378">
        <f>+'q19'!$J$12</f>
        <v>898.00852296249502</v>
      </c>
      <c r="L108" s="378">
        <f>+'q19'!$K$12</f>
        <v>931.83232782701702</v>
      </c>
      <c r="M108" s="378">
        <f>+'q19'!$L$12</f>
        <v>984.10746899954609</v>
      </c>
      <c r="N108" s="373">
        <f t="shared" si="25"/>
        <v>201.90166257261399</v>
      </c>
      <c r="AA108" s="373">
        <f>+AD101</f>
        <v>2022</v>
      </c>
      <c r="AB108" s="373" t="s">
        <v>506</v>
      </c>
      <c r="AC108" s="373" t="s">
        <v>516</v>
      </c>
      <c r="BC108" s="429"/>
    </row>
    <row r="109" spans="1:55" ht="12.75" customHeight="1">
      <c r="B109" s="375" t="str">
        <f>+'q19'!$A$13</f>
        <v>Faro</v>
      </c>
      <c r="C109" s="378">
        <f>+'q19'!$B$13</f>
        <v>790.6002577683621</v>
      </c>
      <c r="D109" s="378">
        <f>+'q19'!$C$13</f>
        <v>785.86960122626203</v>
      </c>
      <c r="E109" s="378">
        <f>+'q19'!$D$13</f>
        <v>780.52258650459305</v>
      </c>
      <c r="F109" s="378">
        <f>+'q19'!$E$13</f>
        <v>781.12469577959496</v>
      </c>
      <c r="G109" s="378">
        <f>+'q19'!$F$13</f>
        <v>793.75555532098804</v>
      </c>
      <c r="H109" s="378">
        <f>+'q19'!$G$13</f>
        <v>810.98580678129701</v>
      </c>
      <c r="I109" s="378">
        <f>+'q19'!$H$13</f>
        <v>836.08858210028609</v>
      </c>
      <c r="J109" s="378">
        <f>+'q19'!$I$13</f>
        <v>861.14538818491701</v>
      </c>
      <c r="K109" s="378">
        <f>+'q19'!$J$13</f>
        <v>897.182116421091</v>
      </c>
      <c r="L109" s="378">
        <f>+'q19'!$K$13</f>
        <v>928.44039553929315</v>
      </c>
      <c r="M109" s="378">
        <f>+'q19'!$L$13</f>
        <v>965.82601351644109</v>
      </c>
      <c r="N109" s="373">
        <f t="shared" si="25"/>
        <v>175.225755748079</v>
      </c>
      <c r="AA109" s="373" t="s">
        <v>390</v>
      </c>
      <c r="AB109" s="373" t="str">
        <f>+S100</f>
        <v>Lisboa</v>
      </c>
      <c r="AE109" s="590" t="str">
        <f>CONCATENATE(AA108,AB108,CHAR(10),AC108," ",S100,AA110,AE102,AA112,AB113,AA114,AI102," ",AB116,AA117,AE103,AA119,AB120,AA121,AI103," ",AB123," ",AA124)</f>
        <v>2022:
No distrito de Lisboa a remuneração média mensal base era de 1.388,4 euros (18,9%, ou seja, mais 220,7 euros que em 2012) e de 1.668,9 euros a remuneração média mensal ganho (18,7%, mais 263,0 euros em 2012).</v>
      </c>
      <c r="AF109" s="590"/>
      <c r="AG109" s="590"/>
      <c r="AH109" s="590"/>
      <c r="AI109" s="590"/>
      <c r="BC109" s="429"/>
    </row>
    <row r="110" spans="1:55">
      <c r="B110" s="375" t="str">
        <f>+'q19'!$A$14</f>
        <v>Guarda</v>
      </c>
      <c r="C110" s="378">
        <f>+'q19'!$B$14</f>
        <v>694.57855928350602</v>
      </c>
      <c r="D110" s="378">
        <f>+'q19'!$C$14</f>
        <v>689.493036023797</v>
      </c>
      <c r="E110" s="378">
        <f>+'q19'!$D$14</f>
        <v>700.01182138551394</v>
      </c>
      <c r="F110" s="378">
        <f>+'q19'!$E$14</f>
        <v>704.54793201262805</v>
      </c>
      <c r="G110" s="378">
        <f>+'q19'!$F$14</f>
        <v>721.53267898797799</v>
      </c>
      <c r="H110" s="378">
        <f>+'q19'!$G$14</f>
        <v>744.132647548161</v>
      </c>
      <c r="I110" s="378">
        <f>+'q19'!$H$14</f>
        <v>769.55114462756603</v>
      </c>
      <c r="J110" s="378">
        <f>+'q19'!$I$14</f>
        <v>795.04389444831202</v>
      </c>
      <c r="K110" s="378">
        <f>+'q19'!$J$14</f>
        <v>826.99627556977907</v>
      </c>
      <c r="L110" s="378">
        <f>+'q19'!$K$14</f>
        <v>864.42162057401708</v>
      </c>
      <c r="M110" s="378">
        <f>+'q19'!$L$14</f>
        <v>905.20674300469909</v>
      </c>
      <c r="N110" s="373">
        <f t="shared" si="25"/>
        <v>210.62818372119307</v>
      </c>
      <c r="AA110" s="373" t="s">
        <v>395</v>
      </c>
      <c r="AE110" s="590"/>
      <c r="AF110" s="590"/>
      <c r="AG110" s="590"/>
      <c r="AH110" s="590"/>
      <c r="AI110" s="590"/>
      <c r="BC110" s="429"/>
    </row>
    <row r="111" spans="1:55">
      <c r="B111" s="375" t="str">
        <f>+'q19'!$A$15</f>
        <v>Leiria</v>
      </c>
      <c r="C111" s="378">
        <f>+'q19'!$B$15</f>
        <v>792.19349937652498</v>
      </c>
      <c r="D111" s="378">
        <f>+'q19'!$C$15</f>
        <v>788.75951120712898</v>
      </c>
      <c r="E111" s="378">
        <f>+'q19'!$D$15</f>
        <v>794.28739505667909</v>
      </c>
      <c r="F111" s="378">
        <f>+'q19'!$E$15</f>
        <v>799.94521429660904</v>
      </c>
      <c r="G111" s="378">
        <f>+'q19'!$F$15</f>
        <v>815.09836307576404</v>
      </c>
      <c r="H111" s="378">
        <f>+'q19'!$G$15</f>
        <v>833.68045279035312</v>
      </c>
      <c r="I111" s="378">
        <f>+'q19'!$H$15</f>
        <v>861.01912379943917</v>
      </c>
      <c r="J111" s="378">
        <f>+'q19'!$I$15</f>
        <v>887.38140267370704</v>
      </c>
      <c r="K111" s="378">
        <f>+'q19'!$J$15</f>
        <v>918.07984009793813</v>
      </c>
      <c r="L111" s="378">
        <f>+'q19'!$K$15</f>
        <v>961.20841721487614</v>
      </c>
      <c r="M111" s="378">
        <f>+'q19'!$L$15</f>
        <v>1007.35363342332</v>
      </c>
      <c r="N111" s="373">
        <f t="shared" si="25"/>
        <v>215.16013404679506</v>
      </c>
      <c r="AA111" s="373" t="s">
        <v>389</v>
      </c>
      <c r="AB111" s="399" t="str">
        <f>+AE102</f>
        <v>1.388,4</v>
      </c>
      <c r="AE111" s="590"/>
      <c r="AF111" s="590"/>
      <c r="AG111" s="590"/>
      <c r="AH111" s="590"/>
      <c r="AI111" s="590"/>
      <c r="BC111" s="429"/>
    </row>
    <row r="112" spans="1:55">
      <c r="B112" s="375" t="str">
        <f>+'q19'!$A$16</f>
        <v>Lisboa</v>
      </c>
      <c r="C112" s="378">
        <f>+'q19'!$B$16</f>
        <v>1167.6580160847802</v>
      </c>
      <c r="D112" s="378">
        <f>+'q19'!$C$16</f>
        <v>1160.86936374842</v>
      </c>
      <c r="E112" s="378">
        <f>+'q19'!$D$16</f>
        <v>1150.4698448745501</v>
      </c>
      <c r="F112" s="378">
        <f>+'q19'!$E$16</f>
        <v>1151.63595646608</v>
      </c>
      <c r="G112" s="378">
        <f>+'q19'!$F$16</f>
        <v>1155.93299539847</v>
      </c>
      <c r="H112" s="378">
        <f>+'q19'!$G$16</f>
        <v>1171.8790741674702</v>
      </c>
      <c r="I112" s="378">
        <f>+'q19'!$H$16</f>
        <v>1194.2196335718302</v>
      </c>
      <c r="J112" s="378">
        <f>+'q19'!$I$16</f>
        <v>1230.1318842360802</v>
      </c>
      <c r="K112" s="378">
        <f>+'q19'!$J$16</f>
        <v>1266.69296096934</v>
      </c>
      <c r="L112" s="378">
        <f>+'q19'!$K$16</f>
        <v>1312.06898770012</v>
      </c>
      <c r="M112" s="378">
        <f>+'q19'!$L$16</f>
        <v>1388.3698339134201</v>
      </c>
      <c r="N112" s="373">
        <f t="shared" si="25"/>
        <v>220.71181782863982</v>
      </c>
      <c r="AA112" s="373" t="s">
        <v>391</v>
      </c>
      <c r="AE112" s="590"/>
      <c r="AF112" s="590"/>
      <c r="AG112" s="590"/>
      <c r="AH112" s="590"/>
      <c r="AI112" s="590"/>
      <c r="BC112" s="429"/>
    </row>
    <row r="113" spans="1:55">
      <c r="B113" s="375" t="str">
        <f>+'q19'!$A$17</f>
        <v>Portalegre</v>
      </c>
      <c r="C113" s="378">
        <f>+'q19'!$B$17</f>
        <v>755.4183697403181</v>
      </c>
      <c r="D113" s="378">
        <f>+'q19'!$C$17</f>
        <v>750.1532035595111</v>
      </c>
      <c r="E113" s="378">
        <f>+'q19'!$D$17</f>
        <v>754.22184279021303</v>
      </c>
      <c r="F113" s="378">
        <f>+'q19'!$E$17</f>
        <v>755.70994773741211</v>
      </c>
      <c r="G113" s="378">
        <f>+'q19'!$F$17</f>
        <v>767.83196906199908</v>
      </c>
      <c r="H113" s="378">
        <f>+'q19'!$G$17</f>
        <v>783.58564020717904</v>
      </c>
      <c r="I113" s="378">
        <f>+'q19'!$H$17</f>
        <v>805.96255195599008</v>
      </c>
      <c r="J113" s="378">
        <f>+'q19'!$I$17</f>
        <v>828.76150024325011</v>
      </c>
      <c r="K113" s="378">
        <f>+'q19'!$J$17</f>
        <v>863.38273371624098</v>
      </c>
      <c r="L113" s="378">
        <f>+'q19'!$K$17</f>
        <v>899.36013867586894</v>
      </c>
      <c r="M113" s="378">
        <f>+'q19'!$L$17</f>
        <v>939.134315018758</v>
      </c>
      <c r="N113" s="373">
        <f t="shared" si="25"/>
        <v>183.7159452784399</v>
      </c>
      <c r="AA113" s="373" t="s">
        <v>392</v>
      </c>
      <c r="AB113" s="397">
        <f>ROUND(AG105,1)</f>
        <v>18.899999999999999</v>
      </c>
      <c r="AE113" s="590"/>
      <c r="AF113" s="590"/>
      <c r="AG113" s="590"/>
      <c r="AH113" s="590"/>
      <c r="AI113" s="590"/>
      <c r="BC113" s="429"/>
    </row>
    <row r="114" spans="1:55">
      <c r="B114" s="375" t="str">
        <f>+'q19'!$A$18</f>
        <v>Porto</v>
      </c>
      <c r="C114" s="378">
        <f>+'q19'!$B$18</f>
        <v>868.82706318074304</v>
      </c>
      <c r="D114" s="378">
        <f>+'q19'!$C$18</f>
        <v>870.78390462603909</v>
      </c>
      <c r="E114" s="378">
        <f>+'q19'!$D$18</f>
        <v>870.07515649366599</v>
      </c>
      <c r="F114" s="378">
        <f>+'q19'!$E$18</f>
        <v>879.09111754373509</v>
      </c>
      <c r="G114" s="378">
        <f>+'q19'!$F$18</f>
        <v>891.71007283776407</v>
      </c>
      <c r="H114" s="378">
        <f>+'q19'!$G$18</f>
        <v>908.24950197802696</v>
      </c>
      <c r="I114" s="378">
        <f>+'q19'!$H$18</f>
        <v>944.91945456281496</v>
      </c>
      <c r="J114" s="378">
        <f>+'q19'!$I$18</f>
        <v>983.5025545794681</v>
      </c>
      <c r="K114" s="378">
        <f>+'q19'!$J$18</f>
        <v>1030.3435518030101</v>
      </c>
      <c r="L114" s="378">
        <f>+'q19'!$K$18</f>
        <v>1072.1580746769</v>
      </c>
      <c r="M114" s="378">
        <f>+'q19'!$L$18</f>
        <v>1135.72575816629</v>
      </c>
      <c r="N114" s="373">
        <f t="shared" si="25"/>
        <v>266.89869498554697</v>
      </c>
      <c r="AA114" s="373" t="s">
        <v>374</v>
      </c>
      <c r="AE114" s="590"/>
      <c r="AF114" s="590"/>
      <c r="AG114" s="590"/>
      <c r="AH114" s="590"/>
      <c r="AI114" s="590"/>
      <c r="BC114" s="429"/>
    </row>
    <row r="115" spans="1:55">
      <c r="B115" s="375" t="str">
        <f>+'q19'!$A$19</f>
        <v>Santarém</v>
      </c>
      <c r="C115" s="378">
        <f>+'q19'!$B$19</f>
        <v>783.44995652838213</v>
      </c>
      <c r="D115" s="378">
        <f>+'q19'!$C$19</f>
        <v>783.970542908673</v>
      </c>
      <c r="E115" s="378">
        <f>+'q19'!$D$19</f>
        <v>786.63850439100997</v>
      </c>
      <c r="F115" s="378">
        <f>+'q19'!$E$19</f>
        <v>793.64357515528002</v>
      </c>
      <c r="G115" s="378">
        <f>+'q19'!$F$19</f>
        <v>799.14794069259904</v>
      </c>
      <c r="H115" s="378">
        <f>+'q19'!$G$19</f>
        <v>823.02580456725002</v>
      </c>
      <c r="I115" s="378">
        <f>+'q19'!$H$19</f>
        <v>842.949313592321</v>
      </c>
      <c r="J115" s="378">
        <f>+'q19'!$I$19</f>
        <v>867.34102856775201</v>
      </c>
      <c r="K115" s="378">
        <f>+'q19'!$J$19</f>
        <v>899.19370357138098</v>
      </c>
      <c r="L115" s="378">
        <f>+'q19'!$K$19</f>
        <v>933.03086560395195</v>
      </c>
      <c r="M115" s="378">
        <f>+'q19'!$L$19</f>
        <v>975.11611004518909</v>
      </c>
      <c r="N115" s="373">
        <f t="shared" si="25"/>
        <v>191.66615351680696</v>
      </c>
      <c r="AA115" s="373" t="s">
        <v>393</v>
      </c>
      <c r="AB115" s="373" t="str">
        <f>+AI102</f>
        <v>, mais</v>
      </c>
      <c r="BC115" s="429"/>
    </row>
    <row r="116" spans="1:55">
      <c r="B116" s="375" t="str">
        <f>+'q19'!$A$20</f>
        <v>Setúbal</v>
      </c>
      <c r="C116" s="378">
        <f>+'q19'!$B$20</f>
        <v>963.98564243242708</v>
      </c>
      <c r="D116" s="378">
        <f>+'q19'!$C$20</f>
        <v>951.47682952332502</v>
      </c>
      <c r="E116" s="378">
        <f>+'q19'!$D$20</f>
        <v>945.366781540479</v>
      </c>
      <c r="F116" s="378">
        <f>+'q19'!$E$20</f>
        <v>958.98408847235601</v>
      </c>
      <c r="G116" s="378">
        <f>+'q19'!$F$20</f>
        <v>979.51321544628911</v>
      </c>
      <c r="H116" s="378">
        <f>+'q19'!$G$20</f>
        <v>989.53921109868509</v>
      </c>
      <c r="I116" s="378">
        <f>+'q19'!$H$20</f>
        <v>1000.04486796398</v>
      </c>
      <c r="J116" s="378">
        <f>+'q19'!$I$20</f>
        <v>1024.4552325727302</v>
      </c>
      <c r="K116" s="378">
        <f>+'q19'!$J$20</f>
        <v>1059.24441370617</v>
      </c>
      <c r="L116" s="378">
        <f>+'q19'!$K$20</f>
        <v>1079.7417246013899</v>
      </c>
      <c r="M116" s="378">
        <f>+'q19'!$L$20</f>
        <v>1127.3913262441799</v>
      </c>
      <c r="N116" s="373">
        <f t="shared" si="25"/>
        <v>163.40568381175285</v>
      </c>
      <c r="AA116" s="373" t="s">
        <v>394</v>
      </c>
      <c r="AB116" s="394" t="str">
        <f>TEXT(AJ102,"##.###,0")</f>
        <v>220,7</v>
      </c>
      <c r="BC116" s="429"/>
    </row>
    <row r="117" spans="1:55">
      <c r="B117" s="375" t="str">
        <f>+'q19'!$A$21</f>
        <v>Viana do Castelo</v>
      </c>
      <c r="C117" s="378">
        <f>+'q19'!$B$21</f>
        <v>722.48055520348305</v>
      </c>
      <c r="D117" s="378">
        <f>+'q19'!$C$21</f>
        <v>726.57026737386104</v>
      </c>
      <c r="E117" s="378">
        <f>+'q19'!$D$21</f>
        <v>729.88665249678604</v>
      </c>
      <c r="F117" s="378">
        <f>+'q19'!$E$21</f>
        <v>741.65304225916304</v>
      </c>
      <c r="G117" s="378">
        <f>+'q19'!$F$21</f>
        <v>746.71799608418996</v>
      </c>
      <c r="H117" s="378">
        <f>+'q19'!$G$21</f>
        <v>782.27367877575693</v>
      </c>
      <c r="I117" s="378">
        <f>+'q19'!$H$21</f>
        <v>802.92211141340704</v>
      </c>
      <c r="J117" s="378">
        <f>+'q19'!$I$21</f>
        <v>834.96549839156512</v>
      </c>
      <c r="K117" s="378">
        <f>+'q19'!$J$21</f>
        <v>865.75743811257007</v>
      </c>
      <c r="L117" s="378">
        <f>+'q19'!$K$21</f>
        <v>907.38138718916798</v>
      </c>
      <c r="M117" s="378">
        <f>+'q19'!$L$21</f>
        <v>955.66561814916508</v>
      </c>
      <c r="N117" s="373">
        <f t="shared" si="25"/>
        <v>233.18506294568203</v>
      </c>
      <c r="AA117" s="373" t="s">
        <v>670</v>
      </c>
    </row>
    <row r="118" spans="1:55">
      <c r="B118" s="375" t="str">
        <f>+'q19'!$A$22</f>
        <v>Vila Real</v>
      </c>
      <c r="C118" s="378">
        <f>+'q19'!$B$22</f>
        <v>730.93516690729302</v>
      </c>
      <c r="D118" s="378">
        <f>+'q19'!$C$22</f>
        <v>737.07910256985201</v>
      </c>
      <c r="E118" s="378">
        <f>+'q19'!$D$22</f>
        <v>740.76690860215115</v>
      </c>
      <c r="F118" s="378">
        <f>+'q19'!$E$22</f>
        <v>744.13880082325306</v>
      </c>
      <c r="G118" s="378">
        <f>+'q19'!$F$22</f>
        <v>756.43071015036003</v>
      </c>
      <c r="H118" s="378">
        <f>+'q19'!$G$22</f>
        <v>776.74700216663405</v>
      </c>
      <c r="I118" s="378">
        <f>+'q19'!$H$22</f>
        <v>799.21047500776206</v>
      </c>
      <c r="J118" s="378">
        <f>+'q19'!$I$22</f>
        <v>826.76410600255394</v>
      </c>
      <c r="K118" s="378">
        <f>+'q19'!$J$22</f>
        <v>851.91765330739304</v>
      </c>
      <c r="L118" s="378">
        <f>+'q19'!$K$22</f>
        <v>878.43449570855717</v>
      </c>
      <c r="M118" s="378">
        <f>+'q19'!$L$22</f>
        <v>927.78715854618304</v>
      </c>
      <c r="N118" s="373">
        <f t="shared" si="25"/>
        <v>196.85199163889001</v>
      </c>
      <c r="AA118" s="373" t="s">
        <v>396</v>
      </c>
      <c r="AB118" s="394" t="str">
        <f>+AE103</f>
        <v>1.668,9</v>
      </c>
    </row>
    <row r="119" spans="1:55">
      <c r="B119" s="375" t="str">
        <f>+'q19'!$A$23</f>
        <v>Viseu</v>
      </c>
      <c r="C119" s="378">
        <f>+'q19'!$B$23</f>
        <v>739.66164531367804</v>
      </c>
      <c r="D119" s="378">
        <f>+'q19'!$C$23</f>
        <v>733.97896127571005</v>
      </c>
      <c r="E119" s="378">
        <f>+'q19'!$D$23</f>
        <v>734.34031194133308</v>
      </c>
      <c r="F119" s="378">
        <f>+'q19'!$E$23</f>
        <v>737.11619943671906</v>
      </c>
      <c r="G119" s="378">
        <f>+'q19'!$F$23</f>
        <v>749.63475028658411</v>
      </c>
      <c r="H119" s="378">
        <f>+'q19'!$G$23</f>
        <v>768.56595194085003</v>
      </c>
      <c r="I119" s="378">
        <f>+'q19'!$H$23</f>
        <v>793.70238375478004</v>
      </c>
      <c r="J119" s="378">
        <f>+'q19'!$I$23</f>
        <v>822.96958036140711</v>
      </c>
      <c r="K119" s="378">
        <f>+'q19'!$J$23</f>
        <v>854.3654403891461</v>
      </c>
      <c r="L119" s="378">
        <f>+'q19'!$K$23</f>
        <v>902.63237598948604</v>
      </c>
      <c r="M119" s="378">
        <f>+'q19'!$L$23</f>
        <v>932.68407294832809</v>
      </c>
      <c r="N119" s="373">
        <f t="shared" si="25"/>
        <v>193.02242763465006</v>
      </c>
      <c r="AA119" s="373" t="s">
        <v>400</v>
      </c>
    </row>
    <row r="120" spans="1:55">
      <c r="B120" s="375" t="s">
        <v>14</v>
      </c>
      <c r="C120" s="378">
        <f>+'q19'!$B$5</f>
        <v>915.01247006081212</v>
      </c>
      <c r="D120" s="378">
        <f>+'q19'!$C$5</f>
        <v>912.18298170177309</v>
      </c>
      <c r="E120" s="378">
        <f>+'q19'!$D$5</f>
        <v>909.49144915721399</v>
      </c>
      <c r="F120" s="378">
        <f>+'q19'!$E$5</f>
        <v>913.92544791377406</v>
      </c>
      <c r="G120" s="378">
        <f>+'q19'!$F$5</f>
        <v>924.9392153090821</v>
      </c>
      <c r="H120" s="378">
        <f>+'q19'!$G$5</f>
        <v>943.00107511786211</v>
      </c>
      <c r="I120" s="378">
        <f>+'q19'!$H$5</f>
        <v>970.41689676342503</v>
      </c>
      <c r="J120" s="378">
        <f>+'q19'!$I$5</f>
        <v>1005.08927925103</v>
      </c>
      <c r="K120" s="378">
        <f>+'q19'!$J$5</f>
        <v>1041.9948771786001</v>
      </c>
      <c r="L120" s="378">
        <f>+'q19'!$K$5</f>
        <v>1082.7724697513502</v>
      </c>
      <c r="M120" s="378">
        <f>+'q19'!$L$5</f>
        <v>1143.44558285689</v>
      </c>
      <c r="N120" s="373">
        <f t="shared" si="25"/>
        <v>228.43311279607792</v>
      </c>
      <c r="AA120" s="373" t="s">
        <v>397</v>
      </c>
      <c r="AB120" s="397">
        <f>ROUND(AG106,1)</f>
        <v>18.7</v>
      </c>
    </row>
    <row r="121" spans="1:55">
      <c r="A121" s="375" t="s">
        <v>347</v>
      </c>
      <c r="C121" s="377">
        <f>+'q27'!$B$4</f>
        <v>2012</v>
      </c>
      <c r="D121" s="377">
        <f>+'q27'!$C$4</f>
        <v>2013</v>
      </c>
      <c r="E121" s="377">
        <f>+'q27'!$D$4</f>
        <v>2014</v>
      </c>
      <c r="F121" s="377">
        <f>+'q27'!$E$4</f>
        <v>2015</v>
      </c>
      <c r="G121" s="377">
        <f>+'q27'!$F$4</f>
        <v>2016</v>
      </c>
      <c r="H121" s="377">
        <f>+'q27'!$G$4</f>
        <v>2017</v>
      </c>
      <c r="I121" s="377">
        <f>+'q27'!$H$4</f>
        <v>2018</v>
      </c>
      <c r="J121" s="377">
        <f>+'q27'!$I$4</f>
        <v>2019</v>
      </c>
      <c r="K121" s="377">
        <f>+'q27'!$J$4</f>
        <v>2020</v>
      </c>
      <c r="L121" s="377">
        <f>+'q27'!$K$4</f>
        <v>2021</v>
      </c>
      <c r="M121" s="377">
        <f>+'q27'!$L$4</f>
        <v>2022</v>
      </c>
      <c r="N121" s="373">
        <f t="shared" si="25"/>
        <v>10</v>
      </c>
      <c r="AA121" s="373" t="s">
        <v>376</v>
      </c>
    </row>
    <row r="122" spans="1:55">
      <c r="B122" s="375" t="str">
        <f>+'q27'!$A$6</f>
        <v>Aveiro</v>
      </c>
      <c r="C122" s="378">
        <f>+'q27'!$B$6</f>
        <v>959.34923854352303</v>
      </c>
      <c r="D122" s="378">
        <f>+'q27'!$C$6</f>
        <v>961.84029073023316</v>
      </c>
      <c r="E122" s="378">
        <f>+'q27'!$D$6</f>
        <v>971.90999498730298</v>
      </c>
      <c r="F122" s="378">
        <f>+'q27'!$E$6</f>
        <v>984.24105445999112</v>
      </c>
      <c r="G122" s="378">
        <f>+'q27'!$F$6</f>
        <v>1001.0229393946901</v>
      </c>
      <c r="H122" s="378">
        <f>+'q27'!$G$6</f>
        <v>1028.8358273342601</v>
      </c>
      <c r="I122" s="378">
        <f>+'q27'!$H$6</f>
        <v>1070.6267462169701</v>
      </c>
      <c r="J122" s="378">
        <f>+'q27'!$I$6</f>
        <v>1111.2131230140201</v>
      </c>
      <c r="K122" s="378">
        <f>+'q27'!$J$6</f>
        <v>1146.9983637384898</v>
      </c>
      <c r="L122" s="378">
        <f>+'q27'!$K$6</f>
        <v>1177.9476303143199</v>
      </c>
      <c r="M122" s="378">
        <f>+'q27'!$L$6</f>
        <v>1252.0317901891301</v>
      </c>
      <c r="N122" s="373">
        <f t="shared" si="25"/>
        <v>292.68255164560708</v>
      </c>
      <c r="AA122" s="373" t="s">
        <v>398</v>
      </c>
      <c r="AB122" s="373" t="str">
        <f>+AI103</f>
        <v>, mais</v>
      </c>
    </row>
    <row r="123" spans="1:55">
      <c r="B123" s="375" t="str">
        <f>+'q27'!$A$7</f>
        <v>Beja</v>
      </c>
      <c r="C123" s="378">
        <f>+'q27'!$B$7</f>
        <v>982.97850002259713</v>
      </c>
      <c r="D123" s="378">
        <f>+'q27'!$C$7</f>
        <v>991.35925221457808</v>
      </c>
      <c r="E123" s="378">
        <f>+'q27'!$D$7</f>
        <v>983.83729873440006</v>
      </c>
      <c r="F123" s="378">
        <f>+'q27'!$E$7</f>
        <v>984.03585006469905</v>
      </c>
      <c r="G123" s="378">
        <f>+'q27'!$F$7</f>
        <v>981.91562820357603</v>
      </c>
      <c r="H123" s="378">
        <f>+'q27'!$G$7</f>
        <v>1009.5927313340101</v>
      </c>
      <c r="I123" s="378">
        <f>+'q27'!$H$7</f>
        <v>1059.6130167346801</v>
      </c>
      <c r="J123" s="378">
        <f>+'q27'!$I$7</f>
        <v>1062.35646516171</v>
      </c>
      <c r="K123" s="378">
        <f>+'q27'!$J$7</f>
        <v>1092.7615342087099</v>
      </c>
      <c r="L123" s="378">
        <f>+'q27'!$K$7</f>
        <v>1153.3916042969702</v>
      </c>
      <c r="M123" s="378">
        <f>+'q27'!$L$7</f>
        <v>1192.7577344915603</v>
      </c>
      <c r="N123" s="373">
        <f t="shared" si="25"/>
        <v>209.77923446896318</v>
      </c>
      <c r="AA123" s="373" t="s">
        <v>399</v>
      </c>
      <c r="AB123" s="394" t="str">
        <f>TEXT(AJ103,"##.###,0")</f>
        <v>263,0</v>
      </c>
    </row>
    <row r="124" spans="1:55">
      <c r="B124" s="375" t="str">
        <f>+'q27'!$A$8</f>
        <v>Braga</v>
      </c>
      <c r="C124" s="378">
        <f>+'q27'!$B$8</f>
        <v>867.20294126459203</v>
      </c>
      <c r="D124" s="378">
        <f>+'q27'!$C$8</f>
        <v>868.49846015177002</v>
      </c>
      <c r="E124" s="378">
        <f>+'q27'!$D$8</f>
        <v>876.16912208762506</v>
      </c>
      <c r="F124" s="378">
        <f>+'q27'!$E$8</f>
        <v>880.48140496439601</v>
      </c>
      <c r="G124" s="378">
        <f>+'q27'!$F$8</f>
        <v>895.72232270153609</v>
      </c>
      <c r="H124" s="378">
        <f>+'q27'!$G$8</f>
        <v>929.88327350300904</v>
      </c>
      <c r="I124" s="378">
        <f>+'q27'!$H$8</f>
        <v>968.01243557930911</v>
      </c>
      <c r="J124" s="378">
        <f>+'q27'!$I$8</f>
        <v>1012.37352768225</v>
      </c>
      <c r="K124" s="378">
        <f>+'q27'!$J$8</f>
        <v>1057.54768430955</v>
      </c>
      <c r="L124" s="378">
        <f>+'q27'!$K$8</f>
        <v>1105.6699828099702</v>
      </c>
      <c r="M124" s="378">
        <f>+'q27'!$L$8</f>
        <v>1156.32258506215</v>
      </c>
      <c r="N124" s="373">
        <f t="shared" si="25"/>
        <v>289.11964379755796</v>
      </c>
      <c r="AA124" s="373" t="s">
        <v>671</v>
      </c>
    </row>
    <row r="125" spans="1:55">
      <c r="B125" s="375" t="str">
        <f>+'q27'!$A$9</f>
        <v>Bragança</v>
      </c>
      <c r="C125" s="378">
        <f>+'q27'!$B$9</f>
        <v>840.7285910947171</v>
      </c>
      <c r="D125" s="378">
        <f>+'q27'!$C$9</f>
        <v>851.39325943396204</v>
      </c>
      <c r="E125" s="378">
        <f>+'q27'!$D$9</f>
        <v>838.70573674782713</v>
      </c>
      <c r="F125" s="378">
        <f>+'q27'!$E$9</f>
        <v>838.85448057872804</v>
      </c>
      <c r="G125" s="378">
        <f>+'q27'!$F$9</f>
        <v>858.81478130195705</v>
      </c>
      <c r="H125" s="378">
        <f>+'q27'!$G$9</f>
        <v>882.59225190355301</v>
      </c>
      <c r="I125" s="378">
        <f>+'q27'!$H$9</f>
        <v>910.80674159379214</v>
      </c>
      <c r="J125" s="378">
        <f>+'q27'!$I$9</f>
        <v>944.94973330811399</v>
      </c>
      <c r="K125" s="378">
        <f>+'q27'!$J$9</f>
        <v>977.70348628952615</v>
      </c>
      <c r="L125" s="378">
        <f>+'q27'!$K$9</f>
        <v>1012.2271883353601</v>
      </c>
      <c r="M125" s="378">
        <f>+'q27'!$L$9</f>
        <v>1054.3714764034401</v>
      </c>
      <c r="N125" s="373">
        <f t="shared" si="25"/>
        <v>213.64288530872295</v>
      </c>
    </row>
    <row r="126" spans="1:55">
      <c r="B126" s="375" t="str">
        <f>+'q27'!$A$10</f>
        <v>Castelo Branco</v>
      </c>
      <c r="C126" s="378">
        <f>+'q27'!$B$10</f>
        <v>841.43532330466405</v>
      </c>
      <c r="D126" s="378">
        <f>+'q27'!$C$10</f>
        <v>841.83565004956802</v>
      </c>
      <c r="E126" s="378">
        <f>+'q27'!$D$10</f>
        <v>853.23481096730211</v>
      </c>
      <c r="F126" s="378">
        <f>+'q27'!$E$10</f>
        <v>858.64990867736105</v>
      </c>
      <c r="G126" s="378">
        <f>+'q27'!$F$10</f>
        <v>875.0323406712871</v>
      </c>
      <c r="H126" s="378">
        <f>+'q27'!$G$10</f>
        <v>904.07182717544902</v>
      </c>
      <c r="I126" s="378">
        <f>+'q27'!$H$10</f>
        <v>935.08502979162006</v>
      </c>
      <c r="J126" s="378">
        <f>+'q27'!$I$10</f>
        <v>971.14689689358909</v>
      </c>
      <c r="K126" s="378">
        <f>+'q27'!$J$10</f>
        <v>1010.4665175369701</v>
      </c>
      <c r="L126" s="378">
        <f>+'q27'!$K$10</f>
        <v>1053.7945252690402</v>
      </c>
      <c r="M126" s="378">
        <f>+'q27'!$L$10</f>
        <v>1106.65014764578</v>
      </c>
      <c r="N126" s="373">
        <f t="shared" si="25"/>
        <v>265.2148243411159</v>
      </c>
    </row>
    <row r="127" spans="1:55">
      <c r="B127" s="375" t="str">
        <f>+'q27'!$A$11</f>
        <v>Coimbra</v>
      </c>
      <c r="C127" s="378">
        <f>+'q27'!$B$11</f>
        <v>977.09133130938301</v>
      </c>
      <c r="D127" s="378">
        <f>+'q27'!$C$11</f>
        <v>978.01599485779514</v>
      </c>
      <c r="E127" s="378">
        <f>+'q27'!$D$11</f>
        <v>966.21419984918202</v>
      </c>
      <c r="F127" s="378">
        <f>+'q27'!$E$11</f>
        <v>966.99737783570095</v>
      </c>
      <c r="G127" s="378">
        <f>+'q27'!$F$11</f>
        <v>990.53147044804609</v>
      </c>
      <c r="H127" s="378">
        <f>+'q27'!$G$11</f>
        <v>1018.2450007511101</v>
      </c>
      <c r="I127" s="378">
        <f>+'q27'!$H$11</f>
        <v>1053.35867722021</v>
      </c>
      <c r="J127" s="378">
        <f>+'q27'!$I$11</f>
        <v>1094.14030237668</v>
      </c>
      <c r="K127" s="378">
        <f>+'q27'!$J$11</f>
        <v>1118.0991600354803</v>
      </c>
      <c r="L127" s="378">
        <f>+'q27'!$K$11</f>
        <v>1169.39474146576</v>
      </c>
      <c r="M127" s="378">
        <f>+'q27'!$L$11</f>
        <v>1222.9665008964</v>
      </c>
      <c r="N127" s="373">
        <f t="shared" si="25"/>
        <v>245.87516958701701</v>
      </c>
    </row>
    <row r="128" spans="1:55">
      <c r="B128" s="375" t="str">
        <f>+'q27'!$A$12</f>
        <v>Évora</v>
      </c>
      <c r="C128" s="378">
        <f>+'q27'!$B$12</f>
        <v>940.52806541698499</v>
      </c>
      <c r="D128" s="378">
        <f>+'q27'!$C$12</f>
        <v>955.20704335025005</v>
      </c>
      <c r="E128" s="378">
        <f>+'q27'!$D$12</f>
        <v>955.65423432841612</v>
      </c>
      <c r="F128" s="378">
        <f>+'q27'!$E$12</f>
        <v>956.12030429989011</v>
      </c>
      <c r="G128" s="378">
        <f>+'q27'!$F$12</f>
        <v>967.64274178335597</v>
      </c>
      <c r="H128" s="378">
        <f>+'q27'!$G$12</f>
        <v>992.3500482988851</v>
      </c>
      <c r="I128" s="378">
        <f>+'q27'!$H$12</f>
        <v>1020.69690943461</v>
      </c>
      <c r="J128" s="378">
        <f>+'q27'!$I$12</f>
        <v>1045.4678829845402</v>
      </c>
      <c r="K128" s="378">
        <f>+'q27'!$J$12</f>
        <v>1086.7700585903201</v>
      </c>
      <c r="L128" s="378">
        <f>+'q27'!$K$12</f>
        <v>1127.2864444597701</v>
      </c>
      <c r="M128" s="378">
        <f>+'q27'!$L$12</f>
        <v>1190.5704398493799</v>
      </c>
      <c r="N128" s="373">
        <f t="shared" si="25"/>
        <v>250.04237443239492</v>
      </c>
    </row>
    <row r="129" spans="2:14">
      <c r="B129" s="375" t="str">
        <f>+'q27'!$A$13</f>
        <v>Faro</v>
      </c>
      <c r="C129" s="378">
        <f>+'q27'!$B$13</f>
        <v>943.89424917608312</v>
      </c>
      <c r="D129" s="378">
        <f>+'q27'!$C$13</f>
        <v>930.97374880713801</v>
      </c>
      <c r="E129" s="378">
        <f>+'q27'!$D$13</f>
        <v>927.57847468747798</v>
      </c>
      <c r="F129" s="378">
        <f>+'q27'!$E$13</f>
        <v>926.12862527071104</v>
      </c>
      <c r="G129" s="378">
        <f>+'q27'!$F$13</f>
        <v>942.731806803788</v>
      </c>
      <c r="H129" s="378">
        <f>+'q27'!$G$13</f>
        <v>968.1855082187501</v>
      </c>
      <c r="I129" s="378">
        <f>+'q27'!$H$13</f>
        <v>999.04854164793915</v>
      </c>
      <c r="J129" s="378">
        <f>+'q27'!$I$13</f>
        <v>1029.01142698593</v>
      </c>
      <c r="K129" s="378">
        <f>+'q27'!$J$13</f>
        <v>1070.9644070332199</v>
      </c>
      <c r="L129" s="378">
        <f>+'q27'!$K$13</f>
        <v>1106.3240281891901</v>
      </c>
      <c r="M129" s="378">
        <f>+'q27'!$L$13</f>
        <v>1150.8139774726001</v>
      </c>
      <c r="N129" s="373">
        <f t="shared" si="25"/>
        <v>206.91972829651695</v>
      </c>
    </row>
    <row r="130" spans="2:14">
      <c r="B130" s="375" t="str">
        <f>+'q27'!$A$14</f>
        <v>Guarda</v>
      </c>
      <c r="C130" s="378">
        <f>+'q27'!$B$14</f>
        <v>819.16714129841807</v>
      </c>
      <c r="D130" s="378">
        <f>+'q27'!$C$14</f>
        <v>814.63459596196208</v>
      </c>
      <c r="E130" s="378">
        <f>+'q27'!$D$14</f>
        <v>830.15647037002714</v>
      </c>
      <c r="F130" s="378">
        <f>+'q27'!$E$14</f>
        <v>837.53411675893312</v>
      </c>
      <c r="G130" s="378">
        <f>+'q27'!$F$14</f>
        <v>857.61277274358497</v>
      </c>
      <c r="H130" s="378">
        <f>+'q27'!$G$14</f>
        <v>896.01699605954514</v>
      </c>
      <c r="I130" s="378">
        <f>+'q27'!$H$14</f>
        <v>934.76728086406501</v>
      </c>
      <c r="J130" s="378">
        <f>+'q27'!$I$14</f>
        <v>973.04332535677008</v>
      </c>
      <c r="K130" s="378">
        <f>+'q27'!$J$14</f>
        <v>1010.8573550144899</v>
      </c>
      <c r="L130" s="378">
        <f>+'q27'!$K$14</f>
        <v>1047.3716053307801</v>
      </c>
      <c r="M130" s="378">
        <f>+'q27'!$L$14</f>
        <v>1100.1031647123602</v>
      </c>
      <c r="N130" s="373">
        <f t="shared" si="25"/>
        <v>280.93602341394217</v>
      </c>
    </row>
    <row r="131" spans="2:14">
      <c r="B131" s="375" t="str">
        <f>+'q27'!$A$15</f>
        <v>Leiria</v>
      </c>
      <c r="C131" s="378">
        <f>+'q27'!$B$15</f>
        <v>951.86981740309011</v>
      </c>
      <c r="D131" s="378">
        <f>+'q27'!$C$15</f>
        <v>945.11881479881208</v>
      </c>
      <c r="E131" s="378">
        <f>+'q27'!$D$15</f>
        <v>953.7783389435931</v>
      </c>
      <c r="F131" s="378">
        <f>+'q27'!$E$15</f>
        <v>959.40339935939801</v>
      </c>
      <c r="G131" s="378">
        <f>+'q27'!$F$15</f>
        <v>975.86565046695614</v>
      </c>
      <c r="H131" s="378">
        <f>+'q27'!$G$15</f>
        <v>1005.4707569330801</v>
      </c>
      <c r="I131" s="378">
        <f>+'q27'!$H$15</f>
        <v>1040.3751294841099</v>
      </c>
      <c r="J131" s="378">
        <f>+'q27'!$I$15</f>
        <v>1073.65284346355</v>
      </c>
      <c r="K131" s="378">
        <f>+'q27'!$J$15</f>
        <v>1108.2054735850802</v>
      </c>
      <c r="L131" s="378">
        <f>+'q27'!$K$15</f>
        <v>1156.54462889104</v>
      </c>
      <c r="M131" s="378">
        <f>+'q27'!$L$15</f>
        <v>1211.2745490185598</v>
      </c>
      <c r="N131" s="373">
        <f t="shared" si="25"/>
        <v>259.4047316154697</v>
      </c>
    </row>
    <row r="132" spans="2:14">
      <c r="B132" s="375" t="str">
        <f>+'q27'!$A$16</f>
        <v>Lisboa</v>
      </c>
      <c r="C132" s="378">
        <f>+'q27'!$B$16</f>
        <v>1405.9388575032701</v>
      </c>
      <c r="D132" s="378">
        <f>+'q27'!$C$16</f>
        <v>1399.09217671998</v>
      </c>
      <c r="E132" s="378">
        <f>+'q27'!$D$16</f>
        <v>1392.4169824671101</v>
      </c>
      <c r="F132" s="378">
        <f>+'q27'!$E$16</f>
        <v>1391.1672518277201</v>
      </c>
      <c r="G132" s="378">
        <f>+'q27'!$F$16</f>
        <v>1395.7455929932601</v>
      </c>
      <c r="H132" s="378">
        <f>+'q27'!$G$16</f>
        <v>1416.5629019995702</v>
      </c>
      <c r="I132" s="378">
        <f>+'q27'!$H$16</f>
        <v>1449.4349569758201</v>
      </c>
      <c r="J132" s="378">
        <f>+'q27'!$I$16</f>
        <v>1487.75002061441</v>
      </c>
      <c r="K132" s="378">
        <f>+'q27'!$J$16</f>
        <v>1526.7734244358101</v>
      </c>
      <c r="L132" s="378">
        <f>+'q27'!$K$16</f>
        <v>1576.1486947511598</v>
      </c>
      <c r="M132" s="378">
        <f>+'q27'!$L$16</f>
        <v>1668.91834858224</v>
      </c>
      <c r="N132" s="373">
        <f t="shared" si="25"/>
        <v>262.97949107896989</v>
      </c>
    </row>
    <row r="133" spans="2:14">
      <c r="B133" s="375" t="str">
        <f>+'q27'!$A$17</f>
        <v>Portalegre</v>
      </c>
      <c r="C133" s="378">
        <f>+'q27'!$B$17</f>
        <v>900.6039706166631</v>
      </c>
      <c r="D133" s="378">
        <f>+'q27'!$C$17</f>
        <v>894.31773800955307</v>
      </c>
      <c r="E133" s="378">
        <f>+'q27'!$D$17</f>
        <v>897.83141137428402</v>
      </c>
      <c r="F133" s="378">
        <f>+'q27'!$E$17</f>
        <v>901.87015678776311</v>
      </c>
      <c r="G133" s="378">
        <f>+'q27'!$F$17</f>
        <v>915.42442992727695</v>
      </c>
      <c r="H133" s="378">
        <f>+'q27'!$G$17</f>
        <v>934.8273193206461</v>
      </c>
      <c r="I133" s="378">
        <f>+'q27'!$H$17</f>
        <v>968.22669070904612</v>
      </c>
      <c r="J133" s="378">
        <f>+'q27'!$I$17</f>
        <v>989.4812198978351</v>
      </c>
      <c r="K133" s="378">
        <f>+'q27'!$J$17</f>
        <v>1029.47184834413</v>
      </c>
      <c r="L133" s="378">
        <f>+'q27'!$K$17</f>
        <v>1078.9214928425399</v>
      </c>
      <c r="M133" s="378">
        <f>+'q27'!$L$17</f>
        <v>1126.59658901125</v>
      </c>
      <c r="N133" s="373">
        <f t="shared" si="25"/>
        <v>225.99261839458688</v>
      </c>
    </row>
    <row r="134" spans="2:14">
      <c r="B134" s="375" t="str">
        <f>+'q27'!$A$18</f>
        <v>Porto</v>
      </c>
      <c r="C134" s="378">
        <f>+'q27'!$B$18</f>
        <v>1032.68073981155</v>
      </c>
      <c r="D134" s="378">
        <f>+'q27'!$C$18</f>
        <v>1040.1270905914998</v>
      </c>
      <c r="E134" s="378">
        <f>+'q27'!$D$18</f>
        <v>1041.1109077727003</v>
      </c>
      <c r="F134" s="378">
        <f>+'q27'!$E$18</f>
        <v>1048.6732860207301</v>
      </c>
      <c r="G134" s="378">
        <f>+'q27'!$F$18</f>
        <v>1058.5680711386401</v>
      </c>
      <c r="H134" s="378">
        <f>+'q27'!$G$18</f>
        <v>1082.4040792925598</v>
      </c>
      <c r="I134" s="378">
        <f>+'q27'!$H$18</f>
        <v>1128.5549392022501</v>
      </c>
      <c r="J134" s="378">
        <f>+'q27'!$I$18</f>
        <v>1173.8758343205</v>
      </c>
      <c r="K134" s="378">
        <f>+'q27'!$J$18</f>
        <v>1224.7087807269102</v>
      </c>
      <c r="L134" s="378">
        <f>+'q27'!$K$18</f>
        <v>1267.8121176417501</v>
      </c>
      <c r="M134" s="378">
        <f>+'q27'!$L$18</f>
        <v>1343.1844642727101</v>
      </c>
      <c r="N134" s="373">
        <f t="shared" si="25"/>
        <v>310.50372446116012</v>
      </c>
    </row>
    <row r="135" spans="2:14">
      <c r="B135" s="375" t="str">
        <f>+'q27'!$A$19</f>
        <v>Santarém</v>
      </c>
      <c r="C135" s="378">
        <f>+'q27'!$B$19</f>
        <v>945.16706184636303</v>
      </c>
      <c r="D135" s="378">
        <f>+'q27'!$C$19</f>
        <v>945.69593677663113</v>
      </c>
      <c r="E135" s="378">
        <f>+'q27'!$D$19</f>
        <v>948.37993476613997</v>
      </c>
      <c r="F135" s="378">
        <f>+'q27'!$E$19</f>
        <v>957.21485769496212</v>
      </c>
      <c r="G135" s="378">
        <f>+'q27'!$F$19</f>
        <v>962.52248555384801</v>
      </c>
      <c r="H135" s="378">
        <f>+'q27'!$G$19</f>
        <v>990.456852730018</v>
      </c>
      <c r="I135" s="378">
        <f>+'q27'!$H$19</f>
        <v>1023.30742603589</v>
      </c>
      <c r="J135" s="378">
        <f>+'q27'!$I$19</f>
        <v>1050.5157871573801</v>
      </c>
      <c r="K135" s="378">
        <f>+'q27'!$J$19</f>
        <v>1086.33054093393</v>
      </c>
      <c r="L135" s="378">
        <f>+'q27'!$K$19</f>
        <v>1122.59412757974</v>
      </c>
      <c r="M135" s="378">
        <f>+'q27'!$L$19</f>
        <v>1182.0420284769402</v>
      </c>
      <c r="N135" s="373">
        <f t="shared" si="25"/>
        <v>236.87496663057721</v>
      </c>
    </row>
    <row r="136" spans="2:14">
      <c r="B136" s="375" t="str">
        <f>+'q27'!$A$20</f>
        <v>Setúbal</v>
      </c>
      <c r="C136" s="378">
        <f>+'q27'!$B$20</f>
        <v>1162.4158649860301</v>
      </c>
      <c r="D136" s="378">
        <f>+'q27'!$C$20</f>
        <v>1153.1479786652301</v>
      </c>
      <c r="E136" s="378">
        <f>+'q27'!$D$20</f>
        <v>1148.6623835191101</v>
      </c>
      <c r="F136" s="378">
        <f>+'q27'!$E$20</f>
        <v>1162.1823775412001</v>
      </c>
      <c r="G136" s="378">
        <f>+'q27'!$F$20</f>
        <v>1190.04356568191</v>
      </c>
      <c r="H136" s="378">
        <f>+'q27'!$G$20</f>
        <v>1207.8781059852201</v>
      </c>
      <c r="I136" s="378">
        <f>+'q27'!$H$20</f>
        <v>1219.7980812620099</v>
      </c>
      <c r="J136" s="378">
        <f>+'q27'!$I$20</f>
        <v>1249.00084326966</v>
      </c>
      <c r="K136" s="378">
        <f>+'q27'!$J$20</f>
        <v>1293.5711137094902</v>
      </c>
      <c r="L136" s="378">
        <f>+'q27'!$K$20</f>
        <v>1308.5107770264599</v>
      </c>
      <c r="M136" s="378">
        <f>+'q27'!$L$20</f>
        <v>1373.2480942960999</v>
      </c>
      <c r="N136" s="373">
        <f t="shared" si="25"/>
        <v>210.83222931006981</v>
      </c>
    </row>
    <row r="137" spans="2:14">
      <c r="B137" s="375" t="str">
        <f>+'q27'!$A$21</f>
        <v>Viana do Castelo</v>
      </c>
      <c r="C137" s="378">
        <f>+'q27'!$B$21</f>
        <v>864.7492544016751</v>
      </c>
      <c r="D137" s="378">
        <f>+'q27'!$C$21</f>
        <v>878.85166789065715</v>
      </c>
      <c r="E137" s="378">
        <f>+'q27'!$D$21</f>
        <v>881.13214542496507</v>
      </c>
      <c r="F137" s="378">
        <f>+'q27'!$E$21</f>
        <v>895.53129406168603</v>
      </c>
      <c r="G137" s="378">
        <f>+'q27'!$F$21</f>
        <v>899.57244493392102</v>
      </c>
      <c r="H137" s="378">
        <f>+'q27'!$G$21</f>
        <v>950.10493790408907</v>
      </c>
      <c r="I137" s="378">
        <f>+'q27'!$H$21</f>
        <v>978.08295281209598</v>
      </c>
      <c r="J137" s="378">
        <f>+'q27'!$I$21</f>
        <v>1013.25973639532</v>
      </c>
      <c r="K137" s="378">
        <f>+'q27'!$J$21</f>
        <v>1057.2132749358702</v>
      </c>
      <c r="L137" s="378">
        <f>+'q27'!$K$21</f>
        <v>1094.9764303693098</v>
      </c>
      <c r="M137" s="378">
        <f>+'q27'!$L$21</f>
        <v>1154.3373996243001</v>
      </c>
      <c r="N137" s="373">
        <f t="shared" si="25"/>
        <v>289.58814522262503</v>
      </c>
    </row>
    <row r="138" spans="2:14">
      <c r="B138" s="375" t="str">
        <f>+'q27'!$A$22</f>
        <v>Vila Real</v>
      </c>
      <c r="C138" s="378">
        <f>+'q27'!$B$22</f>
        <v>864.02130419565094</v>
      </c>
      <c r="D138" s="378">
        <f>+'q27'!$C$22</f>
        <v>868.75525048212808</v>
      </c>
      <c r="E138" s="378">
        <f>+'q27'!$D$22</f>
        <v>880.89931605852303</v>
      </c>
      <c r="F138" s="378">
        <f>+'q27'!$E$22</f>
        <v>893.71143355174706</v>
      </c>
      <c r="G138" s="378">
        <f>+'q27'!$F$22</f>
        <v>897.29173185055595</v>
      </c>
      <c r="H138" s="378">
        <f>+'q27'!$G$22</f>
        <v>935.05718967894404</v>
      </c>
      <c r="I138" s="378">
        <f>+'q27'!$H$22</f>
        <v>966.03158297112702</v>
      </c>
      <c r="J138" s="378">
        <f>+'q27'!$I$22</f>
        <v>994.47680865449604</v>
      </c>
      <c r="K138" s="378">
        <f>+'q27'!$J$22</f>
        <v>1017.82562062257</v>
      </c>
      <c r="L138" s="378">
        <f>+'q27'!$K$22</f>
        <v>1045.3974172632202</v>
      </c>
      <c r="M138" s="378">
        <f>+'q27'!$L$22</f>
        <v>1104.2442491235602</v>
      </c>
      <c r="N138" s="373">
        <f t="shared" si="25"/>
        <v>240.22294492790923</v>
      </c>
    </row>
    <row r="139" spans="2:14">
      <c r="B139" s="375" t="str">
        <f>+'q27'!$A$23</f>
        <v>Viseu</v>
      </c>
      <c r="C139" s="378">
        <f>+'q27'!$B$23</f>
        <v>884.49901604690899</v>
      </c>
      <c r="D139" s="378">
        <f>+'q27'!$C$23</f>
        <v>878.77312280184901</v>
      </c>
      <c r="E139" s="378">
        <f>+'q27'!$D$23</f>
        <v>884.39543981903807</v>
      </c>
      <c r="F139" s="378">
        <f>+'q27'!$E$23</f>
        <v>887.04554919908503</v>
      </c>
      <c r="G139" s="378">
        <f>+'q27'!$F$23</f>
        <v>894.61009341796796</v>
      </c>
      <c r="H139" s="378">
        <f>+'q27'!$G$23</f>
        <v>922.30518121204102</v>
      </c>
      <c r="I139" s="378">
        <f>+'q27'!$H$23</f>
        <v>963.92867586662715</v>
      </c>
      <c r="J139" s="378">
        <f>+'q27'!$I$23</f>
        <v>1002.21153097222</v>
      </c>
      <c r="K139" s="378">
        <f>+'q27'!$J$23</f>
        <v>1032.3984004344202</v>
      </c>
      <c r="L139" s="378">
        <f>+'q27'!$K$23</f>
        <v>1081.2420122864398</v>
      </c>
      <c r="M139" s="378">
        <f>+'q27'!$L$23</f>
        <v>1127.39969363407</v>
      </c>
      <c r="N139" s="373">
        <f t="shared" si="25"/>
        <v>242.900677587161</v>
      </c>
    </row>
    <row r="140" spans="2:14">
      <c r="B140" s="375" t="s">
        <v>14</v>
      </c>
      <c r="C140" s="378">
        <f>+'q27'!$B$5</f>
        <v>1095.58619281857</v>
      </c>
      <c r="D140" s="378">
        <f>+'q27'!$C$5</f>
        <v>1093.8178723953499</v>
      </c>
      <c r="E140" s="378">
        <f>+'q27'!$D$5</f>
        <v>1093.20854089105</v>
      </c>
      <c r="F140" s="378">
        <f>+'q27'!$E$5</f>
        <v>1096.65734127991</v>
      </c>
      <c r="G140" s="378">
        <f>+'q27'!$F$5</f>
        <v>1107.85636561875</v>
      </c>
      <c r="H140" s="378">
        <f>+'q27'!$G$5</f>
        <v>1133.34288689707</v>
      </c>
      <c r="I140" s="378">
        <f>+'q27'!$H$5</f>
        <v>1170.2525051678801</v>
      </c>
      <c r="J140" s="378">
        <f>+'q27'!$I$5</f>
        <v>1209.93900485576</v>
      </c>
      <c r="K140" s="378">
        <f>+'q27'!$J$5</f>
        <v>1250.75197084447</v>
      </c>
      <c r="L140" s="378">
        <f>+'q27'!$K$5</f>
        <v>1294.10894067238</v>
      </c>
      <c r="M140" s="378">
        <f>+'q27'!$L$5</f>
        <v>1367.9952489883699</v>
      </c>
      <c r="N140" s="373">
        <f t="shared" si="25"/>
        <v>272.4090561697999</v>
      </c>
    </row>
  </sheetData>
  <mergeCells count="6">
    <mergeCell ref="BL2:BP8"/>
    <mergeCell ref="AE109:AI114"/>
    <mergeCell ref="AY2:BD6"/>
    <mergeCell ref="AL4:AQ10"/>
    <mergeCell ref="AE29:AH35"/>
    <mergeCell ref="AE69:AH74"/>
  </mergeCells>
  <conditionalFormatting sqref="T21:AD22">
    <cfRule type="cellIs" dxfId="106" priority="9" operator="equal">
      <formula>0</formula>
    </cfRule>
  </conditionalFormatting>
  <conditionalFormatting sqref="T61:AD62">
    <cfRule type="cellIs" dxfId="105" priority="5" operator="equal">
      <formula>0</formula>
    </cfRule>
  </conditionalFormatting>
  <conditionalFormatting sqref="T101:AD102">
    <cfRule type="cellIs" dxfId="104" priority="1" operator="equal">
      <formula>0</formula>
    </cfRule>
  </conditionalFormatting>
  <conditionalFormatting sqref="AC21:AD21">
    <cfRule type="cellIs" dxfId="103" priority="11" operator="equal">
      <formula>0</formula>
    </cfRule>
  </conditionalFormatting>
  <conditionalFormatting sqref="AC61:AD61">
    <cfRule type="cellIs" dxfId="102" priority="7" operator="equal">
      <formula>0</formula>
    </cfRule>
  </conditionalFormatting>
  <conditionalFormatting sqref="AC101:AD101">
    <cfRule type="cellIs" dxfId="101" priority="3" operator="equal">
      <formula>0</formula>
    </cfRule>
  </conditionalFormatting>
  <dataValidations disablePrompts="1" count="1">
    <dataValidation type="textLength" allowBlank="1" showInputMessage="1" showErrorMessage="1" sqref="BL2" xr:uid="{53CC8764-24B7-4668-B9FE-82BCC03B489A}">
      <formula1>0</formula1>
      <formula2>280</formula2>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Drop Down 1">
              <controlPr defaultSize="0" autoLine="0" autoPict="0">
                <anchor moveWithCells="1">
                  <from>
                    <xdr:col>18</xdr:col>
                    <xdr:colOff>9525</xdr:colOff>
                    <xdr:row>0</xdr:row>
                    <xdr:rowOff>152400</xdr:rowOff>
                  </from>
                  <to>
                    <xdr:col>19</xdr:col>
                    <xdr:colOff>495300</xdr:colOff>
                    <xdr:row>2</xdr:row>
                    <xdr:rowOff>19050</xdr:rowOff>
                  </to>
                </anchor>
              </controlPr>
            </control>
          </mc:Choice>
        </mc:AlternateContent>
        <mc:AlternateContent xmlns:mc="http://schemas.openxmlformats.org/markup-compatibility/2006">
          <mc:Choice Requires="x14">
            <control shapeId="133122" r:id="rId5" name="Drop Down 2">
              <controlPr defaultSize="0" autoLine="0" autoPict="0">
                <anchor moveWithCells="1">
                  <from>
                    <xdr:col>38</xdr:col>
                    <xdr:colOff>9525</xdr:colOff>
                    <xdr:row>15</xdr:row>
                    <xdr:rowOff>0</xdr:rowOff>
                  </from>
                  <to>
                    <xdr:col>39</xdr:col>
                    <xdr:colOff>38100</xdr:colOff>
                    <xdr:row>16</xdr:row>
                    <xdr:rowOff>0</xdr:rowOff>
                  </to>
                </anchor>
              </controlPr>
            </control>
          </mc:Choice>
        </mc:AlternateContent>
        <mc:AlternateContent xmlns:mc="http://schemas.openxmlformats.org/markup-compatibility/2006">
          <mc:Choice Requires="x14">
            <control shapeId="133123" r:id="rId6" name="Drop Down 3">
              <controlPr defaultSize="0" autoLine="0" autoPict="0">
                <anchor moveWithCells="1">
                  <from>
                    <xdr:col>45</xdr:col>
                    <xdr:colOff>9525</xdr:colOff>
                    <xdr:row>15</xdr:row>
                    <xdr:rowOff>0</xdr:rowOff>
                  </from>
                  <to>
                    <xdr:col>46</xdr:col>
                    <xdr:colOff>38100</xdr:colOff>
                    <xdr:row>16</xdr:row>
                    <xdr:rowOff>0</xdr:rowOff>
                  </to>
                </anchor>
              </controlPr>
            </control>
          </mc:Choice>
        </mc:AlternateContent>
        <mc:AlternateContent xmlns:mc="http://schemas.openxmlformats.org/markup-compatibility/2006">
          <mc:Choice Requires="x14">
            <control shapeId="133124" r:id="rId7" name="Drop Down 4">
              <controlPr defaultSize="0" autoLine="0" autoPict="0">
                <anchor moveWithCells="1">
                  <from>
                    <xdr:col>52</xdr:col>
                    <xdr:colOff>9525</xdr:colOff>
                    <xdr:row>15</xdr:row>
                    <xdr:rowOff>0</xdr:rowOff>
                  </from>
                  <to>
                    <xdr:col>53</xdr:col>
                    <xdr:colOff>19050</xdr:colOff>
                    <xdr:row>16</xdr:row>
                    <xdr:rowOff>0</xdr:rowOff>
                  </to>
                </anchor>
              </controlPr>
            </control>
          </mc:Choice>
        </mc:AlternateContent>
        <mc:AlternateContent xmlns:mc="http://schemas.openxmlformats.org/markup-compatibility/2006">
          <mc:Choice Requires="x14">
            <control shapeId="133125" r:id="rId8" name="Drop Down 5">
              <controlPr defaultSize="0" autoLine="0" autoPict="0">
                <anchor moveWithCells="1">
                  <from>
                    <xdr:col>41</xdr:col>
                    <xdr:colOff>285750</xdr:colOff>
                    <xdr:row>40</xdr:row>
                    <xdr:rowOff>19050</xdr:rowOff>
                  </from>
                  <to>
                    <xdr:col>42</xdr:col>
                    <xdr:colOff>352425</xdr:colOff>
                    <xdr:row>41</xdr:row>
                    <xdr:rowOff>85725</xdr:rowOff>
                  </to>
                </anchor>
              </controlPr>
            </control>
          </mc:Choice>
        </mc:AlternateContent>
        <mc:AlternateContent xmlns:mc="http://schemas.openxmlformats.org/markup-compatibility/2006">
          <mc:Choice Requires="x14">
            <control shapeId="133126" r:id="rId9" name="Drop Down 6">
              <controlPr defaultSize="0" autoLine="0" autoPict="0">
                <anchor moveWithCells="1">
                  <from>
                    <xdr:col>49</xdr:col>
                    <xdr:colOff>85725</xdr:colOff>
                    <xdr:row>40</xdr:row>
                    <xdr:rowOff>9525</xdr:rowOff>
                  </from>
                  <to>
                    <xdr:col>50</xdr:col>
                    <xdr:colOff>152400</xdr:colOff>
                    <xdr:row>41</xdr:row>
                    <xdr:rowOff>85725</xdr:rowOff>
                  </to>
                </anchor>
              </controlPr>
            </control>
          </mc:Choice>
        </mc:AlternateContent>
        <mc:AlternateContent xmlns:mc="http://schemas.openxmlformats.org/markup-compatibility/2006">
          <mc:Choice Requires="x14">
            <control shapeId="133127" r:id="rId10" name="Drop Down 7">
              <controlPr defaultSize="0" autoLine="0" autoPict="0">
                <anchor moveWithCells="1">
                  <from>
                    <xdr:col>56</xdr:col>
                    <xdr:colOff>542925</xdr:colOff>
                    <xdr:row>40</xdr:row>
                    <xdr:rowOff>57150</xdr:rowOff>
                  </from>
                  <to>
                    <xdr:col>57</xdr:col>
                    <xdr:colOff>600075</xdr:colOff>
                    <xdr:row>41</xdr:row>
                    <xdr:rowOff>133350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26ED2-03DA-4105-979B-21AEFE2FCD5E}">
  <dimension ref="A1:DA265"/>
  <sheetViews>
    <sheetView topLeftCell="T70" zoomScale="120" zoomScaleNormal="120" workbookViewId="0">
      <selection activeCell="J56" sqref="J56"/>
    </sheetView>
  </sheetViews>
  <sheetFormatPr defaultColWidth="9.140625" defaultRowHeight="12.75"/>
  <cols>
    <col min="1" max="1" width="9.140625" style="373"/>
    <col min="2" max="2" width="23" style="373" customWidth="1"/>
    <col min="3" max="3" width="9.140625" style="373"/>
    <col min="4" max="4" width="13.28515625" style="373" customWidth="1"/>
    <col min="5" max="17" width="9.140625" style="373"/>
    <col min="18" max="18" width="15.5703125" style="373" customWidth="1"/>
    <col min="19" max="30" width="9.140625" style="373"/>
    <col min="31" max="31" width="20" style="373" customWidth="1"/>
    <col min="32" max="32" width="19.42578125" style="373" customWidth="1"/>
    <col min="33" max="43" width="9.140625" style="373"/>
    <col min="44" max="45" width="20.85546875" style="373" customWidth="1"/>
    <col min="46" max="46" width="15" style="373" bestFit="1" customWidth="1"/>
    <col min="47" max="47" width="9.140625" style="373"/>
    <col min="48" max="48" width="14.42578125" style="373" bestFit="1" customWidth="1"/>
    <col min="49" max="49" width="12.85546875" style="373" bestFit="1" customWidth="1"/>
    <col min="50" max="50" width="18.42578125" style="373" bestFit="1" customWidth="1"/>
    <col min="51" max="65" width="9.140625" style="373"/>
    <col min="66" max="66" width="12.42578125" style="373" customWidth="1"/>
    <col min="67" max="67" width="13.140625" style="373" customWidth="1"/>
    <col min="68" max="69" width="9.140625" style="373"/>
    <col min="70" max="70" width="12.7109375" style="373" customWidth="1"/>
    <col min="71" max="71" width="11.85546875" style="373" customWidth="1"/>
    <col min="72" max="16384" width="9.140625" style="373"/>
  </cols>
  <sheetData>
    <row r="1" spans="1:94">
      <c r="A1" s="376" t="s">
        <v>677</v>
      </c>
      <c r="D1" s="382" t="s">
        <v>678</v>
      </c>
      <c r="G1" s="382" t="s">
        <v>355</v>
      </c>
    </row>
    <row r="2" spans="1:94">
      <c r="A2" s="375" t="s">
        <v>629</v>
      </c>
      <c r="B2" s="373">
        <v>1</v>
      </c>
      <c r="D2" s="375" t="s">
        <v>630</v>
      </c>
      <c r="E2" s="373">
        <v>1</v>
      </c>
      <c r="G2" s="374">
        <f>+C30</f>
        <v>2012</v>
      </c>
      <c r="H2" s="373">
        <v>1</v>
      </c>
      <c r="P2" s="373">
        <v>4</v>
      </c>
      <c r="S2" s="373" t="s">
        <v>694</v>
      </c>
      <c r="AQ2" s="373">
        <v>11</v>
      </c>
      <c r="AT2" s="480" t="s">
        <v>570</v>
      </c>
      <c r="BL2" s="373">
        <v>11</v>
      </c>
      <c r="BO2" s="480" t="s">
        <v>571</v>
      </c>
      <c r="CF2" s="373">
        <v>11</v>
      </c>
      <c r="CI2" s="480" t="s">
        <v>572</v>
      </c>
    </row>
    <row r="3" spans="1:94">
      <c r="A3" s="375" t="s">
        <v>638</v>
      </c>
      <c r="B3" s="373">
        <v>2</v>
      </c>
      <c r="D3" s="375" t="s">
        <v>631</v>
      </c>
      <c r="E3" s="373">
        <v>2</v>
      </c>
      <c r="G3" s="374">
        <f>+D30</f>
        <v>2013</v>
      </c>
      <c r="H3" s="373">
        <v>2</v>
      </c>
    </row>
    <row r="4" spans="1:94">
      <c r="A4" s="375" t="s">
        <v>645</v>
      </c>
      <c r="B4" s="373">
        <v>3</v>
      </c>
      <c r="D4" s="375" t="s">
        <v>632</v>
      </c>
      <c r="E4" s="373">
        <v>3</v>
      </c>
      <c r="G4" s="374">
        <f>+E30</f>
        <v>2014</v>
      </c>
      <c r="H4" s="373">
        <v>3</v>
      </c>
      <c r="R4" s="374" t="str">
        <f>INDEX($A$2:$A$8,$P$2)</f>
        <v>Grande Lisboa</v>
      </c>
    </row>
    <row r="5" spans="1:94">
      <c r="A5" s="375" t="s">
        <v>649</v>
      </c>
      <c r="B5" s="373">
        <v>4</v>
      </c>
      <c r="D5" s="375" t="s">
        <v>633</v>
      </c>
      <c r="E5" s="373">
        <v>4</v>
      </c>
      <c r="G5" s="374">
        <f>+F30</f>
        <v>2015</v>
      </c>
      <c r="H5" s="373">
        <v>4</v>
      </c>
      <c r="S5" s="374">
        <f>+C30</f>
        <v>2012</v>
      </c>
      <c r="T5" s="374">
        <f t="shared" ref="T5:Z5" si="0">+D30</f>
        <v>2013</v>
      </c>
      <c r="U5" s="374">
        <f t="shared" si="0"/>
        <v>2014</v>
      </c>
      <c r="V5" s="374">
        <f t="shared" si="0"/>
        <v>2015</v>
      </c>
      <c r="W5" s="374">
        <f t="shared" si="0"/>
        <v>2016</v>
      </c>
      <c r="X5" s="374">
        <f t="shared" si="0"/>
        <v>2017</v>
      </c>
      <c r="Y5" s="374">
        <f t="shared" si="0"/>
        <v>2018</v>
      </c>
      <c r="Z5" s="374">
        <f t="shared" si="0"/>
        <v>2019</v>
      </c>
      <c r="AA5" s="374">
        <f>+K30</f>
        <v>2020</v>
      </c>
      <c r="AB5" s="374">
        <f t="shared" ref="AB5" si="1">+L30</f>
        <v>2021</v>
      </c>
      <c r="AC5" s="374">
        <f>+M30</f>
        <v>2022</v>
      </c>
      <c r="AE5" s="341" t="s">
        <v>664</v>
      </c>
      <c r="AF5" s="341" t="s">
        <v>665</v>
      </c>
      <c r="AR5" s="373" t="s">
        <v>678</v>
      </c>
      <c r="BM5" s="373" t="s">
        <v>678</v>
      </c>
      <c r="CG5" s="373" t="s">
        <v>678</v>
      </c>
    </row>
    <row r="6" spans="1:94">
      <c r="A6" s="375" t="s">
        <v>650</v>
      </c>
      <c r="B6" s="373">
        <v>5</v>
      </c>
      <c r="D6" s="375" t="s">
        <v>634</v>
      </c>
      <c r="E6" s="373">
        <v>5</v>
      </c>
      <c r="G6" s="374">
        <f>+G30</f>
        <v>2016</v>
      </c>
      <c r="H6" s="373">
        <v>5</v>
      </c>
      <c r="R6" s="345" t="s">
        <v>280</v>
      </c>
      <c r="S6" s="385">
        <f>+VLOOKUP($R$4,$B$30:$M$37,COLUMN(C31)-1,0)</f>
        <v>54272</v>
      </c>
      <c r="T6" s="385">
        <f t="shared" ref="T6:AC6" si="2">+VLOOKUP($R$4,$B$30:$M$37,COLUMN(D31)-1,0)</f>
        <v>53685</v>
      </c>
      <c r="U6" s="385">
        <f t="shared" si="2"/>
        <v>54415</v>
      </c>
      <c r="V6" s="385">
        <f t="shared" si="2"/>
        <v>55029</v>
      </c>
      <c r="W6" s="385">
        <f t="shared" si="2"/>
        <v>55354</v>
      </c>
      <c r="X6" s="385">
        <f t="shared" si="2"/>
        <v>56108</v>
      </c>
      <c r="Y6" s="385">
        <f t="shared" si="2"/>
        <v>57209</v>
      </c>
      <c r="Z6" s="385">
        <f t="shared" si="2"/>
        <v>55559</v>
      </c>
      <c r="AA6" s="385">
        <f t="shared" si="2"/>
        <v>56643</v>
      </c>
      <c r="AB6" s="385">
        <f t="shared" si="2"/>
        <v>54793</v>
      </c>
      <c r="AC6" s="385">
        <f t="shared" si="2"/>
        <v>57854</v>
      </c>
      <c r="AD6" s="385" t="str">
        <f>TEXT(AC6,"##.###")</f>
        <v>57.854</v>
      </c>
      <c r="AE6" s="347">
        <f>+(AC6/AB6-1)</f>
        <v>5.5864800248206947E-2</v>
      </c>
      <c r="AF6" s="347">
        <f>+(AC6/S6-1)</f>
        <v>6.6000884433962348E-2</v>
      </c>
      <c r="AG6" s="394">
        <f>+AC6-S6</f>
        <v>3582</v>
      </c>
      <c r="AH6" s="373" t="str">
        <f>IF(AG6&gt;0,", mais",", menos")</f>
        <v>, mais</v>
      </c>
      <c r="AI6" s="373">
        <f>IF(AG6&gt;0,AG6,AG6*-1)</f>
        <v>3582</v>
      </c>
      <c r="AR6" s="374">
        <f>INDEX($G$2:$G$12,$AQ$2)</f>
        <v>2022</v>
      </c>
      <c r="BM6" s="374">
        <f>INDEX($G$2:$G$12,$BL$2)</f>
        <v>2022</v>
      </c>
      <c r="CG6" s="374">
        <f>INDEX($G$2:$G$12,$CF$2)</f>
        <v>2022</v>
      </c>
    </row>
    <row r="7" spans="1:94">
      <c r="A7" s="375" t="s">
        <v>651</v>
      </c>
      <c r="B7" s="373">
        <v>6</v>
      </c>
      <c r="D7" s="375" t="s">
        <v>635</v>
      </c>
      <c r="E7" s="373">
        <v>6</v>
      </c>
      <c r="G7" s="374">
        <f>+H30</f>
        <v>2017</v>
      </c>
      <c r="H7" s="373">
        <v>6</v>
      </c>
      <c r="R7" s="345" t="s">
        <v>264</v>
      </c>
      <c r="S7" s="385">
        <f>+VLOOKUP($R$4,$B$70:$M$77,COLUMN(C71)-1,0)</f>
        <v>65539</v>
      </c>
      <c r="T7" s="385">
        <f t="shared" ref="T7:AC7" si="3">+VLOOKUP($R$4,$B$70:$M$77,COLUMN(D71)-1,0)</f>
        <v>64587</v>
      </c>
      <c r="U7" s="385">
        <f t="shared" si="3"/>
        <v>65289</v>
      </c>
      <c r="V7" s="385">
        <f t="shared" si="3"/>
        <v>65847</v>
      </c>
      <c r="W7" s="385">
        <f t="shared" si="3"/>
        <v>66220</v>
      </c>
      <c r="X7" s="385">
        <f t="shared" si="3"/>
        <v>66764</v>
      </c>
      <c r="Y7" s="385">
        <f t="shared" si="3"/>
        <v>67989</v>
      </c>
      <c r="Z7" s="385">
        <f t="shared" si="3"/>
        <v>66115</v>
      </c>
      <c r="AA7" s="385">
        <f t="shared" si="3"/>
        <v>67101</v>
      </c>
      <c r="AB7" s="385">
        <f t="shared" si="3"/>
        <v>64927</v>
      </c>
      <c r="AC7" s="385">
        <f t="shared" si="3"/>
        <v>68270</v>
      </c>
      <c r="AD7" s="385" t="str">
        <f>TEXT(AC7,"##.###")</f>
        <v>68.270</v>
      </c>
      <c r="AE7" s="347">
        <f>+(AC7/AB7-1)</f>
        <v>5.1488594883484451E-2</v>
      </c>
      <c r="AF7" s="347">
        <f>+(AC7/S7-1)</f>
        <v>4.1669845435542197E-2</v>
      </c>
      <c r="AG7" s="394">
        <f>+AC7-S7</f>
        <v>2731</v>
      </c>
      <c r="AH7" s="373" t="str">
        <f>IF(AG7&gt;0,", mais",", menos")</f>
        <v>, mais</v>
      </c>
      <c r="AI7" s="373">
        <f>IF(AG7&gt;0,AG7,AG7*-1)</f>
        <v>2731</v>
      </c>
      <c r="AS7" s="375" t="s">
        <v>280</v>
      </c>
      <c r="AT7" s="375" t="s">
        <v>264</v>
      </c>
      <c r="AU7" s="348" t="s">
        <v>405</v>
      </c>
      <c r="AV7" s="348" t="s">
        <v>406</v>
      </c>
      <c r="AW7" s="348" t="s">
        <v>403</v>
      </c>
      <c r="AX7" s="348" t="s">
        <v>404</v>
      </c>
      <c r="BN7" s="451" t="s">
        <v>265</v>
      </c>
      <c r="BO7" s="451" t="s">
        <v>186</v>
      </c>
      <c r="BP7" s="348" t="s">
        <v>410</v>
      </c>
      <c r="BQ7" s="348" t="s">
        <v>411</v>
      </c>
      <c r="BR7" s="348" t="s">
        <v>412</v>
      </c>
      <c r="BS7" s="348" t="s">
        <v>413</v>
      </c>
      <c r="CH7" s="375" t="s">
        <v>352</v>
      </c>
      <c r="CI7" s="375" t="s">
        <v>353</v>
      </c>
      <c r="CJ7" s="533" t="s">
        <v>417</v>
      </c>
      <c r="CK7" s="533" t="s">
        <v>418</v>
      </c>
      <c r="CL7" s="533" t="s">
        <v>419</v>
      </c>
      <c r="CM7" s="533" t="s">
        <v>420</v>
      </c>
      <c r="CN7" s="373" t="s">
        <v>422</v>
      </c>
      <c r="CO7" s="373" t="s">
        <v>423</v>
      </c>
    </row>
    <row r="8" spans="1:94">
      <c r="A8" s="375" t="s">
        <v>656</v>
      </c>
      <c r="B8" s="373">
        <v>7</v>
      </c>
      <c r="D8" s="375" t="s">
        <v>636</v>
      </c>
      <c r="E8" s="373">
        <v>7</v>
      </c>
      <c r="G8" s="374">
        <f>+I30</f>
        <v>2018</v>
      </c>
      <c r="H8" s="373">
        <v>7</v>
      </c>
      <c r="AQ8" s="594" t="s">
        <v>629</v>
      </c>
      <c r="AR8" s="375" t="s">
        <v>630</v>
      </c>
      <c r="AS8" s="385">
        <f>INDEX($B$40:$M$65,MATCH($AR$8:$AR$32,$B$40:$B$65,0),MATCH($AR$6,$B$40:$M$40,0))</f>
        <v>7227</v>
      </c>
      <c r="AT8" s="385">
        <f>INDEX($B$80:$M$105,MATCH($AR$8:$AR$32,$B$80:$B$105,0),MATCH($AR$6,$B$80:$M$80,0))</f>
        <v>8261</v>
      </c>
      <c r="AU8" s="397">
        <f>+AS8/$AS$32*100</f>
        <v>2.5370357368531908</v>
      </c>
      <c r="AV8" s="397">
        <f>+AT8/$AT$32*100</f>
        <v>2.4831446151441465</v>
      </c>
      <c r="AW8" s="387">
        <f>RANK(AS8,$AS$8:$AS$31,0)</f>
        <v>12</v>
      </c>
      <c r="AX8" s="387">
        <f>RANK(AT8,$AT$8:$AT$31,0)</f>
        <v>13</v>
      </c>
      <c r="AY8" s="373" t="str">
        <f>+AR8</f>
        <v>Alto Minho</v>
      </c>
      <c r="BL8" s="594" t="s">
        <v>629</v>
      </c>
      <c r="BM8" s="375" t="s">
        <v>630</v>
      </c>
      <c r="BN8" s="385">
        <f>INDEX($B$120:$M$145,MATCH($BM$8:$BM$32,$B$120:$B$145,0),MATCH($BM$6,$B$120:$M$120,0))</f>
        <v>68558</v>
      </c>
      <c r="BO8" s="385">
        <f>INDEX($B$160:$M$185,MATCH($BM$8:$BM$32,$B$160:$B$185,0),MATCH($BM$6,$B$160:$M$160,0))</f>
        <v>64187</v>
      </c>
      <c r="BP8" s="397">
        <f>+BN8/$BN$32*100</f>
        <v>2.0544295884847901</v>
      </c>
      <c r="BQ8" s="397">
        <f>+BO8/$BO$32*100</f>
        <v>2.0388819200628183</v>
      </c>
      <c r="BR8" s="387">
        <f>RANK(BN8,$BN$8:$BN$31,0)</f>
        <v>14</v>
      </c>
      <c r="BS8" s="387">
        <f>RANK(BO8,$BO$8:$BO$31,0)</f>
        <v>14</v>
      </c>
      <c r="BT8" s="373" t="str">
        <f>+BM8</f>
        <v>Alto Minho</v>
      </c>
      <c r="CF8" s="594" t="s">
        <v>629</v>
      </c>
      <c r="CG8" s="375" t="s">
        <v>630</v>
      </c>
      <c r="CH8" s="386">
        <f>INDEX($B$200:$M$225,MATCH($CG$8:$CG$32,$B$200:$B$225,0),MATCH($CG$6,$B$200:$M$200,0))</f>
        <v>955.66561814916668</v>
      </c>
      <c r="CI8" s="386">
        <f>INDEX($B$240:$M$265,MATCH($CG$8:$CG$32,$B$240:$B$265,0),MATCH($CG$6,$B$240:$M$240,0))</f>
        <v>1154.337399624301</v>
      </c>
      <c r="CJ8" s="397">
        <f>+CH8/$CH$38*100</f>
        <v>89.884792314565189</v>
      </c>
      <c r="CK8" s="397">
        <f>+CI8/$CI$38*100</f>
        <v>92.092033760569123</v>
      </c>
      <c r="CL8" s="387">
        <f>RANK(CH8,$CH$8:$CH$31,0)</f>
        <v>16</v>
      </c>
      <c r="CM8" s="387">
        <f>RANK(CI8,$CI$8:$CI$31,0)</f>
        <v>14</v>
      </c>
      <c r="CN8" s="386">
        <f>+CH8-$CH$32</f>
        <v>-187.77996470772428</v>
      </c>
      <c r="CO8" s="386">
        <f>+CI8-$CI$32</f>
        <v>-213.65784936406908</v>
      </c>
      <c r="CP8" s="373" t="str">
        <f>+CG8</f>
        <v>Alto Minho</v>
      </c>
    </row>
    <row r="9" spans="1:94">
      <c r="A9" s="375"/>
      <c r="D9" s="375" t="s">
        <v>637</v>
      </c>
      <c r="E9" s="373">
        <v>8</v>
      </c>
      <c r="G9" s="374">
        <f>+J30</f>
        <v>2019</v>
      </c>
      <c r="H9" s="373">
        <v>8</v>
      </c>
      <c r="AD9" s="395"/>
      <c r="AF9" s="397">
        <f>+(AC6/S6-1)*100</f>
        <v>6.6000884433962348</v>
      </c>
      <c r="AQ9" s="594"/>
      <c r="AR9" s="375" t="s">
        <v>631</v>
      </c>
      <c r="AS9" s="385">
        <f t="shared" ref="AS9:AS32" si="4">INDEX($B$40:$M$65,MATCH($AR$8:$AR$32,$B$40:$B$65,0),MATCH($AR$6,$B$40:$M$40,0))</f>
        <v>14557</v>
      </c>
      <c r="AT9" s="385">
        <f t="shared" ref="AT9:AT32" si="5">INDEX($B$80:$M$105,MATCH($AR$8:$AR$32,$B$80:$B$105,0),MATCH($AR$6,$B$80:$M$80,0))</f>
        <v>16345</v>
      </c>
      <c r="AU9" s="397">
        <f t="shared" ref="AU9:AU32" si="6">+AS9/$AS$32*100</f>
        <v>5.1102295864635261</v>
      </c>
      <c r="AV9" s="397">
        <f t="shared" ref="AV9:AV32" si="7">+AT9/$AT$32*100</f>
        <v>4.9130854296732922</v>
      </c>
      <c r="AW9" s="387">
        <f t="shared" ref="AW9:AW31" si="8">RANK(AS9,$AS$8:$AS$31,0)</f>
        <v>5</v>
      </c>
      <c r="AX9" s="387">
        <f t="shared" ref="AX9:AX31" si="9">RANK(AT9,$AT$8:$AT$31,0)</f>
        <v>5</v>
      </c>
      <c r="AY9" s="373" t="str">
        <f t="shared" ref="AY9:AY31" si="10">+AR9</f>
        <v>Cávado</v>
      </c>
      <c r="BL9" s="594"/>
      <c r="BM9" s="375" t="s">
        <v>631</v>
      </c>
      <c r="BN9" s="385">
        <f t="shared" ref="BN9:BN32" si="11">INDEX($B$120:$M$145,MATCH($BM$8:$BM$32,$B$120:$B$145,0),MATCH($BM$6,$B$120:$M$120,0))</f>
        <v>153121</v>
      </c>
      <c r="BO9" s="385">
        <f t="shared" ref="BO9:BO32" si="12">INDEX($B$160:$M$185,MATCH($BM$8:$BM$32,$B$160:$B$185,0),MATCH($BM$6,$B$160:$M$160,0))</f>
        <v>143159</v>
      </c>
      <c r="BP9" s="397">
        <f t="shared" ref="BP9:BP32" si="13">+BN9/$BN$32*100</f>
        <v>4.5884698068552101</v>
      </c>
      <c r="BQ9" s="397">
        <f t="shared" ref="BQ9:BQ32" si="14">+BO9/$BO$32*100</f>
        <v>4.5474051878771871</v>
      </c>
      <c r="BR9" s="387">
        <f t="shared" ref="BR9:BR31" si="15">RANK(BN9,$BN$8:$BN$31,0)</f>
        <v>5</v>
      </c>
      <c r="BS9" s="387">
        <f t="shared" ref="BS9:BS31" si="16">RANK(BO9,$BO$8:$BO$31,0)</f>
        <v>5</v>
      </c>
      <c r="BT9" s="373" t="str">
        <f t="shared" ref="BT9:BT31" si="17">+BM9</f>
        <v>Cávado</v>
      </c>
      <c r="CF9" s="594"/>
      <c r="CG9" s="375" t="s">
        <v>631</v>
      </c>
      <c r="CH9" s="386">
        <f t="shared" ref="CH9:CH32" si="18">INDEX($B$200:$M$225,MATCH($CG$8:$CG$32,$B$200:$B$225,0),MATCH($CG$6,$B$200:$M$200,0))</f>
        <v>1014.0747950947501</v>
      </c>
      <c r="CI9" s="386">
        <f t="shared" ref="CI9:CI32" si="19">INDEX($B$240:$M$265,MATCH($CG$8:$CG$32,$B$240:$B$265,0),MATCH($CG$6,$B$240:$M$240,0))</f>
        <v>1183.0782294131691</v>
      </c>
      <c r="CJ9" s="397">
        <f t="shared" ref="CJ9:CJ15" si="20">+CH9/$CH$38*100</f>
        <v>95.3784468306566</v>
      </c>
      <c r="CK9" s="397">
        <f t="shared" ref="CK9:CK15" si="21">+CI9/$CI$38*100</f>
        <v>94.38495216387534</v>
      </c>
      <c r="CL9" s="387">
        <f t="shared" ref="CL9:CL31" si="22">RANK(CH9,$CH$8:$CH$31,0)</f>
        <v>7</v>
      </c>
      <c r="CM9" s="387">
        <f t="shared" ref="CM9:CM31" si="23">RANK(CI9,$CI$8:$CI$31,0)</f>
        <v>10</v>
      </c>
      <c r="CN9" s="386">
        <f t="shared" ref="CN9:CN31" si="24">+CH9-$CH$32</f>
        <v>-129.37078776214082</v>
      </c>
      <c r="CO9" s="386">
        <f t="shared" ref="CO9:CO31" si="25">+CI9-$CI$32</f>
        <v>-184.91701957520104</v>
      </c>
      <c r="CP9" s="373" t="str">
        <f t="shared" ref="CP9:CP31" si="26">+CG9</f>
        <v>Cávado</v>
      </c>
    </row>
    <row r="10" spans="1:94">
      <c r="A10" s="375"/>
      <c r="D10" s="375" t="s">
        <v>639</v>
      </c>
      <c r="E10" s="373">
        <v>9</v>
      </c>
      <c r="G10" s="374">
        <f>+K30</f>
        <v>2020</v>
      </c>
      <c r="H10" s="373">
        <v>9</v>
      </c>
      <c r="Z10" s="393" t="s">
        <v>695</v>
      </c>
      <c r="AA10" s="393"/>
      <c r="AB10" s="393"/>
      <c r="AF10" s="397">
        <f>+(AC7/S7-1)*100</f>
        <v>4.1669845435542197</v>
      </c>
      <c r="AQ10" s="594"/>
      <c r="AR10" s="375" t="s">
        <v>632</v>
      </c>
      <c r="AS10" s="385">
        <f t="shared" si="4"/>
        <v>13716</v>
      </c>
      <c r="AT10" s="385">
        <f t="shared" si="5"/>
        <v>15257</v>
      </c>
      <c r="AU10" s="397">
        <f t="shared" si="6"/>
        <v>4.8149968405532544</v>
      </c>
      <c r="AV10" s="397">
        <f t="shared" si="7"/>
        <v>4.5860473784353273</v>
      </c>
      <c r="AW10" s="387">
        <f t="shared" si="8"/>
        <v>6</v>
      </c>
      <c r="AX10" s="387">
        <f t="shared" si="9"/>
        <v>6</v>
      </c>
      <c r="AY10" s="373" t="str">
        <f t="shared" si="10"/>
        <v>Ave</v>
      </c>
      <c r="BL10" s="594"/>
      <c r="BM10" s="375" t="s">
        <v>632</v>
      </c>
      <c r="BN10" s="385">
        <f t="shared" si="11"/>
        <v>149246</v>
      </c>
      <c r="BO10" s="385">
        <f t="shared" si="12"/>
        <v>140262</v>
      </c>
      <c r="BP10" s="397">
        <f t="shared" si="13"/>
        <v>4.4723503947460683</v>
      </c>
      <c r="BQ10" s="397">
        <f t="shared" si="14"/>
        <v>4.4553828013749044</v>
      </c>
      <c r="BR10" s="387">
        <f t="shared" si="15"/>
        <v>6</v>
      </c>
      <c r="BS10" s="387">
        <f t="shared" si="16"/>
        <v>6</v>
      </c>
      <c r="BT10" s="373" t="str">
        <f t="shared" si="17"/>
        <v>Ave</v>
      </c>
      <c r="CF10" s="594"/>
      <c r="CG10" s="375" t="s">
        <v>632</v>
      </c>
      <c r="CH10" s="386">
        <f t="shared" si="18"/>
        <v>964.06539448218007</v>
      </c>
      <c r="CI10" s="386">
        <f t="shared" si="19"/>
        <v>1132.3273242586924</v>
      </c>
      <c r="CJ10" s="397">
        <f t="shared" si="20"/>
        <v>90.674830312001916</v>
      </c>
      <c r="CK10" s="397">
        <f t="shared" si="21"/>
        <v>90.336089091097278</v>
      </c>
      <c r="CL10" s="387">
        <f t="shared" si="22"/>
        <v>15</v>
      </c>
      <c r="CM10" s="387">
        <f t="shared" si="23"/>
        <v>17</v>
      </c>
      <c r="CN10" s="386">
        <f t="shared" si="24"/>
        <v>-179.38018837471088</v>
      </c>
      <c r="CO10" s="386">
        <f t="shared" si="25"/>
        <v>-235.66792472967768</v>
      </c>
      <c r="CP10" s="373" t="str">
        <f t="shared" si="26"/>
        <v>Ave</v>
      </c>
    </row>
    <row r="11" spans="1:94">
      <c r="A11" s="375"/>
      <c r="D11" s="375" t="s">
        <v>640</v>
      </c>
      <c r="E11" s="373">
        <v>10</v>
      </c>
      <c r="G11" s="374">
        <f>+L30</f>
        <v>2021</v>
      </c>
      <c r="H11" s="373">
        <v>10</v>
      </c>
      <c r="AQ11" s="594"/>
      <c r="AR11" s="375" t="s">
        <v>633</v>
      </c>
      <c r="AS11" s="536">
        <f t="shared" si="4"/>
        <v>51243</v>
      </c>
      <c r="AT11" s="536">
        <f t="shared" si="5"/>
        <v>59479</v>
      </c>
      <c r="AU11" s="397">
        <f t="shared" si="6"/>
        <v>17.98883662149828</v>
      </c>
      <c r="AV11" s="397">
        <f t="shared" si="7"/>
        <v>17.878581111749021</v>
      </c>
      <c r="AW11" s="387">
        <f t="shared" si="8"/>
        <v>2</v>
      </c>
      <c r="AX11" s="387">
        <f t="shared" si="9"/>
        <v>2</v>
      </c>
      <c r="AY11" s="373" t="str">
        <f t="shared" si="10"/>
        <v>Área Metropolitana do Porto</v>
      </c>
      <c r="AZ11" s="397"/>
      <c r="BA11" s="397"/>
      <c r="BL11" s="594"/>
      <c r="BM11" s="375" t="s">
        <v>633</v>
      </c>
      <c r="BN11" s="385">
        <f t="shared" si="11"/>
        <v>633694</v>
      </c>
      <c r="BO11" s="385">
        <f t="shared" si="12"/>
        <v>598036</v>
      </c>
      <c r="BP11" s="397">
        <f t="shared" si="13"/>
        <v>18.989464448281463</v>
      </c>
      <c r="BQ11" s="397">
        <f t="shared" si="14"/>
        <v>18.996444575173907</v>
      </c>
      <c r="BR11" s="387">
        <f t="shared" si="15"/>
        <v>2</v>
      </c>
      <c r="BS11" s="387">
        <f t="shared" si="16"/>
        <v>2</v>
      </c>
      <c r="BT11" s="373" t="str">
        <f t="shared" si="17"/>
        <v>Área Metropolitana do Porto</v>
      </c>
      <c r="CF11" s="594"/>
      <c r="CG11" s="375" t="s">
        <v>633</v>
      </c>
      <c r="CH11" s="386">
        <f t="shared" si="18"/>
        <v>1165.4434957531817</v>
      </c>
      <c r="CI11" s="386">
        <f t="shared" si="19"/>
        <v>1378.5625293136845</v>
      </c>
      <c r="CJ11" s="397">
        <f t="shared" si="20"/>
        <v>109.61537652993665</v>
      </c>
      <c r="CK11" s="397">
        <f t="shared" si="21"/>
        <v>109.98051958806062</v>
      </c>
      <c r="CL11" s="387">
        <f t="shared" si="22"/>
        <v>2</v>
      </c>
      <c r="CM11" s="387">
        <f t="shared" si="23"/>
        <v>2</v>
      </c>
      <c r="CN11" s="386">
        <f t="shared" si="24"/>
        <v>21.9979128962907</v>
      </c>
      <c r="CO11" s="386">
        <f t="shared" si="25"/>
        <v>10.567280325314414</v>
      </c>
      <c r="CP11" s="373" t="str">
        <f t="shared" si="26"/>
        <v>Área Metropolitana do Porto</v>
      </c>
    </row>
    <row r="12" spans="1:94" ht="12.75" customHeight="1">
      <c r="A12" s="375"/>
      <c r="D12" s="375" t="s">
        <v>641</v>
      </c>
      <c r="E12" s="373">
        <v>11</v>
      </c>
      <c r="G12" s="374">
        <f>+M30</f>
        <v>2022</v>
      </c>
      <c r="H12" s="373">
        <v>11</v>
      </c>
      <c r="Z12" s="373">
        <f>+AC5</f>
        <v>2022</v>
      </c>
      <c r="AA12" s="373" t="s">
        <v>506</v>
      </c>
      <c r="AB12" s="373" t="s">
        <v>696</v>
      </c>
      <c r="AQ12" s="594"/>
      <c r="AR12" s="375" t="s">
        <v>634</v>
      </c>
      <c r="AS12" s="537">
        <f t="shared" si="4"/>
        <v>2409</v>
      </c>
      <c r="AT12" s="537">
        <f t="shared" si="5"/>
        <v>2739</v>
      </c>
      <c r="AU12" s="397">
        <f t="shared" si="6"/>
        <v>0.84567857895106369</v>
      </c>
      <c r="AV12" s="397">
        <f t="shared" si="7"/>
        <v>0.82330627053381156</v>
      </c>
      <c r="AW12" s="387">
        <f t="shared" si="8"/>
        <v>24</v>
      </c>
      <c r="AX12" s="387">
        <f t="shared" si="9"/>
        <v>24</v>
      </c>
      <c r="AY12" s="373" t="str">
        <f t="shared" si="10"/>
        <v>Alto Tâmega e Barroso</v>
      </c>
      <c r="AZ12" s="397"/>
      <c r="BA12" s="397"/>
      <c r="BL12" s="594"/>
      <c r="BM12" s="375" t="s">
        <v>634</v>
      </c>
      <c r="BN12" s="385">
        <f t="shared" si="11"/>
        <v>15757.000000000002</v>
      </c>
      <c r="BO12" s="385">
        <f t="shared" si="12"/>
        <v>14446</v>
      </c>
      <c r="BP12" s="397">
        <f t="shared" si="13"/>
        <v>0.47217898751064558</v>
      </c>
      <c r="BQ12" s="397">
        <f t="shared" si="14"/>
        <v>0.45887310853019259</v>
      </c>
      <c r="BR12" s="387">
        <f t="shared" si="15"/>
        <v>24</v>
      </c>
      <c r="BS12" s="387">
        <f t="shared" si="16"/>
        <v>24</v>
      </c>
      <c r="BT12" s="373" t="str">
        <f t="shared" si="17"/>
        <v>Alto Tâmega e Barroso</v>
      </c>
      <c r="CF12" s="594"/>
      <c r="CG12" s="375" t="s">
        <v>634</v>
      </c>
      <c r="CH12" s="386">
        <f t="shared" si="18"/>
        <v>892.27479129321375</v>
      </c>
      <c r="CI12" s="386">
        <f t="shared" si="19"/>
        <v>1043.3717336747779</v>
      </c>
      <c r="CJ12" s="397">
        <f t="shared" si="20"/>
        <v>83.922590474939597</v>
      </c>
      <c r="CK12" s="397">
        <f t="shared" si="21"/>
        <v>83.23928944316809</v>
      </c>
      <c r="CL12" s="387">
        <f t="shared" si="22"/>
        <v>23</v>
      </c>
      <c r="CM12" s="387">
        <f t="shared" si="23"/>
        <v>23</v>
      </c>
      <c r="CN12" s="386">
        <f t="shared" si="24"/>
        <v>-251.1707915636772</v>
      </c>
      <c r="CO12" s="386">
        <f t="shared" si="25"/>
        <v>-324.62351531359218</v>
      </c>
      <c r="CP12" s="373" t="str">
        <f t="shared" si="26"/>
        <v>Alto Tâmega e Barroso</v>
      </c>
    </row>
    <row r="13" spans="1:94">
      <c r="A13" s="375"/>
      <c r="D13" s="375" t="s">
        <v>642</v>
      </c>
      <c r="E13" s="373">
        <v>12</v>
      </c>
      <c r="Z13" s="373" t="s">
        <v>364</v>
      </c>
      <c r="AA13" s="373" t="str">
        <f>+R4</f>
        <v>Grande Lisboa</v>
      </c>
      <c r="AD13" s="590" t="str">
        <f>CONCATENATE(Z12,AA12,CHAR(10),AB12,R4,Z14,AD6,Z16,AA17,Z18,AH6," ",AA20,Z21,AD7,Z23,AA24,Z25,AH7," ",AA27," ",Z28)</f>
        <v>2022:
A região Grande Lisboa era a sede de 57.854 empresas (6,6%, ou seja, mais 3.582 que em 2012) e era a localização de 68.270 estabelecimentos (4,2%, ou seja, mais 2.731 que em 2012).</v>
      </c>
      <c r="AE13" s="590"/>
      <c r="AF13" s="590"/>
      <c r="AG13" s="590"/>
      <c r="AQ13" s="594"/>
      <c r="AR13" s="375" t="s">
        <v>635</v>
      </c>
      <c r="AS13" s="385">
        <f t="shared" si="4"/>
        <v>13294</v>
      </c>
      <c r="AT13" s="385">
        <f t="shared" si="5"/>
        <v>14461</v>
      </c>
      <c r="AU13" s="397">
        <f t="shared" si="6"/>
        <v>4.6668538931404902</v>
      </c>
      <c r="AV13" s="397">
        <f t="shared" si="7"/>
        <v>4.3467805688899039</v>
      </c>
      <c r="AW13" s="387">
        <f t="shared" si="8"/>
        <v>7</v>
      </c>
      <c r="AX13" s="387">
        <f t="shared" si="9"/>
        <v>7</v>
      </c>
      <c r="AY13" s="373" t="str">
        <f t="shared" si="10"/>
        <v>Tâmega e Sousa</v>
      </c>
      <c r="BL13" s="594"/>
      <c r="BM13" s="375" t="s">
        <v>635</v>
      </c>
      <c r="BN13" s="385">
        <f t="shared" si="11"/>
        <v>134241</v>
      </c>
      <c r="BO13" s="385">
        <f t="shared" si="12"/>
        <v>126317.99999999999</v>
      </c>
      <c r="BP13" s="397">
        <f t="shared" si="13"/>
        <v>4.0227060647595714</v>
      </c>
      <c r="BQ13" s="397">
        <f t="shared" si="14"/>
        <v>4.0124555810132119</v>
      </c>
      <c r="BR13" s="387">
        <f t="shared" si="15"/>
        <v>8</v>
      </c>
      <c r="BS13" s="387">
        <f t="shared" si="16"/>
        <v>8</v>
      </c>
      <c r="BT13" s="373" t="str">
        <f t="shared" si="17"/>
        <v>Tâmega e Sousa</v>
      </c>
      <c r="CF13" s="594"/>
      <c r="CG13" s="375" t="s">
        <v>635</v>
      </c>
      <c r="CH13" s="386">
        <f t="shared" si="18"/>
        <v>885.57121879110116</v>
      </c>
      <c r="CI13" s="386">
        <f t="shared" si="19"/>
        <v>1026.1271821216981</v>
      </c>
      <c r="CJ13" s="397">
        <f t="shared" si="20"/>
        <v>83.292088329968664</v>
      </c>
      <c r="CK13" s="397">
        <f t="shared" si="21"/>
        <v>81.863534118659871</v>
      </c>
      <c r="CL13" s="387">
        <f t="shared" si="22"/>
        <v>24</v>
      </c>
      <c r="CM13" s="387">
        <f t="shared" si="23"/>
        <v>24</v>
      </c>
      <c r="CN13" s="386">
        <f t="shared" si="24"/>
        <v>-257.87436406578979</v>
      </c>
      <c r="CO13" s="386">
        <f t="shared" si="25"/>
        <v>-341.86806686667205</v>
      </c>
      <c r="CP13" s="373" t="str">
        <f t="shared" si="26"/>
        <v>Tâmega e Sousa</v>
      </c>
    </row>
    <row r="14" spans="1:94">
      <c r="A14" s="375"/>
      <c r="D14" s="375" t="s">
        <v>643</v>
      </c>
      <c r="E14" s="373">
        <v>13</v>
      </c>
      <c r="Z14" s="373" t="s">
        <v>513</v>
      </c>
      <c r="AD14" s="590"/>
      <c r="AE14" s="590"/>
      <c r="AF14" s="590"/>
      <c r="AG14" s="590"/>
      <c r="AQ14" s="594"/>
      <c r="AR14" s="375" t="s">
        <v>636</v>
      </c>
      <c r="AS14" s="385">
        <f t="shared" si="4"/>
        <v>5301</v>
      </c>
      <c r="AT14" s="385">
        <f t="shared" si="5"/>
        <v>6219</v>
      </c>
      <c r="AU14" s="397">
        <f t="shared" si="6"/>
        <v>1.8609141332584427</v>
      </c>
      <c r="AV14" s="397">
        <f t="shared" si="7"/>
        <v>1.8693470961846561</v>
      </c>
      <c r="AW14" s="387">
        <f t="shared" si="8"/>
        <v>17</v>
      </c>
      <c r="AX14" s="387">
        <f t="shared" si="9"/>
        <v>17</v>
      </c>
      <c r="AY14" s="373" t="str">
        <f t="shared" si="10"/>
        <v>Douro</v>
      </c>
      <c r="BL14" s="594"/>
      <c r="BM14" s="375" t="s">
        <v>636</v>
      </c>
      <c r="BN14" s="385">
        <f t="shared" si="11"/>
        <v>40025.000000000007</v>
      </c>
      <c r="BO14" s="385">
        <f t="shared" si="12"/>
        <v>37314</v>
      </c>
      <c r="BP14" s="397">
        <f t="shared" si="13"/>
        <v>1.1994011534628159</v>
      </c>
      <c r="BQ14" s="397">
        <f t="shared" si="14"/>
        <v>1.1852686675685731</v>
      </c>
      <c r="BR14" s="387">
        <f t="shared" si="15"/>
        <v>18</v>
      </c>
      <c r="BS14" s="387">
        <f t="shared" si="16"/>
        <v>18</v>
      </c>
      <c r="BT14" s="373" t="str">
        <f t="shared" si="17"/>
        <v>Douro</v>
      </c>
      <c r="CF14" s="594"/>
      <c r="CG14" s="375" t="s">
        <v>636</v>
      </c>
      <c r="CH14" s="386">
        <f t="shared" si="18"/>
        <v>922.59328591096858</v>
      </c>
      <c r="CI14" s="386">
        <f t="shared" si="19"/>
        <v>1089.0960613548921</v>
      </c>
      <c r="CJ14" s="397">
        <f t="shared" si="20"/>
        <v>86.774185782182073</v>
      </c>
      <c r="CK14" s="397">
        <f t="shared" si="21"/>
        <v>86.887136536892058</v>
      </c>
      <c r="CL14" s="387">
        <f t="shared" si="22"/>
        <v>20</v>
      </c>
      <c r="CM14" s="387">
        <f t="shared" si="23"/>
        <v>21</v>
      </c>
      <c r="CN14" s="386">
        <f t="shared" si="24"/>
        <v>-220.85229694592238</v>
      </c>
      <c r="CO14" s="386">
        <f t="shared" si="25"/>
        <v>-278.89918763347805</v>
      </c>
      <c r="CP14" s="373" t="str">
        <f t="shared" si="26"/>
        <v>Douro</v>
      </c>
    </row>
    <row r="15" spans="1:94">
      <c r="A15" s="375"/>
      <c r="D15" s="375" t="s">
        <v>644</v>
      </c>
      <c r="E15" s="373">
        <v>14</v>
      </c>
      <c r="Z15" s="373" t="s">
        <v>372</v>
      </c>
      <c r="AA15" s="394" t="str">
        <f>+AD6</f>
        <v>57.854</v>
      </c>
      <c r="AD15" s="590"/>
      <c r="AE15" s="590"/>
      <c r="AF15" s="590"/>
      <c r="AG15" s="590"/>
      <c r="AQ15" s="594"/>
      <c r="AR15" s="375" t="s">
        <v>637</v>
      </c>
      <c r="AS15" s="385">
        <f t="shared" si="4"/>
        <v>3194</v>
      </c>
      <c r="AT15" s="385">
        <f t="shared" si="5"/>
        <v>3702</v>
      </c>
      <c r="AU15" s="397">
        <f t="shared" si="6"/>
        <v>1.1212525451098787</v>
      </c>
      <c r="AV15" s="397">
        <f t="shared" si="7"/>
        <v>1.1127710162527089</v>
      </c>
      <c r="AW15" s="387">
        <f t="shared" si="8"/>
        <v>20</v>
      </c>
      <c r="AX15" s="387">
        <f t="shared" si="9"/>
        <v>20</v>
      </c>
      <c r="AY15" s="373" t="str">
        <f t="shared" si="10"/>
        <v>Terras de Trás-os-Montes</v>
      </c>
      <c r="BL15" s="594"/>
      <c r="BM15" s="375" t="s">
        <v>637</v>
      </c>
      <c r="BN15" s="385">
        <f t="shared" si="11"/>
        <v>20667.999999999996</v>
      </c>
      <c r="BO15" s="385">
        <f t="shared" si="12"/>
        <v>18853</v>
      </c>
      <c r="BP15" s="397">
        <f t="shared" si="13"/>
        <v>0.61934348631528979</v>
      </c>
      <c r="BQ15" s="397">
        <f t="shared" si="14"/>
        <v>0.59886021840784442</v>
      </c>
      <c r="BR15" s="387">
        <f t="shared" si="15"/>
        <v>23</v>
      </c>
      <c r="BS15" s="387">
        <f t="shared" si="16"/>
        <v>23</v>
      </c>
      <c r="BT15" s="373" t="str">
        <f t="shared" si="17"/>
        <v>Terras de Trás-os-Montes</v>
      </c>
      <c r="CF15" s="594"/>
      <c r="CG15" s="375" t="s">
        <v>637</v>
      </c>
      <c r="CH15" s="386">
        <f t="shared" si="18"/>
        <v>899.67616523875961</v>
      </c>
      <c r="CI15" s="386">
        <f t="shared" si="19"/>
        <v>1066.6838593345271</v>
      </c>
      <c r="CJ15" s="397">
        <f t="shared" si="20"/>
        <v>84.618724088311865</v>
      </c>
      <c r="CK15" s="397">
        <f t="shared" si="21"/>
        <v>85.099110552652192</v>
      </c>
      <c r="CL15" s="387">
        <f t="shared" si="22"/>
        <v>22</v>
      </c>
      <c r="CM15" s="387">
        <f t="shared" si="23"/>
        <v>22</v>
      </c>
      <c r="CN15" s="386">
        <f t="shared" si="24"/>
        <v>-243.76941761813134</v>
      </c>
      <c r="CO15" s="386">
        <f t="shared" si="25"/>
        <v>-301.31138965384298</v>
      </c>
      <c r="CP15" s="373" t="str">
        <f t="shared" si="26"/>
        <v>Terras de Trás-os-Montes</v>
      </c>
    </row>
    <row r="16" spans="1:94">
      <c r="A16" s="375"/>
      <c r="D16" s="375" t="s">
        <v>646</v>
      </c>
      <c r="E16" s="373">
        <v>15</v>
      </c>
      <c r="Z16" s="373" t="s">
        <v>370</v>
      </c>
      <c r="AD16" s="590"/>
      <c r="AE16" s="590"/>
      <c r="AF16" s="590"/>
      <c r="AG16" s="590"/>
      <c r="AQ16" s="594" t="s">
        <v>638</v>
      </c>
      <c r="AR16" s="375" t="s">
        <v>639</v>
      </c>
      <c r="AS16" s="385">
        <f t="shared" si="4"/>
        <v>9676</v>
      </c>
      <c r="AT16" s="385">
        <f t="shared" si="5"/>
        <v>11325</v>
      </c>
      <c r="AU16" s="397">
        <f t="shared" si="6"/>
        <v>3.3967563013410098</v>
      </c>
      <c r="AV16" s="397">
        <f t="shared" si="7"/>
        <v>3.4041414800275338</v>
      </c>
      <c r="AW16" s="387">
        <f t="shared" si="8"/>
        <v>11</v>
      </c>
      <c r="AX16" s="387">
        <f t="shared" si="9"/>
        <v>11</v>
      </c>
      <c r="AY16" s="373" t="str">
        <f t="shared" si="10"/>
        <v>Região de Aveiro</v>
      </c>
      <c r="BL16" s="594" t="s">
        <v>638</v>
      </c>
      <c r="BM16" s="375" t="s">
        <v>639</v>
      </c>
      <c r="BN16" s="385">
        <f t="shared" si="11"/>
        <v>135023</v>
      </c>
      <c r="BO16" s="385">
        <f t="shared" si="12"/>
        <v>127100</v>
      </c>
      <c r="BP16" s="397">
        <f t="shared" si="13"/>
        <v>4.0461397112806941</v>
      </c>
      <c r="BQ16" s="397">
        <f t="shared" si="14"/>
        <v>4.0372955900725103</v>
      </c>
      <c r="BR16" s="387">
        <f t="shared" si="15"/>
        <v>7</v>
      </c>
      <c r="BS16" s="387">
        <f t="shared" si="16"/>
        <v>7</v>
      </c>
      <c r="BT16" s="373" t="str">
        <f t="shared" si="17"/>
        <v>Região de Aveiro</v>
      </c>
      <c r="CF16" s="594" t="s">
        <v>638</v>
      </c>
      <c r="CG16" s="375" t="s">
        <v>639</v>
      </c>
      <c r="CH16" s="386">
        <f t="shared" si="18"/>
        <v>1065.4112333260434</v>
      </c>
      <c r="CI16" s="386">
        <f t="shared" si="19"/>
        <v>1282.8988460216819</v>
      </c>
      <c r="CJ16" s="397">
        <f>+CH16/$CH$39*100</f>
        <v>105.73303873243276</v>
      </c>
      <c r="CK16" s="397">
        <f>+CI16/$CI$39*100</f>
        <v>105.322099450216</v>
      </c>
      <c r="CL16" s="387">
        <f t="shared" si="22"/>
        <v>4</v>
      </c>
      <c r="CM16" s="387">
        <f t="shared" si="23"/>
        <v>6</v>
      </c>
      <c r="CN16" s="386">
        <f t="shared" si="24"/>
        <v>-78.034349530847521</v>
      </c>
      <c r="CO16" s="386">
        <f t="shared" si="25"/>
        <v>-85.096402966688174</v>
      </c>
      <c r="CP16" s="373" t="str">
        <f t="shared" si="26"/>
        <v>Região de Aveiro</v>
      </c>
    </row>
    <row r="17" spans="1:94">
      <c r="A17" s="375"/>
      <c r="D17" s="375" t="s">
        <v>647</v>
      </c>
      <c r="E17" s="373">
        <v>16</v>
      </c>
      <c r="Z17" s="373" t="s">
        <v>373</v>
      </c>
      <c r="AA17" s="397">
        <f>ROUND(AF9,1)</f>
        <v>6.6</v>
      </c>
      <c r="AD17" s="590"/>
      <c r="AE17" s="590"/>
      <c r="AF17" s="590"/>
      <c r="AG17" s="590"/>
      <c r="AQ17" s="594"/>
      <c r="AR17" s="375" t="s">
        <v>640</v>
      </c>
      <c r="AS17" s="536">
        <f t="shared" si="4"/>
        <v>11014</v>
      </c>
      <c r="AT17" s="536">
        <f t="shared" si="5"/>
        <v>13325</v>
      </c>
      <c r="AU17" s="397">
        <f t="shared" si="6"/>
        <v>3.8664607175454604</v>
      </c>
      <c r="AV17" s="397">
        <f t="shared" si="7"/>
        <v>4.0053143683326171</v>
      </c>
      <c r="AW17" s="387">
        <f t="shared" si="8"/>
        <v>9</v>
      </c>
      <c r="AX17" s="387">
        <f t="shared" si="9"/>
        <v>8</v>
      </c>
      <c r="AY17" s="373" t="str">
        <f t="shared" si="10"/>
        <v>Região de Coimbra</v>
      </c>
      <c r="BL17" s="594"/>
      <c r="BM17" s="375" t="s">
        <v>640</v>
      </c>
      <c r="BN17" s="385">
        <f t="shared" si="11"/>
        <v>119330.00000000001</v>
      </c>
      <c r="BO17" s="385">
        <f t="shared" si="12"/>
        <v>111437</v>
      </c>
      <c r="BP17" s="397">
        <f t="shared" si="13"/>
        <v>3.5758785669635933</v>
      </c>
      <c r="BQ17" s="397">
        <f t="shared" si="14"/>
        <v>3.5397648203848173</v>
      </c>
      <c r="BR17" s="387">
        <f t="shared" si="15"/>
        <v>9</v>
      </c>
      <c r="BS17" s="387">
        <f t="shared" si="16"/>
        <v>9</v>
      </c>
      <c r="BT17" s="373" t="str">
        <f t="shared" si="17"/>
        <v>Região de Coimbra</v>
      </c>
      <c r="CF17" s="594"/>
      <c r="CG17" s="375" t="s">
        <v>640</v>
      </c>
      <c r="CH17" s="386">
        <f t="shared" si="18"/>
        <v>1011.4648886712012</v>
      </c>
      <c r="CI17" s="386">
        <f t="shared" si="19"/>
        <v>1223.8240397602849</v>
      </c>
      <c r="CJ17" s="397">
        <f t="shared" ref="CJ17:CJ21" si="27">+CH17/$CH$39*100</f>
        <v>100.37932105943912</v>
      </c>
      <c r="CK17" s="397">
        <f t="shared" ref="CK17:CK21" si="28">+CI17/$CI$39*100</f>
        <v>100.47223724996583</v>
      </c>
      <c r="CL17" s="387">
        <f t="shared" si="22"/>
        <v>8</v>
      </c>
      <c r="CM17" s="387">
        <f t="shared" si="23"/>
        <v>8</v>
      </c>
      <c r="CN17" s="386">
        <f t="shared" si="24"/>
        <v>-131.9806941856898</v>
      </c>
      <c r="CO17" s="386">
        <f t="shared" si="25"/>
        <v>-144.17120922808522</v>
      </c>
      <c r="CP17" s="373" t="str">
        <f t="shared" si="26"/>
        <v>Região de Coimbra</v>
      </c>
    </row>
    <row r="18" spans="1:94">
      <c r="A18" s="375"/>
      <c r="D18" s="375" t="s">
        <v>648</v>
      </c>
      <c r="E18" s="373">
        <v>17</v>
      </c>
      <c r="Z18" s="373" t="s">
        <v>374</v>
      </c>
      <c r="AD18" s="590"/>
      <c r="AE18" s="590"/>
      <c r="AF18" s="590"/>
      <c r="AG18" s="590"/>
      <c r="AQ18" s="594"/>
      <c r="AR18" s="375" t="s">
        <v>641</v>
      </c>
      <c r="AS18" s="385">
        <f t="shared" si="4"/>
        <v>10184</v>
      </c>
      <c r="AT18" s="385">
        <f t="shared" si="5"/>
        <v>11845</v>
      </c>
      <c r="AU18" s="397">
        <f t="shared" si="6"/>
        <v>3.5750895176577964</v>
      </c>
      <c r="AV18" s="397">
        <f t="shared" si="7"/>
        <v>3.5604464309868558</v>
      </c>
      <c r="AW18" s="387">
        <f t="shared" si="8"/>
        <v>10</v>
      </c>
      <c r="AX18" s="387">
        <f t="shared" si="9"/>
        <v>10</v>
      </c>
      <c r="AY18" s="373" t="str">
        <f t="shared" si="10"/>
        <v>Região de Leiria</v>
      </c>
      <c r="BL18" s="594"/>
      <c r="BM18" s="375" t="s">
        <v>641</v>
      </c>
      <c r="BN18" s="385">
        <f t="shared" si="11"/>
        <v>105680</v>
      </c>
      <c r="BO18" s="385">
        <f t="shared" si="12"/>
        <v>98098</v>
      </c>
      <c r="BP18" s="397">
        <f t="shared" si="13"/>
        <v>3.1668385733404212</v>
      </c>
      <c r="BQ18" s="397">
        <f t="shared" si="14"/>
        <v>3.1160552540907402</v>
      </c>
      <c r="BR18" s="387">
        <f t="shared" si="15"/>
        <v>10</v>
      </c>
      <c r="BS18" s="387">
        <f t="shared" si="16"/>
        <v>10</v>
      </c>
      <c r="BT18" s="373" t="str">
        <f t="shared" si="17"/>
        <v>Região de Leiria</v>
      </c>
      <c r="CF18" s="594"/>
      <c r="CG18" s="375" t="s">
        <v>641</v>
      </c>
      <c r="CH18" s="386">
        <f t="shared" si="18"/>
        <v>1034.0919589902462</v>
      </c>
      <c r="CI18" s="386">
        <f t="shared" si="19"/>
        <v>1251.1986876616286</v>
      </c>
      <c r="CJ18" s="397">
        <f t="shared" si="27"/>
        <v>102.62486609182655</v>
      </c>
      <c r="CK18" s="397">
        <f t="shared" si="28"/>
        <v>102.71961271344898</v>
      </c>
      <c r="CL18" s="387">
        <f t="shared" si="22"/>
        <v>5</v>
      </c>
      <c r="CM18" s="387">
        <f t="shared" si="23"/>
        <v>7</v>
      </c>
      <c r="CN18" s="386">
        <f t="shared" si="24"/>
        <v>-109.35362386664474</v>
      </c>
      <c r="CO18" s="386">
        <f t="shared" si="25"/>
        <v>-116.79656132674154</v>
      </c>
      <c r="CP18" s="373" t="str">
        <f t="shared" si="26"/>
        <v>Região de Leiria</v>
      </c>
    </row>
    <row r="19" spans="1:94">
      <c r="D19" s="375" t="s">
        <v>649</v>
      </c>
      <c r="E19" s="373">
        <v>18</v>
      </c>
      <c r="Z19" s="373" t="s">
        <v>365</v>
      </c>
      <c r="AA19" s="373" t="str">
        <f>+AH6</f>
        <v>, mais</v>
      </c>
      <c r="AD19" s="590"/>
      <c r="AE19" s="590"/>
      <c r="AF19" s="590"/>
      <c r="AG19" s="590"/>
      <c r="AQ19" s="594"/>
      <c r="AR19" s="375" t="s">
        <v>642</v>
      </c>
      <c r="AS19" s="385">
        <f t="shared" si="4"/>
        <v>7226</v>
      </c>
      <c r="AT19" s="385">
        <f t="shared" si="5"/>
        <v>8478</v>
      </c>
      <c r="AU19" s="397">
        <f t="shared" si="6"/>
        <v>2.5366846872147719</v>
      </c>
      <c r="AV19" s="397">
        <f t="shared" si="7"/>
        <v>2.5483718735252476</v>
      </c>
      <c r="AW19" s="387">
        <f t="shared" si="8"/>
        <v>13</v>
      </c>
      <c r="AX19" s="387">
        <f t="shared" si="9"/>
        <v>12</v>
      </c>
      <c r="AY19" s="373" t="str">
        <f t="shared" si="10"/>
        <v>Viseu Dão Lafões</v>
      </c>
      <c r="BL19" s="594"/>
      <c r="BM19" s="375" t="s">
        <v>642</v>
      </c>
      <c r="BN19" s="385">
        <f t="shared" si="11"/>
        <v>74206</v>
      </c>
      <c r="BO19" s="385">
        <f t="shared" si="12"/>
        <v>69493</v>
      </c>
      <c r="BP19" s="397">
        <f t="shared" si="13"/>
        <v>2.2236792503150955</v>
      </c>
      <c r="BQ19" s="397">
        <f t="shared" si="14"/>
        <v>2.207425510943422</v>
      </c>
      <c r="BR19" s="387">
        <f t="shared" si="15"/>
        <v>12</v>
      </c>
      <c r="BS19" s="387">
        <f t="shared" si="16"/>
        <v>12</v>
      </c>
      <c r="BT19" s="373" t="str">
        <f t="shared" si="17"/>
        <v>Viseu Dão Lafões</v>
      </c>
      <c r="CF19" s="594"/>
      <c r="CG19" s="375" t="s">
        <v>642</v>
      </c>
      <c r="CH19" s="386">
        <f t="shared" si="18"/>
        <v>944.06911928341015</v>
      </c>
      <c r="CI19" s="386">
        <f t="shared" si="19"/>
        <v>1154.7229728125794</v>
      </c>
      <c r="CJ19" s="397">
        <f t="shared" si="27"/>
        <v>93.690861925368125</v>
      </c>
      <c r="CK19" s="397">
        <f t="shared" si="28"/>
        <v>94.799249494344096</v>
      </c>
      <c r="CL19" s="387">
        <f t="shared" si="22"/>
        <v>17</v>
      </c>
      <c r="CM19" s="387">
        <f t="shared" si="23"/>
        <v>13</v>
      </c>
      <c r="CN19" s="386">
        <f t="shared" si="24"/>
        <v>-199.37646357348081</v>
      </c>
      <c r="CO19" s="386">
        <f t="shared" si="25"/>
        <v>-213.27227617579069</v>
      </c>
      <c r="CP19" s="373" t="str">
        <f t="shared" si="26"/>
        <v>Viseu Dão Lafões</v>
      </c>
    </row>
    <row r="20" spans="1:94">
      <c r="D20" s="375" t="s">
        <v>650</v>
      </c>
      <c r="E20" s="373">
        <v>19</v>
      </c>
      <c r="Z20" s="373" t="s">
        <v>367</v>
      </c>
      <c r="AA20" s="394" t="str">
        <f>TEXT(AI6,"##.###")</f>
        <v>3.582</v>
      </c>
      <c r="AQ20" s="594"/>
      <c r="AR20" s="375" t="s">
        <v>643</v>
      </c>
      <c r="AS20" s="537">
        <f t="shared" si="4"/>
        <v>2733</v>
      </c>
      <c r="AT20" s="537">
        <f t="shared" si="5"/>
        <v>3245</v>
      </c>
      <c r="AU20" s="397">
        <f t="shared" si="6"/>
        <v>0.95941866179877833</v>
      </c>
      <c r="AV20" s="397">
        <f t="shared" si="7"/>
        <v>0.97540301127499751</v>
      </c>
      <c r="AW20" s="387">
        <f t="shared" si="8"/>
        <v>23</v>
      </c>
      <c r="AX20" s="387">
        <f t="shared" si="9"/>
        <v>23</v>
      </c>
      <c r="AY20" s="373" t="str">
        <f t="shared" si="10"/>
        <v>Beira Baixa</v>
      </c>
      <c r="BL20" s="594"/>
      <c r="BM20" s="375" t="s">
        <v>643</v>
      </c>
      <c r="BN20" s="385">
        <f t="shared" si="11"/>
        <v>22628</v>
      </c>
      <c r="BO20" s="385">
        <f t="shared" si="12"/>
        <v>21005</v>
      </c>
      <c r="BP20" s="397">
        <f t="shared" si="13"/>
        <v>0.67807743411759136</v>
      </c>
      <c r="BQ20" s="397">
        <f t="shared" si="14"/>
        <v>0.6672178903971131</v>
      </c>
      <c r="BR20" s="387">
        <f t="shared" si="15"/>
        <v>22</v>
      </c>
      <c r="BS20" s="387">
        <f t="shared" si="16"/>
        <v>22</v>
      </c>
      <c r="BT20" s="373" t="str">
        <f t="shared" si="17"/>
        <v>Beira Baixa</v>
      </c>
      <c r="CF20" s="594"/>
      <c r="CG20" s="375" t="s">
        <v>643</v>
      </c>
      <c r="CH20" s="386">
        <f t="shared" si="18"/>
        <v>926.52302131603278</v>
      </c>
      <c r="CI20" s="386">
        <f t="shared" si="19"/>
        <v>1106.8519270929878</v>
      </c>
      <c r="CJ20" s="397">
        <f t="shared" si="27"/>
        <v>91.949560352832478</v>
      </c>
      <c r="CK20" s="397">
        <f t="shared" si="28"/>
        <v>90.869182011861184</v>
      </c>
      <c r="CL20" s="387">
        <f t="shared" si="22"/>
        <v>19</v>
      </c>
      <c r="CM20" s="387">
        <f t="shared" si="23"/>
        <v>20</v>
      </c>
      <c r="CN20" s="386">
        <f t="shared" si="24"/>
        <v>-216.92256154085817</v>
      </c>
      <c r="CO20" s="386">
        <f t="shared" si="25"/>
        <v>-261.14332189538231</v>
      </c>
      <c r="CP20" s="373" t="str">
        <f t="shared" si="26"/>
        <v>Beira Baixa</v>
      </c>
    </row>
    <row r="21" spans="1:94">
      <c r="D21" s="375" t="s">
        <v>652</v>
      </c>
      <c r="E21" s="373">
        <v>20</v>
      </c>
      <c r="Z21" s="373" t="s">
        <v>672</v>
      </c>
      <c r="AQ21" s="594"/>
      <c r="AR21" s="375" t="s">
        <v>644</v>
      </c>
      <c r="AS21" s="385">
        <f t="shared" si="4"/>
        <v>5687</v>
      </c>
      <c r="AT21" s="385">
        <f t="shared" si="5"/>
        <v>6633</v>
      </c>
      <c r="AU21" s="397">
        <f t="shared" si="6"/>
        <v>1.9964192936881275</v>
      </c>
      <c r="AV21" s="397">
        <f t="shared" si="7"/>
        <v>1.9937898840638086</v>
      </c>
      <c r="AW21" s="387">
        <f t="shared" si="8"/>
        <v>16</v>
      </c>
      <c r="AX21" s="387">
        <f t="shared" si="9"/>
        <v>16</v>
      </c>
      <c r="AY21" s="373" t="str">
        <f t="shared" si="10"/>
        <v>Beiras e Serra da Estrela</v>
      </c>
      <c r="BL21" s="594"/>
      <c r="BM21" s="375" t="s">
        <v>644</v>
      </c>
      <c r="BN21" s="385">
        <f t="shared" si="11"/>
        <v>49443</v>
      </c>
      <c r="BO21" s="385">
        <f t="shared" si="12"/>
        <v>46266</v>
      </c>
      <c r="BP21" s="397">
        <f t="shared" si="13"/>
        <v>1.4816237659128544</v>
      </c>
      <c r="BQ21" s="397">
        <f t="shared" si="14"/>
        <v>1.469626418334341</v>
      </c>
      <c r="BR21" s="387">
        <f t="shared" si="15"/>
        <v>16</v>
      </c>
      <c r="BS21" s="387">
        <f t="shared" si="16"/>
        <v>16</v>
      </c>
      <c r="BT21" s="373" t="str">
        <f t="shared" si="17"/>
        <v>Beiras e Serra da Estrela</v>
      </c>
      <c r="CF21" s="594"/>
      <c r="CG21" s="375" t="s">
        <v>644</v>
      </c>
      <c r="CH21" s="386">
        <f t="shared" si="18"/>
        <v>921.31669641634949</v>
      </c>
      <c r="CI21" s="386">
        <f t="shared" si="19"/>
        <v>1107.6834073425111</v>
      </c>
      <c r="CJ21" s="397">
        <f t="shared" si="27"/>
        <v>91.432876714578242</v>
      </c>
      <c r="CK21" s="397">
        <f t="shared" si="28"/>
        <v>90.937444015372023</v>
      </c>
      <c r="CL21" s="387">
        <f t="shared" si="22"/>
        <v>21</v>
      </c>
      <c r="CM21" s="387">
        <f t="shared" si="23"/>
        <v>19</v>
      </c>
      <c r="CN21" s="386">
        <f t="shared" si="24"/>
        <v>-222.12888644054146</v>
      </c>
      <c r="CO21" s="386">
        <f t="shared" si="25"/>
        <v>-260.31184164585898</v>
      </c>
      <c r="CP21" s="373" t="str">
        <f t="shared" si="26"/>
        <v>Beiras e Serra da Estrela</v>
      </c>
    </row>
    <row r="22" spans="1:94">
      <c r="D22" s="375" t="s">
        <v>653</v>
      </c>
      <c r="E22" s="373">
        <v>21</v>
      </c>
      <c r="Z22" s="373" t="s">
        <v>377</v>
      </c>
      <c r="AA22" s="394" t="str">
        <f>+AD7</f>
        <v>68.270</v>
      </c>
      <c r="AQ22" s="594" t="s">
        <v>701</v>
      </c>
      <c r="AR22" s="375" t="s">
        <v>646</v>
      </c>
      <c r="AS22" s="536">
        <f t="shared" si="4"/>
        <v>11295</v>
      </c>
      <c r="AT22" s="536">
        <f t="shared" si="5"/>
        <v>13106</v>
      </c>
      <c r="AU22" s="397">
        <f t="shared" si="6"/>
        <v>3.9651056659411639</v>
      </c>
      <c r="AV22" s="397">
        <f t="shared" si="7"/>
        <v>3.9394859370632105</v>
      </c>
      <c r="AW22" s="387">
        <f t="shared" si="8"/>
        <v>8</v>
      </c>
      <c r="AX22" s="387">
        <f t="shared" si="9"/>
        <v>9</v>
      </c>
      <c r="AY22" s="373" t="str">
        <f t="shared" si="10"/>
        <v>Oeste</v>
      </c>
      <c r="BL22" s="594" t="s">
        <v>701</v>
      </c>
      <c r="BM22" s="375" t="s">
        <v>646</v>
      </c>
      <c r="BN22" s="385">
        <f t="shared" si="11"/>
        <v>105262</v>
      </c>
      <c r="BO22" s="385">
        <f t="shared" si="12"/>
        <v>97506</v>
      </c>
      <c r="BP22" s="397">
        <f t="shared" si="13"/>
        <v>3.1543126599825833</v>
      </c>
      <c r="BQ22" s="397">
        <f t="shared" si="14"/>
        <v>3.0972505413501978</v>
      </c>
      <c r="BR22" s="387">
        <f t="shared" si="15"/>
        <v>11</v>
      </c>
      <c r="BS22" s="387">
        <f t="shared" si="16"/>
        <v>11</v>
      </c>
      <c r="BT22" s="373" t="str">
        <f t="shared" si="17"/>
        <v>Oeste</v>
      </c>
      <c r="CF22" s="594" t="s">
        <v>701</v>
      </c>
      <c r="CG22" s="375" t="s">
        <v>646</v>
      </c>
      <c r="CH22" s="386">
        <f t="shared" si="18"/>
        <v>966.3983311076089</v>
      </c>
      <c r="CI22" s="386">
        <f t="shared" si="19"/>
        <v>1152.3915951764122</v>
      </c>
      <c r="CJ22" s="397">
        <f>+CH22/$CH$40*100</f>
        <v>99.714134154196472</v>
      </c>
      <c r="CK22" s="397">
        <f>+CI22/$CI$40*100</f>
        <v>98.855880925713109</v>
      </c>
      <c r="CL22" s="387">
        <f t="shared" si="22"/>
        <v>13</v>
      </c>
      <c r="CM22" s="387">
        <f t="shared" si="23"/>
        <v>15</v>
      </c>
      <c r="CN22" s="386">
        <f t="shared" si="24"/>
        <v>-177.04725174928205</v>
      </c>
      <c r="CO22" s="386">
        <f t="shared" si="25"/>
        <v>-215.60365381195788</v>
      </c>
      <c r="CP22" s="373" t="str">
        <f t="shared" si="26"/>
        <v>Oeste</v>
      </c>
    </row>
    <row r="23" spans="1:94">
      <c r="D23" s="375" t="s">
        <v>654</v>
      </c>
      <c r="E23" s="373">
        <v>22</v>
      </c>
      <c r="Z23" s="373" t="s">
        <v>371</v>
      </c>
      <c r="AQ23" s="594"/>
      <c r="AR23" s="375" t="s">
        <v>647</v>
      </c>
      <c r="AS23" s="537">
        <f t="shared" si="4"/>
        <v>5900</v>
      </c>
      <c r="AT23" s="537">
        <f t="shared" si="5"/>
        <v>7027</v>
      </c>
      <c r="AU23" s="397">
        <f t="shared" si="6"/>
        <v>2.0711928666713475</v>
      </c>
      <c r="AV23" s="397">
        <f t="shared" si="7"/>
        <v>2.1122209430599099</v>
      </c>
      <c r="AW23" s="387">
        <f t="shared" si="8"/>
        <v>15</v>
      </c>
      <c r="AX23" s="387">
        <f t="shared" si="9"/>
        <v>15</v>
      </c>
      <c r="AY23" s="373" t="str">
        <f t="shared" si="10"/>
        <v>Médio Tejo</v>
      </c>
      <c r="BL23" s="594"/>
      <c r="BM23" s="375" t="s">
        <v>647</v>
      </c>
      <c r="BN23" s="385">
        <f t="shared" si="11"/>
        <v>58043.999999999993</v>
      </c>
      <c r="BO23" s="385">
        <f t="shared" si="12"/>
        <v>53904.000000000007</v>
      </c>
      <c r="BP23" s="397">
        <f t="shared" si="13"/>
        <v>1.739363911345301</v>
      </c>
      <c r="BQ23" s="397">
        <f t="shared" si="14"/>
        <v>1.7122453303482974</v>
      </c>
      <c r="BR23" s="387">
        <f t="shared" si="15"/>
        <v>15</v>
      </c>
      <c r="BS23" s="387">
        <f t="shared" si="16"/>
        <v>15</v>
      </c>
      <c r="BT23" s="373" t="str">
        <f t="shared" si="17"/>
        <v>Médio Tejo</v>
      </c>
      <c r="CF23" s="594"/>
      <c r="CG23" s="375" t="s">
        <v>647</v>
      </c>
      <c r="CH23" s="386">
        <f t="shared" si="18"/>
        <v>969.04632391741143</v>
      </c>
      <c r="CI23" s="386">
        <f t="shared" si="19"/>
        <v>1175.7172756759385</v>
      </c>
      <c r="CJ23" s="397">
        <f t="shared" ref="CJ23:CJ24" si="29">+CH23/$CH$40*100</f>
        <v>99.987357215305622</v>
      </c>
      <c r="CK23" s="397">
        <f t="shared" ref="CK23:CK24" si="30">+CI23/$CI$40*100</f>
        <v>100.85683329609149</v>
      </c>
      <c r="CL23" s="387">
        <f t="shared" si="22"/>
        <v>12</v>
      </c>
      <c r="CM23" s="387">
        <f t="shared" si="23"/>
        <v>12</v>
      </c>
      <c r="CN23" s="386">
        <f t="shared" si="24"/>
        <v>-174.39925893947952</v>
      </c>
      <c r="CO23" s="386">
        <f t="shared" si="25"/>
        <v>-192.27797331243164</v>
      </c>
      <c r="CP23" s="373" t="str">
        <f t="shared" si="26"/>
        <v>Médio Tejo</v>
      </c>
    </row>
    <row r="24" spans="1:94">
      <c r="D24" s="375" t="s">
        <v>655</v>
      </c>
      <c r="E24" s="373">
        <v>23</v>
      </c>
      <c r="Z24" s="373" t="s">
        <v>375</v>
      </c>
      <c r="AA24" s="397">
        <f>ROUND(AF10,1)</f>
        <v>4.2</v>
      </c>
      <c r="AQ24" s="594"/>
      <c r="AR24" s="375" t="s">
        <v>648</v>
      </c>
      <c r="AS24" s="385">
        <f t="shared" si="4"/>
        <v>6202</v>
      </c>
      <c r="AT24" s="385">
        <f t="shared" si="5"/>
        <v>7366</v>
      </c>
      <c r="AU24" s="397">
        <f t="shared" si="6"/>
        <v>2.177209857473847</v>
      </c>
      <c r="AV24" s="397">
        <f t="shared" si="7"/>
        <v>2.2141197476276213</v>
      </c>
      <c r="AW24" s="387">
        <f t="shared" si="8"/>
        <v>14</v>
      </c>
      <c r="AX24" s="387">
        <f t="shared" si="9"/>
        <v>14</v>
      </c>
      <c r="AY24" s="373" t="str">
        <f t="shared" si="10"/>
        <v>Lezíria do Tejo</v>
      </c>
      <c r="BL24" s="594"/>
      <c r="BM24" s="375" t="s">
        <v>648</v>
      </c>
      <c r="BN24" s="385">
        <f t="shared" si="11"/>
        <v>70357</v>
      </c>
      <c r="BO24" s="385">
        <f t="shared" si="12"/>
        <v>66465.999999999985</v>
      </c>
      <c r="BP24" s="397">
        <f t="shared" si="13"/>
        <v>2.108338962003331</v>
      </c>
      <c r="BQ24" s="397">
        <f t="shared" si="14"/>
        <v>2.1112737111704121</v>
      </c>
      <c r="BR24" s="387">
        <f t="shared" si="15"/>
        <v>13</v>
      </c>
      <c r="BS24" s="387">
        <f t="shared" si="16"/>
        <v>13</v>
      </c>
      <c r="BT24" s="373" t="str">
        <f t="shared" si="17"/>
        <v>Lezíria do Tejo</v>
      </c>
      <c r="CF24" s="594"/>
      <c r="CG24" s="375" t="s">
        <v>648</v>
      </c>
      <c r="CH24" s="386">
        <f t="shared" si="18"/>
        <v>973.65286859650712</v>
      </c>
      <c r="CI24" s="386">
        <f t="shared" si="19"/>
        <v>1178.0944564942188</v>
      </c>
      <c r="CJ24" s="397">
        <f t="shared" si="29"/>
        <v>100.46266599775373</v>
      </c>
      <c r="CK24" s="397">
        <f t="shared" si="30"/>
        <v>101.06075556079253</v>
      </c>
      <c r="CL24" s="387">
        <f t="shared" si="22"/>
        <v>11</v>
      </c>
      <c r="CM24" s="387">
        <f t="shared" si="23"/>
        <v>11</v>
      </c>
      <c r="CN24" s="386">
        <f t="shared" si="24"/>
        <v>-169.79271426038383</v>
      </c>
      <c r="CO24" s="386">
        <f t="shared" si="25"/>
        <v>-189.90079249415135</v>
      </c>
      <c r="CP24" s="373" t="str">
        <f t="shared" si="26"/>
        <v>Lezíria do Tejo</v>
      </c>
    </row>
    <row r="25" spans="1:94" ht="25.5">
      <c r="D25" s="375" t="s">
        <v>656</v>
      </c>
      <c r="E25" s="373">
        <v>24</v>
      </c>
      <c r="Z25" s="373" t="s">
        <v>374</v>
      </c>
      <c r="AQ25" s="535" t="str">
        <f>+AR25</f>
        <v>Grande Lisboa</v>
      </c>
      <c r="AR25" s="375" t="s">
        <v>649</v>
      </c>
      <c r="AS25" s="385">
        <f t="shared" si="4"/>
        <v>57854</v>
      </c>
      <c r="AT25" s="385">
        <f t="shared" si="5"/>
        <v>68270</v>
      </c>
      <c r="AU25" s="397">
        <f t="shared" si="6"/>
        <v>20.309625781085444</v>
      </c>
      <c r="AV25" s="397">
        <f t="shared" si="7"/>
        <v>20.521036542294016</v>
      </c>
      <c r="AW25" s="387">
        <f t="shared" si="8"/>
        <v>1</v>
      </c>
      <c r="AX25" s="387">
        <f t="shared" si="9"/>
        <v>1</v>
      </c>
      <c r="AY25" s="373" t="str">
        <f t="shared" si="10"/>
        <v>Grande Lisboa</v>
      </c>
      <c r="BL25" s="535" t="str">
        <f>+BM25</f>
        <v>Grande Lisboa</v>
      </c>
      <c r="BM25" s="375" t="s">
        <v>649</v>
      </c>
      <c r="BN25" s="385">
        <f t="shared" si="11"/>
        <v>915180</v>
      </c>
      <c r="BO25" s="385">
        <f t="shared" si="12"/>
        <v>875584</v>
      </c>
      <c r="BP25" s="397">
        <f t="shared" si="13"/>
        <v>27.424558341688936</v>
      </c>
      <c r="BQ25" s="397">
        <f t="shared" si="14"/>
        <v>27.812678378741531</v>
      </c>
      <c r="BR25" s="387">
        <f t="shared" si="15"/>
        <v>1</v>
      </c>
      <c r="BS25" s="387">
        <f t="shared" si="16"/>
        <v>1</v>
      </c>
      <c r="BT25" s="373" t="str">
        <f t="shared" si="17"/>
        <v>Grande Lisboa</v>
      </c>
      <c r="CF25" s="535" t="str">
        <f>+CG25</f>
        <v>Grande Lisboa</v>
      </c>
      <c r="CG25" s="375" t="s">
        <v>649</v>
      </c>
      <c r="CH25" s="386">
        <f t="shared" si="18"/>
        <v>1418.3948630060115</v>
      </c>
      <c r="CI25" s="386">
        <f t="shared" si="19"/>
        <v>1705.138574047387</v>
      </c>
      <c r="CJ25" s="397">
        <f t="shared" ref="CJ25:CJ32" si="31">+CH25/$CH$32*100</f>
        <v>124.04568125246168</v>
      </c>
      <c r="CK25" s="397">
        <f t="shared" ref="CK25:CK32" si="32">+CI25/$CI$32*100</f>
        <v>124.64506549334391</v>
      </c>
      <c r="CL25" s="387">
        <f t="shared" si="22"/>
        <v>1</v>
      </c>
      <c r="CM25" s="387">
        <f t="shared" si="23"/>
        <v>1</v>
      </c>
      <c r="CN25" s="386">
        <f t="shared" si="24"/>
        <v>274.94928014912057</v>
      </c>
      <c r="CO25" s="386">
        <f t="shared" si="25"/>
        <v>337.14332505901689</v>
      </c>
      <c r="CP25" s="373" t="str">
        <f t="shared" si="26"/>
        <v>Grande Lisboa</v>
      </c>
    </row>
    <row r="26" spans="1:94" ht="38.25">
      <c r="D26" s="375"/>
      <c r="Z26" s="373" t="s">
        <v>366</v>
      </c>
      <c r="AA26" s="373" t="str">
        <f>+AH7</f>
        <v>, mais</v>
      </c>
      <c r="AQ26" s="535" t="str">
        <f>+AR26</f>
        <v>Península de Setúbal</v>
      </c>
      <c r="AR26" s="375" t="s">
        <v>650</v>
      </c>
      <c r="AS26" s="385">
        <f t="shared" si="4"/>
        <v>14699</v>
      </c>
      <c r="AT26" s="385">
        <f t="shared" si="5"/>
        <v>17786</v>
      </c>
      <c r="AU26" s="397">
        <f t="shared" si="6"/>
        <v>5.1600786351190058</v>
      </c>
      <c r="AV26" s="397">
        <f t="shared" si="7"/>
        <v>5.346230495697105</v>
      </c>
      <c r="AW26" s="387">
        <f t="shared" si="8"/>
        <v>4</v>
      </c>
      <c r="AX26" s="387">
        <f t="shared" si="9"/>
        <v>4</v>
      </c>
      <c r="AY26" s="373" t="str">
        <f t="shared" si="10"/>
        <v>Península de Setúbal</v>
      </c>
      <c r="BL26" s="535" t="str">
        <f>+BM26</f>
        <v>Península de Setúbal</v>
      </c>
      <c r="BM26" s="375" t="s">
        <v>650</v>
      </c>
      <c r="BN26" s="385">
        <f t="shared" si="11"/>
        <v>168606.00000000003</v>
      </c>
      <c r="BO26" s="385">
        <f t="shared" si="12"/>
        <v>158898</v>
      </c>
      <c r="BP26" s="397">
        <f t="shared" si="13"/>
        <v>5.0524979607932927</v>
      </c>
      <c r="BQ26" s="397">
        <f t="shared" si="14"/>
        <v>5.0473500760923811</v>
      </c>
      <c r="BR26" s="387">
        <f t="shared" si="15"/>
        <v>3</v>
      </c>
      <c r="BS26" s="387">
        <f t="shared" si="16"/>
        <v>3</v>
      </c>
      <c r="BT26" s="373" t="str">
        <f t="shared" si="17"/>
        <v>Península de Setúbal</v>
      </c>
      <c r="CF26" s="535" t="str">
        <f>+CG26</f>
        <v>Península de Setúbal</v>
      </c>
      <c r="CG26" s="375" t="s">
        <v>650</v>
      </c>
      <c r="CH26" s="386">
        <f t="shared" si="18"/>
        <v>1126.7122247908299</v>
      </c>
      <c r="CI26" s="386">
        <f t="shared" si="19"/>
        <v>1361.0063112502116</v>
      </c>
      <c r="CJ26" s="397">
        <f t="shared" si="31"/>
        <v>98.536584659826758</v>
      </c>
      <c r="CK26" s="397">
        <f t="shared" si="32"/>
        <v>99.48911096414065</v>
      </c>
      <c r="CL26" s="387">
        <f t="shared" si="22"/>
        <v>3</v>
      </c>
      <c r="CM26" s="387">
        <f t="shared" si="23"/>
        <v>3</v>
      </c>
      <c r="CN26" s="386">
        <f t="shared" si="24"/>
        <v>-16.733358066061101</v>
      </c>
      <c r="CO26" s="386">
        <f t="shared" si="25"/>
        <v>-6.9889377381584836</v>
      </c>
      <c r="CP26" s="373" t="str">
        <f t="shared" si="26"/>
        <v>Península de Setúbal</v>
      </c>
    </row>
    <row r="27" spans="1:94">
      <c r="D27" s="375"/>
      <c r="Z27" s="373" t="s">
        <v>368</v>
      </c>
      <c r="AA27" s="394" t="str">
        <f>TEXT(AI7,"##.###")</f>
        <v>2.731</v>
      </c>
      <c r="AQ27" s="594" t="s">
        <v>651</v>
      </c>
      <c r="AR27" s="375" t="s">
        <v>652</v>
      </c>
      <c r="AS27" s="537">
        <f t="shared" si="4"/>
        <v>2804</v>
      </c>
      <c r="AT27" s="537">
        <f t="shared" si="5"/>
        <v>3368</v>
      </c>
      <c r="AU27" s="397">
        <f t="shared" si="6"/>
        <v>0.98434318612651817</v>
      </c>
      <c r="AV27" s="397">
        <f t="shared" si="7"/>
        <v>1.0123751439057602</v>
      </c>
      <c r="AW27" s="387">
        <f t="shared" si="8"/>
        <v>22</v>
      </c>
      <c r="AX27" s="387">
        <f t="shared" si="9"/>
        <v>22</v>
      </c>
      <c r="AY27" s="373" t="str">
        <f t="shared" si="10"/>
        <v>Alentejo Litoral</v>
      </c>
      <c r="BL27" s="594" t="s">
        <v>651</v>
      </c>
      <c r="BM27" s="375" t="s">
        <v>652</v>
      </c>
      <c r="BN27" s="385">
        <f t="shared" si="11"/>
        <v>35947</v>
      </c>
      <c r="BO27" s="385">
        <f t="shared" si="12"/>
        <v>34475</v>
      </c>
      <c r="BP27" s="397">
        <f t="shared" si="13"/>
        <v>1.0771985824741495</v>
      </c>
      <c r="BQ27" s="397">
        <f t="shared" si="14"/>
        <v>1.0950886346793844</v>
      </c>
      <c r="BR27" s="387">
        <f t="shared" si="15"/>
        <v>19</v>
      </c>
      <c r="BS27" s="387">
        <f t="shared" si="16"/>
        <v>19</v>
      </c>
      <c r="BT27" s="373" t="str">
        <f t="shared" si="17"/>
        <v>Alentejo Litoral</v>
      </c>
      <c r="CF27" s="594" t="s">
        <v>651</v>
      </c>
      <c r="CG27" s="375" t="s">
        <v>652</v>
      </c>
      <c r="CH27" s="386">
        <f t="shared" si="18"/>
        <v>1023.1760810005951</v>
      </c>
      <c r="CI27" s="386">
        <f t="shared" si="19"/>
        <v>1283.2865372245381</v>
      </c>
      <c r="CJ27" s="397">
        <f>+CH27/$CH$43*100</f>
        <v>103.46466313798857</v>
      </c>
      <c r="CK27" s="397">
        <f>+CI27/$CI$43*100</f>
        <v>104.7540487529179</v>
      </c>
      <c r="CL27" s="387">
        <f t="shared" si="22"/>
        <v>6</v>
      </c>
      <c r="CM27" s="387">
        <f t="shared" si="23"/>
        <v>5</v>
      </c>
      <c r="CN27" s="386">
        <f t="shared" si="24"/>
        <v>-120.26950185629585</v>
      </c>
      <c r="CO27" s="386">
        <f t="shared" si="25"/>
        <v>-84.708711763832071</v>
      </c>
      <c r="CP27" s="373" t="str">
        <f t="shared" si="26"/>
        <v>Alentejo Litoral</v>
      </c>
    </row>
    <row r="28" spans="1:94">
      <c r="D28" s="375"/>
      <c r="Z28" s="373" t="s">
        <v>669</v>
      </c>
      <c r="AQ28" s="594"/>
      <c r="AR28" s="375" t="s">
        <v>653</v>
      </c>
      <c r="AS28" s="385">
        <f t="shared" si="4"/>
        <v>3654</v>
      </c>
      <c r="AT28" s="385">
        <f t="shared" si="5"/>
        <v>4263</v>
      </c>
      <c r="AU28" s="397">
        <f t="shared" si="6"/>
        <v>1.2827353787825597</v>
      </c>
      <c r="AV28" s="397">
        <f t="shared" si="7"/>
        <v>1.281400011422285</v>
      </c>
      <c r="AW28" s="387">
        <f t="shared" si="8"/>
        <v>19</v>
      </c>
      <c r="AX28" s="387">
        <f t="shared" si="9"/>
        <v>19</v>
      </c>
      <c r="AY28" s="373" t="str">
        <f t="shared" si="10"/>
        <v>Baixo Alentejo</v>
      </c>
      <c r="BL28" s="594"/>
      <c r="BM28" s="375" t="s">
        <v>653</v>
      </c>
      <c r="BN28" s="385">
        <f t="shared" si="11"/>
        <v>29984</v>
      </c>
      <c r="BO28" s="385">
        <f t="shared" si="12"/>
        <v>28355.999999999996</v>
      </c>
      <c r="BP28" s="397">
        <f t="shared" si="13"/>
        <v>0.89850953617561691</v>
      </c>
      <c r="BQ28" s="397">
        <f t="shared" si="14"/>
        <v>0.90072032849800221</v>
      </c>
      <c r="BR28" s="387">
        <f t="shared" si="15"/>
        <v>20</v>
      </c>
      <c r="BS28" s="387">
        <f t="shared" si="16"/>
        <v>20</v>
      </c>
      <c r="BT28" s="373" t="str">
        <f t="shared" si="17"/>
        <v>Baixo Alentejo</v>
      </c>
      <c r="CF28" s="594"/>
      <c r="CG28" s="375" t="s">
        <v>653</v>
      </c>
      <c r="CH28" s="386">
        <f t="shared" si="18"/>
        <v>994.19767032643961</v>
      </c>
      <c r="CI28" s="386">
        <f t="shared" si="19"/>
        <v>1284.9593564356433</v>
      </c>
      <c r="CJ28" s="397">
        <f t="shared" ref="CJ28:CJ30" si="33">+CH28/$CH$43*100</f>
        <v>100.53433515793677</v>
      </c>
      <c r="CK28" s="397">
        <f t="shared" ref="CK28:CK30" si="34">+CI28/$CI$43*100</f>
        <v>104.89060016221883</v>
      </c>
      <c r="CL28" s="387">
        <f t="shared" si="22"/>
        <v>9</v>
      </c>
      <c r="CM28" s="387">
        <f t="shared" si="23"/>
        <v>4</v>
      </c>
      <c r="CN28" s="386">
        <f t="shared" si="24"/>
        <v>-149.24791253045134</v>
      </c>
      <c r="CO28" s="386">
        <f t="shared" si="25"/>
        <v>-83.035892552726864</v>
      </c>
      <c r="CP28" s="373" t="str">
        <f t="shared" si="26"/>
        <v>Baixo Alentejo</v>
      </c>
    </row>
    <row r="29" spans="1:94">
      <c r="A29" s="374" t="s">
        <v>688</v>
      </c>
      <c r="D29" s="375"/>
      <c r="AQ29" s="594"/>
      <c r="AR29" s="375" t="s">
        <v>654</v>
      </c>
      <c r="AS29" s="385">
        <f t="shared" si="4"/>
        <v>2877</v>
      </c>
      <c r="AT29" s="385">
        <f t="shared" si="5"/>
        <v>3433</v>
      </c>
      <c r="AU29" s="397">
        <f t="shared" si="6"/>
        <v>1.0099698097310961</v>
      </c>
      <c r="AV29" s="397">
        <f t="shared" si="7"/>
        <v>1.0319132627756753</v>
      </c>
      <c r="AW29" s="387">
        <f t="shared" si="8"/>
        <v>21</v>
      </c>
      <c r="AX29" s="387">
        <f t="shared" si="9"/>
        <v>21</v>
      </c>
      <c r="AY29" s="373" t="str">
        <f t="shared" si="10"/>
        <v>Alto Alentejo</v>
      </c>
      <c r="BL29" s="594"/>
      <c r="BM29" s="375" t="s">
        <v>654</v>
      </c>
      <c r="BN29" s="385">
        <f t="shared" si="11"/>
        <v>23056</v>
      </c>
      <c r="BO29" s="385">
        <f t="shared" si="12"/>
        <v>21623.000000000007</v>
      </c>
      <c r="BP29" s="397">
        <f t="shared" si="13"/>
        <v>0.69090301047442049</v>
      </c>
      <c r="BQ29" s="397">
        <f t="shared" si="14"/>
        <v>0.68684848579180102</v>
      </c>
      <c r="BR29" s="387">
        <f t="shared" si="15"/>
        <v>21</v>
      </c>
      <c r="BS29" s="387">
        <f t="shared" si="16"/>
        <v>21</v>
      </c>
      <c r="BT29" s="373" t="str">
        <f t="shared" si="17"/>
        <v>Alto Alentejo</v>
      </c>
      <c r="CF29" s="594"/>
      <c r="CG29" s="375" t="s">
        <v>654</v>
      </c>
      <c r="CH29" s="386">
        <f t="shared" si="18"/>
        <v>939.13431501875846</v>
      </c>
      <c r="CI29" s="386">
        <f t="shared" si="19"/>
        <v>1126.5965890112573</v>
      </c>
      <c r="CJ29" s="397">
        <f t="shared" si="33"/>
        <v>94.966269588435551</v>
      </c>
      <c r="CK29" s="397">
        <f t="shared" si="34"/>
        <v>91.963525359969495</v>
      </c>
      <c r="CL29" s="387">
        <f t="shared" si="22"/>
        <v>18</v>
      </c>
      <c r="CM29" s="387">
        <f t="shared" si="23"/>
        <v>18</v>
      </c>
      <c r="CN29" s="386">
        <f t="shared" si="24"/>
        <v>-204.31126783813249</v>
      </c>
      <c r="CO29" s="386">
        <f t="shared" si="25"/>
        <v>-241.39865997711286</v>
      </c>
      <c r="CP29" s="373" t="str">
        <f t="shared" si="26"/>
        <v>Alto Alentejo</v>
      </c>
    </row>
    <row r="30" spans="1:94">
      <c r="A30" s="490" t="s">
        <v>687</v>
      </c>
      <c r="C30" s="374">
        <f>+'q3.1'!$B$4</f>
        <v>2012</v>
      </c>
      <c r="D30" s="374">
        <f>+'q3.1'!$C$4</f>
        <v>2013</v>
      </c>
      <c r="E30" s="374">
        <f>+'q3.1'!$D$4</f>
        <v>2014</v>
      </c>
      <c r="F30" s="374">
        <f>+'q3.1'!$E$4</f>
        <v>2015</v>
      </c>
      <c r="G30" s="374">
        <f>+'q3.1'!$F$4</f>
        <v>2016</v>
      </c>
      <c r="H30" s="374">
        <f>+'q3.1'!$G$4</f>
        <v>2017</v>
      </c>
      <c r="I30" s="374">
        <f>+'q3.1'!$H$4</f>
        <v>2018</v>
      </c>
      <c r="J30" s="374">
        <f>+'q3.1'!$I$4</f>
        <v>2019</v>
      </c>
      <c r="K30" s="374">
        <f>+'q3.1'!$J$4</f>
        <v>2020</v>
      </c>
      <c r="L30" s="374">
        <f>+'q3.1'!$K$4</f>
        <v>2021</v>
      </c>
      <c r="M30" s="374">
        <f>+'q3.1'!$L$4</f>
        <v>2022</v>
      </c>
      <c r="AQ30" s="594"/>
      <c r="AR30" s="375" t="s">
        <v>655</v>
      </c>
      <c r="AS30" s="536">
        <f t="shared" si="4"/>
        <v>5048</v>
      </c>
      <c r="AT30" s="536">
        <f t="shared" si="5"/>
        <v>6051</v>
      </c>
      <c r="AU30" s="397">
        <f t="shared" si="6"/>
        <v>1.7720985747384681</v>
      </c>
      <c r="AV30" s="397">
        <f t="shared" si="7"/>
        <v>1.8188485735670292</v>
      </c>
      <c r="AW30" s="387">
        <f t="shared" si="8"/>
        <v>18</v>
      </c>
      <c r="AX30" s="387">
        <f t="shared" si="9"/>
        <v>18</v>
      </c>
      <c r="AY30" s="373" t="str">
        <f t="shared" si="10"/>
        <v>Alentejo Central</v>
      </c>
      <c r="BL30" s="594"/>
      <c r="BM30" s="375" t="s">
        <v>655</v>
      </c>
      <c r="BN30" s="385">
        <f t="shared" si="11"/>
        <v>43523</v>
      </c>
      <c r="BO30" s="385">
        <f t="shared" si="12"/>
        <v>40691</v>
      </c>
      <c r="BP30" s="397">
        <f t="shared" si="13"/>
        <v>1.3042232705099843</v>
      </c>
      <c r="BQ30" s="397">
        <f t="shared" si="14"/>
        <v>1.2925381184550788</v>
      </c>
      <c r="BR30" s="387">
        <f t="shared" si="15"/>
        <v>17</v>
      </c>
      <c r="BS30" s="387">
        <f t="shared" si="16"/>
        <v>17</v>
      </c>
      <c r="BT30" s="373" t="str">
        <f t="shared" si="17"/>
        <v>Alentejo Central</v>
      </c>
      <c r="CF30" s="594"/>
      <c r="CG30" s="375" t="s">
        <v>655</v>
      </c>
      <c r="CH30" s="386">
        <f t="shared" si="18"/>
        <v>984.10746899954529</v>
      </c>
      <c r="CI30" s="386">
        <f t="shared" si="19"/>
        <v>1190.5704398493797</v>
      </c>
      <c r="CJ30" s="397">
        <f t="shared" si="33"/>
        <v>99.514003173376835</v>
      </c>
      <c r="CK30" s="397">
        <f t="shared" si="34"/>
        <v>97.185679333549288</v>
      </c>
      <c r="CL30" s="387">
        <f t="shared" si="22"/>
        <v>10</v>
      </c>
      <c r="CM30" s="387">
        <f t="shared" si="23"/>
        <v>9</v>
      </c>
      <c r="CN30" s="386">
        <f t="shared" si="24"/>
        <v>-159.33811385734566</v>
      </c>
      <c r="CO30" s="386">
        <f t="shared" si="25"/>
        <v>-177.42480913899044</v>
      </c>
      <c r="CP30" s="373" t="str">
        <f t="shared" si="26"/>
        <v>Alentejo Central</v>
      </c>
    </row>
    <row r="31" spans="1:94">
      <c r="A31" s="374" t="s">
        <v>677</v>
      </c>
      <c r="B31" s="374" t="str">
        <f>+'q3.1'!$A$6</f>
        <v>Norte</v>
      </c>
      <c r="C31" s="385">
        <f>+'q3.1'!$B$6</f>
        <v>102791</v>
      </c>
      <c r="D31" s="385">
        <f>+'q3.1'!$C$6</f>
        <v>102545</v>
      </c>
      <c r="E31" s="385">
        <f>+'q3.1'!$D$6</f>
        <v>104739</v>
      </c>
      <c r="F31" s="385">
        <f>+'q3.1'!$E$6</f>
        <v>105959</v>
      </c>
      <c r="G31" s="385">
        <f>+'q3.1'!$F$6</f>
        <v>107496</v>
      </c>
      <c r="H31" s="385">
        <f>+'q3.1'!$G$6</f>
        <v>108796</v>
      </c>
      <c r="I31" s="385">
        <f>+'q3.1'!$H$6</f>
        <v>109936</v>
      </c>
      <c r="J31" s="385">
        <f>+'q3.1'!$I$6</f>
        <v>107137</v>
      </c>
      <c r="K31" s="385">
        <f>+'q3.1'!$J$6</f>
        <v>107805</v>
      </c>
      <c r="L31" s="385">
        <f>+'q3.1'!$K$6</f>
        <v>106036</v>
      </c>
      <c r="M31" s="385">
        <f>+'q3.1'!$L$6</f>
        <v>110941</v>
      </c>
      <c r="AQ31" s="534" t="str">
        <f>+AR31</f>
        <v>Algarve</v>
      </c>
      <c r="AR31" s="375" t="s">
        <v>656</v>
      </c>
      <c r="AS31" s="385">
        <f t="shared" si="4"/>
        <v>17066</v>
      </c>
      <c r="AT31" s="385">
        <f t="shared" si="5"/>
        <v>20699</v>
      </c>
      <c r="AU31" s="397">
        <f t="shared" si="6"/>
        <v>5.9910131292564772</v>
      </c>
      <c r="AV31" s="397">
        <f t="shared" si="7"/>
        <v>6.2218388075134587</v>
      </c>
      <c r="AW31" s="387">
        <f t="shared" si="8"/>
        <v>3</v>
      </c>
      <c r="AX31" s="387">
        <f t="shared" si="9"/>
        <v>3</v>
      </c>
      <c r="AY31" s="373" t="str">
        <f t="shared" si="10"/>
        <v>Algarve</v>
      </c>
      <c r="BL31" s="534" t="str">
        <f>+BM31</f>
        <v>Algarve</v>
      </c>
      <c r="BM31" s="375" t="s">
        <v>656</v>
      </c>
      <c r="BN31" s="385">
        <f t="shared" si="11"/>
        <v>165503</v>
      </c>
      <c r="BO31" s="385">
        <f t="shared" si="12"/>
        <v>154669.99999999997</v>
      </c>
      <c r="BP31" s="397">
        <f t="shared" si="13"/>
        <v>4.959512532206281</v>
      </c>
      <c r="BQ31" s="397">
        <f t="shared" si="14"/>
        <v>4.9130488506413457</v>
      </c>
      <c r="BR31" s="387">
        <f t="shared" si="15"/>
        <v>4</v>
      </c>
      <c r="BS31" s="387">
        <f t="shared" si="16"/>
        <v>4</v>
      </c>
      <c r="BT31" s="373" t="str">
        <f t="shared" si="17"/>
        <v>Algarve</v>
      </c>
      <c r="CF31" s="534" t="str">
        <f>+CG31</f>
        <v>Algarve</v>
      </c>
      <c r="CG31" s="375" t="s">
        <v>656</v>
      </c>
      <c r="CH31" s="386">
        <f t="shared" si="18"/>
        <v>965.82601351644075</v>
      </c>
      <c r="CI31" s="386">
        <f t="shared" si="19"/>
        <v>1150.8139774725996</v>
      </c>
      <c r="CJ31" s="397">
        <f t="shared" si="31"/>
        <v>84.466285759164066</v>
      </c>
      <c r="CK31" s="397">
        <f t="shared" si="32"/>
        <v>84.124120922468435</v>
      </c>
      <c r="CL31" s="387">
        <f t="shared" si="22"/>
        <v>14</v>
      </c>
      <c r="CM31" s="387">
        <f t="shared" si="23"/>
        <v>16</v>
      </c>
      <c r="CN31" s="386">
        <f t="shared" si="24"/>
        <v>-177.6195693404502</v>
      </c>
      <c r="CO31" s="386">
        <f t="shared" si="25"/>
        <v>-217.1812715157705</v>
      </c>
      <c r="CP31" s="373" t="str">
        <f t="shared" si="26"/>
        <v>Algarve</v>
      </c>
    </row>
    <row r="32" spans="1:94">
      <c r="A32" s="374"/>
      <c r="B32" s="374" t="str">
        <f>+'q3.1'!$A$15</f>
        <v>Centro</v>
      </c>
      <c r="C32" s="385">
        <f>+'q3.1'!$B$15</f>
        <v>45815</v>
      </c>
      <c r="D32" s="385">
        <f>+'q3.1'!$C$15</f>
        <v>45322</v>
      </c>
      <c r="E32" s="385">
        <f>+'q3.1'!$D$15</f>
        <v>45766</v>
      </c>
      <c r="F32" s="385">
        <f>+'q3.1'!$E$15</f>
        <v>46049</v>
      </c>
      <c r="G32" s="385">
        <f>+'q3.1'!$F$15</f>
        <v>46552</v>
      </c>
      <c r="H32" s="385">
        <f>+'q3.1'!$G$15</f>
        <v>46657</v>
      </c>
      <c r="I32" s="385">
        <f>+'q3.1'!$H$15</f>
        <v>46766</v>
      </c>
      <c r="J32" s="385">
        <f>+'q3.1'!$I$15</f>
        <v>45574</v>
      </c>
      <c r="K32" s="385">
        <f>+'q3.1'!$J$15</f>
        <v>45616</v>
      </c>
      <c r="L32" s="385">
        <f>+'q3.1'!$K$15</f>
        <v>44838</v>
      </c>
      <c r="M32" s="385">
        <f>+'q3.1'!$L$15</f>
        <v>46520</v>
      </c>
      <c r="AR32" s="375" t="s">
        <v>14</v>
      </c>
      <c r="AS32" s="385">
        <f t="shared" si="4"/>
        <v>284860</v>
      </c>
      <c r="AT32" s="385">
        <f t="shared" si="5"/>
        <v>332683</v>
      </c>
      <c r="AU32" s="397">
        <f t="shared" si="6"/>
        <v>100</v>
      </c>
      <c r="AV32" s="397">
        <f t="shared" si="7"/>
        <v>100</v>
      </c>
      <c r="AW32" s="387"/>
      <c r="BM32" s="375" t="s">
        <v>14</v>
      </c>
      <c r="BN32" s="385">
        <f t="shared" si="11"/>
        <v>3337082</v>
      </c>
      <c r="BO32" s="385">
        <f t="shared" si="12"/>
        <v>3148146.9999999995</v>
      </c>
      <c r="BP32" s="397">
        <f t="shared" si="13"/>
        <v>100</v>
      </c>
      <c r="BQ32" s="397">
        <f t="shared" si="14"/>
        <v>100</v>
      </c>
      <c r="BR32" s="387"/>
      <c r="CG32" s="375" t="s">
        <v>14</v>
      </c>
      <c r="CH32" s="386">
        <f t="shared" si="18"/>
        <v>1143.445582856891</v>
      </c>
      <c r="CI32" s="386">
        <f t="shared" si="19"/>
        <v>1367.9952489883701</v>
      </c>
      <c r="CJ32" s="397">
        <f t="shared" si="31"/>
        <v>100</v>
      </c>
      <c r="CK32" s="397">
        <f t="shared" si="32"/>
        <v>100</v>
      </c>
      <c r="CL32" s="387"/>
      <c r="CN32" s="386"/>
    </row>
    <row r="33" spans="1:105">
      <c r="A33" s="374"/>
      <c r="B33" s="374" t="str">
        <f>+'q3.1'!$A$22</f>
        <v>Oeste e Vale do Tejo</v>
      </c>
      <c r="C33" s="385">
        <f>+'q3.1'!$B$22</f>
        <v>23086</v>
      </c>
      <c r="D33" s="385">
        <f>+'q3.1'!$C$22</f>
        <v>22669</v>
      </c>
      <c r="E33" s="385">
        <f>+'q3.1'!$D$22</f>
        <v>22795</v>
      </c>
      <c r="F33" s="385">
        <f>+'q3.1'!$E$22</f>
        <v>23005</v>
      </c>
      <c r="G33" s="385">
        <f>+'q3.1'!$F$22</f>
        <v>23120</v>
      </c>
      <c r="H33" s="385">
        <f>+'q3.1'!$G$22</f>
        <v>23388</v>
      </c>
      <c r="I33" s="385">
        <f>+'q3.1'!$H$22</f>
        <v>23374</v>
      </c>
      <c r="J33" s="385">
        <f>+'q3.1'!$I$22</f>
        <v>22884</v>
      </c>
      <c r="K33" s="385">
        <f>+'q3.1'!$J$22</f>
        <v>22898</v>
      </c>
      <c r="L33" s="385">
        <f>+'q3.1'!$K$22</f>
        <v>22539</v>
      </c>
      <c r="M33" s="385">
        <f>+'q3.1'!$L$22</f>
        <v>23397</v>
      </c>
    </row>
    <row r="34" spans="1:105">
      <c r="A34" s="374"/>
      <c r="B34" s="374" t="str">
        <f>+'q3.1'!$A$26</f>
        <v>Grande Lisboa</v>
      </c>
      <c r="C34" s="385">
        <f>+'q3.1'!$B$26</f>
        <v>54272</v>
      </c>
      <c r="D34" s="385">
        <f>+'q3.1'!$C$26</f>
        <v>53685</v>
      </c>
      <c r="E34" s="385">
        <f>+'q3.1'!$D$26</f>
        <v>54415</v>
      </c>
      <c r="F34" s="385">
        <f>+'q3.1'!$E$26</f>
        <v>55029</v>
      </c>
      <c r="G34" s="385">
        <f>+'q3.1'!$F$26</f>
        <v>55354</v>
      </c>
      <c r="H34" s="385">
        <f>+'q3.1'!$G$26</f>
        <v>56108</v>
      </c>
      <c r="I34" s="385">
        <f>+'q3.1'!$H$26</f>
        <v>57209</v>
      </c>
      <c r="J34" s="385">
        <f>+'q3.1'!$I$26</f>
        <v>55559</v>
      </c>
      <c r="K34" s="385">
        <f>+'q3.1'!$J$26</f>
        <v>56643</v>
      </c>
      <c r="L34" s="385">
        <f>+'q3.1'!$K$26</f>
        <v>54793</v>
      </c>
      <c r="M34" s="385">
        <f>+'q3.1'!$L$26</f>
        <v>57854</v>
      </c>
    </row>
    <row r="35" spans="1:105">
      <c r="A35" s="374"/>
      <c r="B35" s="374" t="str">
        <f>+'q3.1'!$A$27</f>
        <v>Península de Setúbal</v>
      </c>
      <c r="C35" s="385">
        <f>+'q3.1'!$B$27</f>
        <v>13489</v>
      </c>
      <c r="D35" s="385">
        <f>+'q3.1'!$C$27</f>
        <v>13094</v>
      </c>
      <c r="E35" s="385">
        <f>+'q3.1'!$D$27</f>
        <v>13124</v>
      </c>
      <c r="F35" s="385">
        <f>+'q3.1'!$E$27</f>
        <v>13250</v>
      </c>
      <c r="G35" s="385">
        <f>+'q3.1'!$F$27</f>
        <v>13484</v>
      </c>
      <c r="H35" s="385">
        <f>+'q3.1'!$G$27</f>
        <v>13666</v>
      </c>
      <c r="I35" s="385">
        <f>+'q3.1'!$H$27</f>
        <v>13850</v>
      </c>
      <c r="J35" s="385">
        <f>+'q3.1'!$I$27</f>
        <v>13653</v>
      </c>
      <c r="K35" s="385">
        <f>+'q3.1'!$J$27</f>
        <v>14047</v>
      </c>
      <c r="L35" s="385">
        <f>+'q3.1'!$K$27</f>
        <v>13853</v>
      </c>
      <c r="M35" s="385">
        <f>+'q3.1'!$L$27</f>
        <v>14699</v>
      </c>
    </row>
    <row r="36" spans="1:105">
      <c r="A36" s="374"/>
      <c r="B36" s="374" t="str">
        <f>+'q3.1'!$A$28</f>
        <v>Alentejo</v>
      </c>
      <c r="C36" s="385">
        <f>+'q3.1'!$B$28</f>
        <v>13480</v>
      </c>
      <c r="D36" s="385">
        <f>+'q3.1'!$C$28</f>
        <v>13533</v>
      </c>
      <c r="E36" s="385">
        <f>+'q3.1'!$D$28</f>
        <v>13857</v>
      </c>
      <c r="F36" s="385">
        <f>+'q3.1'!$E$28</f>
        <v>13937</v>
      </c>
      <c r="G36" s="385">
        <f>+'q3.1'!$F$28</f>
        <v>14026</v>
      </c>
      <c r="H36" s="385">
        <f>+'q3.1'!$G$28</f>
        <v>14095</v>
      </c>
      <c r="I36" s="385">
        <f>+'q3.1'!$H$28</f>
        <v>14020</v>
      </c>
      <c r="J36" s="385">
        <f>+'q3.1'!$I$28</f>
        <v>13753</v>
      </c>
      <c r="K36" s="385">
        <f>+'q3.1'!$J$28</f>
        <v>13857</v>
      </c>
      <c r="L36" s="385">
        <f>+'q3.1'!$K$28</f>
        <v>13418</v>
      </c>
      <c r="M36" s="385">
        <f>+'q3.1'!$L$28</f>
        <v>14383</v>
      </c>
      <c r="R36" s="374" t="str">
        <f>INDEX($A$2:$A$8,$P$2)</f>
        <v>Grande Lisboa</v>
      </c>
      <c r="AR36" s="373" t="s">
        <v>677</v>
      </c>
      <c r="AY36" s="593" t="s">
        <v>280</v>
      </c>
      <c r="AZ36" s="593"/>
      <c r="BA36" s="593"/>
      <c r="BB36" s="593" t="s">
        <v>280</v>
      </c>
      <c r="BC36" s="593"/>
      <c r="BD36" s="593"/>
      <c r="BE36" s="593" t="s">
        <v>264</v>
      </c>
      <c r="BF36" s="593"/>
      <c r="BG36" s="593"/>
      <c r="BH36" s="593" t="s">
        <v>264</v>
      </c>
      <c r="BI36" s="593"/>
      <c r="BJ36" s="593"/>
      <c r="BK36" s="430"/>
      <c r="BM36" s="373" t="s">
        <v>677</v>
      </c>
      <c r="BT36" s="593" t="s">
        <v>265</v>
      </c>
      <c r="BU36" s="593"/>
      <c r="BV36" s="593"/>
      <c r="BW36" s="593" t="s">
        <v>265</v>
      </c>
      <c r="BX36" s="593"/>
      <c r="BY36" s="593"/>
      <c r="BZ36" s="593" t="s">
        <v>186</v>
      </c>
      <c r="CA36" s="593"/>
      <c r="CB36" s="593"/>
      <c r="CC36" s="593" t="s">
        <v>186</v>
      </c>
      <c r="CD36" s="593"/>
      <c r="CE36" s="593"/>
      <c r="CG36" s="373" t="s">
        <v>677</v>
      </c>
      <c r="CP36" s="593" t="s">
        <v>346</v>
      </c>
      <c r="CQ36" s="593"/>
      <c r="CR36" s="593"/>
      <c r="CS36" s="593" t="s">
        <v>346</v>
      </c>
      <c r="CT36" s="593"/>
      <c r="CU36" s="593"/>
      <c r="CV36" s="593" t="s">
        <v>347</v>
      </c>
      <c r="CW36" s="593"/>
      <c r="CX36" s="593"/>
      <c r="CY36" s="593" t="s">
        <v>347</v>
      </c>
      <c r="CZ36" s="593"/>
      <c r="DA36" s="593"/>
    </row>
    <row r="37" spans="1:105">
      <c r="A37" s="374"/>
      <c r="B37" s="374" t="str">
        <f>+'q3.1'!$A$33</f>
        <v>Algarve</v>
      </c>
      <c r="C37" s="385">
        <f>+'q3.1'!$B$33</f>
        <v>15093</v>
      </c>
      <c r="D37" s="385">
        <f>+'q3.1'!$C$33</f>
        <v>15012</v>
      </c>
      <c r="E37" s="385">
        <f>+'q3.1'!$D$33</f>
        <v>15485</v>
      </c>
      <c r="F37" s="385">
        <f>+'q3.1'!$E$33</f>
        <v>15831</v>
      </c>
      <c r="G37" s="385">
        <f>+'q3.1'!$F$33</f>
        <v>16300</v>
      </c>
      <c r="H37" s="385">
        <f>+'q3.1'!$G$33</f>
        <v>16481</v>
      </c>
      <c r="I37" s="385">
        <f>+'q3.1'!$H$33</f>
        <v>17081</v>
      </c>
      <c r="J37" s="385">
        <f>+'q3.1'!$I$33</f>
        <v>17191</v>
      </c>
      <c r="K37" s="385">
        <f>+'q3.1'!$J$33</f>
        <v>16775</v>
      </c>
      <c r="L37" s="385">
        <f>+'q3.1'!$K$33</f>
        <v>16329</v>
      </c>
      <c r="M37" s="385">
        <f>+'q3.1'!$L$33</f>
        <v>17066</v>
      </c>
      <c r="S37" s="374">
        <f>+C30</f>
        <v>2012</v>
      </c>
      <c r="T37" s="374">
        <f t="shared" ref="T37:AC37" si="35">+D30</f>
        <v>2013</v>
      </c>
      <c r="U37" s="374">
        <f t="shared" si="35"/>
        <v>2014</v>
      </c>
      <c r="V37" s="374">
        <f t="shared" si="35"/>
        <v>2015</v>
      </c>
      <c r="W37" s="374">
        <f t="shared" si="35"/>
        <v>2016</v>
      </c>
      <c r="X37" s="374">
        <f t="shared" si="35"/>
        <v>2017</v>
      </c>
      <c r="Y37" s="374">
        <f t="shared" si="35"/>
        <v>2018</v>
      </c>
      <c r="Z37" s="374">
        <f t="shared" si="35"/>
        <v>2019</v>
      </c>
      <c r="AA37" s="374">
        <f t="shared" si="35"/>
        <v>2020</v>
      </c>
      <c r="AB37" s="374">
        <f t="shared" si="35"/>
        <v>2021</v>
      </c>
      <c r="AC37" s="374">
        <f t="shared" si="35"/>
        <v>2022</v>
      </c>
      <c r="AE37" s="341" t="s">
        <v>664</v>
      </c>
      <c r="AF37" s="341" t="s">
        <v>665</v>
      </c>
      <c r="AS37" s="375" t="s">
        <v>280</v>
      </c>
      <c r="AT37" s="375" t="s">
        <v>264</v>
      </c>
      <c r="AU37" s="348" t="s">
        <v>405</v>
      </c>
      <c r="AV37" s="348" t="s">
        <v>406</v>
      </c>
      <c r="AW37" s="348" t="s">
        <v>403</v>
      </c>
      <c r="AX37" s="348" t="s">
        <v>404</v>
      </c>
      <c r="AY37" s="373" t="s">
        <v>705</v>
      </c>
      <c r="AZ37" s="373" t="s">
        <v>706</v>
      </c>
      <c r="BA37" s="373" t="s">
        <v>376</v>
      </c>
      <c r="BB37" s="373" t="s">
        <v>707</v>
      </c>
      <c r="BC37" s="373" t="s">
        <v>708</v>
      </c>
      <c r="BD37" s="373" t="s">
        <v>376</v>
      </c>
      <c r="BE37" s="373" t="s">
        <v>705</v>
      </c>
      <c r="BF37" s="373" t="s">
        <v>706</v>
      </c>
      <c r="BG37" s="373" t="s">
        <v>376</v>
      </c>
      <c r="BH37" s="373" t="s">
        <v>707</v>
      </c>
      <c r="BI37" s="373" t="s">
        <v>708</v>
      </c>
      <c r="BJ37" s="373" t="s">
        <v>376</v>
      </c>
      <c r="BN37" s="451" t="s">
        <v>265</v>
      </c>
      <c r="BO37" s="451" t="s">
        <v>186</v>
      </c>
      <c r="BP37" s="348" t="s">
        <v>410</v>
      </c>
      <c r="BQ37" s="348" t="s">
        <v>411</v>
      </c>
      <c r="BR37" s="348" t="s">
        <v>412</v>
      </c>
      <c r="BS37" s="348" t="s">
        <v>413</v>
      </c>
      <c r="BT37" s="373" t="s">
        <v>705</v>
      </c>
      <c r="BU37" s="373" t="s">
        <v>706</v>
      </c>
      <c r="BV37" s="373" t="s">
        <v>376</v>
      </c>
      <c r="BW37" s="373" t="s">
        <v>707</v>
      </c>
      <c r="BX37" s="373" t="s">
        <v>708</v>
      </c>
      <c r="BY37" s="373" t="s">
        <v>376</v>
      </c>
      <c r="BZ37" s="373" t="s">
        <v>705</v>
      </c>
      <c r="CA37" s="373" t="s">
        <v>706</v>
      </c>
      <c r="CB37" s="373" t="s">
        <v>376</v>
      </c>
      <c r="CC37" s="373" t="s">
        <v>707</v>
      </c>
      <c r="CD37" s="373" t="s">
        <v>708</v>
      </c>
      <c r="CE37" s="373" t="s">
        <v>376</v>
      </c>
      <c r="CH37" s="375" t="s">
        <v>352</v>
      </c>
      <c r="CI37" s="375" t="s">
        <v>353</v>
      </c>
      <c r="CJ37" s="533" t="s">
        <v>417</v>
      </c>
      <c r="CK37" s="533" t="s">
        <v>418</v>
      </c>
      <c r="CL37" s="533" t="s">
        <v>419</v>
      </c>
      <c r="CM37" s="533" t="s">
        <v>420</v>
      </c>
      <c r="CN37" s="373" t="s">
        <v>422</v>
      </c>
      <c r="CO37" s="373" t="s">
        <v>423</v>
      </c>
      <c r="CP37" s="373" t="s">
        <v>705</v>
      </c>
      <c r="CQ37" s="373" t="s">
        <v>706</v>
      </c>
      <c r="CR37" s="373" t="s">
        <v>376</v>
      </c>
      <c r="CS37" s="373" t="s">
        <v>707</v>
      </c>
      <c r="CT37" s="373" t="s">
        <v>708</v>
      </c>
      <c r="CU37" s="373" t="s">
        <v>376</v>
      </c>
      <c r="CV37" s="373" t="s">
        <v>705</v>
      </c>
      <c r="CW37" s="373" t="s">
        <v>706</v>
      </c>
      <c r="CX37" s="373" t="s">
        <v>376</v>
      </c>
      <c r="CY37" s="373" t="s">
        <v>707</v>
      </c>
      <c r="CZ37" s="373" t="s">
        <v>708</v>
      </c>
      <c r="DA37" s="373" t="s">
        <v>376</v>
      </c>
    </row>
    <row r="38" spans="1:105">
      <c r="B38" s="374" t="s">
        <v>14</v>
      </c>
      <c r="C38" s="385">
        <f>+'q3.1'!$B$5</f>
        <v>268026</v>
      </c>
      <c r="D38" s="385">
        <f>+'q3.1'!$C$5</f>
        <v>265860</v>
      </c>
      <c r="E38" s="385">
        <f>+'q3.1'!$D$5</f>
        <v>270181</v>
      </c>
      <c r="F38" s="385">
        <f>+'q3.1'!$E$5</f>
        <v>273060</v>
      </c>
      <c r="G38" s="385">
        <f>+'q3.1'!$F$5</f>
        <v>276332</v>
      </c>
      <c r="H38" s="385">
        <f>+'q3.1'!$G$5</f>
        <v>279191</v>
      </c>
      <c r="I38" s="385">
        <f>+'q3.1'!$H$5</f>
        <v>282236</v>
      </c>
      <c r="J38" s="385">
        <f>+'q3.1'!$I$5</f>
        <v>275751</v>
      </c>
      <c r="K38" s="385">
        <f>+'q3.1'!$J$5</f>
        <v>277641</v>
      </c>
      <c r="L38" s="385">
        <f>+'q3.1'!$K$5</f>
        <v>271806</v>
      </c>
      <c r="M38" s="385">
        <f>+'q3.1'!$L$5</f>
        <v>284860</v>
      </c>
      <c r="R38" s="345" t="s">
        <v>265</v>
      </c>
      <c r="S38" s="385">
        <f>+VLOOKUP($R$36,$B$110:$M$117,COLUMN(C111)-1,0)</f>
        <v>688888.00000000012</v>
      </c>
      <c r="T38" s="385">
        <f t="shared" ref="T38:AC38" si="36">+VLOOKUP($R$36,$B$110:$M$117,COLUMN(D111)-1,0)</f>
        <v>692704</v>
      </c>
      <c r="U38" s="385">
        <f t="shared" si="36"/>
        <v>715126</v>
      </c>
      <c r="V38" s="385">
        <f t="shared" si="36"/>
        <v>730551</v>
      </c>
      <c r="W38" s="385">
        <f t="shared" si="36"/>
        <v>765222</v>
      </c>
      <c r="X38" s="385">
        <f t="shared" si="36"/>
        <v>790694</v>
      </c>
      <c r="Y38" s="385">
        <f t="shared" si="36"/>
        <v>826919</v>
      </c>
      <c r="Z38" s="385">
        <f t="shared" si="36"/>
        <v>845336</v>
      </c>
      <c r="AA38" s="385">
        <f t="shared" si="36"/>
        <v>835460</v>
      </c>
      <c r="AB38" s="385">
        <f t="shared" si="36"/>
        <v>838586</v>
      </c>
      <c r="AC38" s="385">
        <f t="shared" si="36"/>
        <v>915180</v>
      </c>
      <c r="AD38" s="385" t="str">
        <f>TEXT(AC38,"##.###")</f>
        <v>915.180</v>
      </c>
      <c r="AE38" s="347">
        <f>+(AC38/AB38-1)</f>
        <v>9.1337084091554166E-2</v>
      </c>
      <c r="AF38" s="347">
        <f>+(AC38/S38-1)</f>
        <v>0.32848881095330418</v>
      </c>
      <c r="AG38" s="394">
        <f>+AC38-S38</f>
        <v>226291.99999999988</v>
      </c>
      <c r="AH38" s="373" t="str">
        <f>IF(AG38&gt;0,", mais",", menos")</f>
        <v>, mais</v>
      </c>
      <c r="AI38" s="373">
        <f>IF(AG38&gt;0,AG38,AG38*-1)</f>
        <v>226291.99999999988</v>
      </c>
      <c r="AR38" s="375" t="s">
        <v>629</v>
      </c>
      <c r="AS38" s="385">
        <f>INDEX($B$30:$M$37,MATCH($AR$38:$AR$44,$B$30:$B$37,0),MATCH($AR$6,$B$30:$M$30,0))</f>
        <v>110941</v>
      </c>
      <c r="AT38" s="385">
        <f>INDEX($B$70:$M$77,MATCH($AR$38:$AR$44,$B$70:$B$77,0),MATCH($AR$6,$B$70:$M$70,0))</f>
        <v>126463</v>
      </c>
      <c r="AU38" s="397">
        <f>+AS38/$AS$32*100</f>
        <v>38.945797935828125</v>
      </c>
      <c r="AV38" s="397">
        <f>+AT38/$AT$32*100</f>
        <v>38.013063486862869</v>
      </c>
      <c r="AW38" s="387">
        <f>RANK(AS38,$AS$38:$AS$44,0)</f>
        <v>1</v>
      </c>
      <c r="AX38" s="387">
        <f>RANK(AT38,$AT$38:$AT$44,0)</f>
        <v>1</v>
      </c>
      <c r="AY38" s="385">
        <f>MAX($AS$8:$AS$15)</f>
        <v>51243</v>
      </c>
      <c r="AZ38" s="373" t="str">
        <f>VLOOKUP(AY38,$AS$8:$AY$31,7,0)</f>
        <v>Área Metropolitana do Porto</v>
      </c>
      <c r="BA38" s="373">
        <f>AY38/$AS$38*100</f>
        <v>46.189415995889703</v>
      </c>
      <c r="BB38" s="385">
        <f>MIN($AS$8:$AS$15)</f>
        <v>2409</v>
      </c>
      <c r="BC38" s="373" t="str">
        <f>VLOOKUP(BB38,$AS$8:$AY$31,7,0)</f>
        <v>Alto Tâmega e Barroso</v>
      </c>
      <c r="BD38" s="373">
        <f>BB38/$AS$38*100</f>
        <v>2.1714244508342273</v>
      </c>
      <c r="BE38" s="385">
        <f>MAX($AT$8:$AT$15)</f>
        <v>59479</v>
      </c>
      <c r="BF38" s="373" t="str">
        <f>VLOOKUP(BE38,$AT$8:$AY$31,6,0)</f>
        <v>Área Metropolitana do Porto</v>
      </c>
      <c r="BG38" s="373">
        <f>BE38/$AT$38*100</f>
        <v>47.032728940480617</v>
      </c>
      <c r="BH38" s="385">
        <f>MIN($AT$8:$AT$15)</f>
        <v>2739</v>
      </c>
      <c r="BI38" s="373" t="str">
        <f>VLOOKUP(BH38,$AT$8:$AY$31,6,0)</f>
        <v>Alto Tâmega e Barroso</v>
      </c>
      <c r="BJ38" s="373">
        <f>BH38/$AT$38*100</f>
        <v>2.1658508812854351</v>
      </c>
      <c r="BM38" s="375" t="s">
        <v>629</v>
      </c>
      <c r="BN38" s="385">
        <f>INDEX($B$110:$M$117,MATCH($BM$38:$BM$44,$B$110:$B$117,0),MATCH($BM$6,$B$110:$M$110,0))</f>
        <v>1215310.0000000002</v>
      </c>
      <c r="BO38" s="385">
        <f>INDEX($B$150:$M$157,MATCH($BM$38:$BM$44,$B$150:$B$157,0),MATCH($BM$6,$B$150:$M$150,0))</f>
        <v>1142574.9999999998</v>
      </c>
      <c r="BP38" s="397">
        <f>+BN38/$BN$32*100</f>
        <v>36.418343930415865</v>
      </c>
      <c r="BQ38" s="397">
        <f>+BO38/$BO$32*100</f>
        <v>36.293572060008636</v>
      </c>
      <c r="BR38" s="387">
        <f>RANK(BN38,$BN$38:$BN$44,0)</f>
        <v>1</v>
      </c>
      <c r="BS38" s="387">
        <f>RANK(BO38,$BO$38:$BO$44,0)</f>
        <v>1</v>
      </c>
      <c r="BT38" s="385">
        <f>MAX($BN$8:$BN$15)</f>
        <v>633694</v>
      </c>
      <c r="BU38" s="373" t="str">
        <f>VLOOKUP(BT38,$BN$8:$BT$31,7,0)</f>
        <v>Área Metropolitana do Porto</v>
      </c>
      <c r="BV38" s="373">
        <f>BT38/$BN$38*100</f>
        <v>52.142580905283417</v>
      </c>
      <c r="BW38" s="385">
        <f>MIN($BN$8:$BN$15)</f>
        <v>15757.000000000002</v>
      </c>
      <c r="BX38" s="373" t="str">
        <f>VLOOKUP(BW38,$BN$8:$BT$31,7,0)</f>
        <v>Alto Tâmega e Barroso</v>
      </c>
      <c r="BY38" s="373">
        <f>BW38/$BN$38*100</f>
        <v>1.296541623124964</v>
      </c>
      <c r="BZ38" s="385">
        <f>MAX($BO$8:$BO$15)</f>
        <v>598036</v>
      </c>
      <c r="CA38" s="373" t="str">
        <f>VLOOKUP(BZ38,$BO$8:$BT$31,6,0)</f>
        <v>Área Metropolitana do Porto</v>
      </c>
      <c r="CB38" s="373">
        <f>BZ38/$BO$38*100</f>
        <v>52.341071702076455</v>
      </c>
      <c r="CC38" s="385">
        <f>MIN($BO$8:$BO$15)</f>
        <v>14446</v>
      </c>
      <c r="CD38" s="373" t="str">
        <f>VLOOKUP(CC38,$BO$8:$BT$31,6,0)</f>
        <v>Alto Tâmega e Barroso</v>
      </c>
      <c r="CE38" s="373">
        <f>CC38/$BO$38*100</f>
        <v>1.2643371332297664</v>
      </c>
      <c r="CG38" s="375" t="s">
        <v>629</v>
      </c>
      <c r="CH38" s="386">
        <f>INDEX($B$190:$M$197,MATCH($CG$38:$CG$44,$B$190:$B$197,0),MATCH($CG$6,$B$190:$M$190,0))</f>
        <v>1063.2116885853982</v>
      </c>
      <c r="CI38" s="386">
        <f>INDEX($B$230:$M$237,MATCH($CG$38:$CG$44,$B$230:$B$237,0),MATCH($CG$6,$B$230:$M$230,0))</f>
        <v>1253.4606441915191</v>
      </c>
      <c r="CJ38" s="397">
        <f>+(CH38/$CH$32-1)*100</f>
        <v>-7.0168528764638634</v>
      </c>
      <c r="CK38" s="397">
        <f>+(CI38/$CI$32-1)*100</f>
        <v>-8.3724417085182967</v>
      </c>
      <c r="CL38" s="387">
        <f>RANK(CH38,$CH$38:$CH$44,0)</f>
        <v>3</v>
      </c>
      <c r="CM38" s="387">
        <f>RANK(CI38,$CI$38:$CI$44,0)</f>
        <v>3</v>
      </c>
      <c r="CN38" s="386">
        <f>+CH38-$CH$32</f>
        <v>-80.233894271492773</v>
      </c>
      <c r="CO38" s="386">
        <f>+CI38-$CI$32</f>
        <v>-114.534604796851</v>
      </c>
      <c r="CP38" s="385">
        <f>MAX($CH$8:$CH$15)</f>
        <v>1165.4434957531817</v>
      </c>
      <c r="CQ38" s="373" t="str">
        <f>VLOOKUP(CP38,$CH$8:$CP$15,9,0)</f>
        <v>Área Metropolitana do Porto</v>
      </c>
      <c r="CR38" s="532">
        <f>(CP38/$CH$38-1)*100</f>
        <v>9.6153765299366469</v>
      </c>
      <c r="CS38" s="385">
        <f>MIN($CH$8:$CH$15)</f>
        <v>885.57121879110116</v>
      </c>
      <c r="CT38" s="373" t="str">
        <f>VLOOKUP(CS38,$CH$8:$CP$15,9,0)</f>
        <v>Tâmega e Sousa</v>
      </c>
      <c r="CU38" s="532">
        <f>(CS38/$CH$38-1)*100</f>
        <v>-16.70791167003134</v>
      </c>
      <c r="CV38" s="385">
        <f>MAX($CI$8:$CI$15)</f>
        <v>1378.5625293136845</v>
      </c>
      <c r="CW38" s="373" t="str">
        <f>VLOOKUP(CV38,$CI$8:$CP$15,8,0)</f>
        <v>Área Metropolitana do Porto</v>
      </c>
      <c r="CX38" s="532">
        <f>(CV38/$CI$38-1)*100</f>
        <v>9.9805195880606092</v>
      </c>
      <c r="CY38" s="385">
        <f>MIN($CI$8:$CI$15)</f>
        <v>1026.1271821216981</v>
      </c>
      <c r="CZ38" s="373" t="str">
        <f>VLOOKUP(CY38,$CI$8:$CP$15,8,0)</f>
        <v>Tâmega e Sousa</v>
      </c>
      <c r="DA38" s="532">
        <f>(CY38/$CI$38-1)*100</f>
        <v>-18.136465881340126</v>
      </c>
    </row>
    <row r="39" spans="1:105">
      <c r="B39" s="374"/>
      <c r="C39" s="385"/>
      <c r="D39" s="385"/>
      <c r="E39" s="385"/>
      <c r="F39" s="385"/>
      <c r="G39" s="385"/>
      <c r="H39" s="385"/>
      <c r="I39" s="385"/>
      <c r="J39" s="385"/>
      <c r="K39" s="385"/>
      <c r="L39" s="385"/>
      <c r="M39" s="385"/>
      <c r="R39" s="345" t="s">
        <v>186</v>
      </c>
      <c r="S39" s="385">
        <f>+VLOOKUP($R$36,$B$150:$M$157,COLUMN(C151)-1,0)</f>
        <v>652354</v>
      </c>
      <c r="T39" s="385">
        <f t="shared" ref="T39:AC39" si="37">+VLOOKUP($R$36,$B$150:$M$157,COLUMN(D151)-1,0)</f>
        <v>656569.99999999988</v>
      </c>
      <c r="U39" s="385">
        <f t="shared" si="37"/>
        <v>677265</v>
      </c>
      <c r="V39" s="385">
        <f t="shared" si="37"/>
        <v>692513</v>
      </c>
      <c r="W39" s="385">
        <f t="shared" si="37"/>
        <v>728120</v>
      </c>
      <c r="X39" s="385">
        <f t="shared" si="37"/>
        <v>753266.00000000012</v>
      </c>
      <c r="Y39" s="385">
        <f t="shared" si="37"/>
        <v>788380.00000000012</v>
      </c>
      <c r="Z39" s="385">
        <f t="shared" si="37"/>
        <v>807855</v>
      </c>
      <c r="AA39" s="385">
        <f t="shared" si="37"/>
        <v>797460</v>
      </c>
      <c r="AB39" s="385">
        <f t="shared" si="37"/>
        <v>801493</v>
      </c>
      <c r="AC39" s="385">
        <f t="shared" si="37"/>
        <v>875584</v>
      </c>
      <c r="AD39" s="385" t="str">
        <f>TEXT(AC39,"##.###")</f>
        <v>875.584</v>
      </c>
      <c r="AE39" s="347">
        <f>+(AC39/AB39-1)</f>
        <v>9.2441231551616765E-2</v>
      </c>
      <c r="AF39" s="347">
        <f>+(AC39/S39-1)</f>
        <v>0.3421915095178385</v>
      </c>
      <c r="AG39" s="394">
        <f>+AC39-S39</f>
        <v>223230</v>
      </c>
      <c r="AH39" s="373" t="str">
        <f>IF(AG39&gt;0,", mais",", menos")</f>
        <v>, mais</v>
      </c>
      <c r="AI39" s="373">
        <f>IF(AG39&gt;0,AG39,AG39*-1)</f>
        <v>223230</v>
      </c>
      <c r="AR39" s="375" t="s">
        <v>638</v>
      </c>
      <c r="AS39" s="385">
        <f t="shared" ref="AS39:AS44" si="38">INDEX($B$30:$M$37,MATCH($AR$38:$AR$44,$B$30:$B$37,0),MATCH($AR$6,$B$30:$M$30,0))</f>
        <v>46520</v>
      </c>
      <c r="AT39" s="385">
        <f t="shared" ref="AT39:AT44" si="39">INDEX($B$70:$M$77,MATCH($AR$38:$AR$44,$B$70:$B$77,0),MATCH($AR$6,$B$70:$M$70,0))</f>
        <v>54851</v>
      </c>
      <c r="AU39" s="397">
        <f t="shared" ref="AU39:AU44" si="40">+AS39/$AS$32*100</f>
        <v>16.330829179245946</v>
      </c>
      <c r="AV39" s="397">
        <f t="shared" ref="AV39:AV44" si="41">+AT39/$AT$32*100</f>
        <v>16.487467048211059</v>
      </c>
      <c r="AW39" s="387">
        <f t="shared" ref="AW39:AW44" si="42">RANK(AS39,$AS$38:$AS$44,0)</f>
        <v>3</v>
      </c>
      <c r="AX39" s="387">
        <f t="shared" ref="AX39:AX44" si="43">RANK(AT39,$AT$38:$AT$44,0)</f>
        <v>3</v>
      </c>
      <c r="AY39" s="385">
        <f>MAX($AS$16:$AS$21)</f>
        <v>11014</v>
      </c>
      <c r="AZ39" s="373" t="str">
        <f>VLOOKUP(AY39,$AS$6:$AY$21,7,0)</f>
        <v>Região de Coimbra</v>
      </c>
      <c r="BA39" s="373">
        <f>AY39/$AS$39*100</f>
        <v>23.675838349097162</v>
      </c>
      <c r="BB39" s="385">
        <f>MIN($AS$16:$AS$21)</f>
        <v>2733</v>
      </c>
      <c r="BC39" s="373" t="str">
        <f>VLOOKUP(BB39,$AS$16:$AY$21,7,0)</f>
        <v>Beira Baixa</v>
      </c>
      <c r="BD39" s="373">
        <f>BB39/$AS$39*100</f>
        <v>5.8748925193465178</v>
      </c>
      <c r="BE39" s="385">
        <f>MAX($AT$16:$AT$21)</f>
        <v>13325</v>
      </c>
      <c r="BF39" s="373" t="str">
        <f>VLOOKUP(BE39,$AT$16:$AY$21,6,0)</f>
        <v>Região de Coimbra</v>
      </c>
      <c r="BG39" s="373">
        <f>BE39/$AT$39*100</f>
        <v>24.293084902736503</v>
      </c>
      <c r="BH39" s="385">
        <f>MIN($AT$16:$AT$21)</f>
        <v>3245</v>
      </c>
      <c r="BI39" s="373" t="str">
        <f>VLOOKUP(BH39,$AT$16:$AY$21,6,0)</f>
        <v>Beira Baixa</v>
      </c>
      <c r="BJ39" s="373">
        <f>BH39/$AT$39*100</f>
        <v>5.9160270551129424</v>
      </c>
      <c r="BM39" s="375" t="s">
        <v>638</v>
      </c>
      <c r="BN39" s="385">
        <f t="shared" ref="BN39:BN44" si="44">INDEX($B$110:$M$117,MATCH($BM$38:$BM$44,$B$110:$B$117,0),MATCH($BM$6,$B$110:$M$110,0))</f>
        <v>506309.99999999988</v>
      </c>
      <c r="BO39" s="385">
        <f t="shared" ref="BO39:BO44" si="45">INDEX($B$150:$M$157,MATCH($BM$38:$BM$44,$B$150:$B$157,0),MATCH($BM$6,$B$150:$M$150,0))</f>
        <v>473399</v>
      </c>
      <c r="BP39" s="397">
        <f t="shared" ref="BP39:BP44" si="46">+BN39/$BN$32*100</f>
        <v>15.172237301930247</v>
      </c>
      <c r="BQ39" s="397">
        <f t="shared" ref="BQ39:BQ44" si="47">+BO39/$BO$32*100</f>
        <v>15.037385484222943</v>
      </c>
      <c r="BR39" s="387">
        <f t="shared" ref="BR39:BR44" si="48">RANK(BN39,$BN$38:$BN$44,0)</f>
        <v>3</v>
      </c>
      <c r="BS39" s="387">
        <f t="shared" ref="BS39:BS44" si="49">RANK(BO39,$BO$38:$BO$44,0)</f>
        <v>3</v>
      </c>
      <c r="BT39" s="385">
        <f>MAX($BN$16:$BN$21)</f>
        <v>135023</v>
      </c>
      <c r="BU39" s="373" t="str">
        <f>VLOOKUP(BT39,$BN$6:$BT$21,7,0)</f>
        <v>Região de Aveiro</v>
      </c>
      <c r="BV39" s="373">
        <f>BT39/$BN$39*100</f>
        <v>26.66804921885802</v>
      </c>
      <c r="BW39" s="385">
        <f>MIN($BN$16:$BN$21)</f>
        <v>22628</v>
      </c>
      <c r="BX39" s="373" t="str">
        <f>VLOOKUP(BW39,$BN$16:$BT$21,7,0)</f>
        <v>Beira Baixa</v>
      </c>
      <c r="BY39" s="373">
        <f>BW39/$BN$39*100</f>
        <v>4.4691987122513881</v>
      </c>
      <c r="BZ39" s="385">
        <f>MAX($BO$16:$BO$21)</f>
        <v>127100</v>
      </c>
      <c r="CA39" s="373" t="str">
        <f>VLOOKUP(BZ39,$BO$16:$BT$21,6,0)</f>
        <v>Região de Aveiro</v>
      </c>
      <c r="CB39" s="373">
        <f>BZ39/$BO$39*100</f>
        <v>26.848387934913255</v>
      </c>
      <c r="CC39" s="385">
        <f>MIN($BO$16:$BO$21)</f>
        <v>21005</v>
      </c>
      <c r="CD39" s="373" t="str">
        <f>VLOOKUP(CC39,$BO$16:$BT$21,6,0)</f>
        <v>Beira Baixa</v>
      </c>
      <c r="CE39" s="373">
        <f>CC39/$BO$39*100</f>
        <v>4.4370604923119821</v>
      </c>
      <c r="CG39" s="375" t="s">
        <v>638</v>
      </c>
      <c r="CH39" s="386">
        <f t="shared" ref="CH39:CH44" si="50">INDEX($B$190:$M$197,MATCH($CG$38:$CG$44,$B$190:$B$197,0),MATCH($CG$6,$B$190:$M$190,0))</f>
        <v>1007.642687752657</v>
      </c>
      <c r="CI39" s="386">
        <f t="shared" ref="CI39:CI44" si="51">INDEX($B$230:$M$237,MATCH($CG$38:$CG$44,$B$230:$B$237,0),MATCH($CG$6,$B$230:$M$230,0))</f>
        <v>1218.0718507496965</v>
      </c>
      <c r="CJ39" s="397">
        <f t="shared" ref="CJ39:CJ44" si="52">+(CH39/$CH$32-1)*100</f>
        <v>-11.876638218753822</v>
      </c>
      <c r="CK39" s="397">
        <f t="shared" ref="CK39:CK44" si="53">+(CI39/$CI$32-1)*100</f>
        <v>-10.959350798150924</v>
      </c>
      <c r="CL39" s="387">
        <f t="shared" ref="CL39:CL44" si="54">RANK(CH39,$CH$38:$CH$44,0)</f>
        <v>4</v>
      </c>
      <c r="CM39" s="387">
        <f t="shared" ref="CM39:CM44" si="55">RANK(CI39,$CI$38:$CI$44,0)</f>
        <v>5</v>
      </c>
      <c r="CN39" s="386">
        <f t="shared" ref="CN39:CN44" si="56">+CH39-$CH$32</f>
        <v>-135.80289510423393</v>
      </c>
      <c r="CO39" s="386">
        <f t="shared" ref="CO39:CO44" si="57">+CI39-$CI$32</f>
        <v>-149.9233982386736</v>
      </c>
      <c r="CP39" s="385">
        <f>MAX($CH$16:$CH$21)</f>
        <v>1065.4112333260434</v>
      </c>
      <c r="CQ39" s="373" t="str">
        <f>VLOOKUP(CP39,$CH$16:$CP$21,9,0)</f>
        <v>Região de Aveiro</v>
      </c>
      <c r="CR39" s="532">
        <f>(CP39/$CH$39-1)*100</f>
        <v>5.7330387324327603</v>
      </c>
      <c r="CS39" s="385">
        <f>MIN($CH$16:$CH$21)</f>
        <v>921.31669641634949</v>
      </c>
      <c r="CT39" s="373" t="str">
        <f>VLOOKUP(CS39,$CH$16:$CP$21,9,0)</f>
        <v>Beiras e Serra da Estrela</v>
      </c>
      <c r="CU39" s="532">
        <f>(CS39/$CH$39-1)*100</f>
        <v>-8.5671232854217632</v>
      </c>
      <c r="CV39" s="385">
        <f>MAX($CI$16:$CI$21)</f>
        <v>1282.8988460216819</v>
      </c>
      <c r="CW39" s="373" t="str">
        <f>VLOOKUP(CV39,$CI$16:$CP$21,8,0)</f>
        <v>Região de Aveiro</v>
      </c>
      <c r="CX39" s="532">
        <f>(CV39/$CI$39-1)*100</f>
        <v>5.3220994502160002</v>
      </c>
      <c r="CY39" s="385">
        <f>MIN($CI$16:$CI$21)</f>
        <v>1106.8519270929878</v>
      </c>
      <c r="CZ39" s="373" t="str">
        <f>VLOOKUP(CY39,$CI$16:$CP$21,8,0)</f>
        <v>Beira Baixa</v>
      </c>
      <c r="DA39" s="532">
        <f>(CY39/$CI$39-1)*100</f>
        <v>-9.1308179881388174</v>
      </c>
    </row>
    <row r="40" spans="1:105">
      <c r="C40" s="374">
        <f>+C30</f>
        <v>2012</v>
      </c>
      <c r="D40" s="374">
        <f t="shared" ref="D40:M40" si="58">+D30</f>
        <v>2013</v>
      </c>
      <c r="E40" s="374">
        <f t="shared" si="58"/>
        <v>2014</v>
      </c>
      <c r="F40" s="374">
        <f t="shared" si="58"/>
        <v>2015</v>
      </c>
      <c r="G40" s="374">
        <f t="shared" si="58"/>
        <v>2016</v>
      </c>
      <c r="H40" s="374">
        <f t="shared" si="58"/>
        <v>2017</v>
      </c>
      <c r="I40" s="374">
        <f t="shared" si="58"/>
        <v>2018</v>
      </c>
      <c r="J40" s="374">
        <f t="shared" si="58"/>
        <v>2019</v>
      </c>
      <c r="K40" s="374">
        <f t="shared" si="58"/>
        <v>2020</v>
      </c>
      <c r="L40" s="374">
        <f t="shared" si="58"/>
        <v>2021</v>
      </c>
      <c r="M40" s="374">
        <f t="shared" si="58"/>
        <v>2022</v>
      </c>
      <c r="AR40" s="375" t="s">
        <v>645</v>
      </c>
      <c r="AS40" s="385">
        <f t="shared" si="38"/>
        <v>23397</v>
      </c>
      <c r="AT40" s="385">
        <f t="shared" si="39"/>
        <v>27499</v>
      </c>
      <c r="AU40" s="397">
        <f t="shared" si="40"/>
        <v>8.213508390086357</v>
      </c>
      <c r="AV40" s="397">
        <f t="shared" si="41"/>
        <v>8.2658266277507408</v>
      </c>
      <c r="AW40" s="387">
        <f t="shared" si="42"/>
        <v>4</v>
      </c>
      <c r="AX40" s="387">
        <f t="shared" si="43"/>
        <v>4</v>
      </c>
      <c r="AY40" s="385">
        <f>MAX($AS$22:$AS$24)</f>
        <v>11295</v>
      </c>
      <c r="AZ40" s="373" t="str">
        <f>VLOOKUP(AY40,$AS$22:$AY$24,7,0)</f>
        <v>Oeste</v>
      </c>
      <c r="BA40" s="373">
        <f>AY40/$AS$40*100</f>
        <v>48.275419925631489</v>
      </c>
      <c r="BB40" s="385">
        <f>MIN($AS$22:$AS$24)</f>
        <v>5900</v>
      </c>
      <c r="BC40" s="373" t="str">
        <f>VLOOKUP(BB40,$AS$22:$AY$24,7,0)</f>
        <v>Médio Tejo</v>
      </c>
      <c r="BD40" s="373">
        <f>BB40/$AS$40*100</f>
        <v>25.216908150617602</v>
      </c>
      <c r="BE40" s="385">
        <f>MAX($AT$22:$AT$24)</f>
        <v>13106</v>
      </c>
      <c r="BF40" s="373" t="str">
        <f>VLOOKUP(BE40,$AT$22:$AY$24,6,0)</f>
        <v>Oeste</v>
      </c>
      <c r="BG40" s="373">
        <f>BE40/$AT$40*100</f>
        <v>47.65991490599658</v>
      </c>
      <c r="BH40" s="385">
        <f>MIN($AT$22:$AT$24)</f>
        <v>7027</v>
      </c>
      <c r="BI40" s="373" t="str">
        <f>VLOOKUP(BH40,$AT$22:$AY$24,6,0)</f>
        <v>Médio Tejo</v>
      </c>
      <c r="BJ40" s="373">
        <f>BH40/$AT$40*100</f>
        <v>25.553656496599874</v>
      </c>
      <c r="BM40" s="375" t="s">
        <v>645</v>
      </c>
      <c r="BN40" s="385">
        <f t="shared" si="44"/>
        <v>233662.99999999994</v>
      </c>
      <c r="BO40" s="385">
        <f t="shared" si="45"/>
        <v>217876.00000000006</v>
      </c>
      <c r="BP40" s="397">
        <f t="shared" si="46"/>
        <v>7.002015533331214</v>
      </c>
      <c r="BQ40" s="397">
        <f t="shared" si="47"/>
        <v>6.9207695828689086</v>
      </c>
      <c r="BR40" s="387">
        <f t="shared" si="48"/>
        <v>4</v>
      </c>
      <c r="BS40" s="387">
        <f t="shared" si="49"/>
        <v>4</v>
      </c>
      <c r="BT40" s="385">
        <f>MAX($BN$22:$BN$24)</f>
        <v>105262</v>
      </c>
      <c r="BU40" s="373" t="str">
        <f>VLOOKUP(BT40,$BN$22:$BT$24,7,0)</f>
        <v>Oeste</v>
      </c>
      <c r="BV40" s="373">
        <f>BT40/$BN$40*100</f>
        <v>45.048638423712795</v>
      </c>
      <c r="BW40" s="385">
        <f>MIN($BN$22:$BN$24)</f>
        <v>58043.999999999993</v>
      </c>
      <c r="BX40" s="373" t="str">
        <f>VLOOKUP(BW40,$BN$22:$BT$24,7,0)</f>
        <v>Médio Tejo</v>
      </c>
      <c r="BY40" s="373">
        <f>BW40/$BN$40*100</f>
        <v>24.840903352263734</v>
      </c>
      <c r="BZ40" s="385">
        <f>MAX($BO$22:$BO$24)</f>
        <v>97506</v>
      </c>
      <c r="CA40" s="373" t="str">
        <f>VLOOKUP(BZ40,$BO$22:$BT$24,6,0)</f>
        <v>Oeste</v>
      </c>
      <c r="CB40" s="373">
        <f>BZ40/$BO$40*100</f>
        <v>44.752978758559905</v>
      </c>
      <c r="CC40" s="385">
        <f>MIN($BO$22:$BO$24)</f>
        <v>53904.000000000007</v>
      </c>
      <c r="CD40" s="373" t="str">
        <f>VLOOKUP(CC40,$BO$22:$BT$24,6,0)</f>
        <v>Médio Tejo</v>
      </c>
      <c r="CE40" s="373">
        <f>CC40/$BO$40*100</f>
        <v>24.740678183921126</v>
      </c>
      <c r="CG40" s="375" t="s">
        <v>645</v>
      </c>
      <c r="CH40" s="386">
        <f t="shared" si="50"/>
        <v>969.16885384892851</v>
      </c>
      <c r="CI40" s="386">
        <f t="shared" si="51"/>
        <v>1165.7289221289689</v>
      </c>
      <c r="CJ40" s="397">
        <f t="shared" si="52"/>
        <v>-15.241366237344955</v>
      </c>
      <c r="CK40" s="397">
        <f t="shared" si="53"/>
        <v>-14.785601558848748</v>
      </c>
      <c r="CL40" s="387">
        <f t="shared" si="54"/>
        <v>6</v>
      </c>
      <c r="CM40" s="387">
        <f t="shared" si="55"/>
        <v>6</v>
      </c>
      <c r="CN40" s="386">
        <f t="shared" si="56"/>
        <v>-174.27672900796244</v>
      </c>
      <c r="CO40" s="386">
        <f t="shared" si="57"/>
        <v>-202.26632685940126</v>
      </c>
      <c r="CP40" s="385">
        <f>MAX($CH$22:$CH$24)</f>
        <v>973.65286859650712</v>
      </c>
      <c r="CQ40" s="373" t="str">
        <f>VLOOKUP(CP40,$CH$22:$CP$24,9,0)</f>
        <v>Lezíria do Tejo</v>
      </c>
      <c r="CR40" s="532">
        <f>(CP40/$CH$40-1)*100</f>
        <v>0.46266599775373063</v>
      </c>
      <c r="CS40" s="385">
        <f>MIN($CH$22:$CH$24)</f>
        <v>966.3983311076089</v>
      </c>
      <c r="CT40" s="373" t="str">
        <f>VLOOKUP(CS40,$CH$22:$CP$24,9,0)</f>
        <v>Oeste</v>
      </c>
      <c r="CU40" s="532">
        <f>(CS40/$CH$40-1)*100</f>
        <v>-0.28586584580353458</v>
      </c>
      <c r="CV40" s="385">
        <f>MAX($CI$22:$CI$24)</f>
        <v>1178.0944564942188</v>
      </c>
      <c r="CW40" s="373" t="str">
        <f>VLOOKUP(CV40,$CI$22:$CP$24,8,0)</f>
        <v>Lezíria do Tejo</v>
      </c>
      <c r="CX40" s="532">
        <f>(CV40/$CI$40-1)*100</f>
        <v>1.0607555607925256</v>
      </c>
      <c r="CY40" s="385">
        <f>MIN($CI$22:$CI$24)</f>
        <v>1152.3915951764122</v>
      </c>
      <c r="CZ40" s="373" t="str">
        <f>VLOOKUP(CY40,$CI$22:$CP$24,8,0)</f>
        <v>Oeste</v>
      </c>
      <c r="DA40" s="532">
        <f>(CY40/$CI$40-1)*100</f>
        <v>-1.1441190742868979</v>
      </c>
    </row>
    <row r="41" spans="1:105">
      <c r="A41" s="374" t="s">
        <v>678</v>
      </c>
      <c r="B41" s="374" t="str">
        <f>+'q3.1'!$A$7</f>
        <v>Alto Minho</v>
      </c>
      <c r="C41" s="385">
        <f>+'q3.1'!$B$7</f>
        <v>7126</v>
      </c>
      <c r="D41" s="385">
        <f>+'q3.1'!$C$7</f>
        <v>7051</v>
      </c>
      <c r="E41" s="385">
        <f>+'q3.1'!$D$7</f>
        <v>7129</v>
      </c>
      <c r="F41" s="385">
        <f>+'q3.1'!$E$7</f>
        <v>7173</v>
      </c>
      <c r="G41" s="385">
        <f>+'q3.1'!$F$7</f>
        <v>7291</v>
      </c>
      <c r="H41" s="385">
        <f>+'q3.1'!$G$7</f>
        <v>7270</v>
      </c>
      <c r="I41" s="385">
        <f>+'q3.1'!$H$7</f>
        <v>7341</v>
      </c>
      <c r="J41" s="385">
        <f>+'q3.1'!$I$7</f>
        <v>7045</v>
      </c>
      <c r="K41" s="385">
        <f>+'q3.1'!$J$7</f>
        <v>7037</v>
      </c>
      <c r="L41" s="385">
        <f>+'q3.1'!$K$7</f>
        <v>6974</v>
      </c>
      <c r="M41" s="385">
        <f>+'q3.1'!$L$7</f>
        <v>7227</v>
      </c>
      <c r="AF41" s="397">
        <f>+(AC38/S38-1)*100</f>
        <v>32.84888109533042</v>
      </c>
      <c r="AR41" s="375" t="s">
        <v>649</v>
      </c>
      <c r="AS41" s="385">
        <f t="shared" si="38"/>
        <v>57854</v>
      </c>
      <c r="AT41" s="385">
        <f t="shared" si="39"/>
        <v>68270</v>
      </c>
      <c r="AU41" s="397">
        <f t="shared" si="40"/>
        <v>20.309625781085444</v>
      </c>
      <c r="AV41" s="397">
        <f t="shared" si="41"/>
        <v>20.521036542294016</v>
      </c>
      <c r="AW41" s="387">
        <f t="shared" si="42"/>
        <v>2</v>
      </c>
      <c r="AX41" s="387">
        <f t="shared" si="43"/>
        <v>2</v>
      </c>
      <c r="AY41" s="385">
        <f>MAX($AS$25)</f>
        <v>57854</v>
      </c>
      <c r="AZ41" s="373" t="str">
        <f>VLOOKUP(AY41,$AS$25:$AY$25,7,0)</f>
        <v>Grande Lisboa</v>
      </c>
      <c r="BA41" s="373">
        <f>AY41/$AS$41*100</f>
        <v>100</v>
      </c>
      <c r="BB41" s="385">
        <f>MIN($AS$25:$AS$25)</f>
        <v>57854</v>
      </c>
      <c r="BC41" s="373" t="str">
        <f>VLOOKUP(BB41,$AS$25:$AY$25,7,0)</f>
        <v>Grande Lisboa</v>
      </c>
      <c r="BD41" s="373">
        <f>BB41/$AS$41*100</f>
        <v>100</v>
      </c>
      <c r="BE41" s="385">
        <f>MAX($AT$25:$AT$25)</f>
        <v>68270</v>
      </c>
      <c r="BF41" s="373" t="str">
        <f>VLOOKUP(BE41,$AT$25:$AY$25,6,0)</f>
        <v>Grande Lisboa</v>
      </c>
      <c r="BG41" s="373">
        <f>BE41/$AT$41*100</f>
        <v>100</v>
      </c>
      <c r="BH41" s="385">
        <f>MIN($AT$25)</f>
        <v>68270</v>
      </c>
      <c r="BI41" s="373" t="str">
        <f>VLOOKUP(BH41,$AT$25:$AY$25,6,0)</f>
        <v>Grande Lisboa</v>
      </c>
      <c r="BJ41" s="373">
        <f>BH41/$AT$41*100</f>
        <v>100</v>
      </c>
      <c r="BM41" s="375" t="s">
        <v>649</v>
      </c>
      <c r="BN41" s="385">
        <f t="shared" si="44"/>
        <v>915180</v>
      </c>
      <c r="BO41" s="385">
        <f t="shared" si="45"/>
        <v>875584</v>
      </c>
      <c r="BP41" s="397">
        <f t="shared" si="46"/>
        <v>27.424558341688936</v>
      </c>
      <c r="BQ41" s="397">
        <f t="shared" si="47"/>
        <v>27.812678378741531</v>
      </c>
      <c r="BR41" s="387">
        <f t="shared" si="48"/>
        <v>2</v>
      </c>
      <c r="BS41" s="387">
        <f t="shared" si="49"/>
        <v>2</v>
      </c>
      <c r="BT41" s="385">
        <f>MAX($BN$25)</f>
        <v>915180</v>
      </c>
      <c r="BU41" s="373" t="str">
        <f>VLOOKUP(BT41,$BN$25:$BT$25,7,0)</f>
        <v>Grande Lisboa</v>
      </c>
      <c r="BV41" s="373">
        <f>BT41/$BN$41*100</f>
        <v>100</v>
      </c>
      <c r="BW41" s="385">
        <f>MIN($BN$25:$BN$25)</f>
        <v>915180</v>
      </c>
      <c r="BX41" s="373" t="str">
        <f>VLOOKUP(BW41,$BN$25:$BT$25,7,0)</f>
        <v>Grande Lisboa</v>
      </c>
      <c r="BY41" s="373">
        <f>BW41/$BN$41*100</f>
        <v>100</v>
      </c>
      <c r="BZ41" s="385">
        <f>MAX($BO$25:$BO$25)</f>
        <v>875584</v>
      </c>
      <c r="CA41" s="373" t="str">
        <f>VLOOKUP(BZ41,$BO$25:$BT$25,6,0)</f>
        <v>Grande Lisboa</v>
      </c>
      <c r="CB41" s="373">
        <f>BZ41/$BO$41*100</f>
        <v>100</v>
      </c>
      <c r="CC41" s="385">
        <f>MIN($BO$25)</f>
        <v>875584</v>
      </c>
      <c r="CD41" s="373" t="str">
        <f>VLOOKUP(CC41,$BO$25:$BT$25,6,0)</f>
        <v>Grande Lisboa</v>
      </c>
      <c r="CE41" s="373">
        <f>CC41/$BO$41*100</f>
        <v>100</v>
      </c>
      <c r="CG41" s="375" t="s">
        <v>649</v>
      </c>
      <c r="CH41" s="386">
        <f t="shared" si="50"/>
        <v>1418.3948630060115</v>
      </c>
      <c r="CI41" s="386">
        <f t="shared" si="51"/>
        <v>1705.138574047387</v>
      </c>
      <c r="CJ41" s="397">
        <f t="shared" si="52"/>
        <v>24.045681252461669</v>
      </c>
      <c r="CK41" s="397">
        <f t="shared" si="53"/>
        <v>24.64506549334391</v>
      </c>
      <c r="CL41" s="387">
        <f t="shared" si="54"/>
        <v>1</v>
      </c>
      <c r="CM41" s="387">
        <f t="shared" si="55"/>
        <v>1</v>
      </c>
      <c r="CN41" s="386">
        <f t="shared" si="56"/>
        <v>274.94928014912057</v>
      </c>
      <c r="CO41" s="386">
        <f t="shared" si="57"/>
        <v>337.14332505901689</v>
      </c>
      <c r="CP41" s="385">
        <f>MAX($CH$25)</f>
        <v>1418.3948630060115</v>
      </c>
      <c r="CQ41" s="373" t="str">
        <f>VLOOKUP(CP41,$CH$25:$CP$25,9,0)</f>
        <v>Grande Lisboa</v>
      </c>
      <c r="CR41" s="532">
        <f>(CP41/$CH$41-1)*100</f>
        <v>0</v>
      </c>
      <c r="CS41" s="385">
        <f>MIN($CH$25)</f>
        <v>1418.3948630060115</v>
      </c>
      <c r="CT41" s="373" t="str">
        <f>VLOOKUP(CS41,$CH$25:$CP$25,9,0)</f>
        <v>Grande Lisboa</v>
      </c>
      <c r="CU41" s="532">
        <f>(CS41/$CH$41-1)*100</f>
        <v>0</v>
      </c>
      <c r="CV41" s="385">
        <f>MAX($CI$25)</f>
        <v>1705.138574047387</v>
      </c>
      <c r="CW41" s="373" t="str">
        <f>VLOOKUP(CV41,$CI$25:$CP$25,8,0)</f>
        <v>Grande Lisboa</v>
      </c>
      <c r="CX41" s="532">
        <f>(CV41/$CI$41-1)*100</f>
        <v>0</v>
      </c>
      <c r="CY41" s="385">
        <f>MIN($CI$25)</f>
        <v>1705.138574047387</v>
      </c>
      <c r="CZ41" s="373" t="str">
        <f>VLOOKUP(CY41,$CI$25:$CP$25,8,0)</f>
        <v>Grande Lisboa</v>
      </c>
      <c r="DA41" s="532">
        <f>(CY41/$CI$41-1)*100</f>
        <v>0</v>
      </c>
    </row>
    <row r="42" spans="1:105">
      <c r="A42" s="374"/>
      <c r="B42" s="374" t="str">
        <f>+'q3.1'!$A$8</f>
        <v>Cávado</v>
      </c>
      <c r="C42" s="385">
        <f>+'q3.1'!$B$8</f>
        <v>12673</v>
      </c>
      <c r="D42" s="385">
        <f>+'q3.1'!$C$8</f>
        <v>12746</v>
      </c>
      <c r="E42" s="385">
        <f>+'q3.1'!$D$8</f>
        <v>13169</v>
      </c>
      <c r="F42" s="385">
        <f>+'q3.1'!$E$8</f>
        <v>13373</v>
      </c>
      <c r="G42" s="385">
        <f>+'q3.1'!$F$8</f>
        <v>13613</v>
      </c>
      <c r="H42" s="385">
        <f>+'q3.1'!$G$8</f>
        <v>13840</v>
      </c>
      <c r="I42" s="385">
        <f>+'q3.1'!$H$8</f>
        <v>13932</v>
      </c>
      <c r="J42" s="385">
        <f>+'q3.1'!$I$8</f>
        <v>13662</v>
      </c>
      <c r="K42" s="385">
        <f>+'q3.1'!$J$8</f>
        <v>13781</v>
      </c>
      <c r="L42" s="385">
        <f>+'q3.1'!$K$8</f>
        <v>13588</v>
      </c>
      <c r="M42" s="385">
        <f>+'q3.1'!$L$8</f>
        <v>14557</v>
      </c>
      <c r="Z42" s="393" t="s">
        <v>695</v>
      </c>
      <c r="AF42" s="397">
        <f>+(AC39/S39-1)*100</f>
        <v>34.219150951783853</v>
      </c>
      <c r="AR42" s="375" t="s">
        <v>650</v>
      </c>
      <c r="AS42" s="385">
        <f t="shared" si="38"/>
        <v>14699</v>
      </c>
      <c r="AT42" s="385">
        <f t="shared" si="39"/>
        <v>17786</v>
      </c>
      <c r="AU42" s="397">
        <f t="shared" si="40"/>
        <v>5.1600786351190058</v>
      </c>
      <c r="AV42" s="397">
        <f t="shared" si="41"/>
        <v>5.346230495697105</v>
      </c>
      <c r="AW42" s="387">
        <f t="shared" si="42"/>
        <v>6</v>
      </c>
      <c r="AX42" s="387">
        <f t="shared" si="43"/>
        <v>6</v>
      </c>
      <c r="AY42" s="385">
        <f>MAX($AS$26)</f>
        <v>14699</v>
      </c>
      <c r="AZ42" s="373" t="str">
        <f>VLOOKUP(AY42,$AS$26:$AY$26,7,0)</f>
        <v>Península de Setúbal</v>
      </c>
      <c r="BA42" s="373">
        <f>AY42/$AS$42*100</f>
        <v>100</v>
      </c>
      <c r="BB42" s="385">
        <f>MIN($AS$26)</f>
        <v>14699</v>
      </c>
      <c r="BC42" s="373" t="str">
        <f>VLOOKUP(BB42,$AS$26:$AY$26,7,0)</f>
        <v>Península de Setúbal</v>
      </c>
      <c r="BD42" s="373">
        <f>BB42/$AS$42*100</f>
        <v>100</v>
      </c>
      <c r="BE42" s="385">
        <f>MAX($AT$26)</f>
        <v>17786</v>
      </c>
      <c r="BF42" s="373" t="str">
        <f>VLOOKUP(BE42,$AT$26:$AY$26,6,0)</f>
        <v>Península de Setúbal</v>
      </c>
      <c r="BG42" s="373">
        <f>BE42/$AT$42*100</f>
        <v>100</v>
      </c>
      <c r="BH42" s="385">
        <f>MIN($AT$26)</f>
        <v>17786</v>
      </c>
      <c r="BI42" s="373" t="str">
        <f>VLOOKUP(BH42,$AT$26:$AY$26,6,0)</f>
        <v>Península de Setúbal</v>
      </c>
      <c r="BJ42" s="373">
        <f>BH42/$AT$42*100</f>
        <v>100</v>
      </c>
      <c r="BM42" s="375" t="s">
        <v>650</v>
      </c>
      <c r="BN42" s="385">
        <f t="shared" si="44"/>
        <v>168606.00000000003</v>
      </c>
      <c r="BO42" s="385">
        <f t="shared" si="45"/>
        <v>158898</v>
      </c>
      <c r="BP42" s="397">
        <f t="shared" si="46"/>
        <v>5.0524979607932927</v>
      </c>
      <c r="BQ42" s="397">
        <f t="shared" si="47"/>
        <v>5.0473500760923811</v>
      </c>
      <c r="BR42" s="387">
        <f t="shared" si="48"/>
        <v>5</v>
      </c>
      <c r="BS42" s="387">
        <f t="shared" si="49"/>
        <v>5</v>
      </c>
      <c r="BT42" s="385">
        <f>MAX($BN$26)</f>
        <v>168606.00000000003</v>
      </c>
      <c r="BU42" s="373" t="str">
        <f>VLOOKUP(BT42,$BN$26:$BT$26,7,0)</f>
        <v>Península de Setúbal</v>
      </c>
      <c r="BV42" s="373">
        <f>BT42/$BN$42*100</f>
        <v>100</v>
      </c>
      <c r="BW42" s="385">
        <f>MIN($BN$26)</f>
        <v>168606.00000000003</v>
      </c>
      <c r="BX42" s="373" t="str">
        <f>VLOOKUP(BW42,$BN$26:$BT$26,7,0)</f>
        <v>Península de Setúbal</v>
      </c>
      <c r="BY42" s="373">
        <f>BW42/$BN$42*100</f>
        <v>100</v>
      </c>
      <c r="BZ42" s="385">
        <f>MAX($BO$26)</f>
        <v>158898</v>
      </c>
      <c r="CA42" s="373" t="str">
        <f>VLOOKUP(BZ42,$BO$26:$BT$26,6,0)</f>
        <v>Península de Setúbal</v>
      </c>
      <c r="CB42" s="373">
        <f>BZ42/$BO$42*100</f>
        <v>100</v>
      </c>
      <c r="CC42" s="385">
        <f>MIN($BO$26)</f>
        <v>158898</v>
      </c>
      <c r="CD42" s="373" t="str">
        <f>VLOOKUP(CC42,$BO$26:$BT$26,6,0)</f>
        <v>Península de Setúbal</v>
      </c>
      <c r="CE42" s="373">
        <f>CC42/$BO$42*100</f>
        <v>100</v>
      </c>
      <c r="CG42" s="375" t="s">
        <v>650</v>
      </c>
      <c r="CH42" s="386">
        <f t="shared" si="50"/>
        <v>1126.7122247908299</v>
      </c>
      <c r="CI42" s="386">
        <f t="shared" si="51"/>
        <v>1361.0063112502116</v>
      </c>
      <c r="CJ42" s="397">
        <f t="shared" si="52"/>
        <v>-1.4634153401732464</v>
      </c>
      <c r="CK42" s="397">
        <f t="shared" si="53"/>
        <v>-0.51088903585935208</v>
      </c>
      <c r="CL42" s="387">
        <f t="shared" si="54"/>
        <v>2</v>
      </c>
      <c r="CM42" s="387">
        <f t="shared" si="55"/>
        <v>2</v>
      </c>
      <c r="CN42" s="386">
        <f t="shared" si="56"/>
        <v>-16.733358066061101</v>
      </c>
      <c r="CO42" s="386">
        <f t="shared" si="57"/>
        <v>-6.9889377381584836</v>
      </c>
      <c r="CP42" s="385">
        <f>MAX($CH$26)</f>
        <v>1126.7122247908299</v>
      </c>
      <c r="CQ42" s="373" t="str">
        <f>VLOOKUP(CP42,$CH$26:$CP$26,9,0)</f>
        <v>Península de Setúbal</v>
      </c>
      <c r="CR42" s="532">
        <f>(CP42/$CH$42-1)*100</f>
        <v>0</v>
      </c>
      <c r="CS42" s="385">
        <f>MIN($CH$26)</f>
        <v>1126.7122247908299</v>
      </c>
      <c r="CT42" s="373" t="str">
        <f>VLOOKUP(CS42,$CH$26:$CP$26,9,0)</f>
        <v>Península de Setúbal</v>
      </c>
      <c r="CU42" s="532">
        <f>(CS42/$CH$42-1)*100</f>
        <v>0</v>
      </c>
      <c r="CV42" s="385">
        <f>MAX($CI$26)</f>
        <v>1361.0063112502116</v>
      </c>
      <c r="CW42" s="373" t="str">
        <f>VLOOKUP(CV42,$CI$26:$CP$26,8,0)</f>
        <v>Península de Setúbal</v>
      </c>
      <c r="CX42" s="532">
        <f>(CV42/$CI$42-1)*100</f>
        <v>0</v>
      </c>
      <c r="CY42" s="385">
        <f>MIN($CI$26)</f>
        <v>1361.0063112502116</v>
      </c>
      <c r="CZ42" s="373" t="str">
        <f>VLOOKUP(CY42,$CI$26:$CP$26,8,0)</f>
        <v>Península de Setúbal</v>
      </c>
      <c r="DA42" s="532">
        <f>(CY42/$CI$42-1)*100</f>
        <v>0</v>
      </c>
    </row>
    <row r="43" spans="1:105">
      <c r="A43" s="374"/>
      <c r="B43" s="374" t="str">
        <f>+'q3.1'!$A$9</f>
        <v>Ave</v>
      </c>
      <c r="C43" s="385">
        <f>+'q3.1'!$B$9</f>
        <v>12307</v>
      </c>
      <c r="D43" s="385">
        <f>+'q3.1'!$C$9</f>
        <v>12356</v>
      </c>
      <c r="E43" s="385">
        <f>+'q3.1'!$D$9</f>
        <v>12761</v>
      </c>
      <c r="F43" s="385">
        <f>+'q3.1'!$E$9</f>
        <v>12914</v>
      </c>
      <c r="G43" s="385">
        <f>+'q3.1'!$F$9</f>
        <v>13247</v>
      </c>
      <c r="H43" s="385">
        <f>+'q3.1'!$G$9</f>
        <v>13507</v>
      </c>
      <c r="I43" s="385">
        <f>+'q3.1'!$H$9</f>
        <v>13505</v>
      </c>
      <c r="J43" s="385">
        <f>+'q3.1'!$I$9</f>
        <v>13001</v>
      </c>
      <c r="K43" s="385">
        <f>+'q3.1'!$J$9</f>
        <v>13164</v>
      </c>
      <c r="L43" s="385">
        <f>+'q3.1'!$K$9</f>
        <v>12897</v>
      </c>
      <c r="M43" s="385">
        <f>+'q3.1'!$L$9</f>
        <v>13716</v>
      </c>
      <c r="AR43" s="375" t="s">
        <v>651</v>
      </c>
      <c r="AS43" s="385">
        <f t="shared" si="38"/>
        <v>14383</v>
      </c>
      <c r="AT43" s="385">
        <f t="shared" si="39"/>
        <v>17115</v>
      </c>
      <c r="AU43" s="397">
        <f t="shared" si="40"/>
        <v>5.0491469493786418</v>
      </c>
      <c r="AV43" s="397">
        <f t="shared" si="41"/>
        <v>5.1445369916707495</v>
      </c>
      <c r="AW43" s="387">
        <f t="shared" si="42"/>
        <v>7</v>
      </c>
      <c r="AX43" s="387">
        <f t="shared" si="43"/>
        <v>7</v>
      </c>
      <c r="AY43" s="385">
        <f>MAX($AS$27:$AS$30)</f>
        <v>5048</v>
      </c>
      <c r="AZ43" s="373" t="str">
        <f>VLOOKUP(AY43,$AS$27:$AY$30,7,0)</f>
        <v>Alentejo Central</v>
      </c>
      <c r="BA43" s="373">
        <f>AY43/$AS$43*100</f>
        <v>35.096989501494818</v>
      </c>
      <c r="BB43" s="385">
        <f>MIN($AS$27:$AS$30)</f>
        <v>2804</v>
      </c>
      <c r="BC43" s="373" t="str">
        <f>VLOOKUP(BB43,$AS$27:$AY$30,7,0)</f>
        <v>Alentejo Litoral</v>
      </c>
      <c r="BD43" s="373">
        <f>BB43/$AS$43*100</f>
        <v>19.495237433080721</v>
      </c>
      <c r="BE43" s="385">
        <f>MAX($AT$27:$AT$30)</f>
        <v>6051</v>
      </c>
      <c r="BF43" s="373" t="str">
        <f>VLOOKUP(BE43,$AT$27:$AY$30,6,0)</f>
        <v>Alentejo Central</v>
      </c>
      <c r="BG43" s="373">
        <f>BE43/$AT$43*100</f>
        <v>35.354951796669589</v>
      </c>
      <c r="BH43" s="385">
        <f>MIN($AT$27:$AT$30)</f>
        <v>3368</v>
      </c>
      <c r="BI43" s="373" t="str">
        <f>VLOOKUP(BH43,$AT$27:$AY$30,6,0)</f>
        <v>Alentejo Litoral</v>
      </c>
      <c r="BJ43" s="373">
        <f>BH43/$AT$43*100</f>
        <v>19.678644463920538</v>
      </c>
      <c r="BM43" s="375" t="s">
        <v>651</v>
      </c>
      <c r="BN43" s="385">
        <f t="shared" si="44"/>
        <v>132510.00000000003</v>
      </c>
      <c r="BO43" s="385">
        <f t="shared" si="45"/>
        <v>125145.00000000001</v>
      </c>
      <c r="BP43" s="397">
        <f t="shared" si="46"/>
        <v>3.9708343996341724</v>
      </c>
      <c r="BQ43" s="397">
        <f t="shared" si="47"/>
        <v>3.9751955674242669</v>
      </c>
      <c r="BR43" s="387">
        <f t="shared" si="48"/>
        <v>7</v>
      </c>
      <c r="BS43" s="387">
        <f t="shared" si="49"/>
        <v>7</v>
      </c>
      <c r="BT43" s="385">
        <f>MAX($BN$27:$BN$30)</f>
        <v>43523</v>
      </c>
      <c r="BU43" s="373" t="str">
        <f>VLOOKUP(BT43,$BN$27:$BT$30,7,0)</f>
        <v>Alentejo Central</v>
      </c>
      <c r="BV43" s="373">
        <f>BT43/$BN$43*100</f>
        <v>32.845068296732315</v>
      </c>
      <c r="BW43" s="385">
        <f>MIN($BN$27:$BN$30)</f>
        <v>23056</v>
      </c>
      <c r="BX43" s="373" t="str">
        <f>VLOOKUP(BW43,$BN$27:$BT$30,7,0)</f>
        <v>Alto Alentejo</v>
      </c>
      <c r="BY43" s="373">
        <f>BW43/$BN$43*100</f>
        <v>17.39944155158101</v>
      </c>
      <c r="BZ43" s="385">
        <f>MAX($BO$27:$BO$30)</f>
        <v>40691</v>
      </c>
      <c r="CA43" s="373" t="str">
        <f>VLOOKUP(BZ43,$BO$27:$BT$30,6,0)</f>
        <v>Alentejo Central</v>
      </c>
      <c r="CB43" s="373">
        <f>BZ43/$BO$43*100</f>
        <v>32.515082504295009</v>
      </c>
      <c r="CC43" s="385">
        <f>MIN($BO$27:$BO$30)</f>
        <v>21623.000000000007</v>
      </c>
      <c r="CD43" s="373" t="str">
        <f>VLOOKUP(CC43,$BO$27:$BT$30,6,0)</f>
        <v>Alto Alentejo</v>
      </c>
      <c r="CE43" s="373">
        <f>CC43/$BO$43*100</f>
        <v>17.278357105757326</v>
      </c>
      <c r="CG43" s="375" t="s">
        <v>651</v>
      </c>
      <c r="CH43" s="386">
        <f t="shared" si="50"/>
        <v>988.91355750707601</v>
      </c>
      <c r="CI43" s="386">
        <f t="shared" si="51"/>
        <v>1225.047196267717</v>
      </c>
      <c r="CJ43" s="397">
        <f t="shared" si="52"/>
        <v>-13.514593756505466</v>
      </c>
      <c r="CK43" s="397">
        <f t="shared" si="53"/>
        <v>-10.449455349085667</v>
      </c>
      <c r="CL43" s="387">
        <f t="shared" si="54"/>
        <v>5</v>
      </c>
      <c r="CM43" s="387">
        <f t="shared" si="55"/>
        <v>4</v>
      </c>
      <c r="CN43" s="386">
        <f t="shared" si="56"/>
        <v>-154.53202534981494</v>
      </c>
      <c r="CO43" s="386">
        <f t="shared" si="57"/>
        <v>-142.9480527206531</v>
      </c>
      <c r="CP43" s="385">
        <f>MAX($CH$27:$CH$30)</f>
        <v>1023.1760810005951</v>
      </c>
      <c r="CQ43" s="373" t="str">
        <f>VLOOKUP(CP43,$CH$27:$CP$30,9,0)</f>
        <v>Alentejo Litoral</v>
      </c>
      <c r="CR43" s="532">
        <f>(CP43/$CH$43-1)*100</f>
        <v>3.4646631379885662</v>
      </c>
      <c r="CS43" s="385">
        <f>MIN($CH$27:$CH$30)</f>
        <v>939.13431501875846</v>
      </c>
      <c r="CT43" s="373" t="str">
        <f>VLOOKUP(CS43,$CH$27:$CP$30,9,0)</f>
        <v>Alto Alentejo</v>
      </c>
      <c r="CU43" s="532">
        <f>(CS43/$CH$43-1)*100</f>
        <v>-5.0337304115644521</v>
      </c>
      <c r="CV43" s="385">
        <f>MAX($CI$27:$CI$30)</f>
        <v>1284.9593564356433</v>
      </c>
      <c r="CW43" s="373" t="str">
        <f>VLOOKUP(CV43,$CI$27:$CP$30,8,0)</f>
        <v>Baixo Alentejo</v>
      </c>
      <c r="CX43" s="532">
        <f>(CV43/$CI$42-1)*100</f>
        <v>-5.5875534291029201</v>
      </c>
      <c r="CY43" s="385">
        <f>MIN($CI$27:$CI$30)</f>
        <v>1126.5965890112573</v>
      </c>
      <c r="CZ43" s="373" t="str">
        <f>VLOOKUP(CY43,$CI$27:$CP$30,8,0)</f>
        <v>Alto Alentejo</v>
      </c>
      <c r="DA43" s="532">
        <f>(CY43/$CI$43-1)*100</f>
        <v>-8.0364746400304998</v>
      </c>
    </row>
    <row r="44" spans="1:105">
      <c r="A44" s="374"/>
      <c r="B44" s="374" t="str">
        <f>+'q3.1'!$A$10</f>
        <v>Área Metropolitana do Porto</v>
      </c>
      <c r="C44" s="385">
        <f>+'q3.1'!$B$10</f>
        <v>48372</v>
      </c>
      <c r="D44" s="385">
        <f>+'q3.1'!$C$10</f>
        <v>48330</v>
      </c>
      <c r="E44" s="385">
        <f>+'q3.1'!$D$10</f>
        <v>49118</v>
      </c>
      <c r="F44" s="385">
        <f>+'q3.1'!$E$10</f>
        <v>49590</v>
      </c>
      <c r="G44" s="385">
        <f>+'q3.1'!$F$10</f>
        <v>50179</v>
      </c>
      <c r="H44" s="385">
        <f>+'q3.1'!$G$10</f>
        <v>50743</v>
      </c>
      <c r="I44" s="385">
        <f>+'q3.1'!$H$10</f>
        <v>51437</v>
      </c>
      <c r="J44" s="385">
        <f>+'q3.1'!$I$10</f>
        <v>50377</v>
      </c>
      <c r="K44" s="385">
        <f>+'q3.1'!$J$10</f>
        <v>50550</v>
      </c>
      <c r="L44" s="385">
        <f>+'q3.1'!$K$10</f>
        <v>49104</v>
      </c>
      <c r="M44" s="385">
        <f>+'q3.1'!$L$10</f>
        <v>51243</v>
      </c>
      <c r="Z44" s="373">
        <f>+AC37</f>
        <v>2022</v>
      </c>
      <c r="AA44" s="373" t="s">
        <v>506</v>
      </c>
      <c r="AB44" s="373" t="s">
        <v>697</v>
      </c>
      <c r="AR44" s="375" t="s">
        <v>656</v>
      </c>
      <c r="AS44" s="385">
        <f t="shared" si="38"/>
        <v>17066</v>
      </c>
      <c r="AT44" s="385">
        <f t="shared" si="39"/>
        <v>20699</v>
      </c>
      <c r="AU44" s="397">
        <f t="shared" si="40"/>
        <v>5.9910131292564772</v>
      </c>
      <c r="AV44" s="397">
        <f t="shared" si="41"/>
        <v>6.2218388075134587</v>
      </c>
      <c r="AW44" s="387">
        <f t="shared" si="42"/>
        <v>5</v>
      </c>
      <c r="AX44" s="387">
        <f t="shared" si="43"/>
        <v>5</v>
      </c>
      <c r="AY44" s="385">
        <f>MAX($AS$31)</f>
        <v>17066</v>
      </c>
      <c r="AZ44" s="373" t="str">
        <f>VLOOKUP(AY44,$AS$31:$AY$31,7,0)</f>
        <v>Algarve</v>
      </c>
      <c r="BA44" s="373">
        <f>AY44/$AS$44*100</f>
        <v>100</v>
      </c>
      <c r="BB44" s="385">
        <f>MIN($AS$31)</f>
        <v>17066</v>
      </c>
      <c r="BC44" s="373" t="str">
        <f>VLOOKUP(BB44,$AS$31:$AY$31,7,0)</f>
        <v>Algarve</v>
      </c>
      <c r="BD44" s="373">
        <f>BB44/$AS$44*100</f>
        <v>100</v>
      </c>
      <c r="BE44" s="385">
        <f>MAX($AT$31)</f>
        <v>20699</v>
      </c>
      <c r="BF44" s="373" t="str">
        <f>VLOOKUP(BE44,$AT$31:$AY$31,6,0)</f>
        <v>Algarve</v>
      </c>
      <c r="BG44" s="373">
        <f>BE44/$AT$44*100</f>
        <v>100</v>
      </c>
      <c r="BH44" s="385">
        <f>MIN($AT$31)</f>
        <v>20699</v>
      </c>
      <c r="BI44" s="373" t="str">
        <f>VLOOKUP(BH44,$AT$31:$AY$31,6,0)</f>
        <v>Algarve</v>
      </c>
      <c r="BJ44" s="373">
        <f>BH44/$AT$44*100</f>
        <v>100</v>
      </c>
      <c r="BM44" s="375" t="s">
        <v>656</v>
      </c>
      <c r="BN44" s="385">
        <f t="shared" si="44"/>
        <v>165503</v>
      </c>
      <c r="BO44" s="385">
        <f t="shared" si="45"/>
        <v>154669.99999999997</v>
      </c>
      <c r="BP44" s="397">
        <f t="shared" si="46"/>
        <v>4.959512532206281</v>
      </c>
      <c r="BQ44" s="397">
        <f t="shared" si="47"/>
        <v>4.9130488506413457</v>
      </c>
      <c r="BR44" s="387">
        <f t="shared" si="48"/>
        <v>6</v>
      </c>
      <c r="BS44" s="387">
        <f t="shared" si="49"/>
        <v>6</v>
      </c>
      <c r="BT44" s="385">
        <f>MAX($BN$31)</f>
        <v>165503</v>
      </c>
      <c r="BU44" s="373" t="str">
        <f>VLOOKUP(BT44,$BN$31:$BT$31,7,0)</f>
        <v>Algarve</v>
      </c>
      <c r="BV44" s="373">
        <f>BT44/$BN$44*100</f>
        <v>100</v>
      </c>
      <c r="BW44" s="385">
        <f>MIN($BN$31)</f>
        <v>165503</v>
      </c>
      <c r="BX44" s="373" t="str">
        <f>VLOOKUP(BW44,$BN$31:$BT$31,7,0)</f>
        <v>Algarve</v>
      </c>
      <c r="BY44" s="373">
        <f>BW44/$BN$44*100</f>
        <v>100</v>
      </c>
      <c r="BZ44" s="385">
        <f>MAX($BO$31)</f>
        <v>154669.99999999997</v>
      </c>
      <c r="CA44" s="373" t="str">
        <f>VLOOKUP(BZ44,$BO$31:$BT$31,6,0)</f>
        <v>Algarve</v>
      </c>
      <c r="CB44" s="373">
        <f>BZ44/$BO$44*100</f>
        <v>100</v>
      </c>
      <c r="CC44" s="385">
        <f>MIN($BO$31)</f>
        <v>154669.99999999997</v>
      </c>
      <c r="CD44" s="373" t="str">
        <f>VLOOKUP(CC44,$BO$31:$BT$31,6,0)</f>
        <v>Algarve</v>
      </c>
      <c r="CE44" s="373">
        <f>CC44/$BO$44*100</f>
        <v>100</v>
      </c>
      <c r="CG44" s="375" t="s">
        <v>656</v>
      </c>
      <c r="CH44" s="386">
        <f t="shared" si="50"/>
        <v>965.82601351644075</v>
      </c>
      <c r="CI44" s="386">
        <f t="shared" si="51"/>
        <v>1150.8139774725996</v>
      </c>
      <c r="CJ44" s="397">
        <f t="shared" si="52"/>
        <v>-15.533714240835927</v>
      </c>
      <c r="CK44" s="397">
        <f t="shared" si="53"/>
        <v>-15.875879077531563</v>
      </c>
      <c r="CL44" s="387">
        <f t="shared" si="54"/>
        <v>7</v>
      </c>
      <c r="CM44" s="387">
        <f t="shared" si="55"/>
        <v>7</v>
      </c>
      <c r="CN44" s="386">
        <f t="shared" si="56"/>
        <v>-177.6195693404502</v>
      </c>
      <c r="CO44" s="386">
        <f t="shared" si="57"/>
        <v>-217.1812715157705</v>
      </c>
      <c r="CP44" s="385">
        <f>MAX($CH$31)</f>
        <v>965.82601351644075</v>
      </c>
      <c r="CQ44" s="373" t="str">
        <f>VLOOKUP(CP44,$CH$31:$CP$31,9,0)</f>
        <v>Algarve</v>
      </c>
      <c r="CR44" s="532">
        <f>(CP44/$CH$44-1)*100</f>
        <v>0</v>
      </c>
      <c r="CS44" s="385">
        <f>MIN($CH$31)</f>
        <v>965.82601351644075</v>
      </c>
      <c r="CT44" s="373" t="str">
        <f>VLOOKUP(CS44,$CH$31:$CP$31,9,0)</f>
        <v>Algarve</v>
      </c>
      <c r="CU44" s="532">
        <f>(CS44/$CH$44-1)*100</f>
        <v>0</v>
      </c>
      <c r="CV44" s="385">
        <f>MAX($CI$31)</f>
        <v>1150.8139774725996</v>
      </c>
      <c r="CW44" s="373" t="str">
        <f>VLOOKUP(CV44,$CI$31:$CP$31,8,0)</f>
        <v>Algarve</v>
      </c>
      <c r="CX44" s="532">
        <f>(CV44/$CI$44-1)*100</f>
        <v>0</v>
      </c>
      <c r="CY44" s="385">
        <f>MIN($CI$31)</f>
        <v>1150.8139774725996</v>
      </c>
      <c r="CZ44" s="373" t="str">
        <f>VLOOKUP(CY44,$CI$31:$CP$31,8,0)</f>
        <v>Algarve</v>
      </c>
      <c r="DA44" s="532">
        <f>(CY44/$CI$44-1)*100</f>
        <v>0</v>
      </c>
    </row>
    <row r="45" spans="1:105">
      <c r="A45" s="374"/>
      <c r="B45" s="374" t="str">
        <f>+'q3.1'!$A$11</f>
        <v>Alto Tâmega e Barroso</v>
      </c>
      <c r="C45" s="385">
        <f>+'q3.1'!$B$11</f>
        <v>2131</v>
      </c>
      <c r="D45" s="385">
        <f>+'q3.1'!$C$11</f>
        <v>2093</v>
      </c>
      <c r="E45" s="385">
        <f>+'q3.1'!$D$11</f>
        <v>2147</v>
      </c>
      <c r="F45" s="385">
        <f>+'q3.1'!$E$11</f>
        <v>2205</v>
      </c>
      <c r="G45" s="385">
        <f>+'q3.1'!$F$11</f>
        <v>2256</v>
      </c>
      <c r="H45" s="385">
        <f>+'q3.1'!$G$11</f>
        <v>2272</v>
      </c>
      <c r="I45" s="385">
        <f>+'q3.1'!$H$11</f>
        <v>2316</v>
      </c>
      <c r="J45" s="385">
        <f>+'q3.1'!$I$11</f>
        <v>2252</v>
      </c>
      <c r="K45" s="385">
        <f>+'q3.1'!$J$11</f>
        <v>2299</v>
      </c>
      <c r="L45" s="385">
        <f>+'q3.1'!$K$11</f>
        <v>2298</v>
      </c>
      <c r="M45" s="385">
        <f>+'q3.1'!$L$11</f>
        <v>2409</v>
      </c>
      <c r="Z45" s="373" t="s">
        <v>378</v>
      </c>
      <c r="AA45" s="373" t="str">
        <f>+R36</f>
        <v>Grande Lisboa</v>
      </c>
      <c r="AD45" s="592" t="str">
        <f>CONCATENATE(Z44,AA44,CHAR(10),AB44,R36,Z46,AD38,Z48,AA49,Z50,AH38," ",AA52,Z53," ",AA53,AD39," ",Z55,AA56,Z57,AH39," ",AA59," ",Z60)</f>
        <v>2022:
As empresas da região Grande Lisboa tinham ao seu serviço 915.180 pessoas (32,8%, ou seja, mais 226.292 que em 2012) e tinham 875.584 TCO (34,2%, mais 223.230 que em 2012).</v>
      </c>
      <c r="AE45" s="592"/>
      <c r="AF45" s="592"/>
      <c r="AG45" s="592"/>
    </row>
    <row r="46" spans="1:105">
      <c r="A46" s="374"/>
      <c r="B46" s="374" t="str">
        <f>+'q3.1'!$A$12</f>
        <v>Tâmega e Sousa</v>
      </c>
      <c r="C46" s="385">
        <f>+'q3.1'!$B$12</f>
        <v>11876</v>
      </c>
      <c r="D46" s="385">
        <f>+'q3.1'!$C$12</f>
        <v>11652</v>
      </c>
      <c r="E46" s="385">
        <f>+'q3.1'!$D$12</f>
        <v>12069</v>
      </c>
      <c r="F46" s="385">
        <f>+'q3.1'!$E$12</f>
        <v>12343</v>
      </c>
      <c r="G46" s="385">
        <f>+'q3.1'!$F$12</f>
        <v>12490</v>
      </c>
      <c r="H46" s="385">
        <f>+'q3.1'!$G$12</f>
        <v>12646</v>
      </c>
      <c r="I46" s="385">
        <f>+'q3.1'!$H$12</f>
        <v>12900</v>
      </c>
      <c r="J46" s="385">
        <f>+'q3.1'!$I$12</f>
        <v>12658</v>
      </c>
      <c r="K46" s="385">
        <f>+'q3.1'!$J$12</f>
        <v>12707</v>
      </c>
      <c r="L46" s="385">
        <f>+'q3.1'!$K$12</f>
        <v>12875</v>
      </c>
      <c r="M46" s="385">
        <f>+'q3.1'!$L$12</f>
        <v>13294</v>
      </c>
      <c r="Z46" s="373" t="s">
        <v>388</v>
      </c>
      <c r="AD46" s="592"/>
      <c r="AE46" s="592"/>
      <c r="AF46" s="592"/>
      <c r="AG46" s="592"/>
      <c r="CR46" s="397"/>
    </row>
    <row r="47" spans="1:105">
      <c r="A47" s="374"/>
      <c r="B47" s="374" t="str">
        <f>+'q3.1'!$A$13</f>
        <v>Douro</v>
      </c>
      <c r="C47" s="385">
        <f>+'q3.1'!$B$13</f>
        <v>5105</v>
      </c>
      <c r="D47" s="385">
        <f>+'q3.1'!$C$13</f>
        <v>5147</v>
      </c>
      <c r="E47" s="385">
        <f>+'q3.1'!$D$13</f>
        <v>5153</v>
      </c>
      <c r="F47" s="385">
        <f>+'q3.1'!$E$13</f>
        <v>5162</v>
      </c>
      <c r="G47" s="385">
        <f>+'q3.1'!$F$13</f>
        <v>5182</v>
      </c>
      <c r="H47" s="385">
        <f>+'q3.1'!$G$13</f>
        <v>5243</v>
      </c>
      <c r="I47" s="385">
        <f>+'q3.1'!$H$13</f>
        <v>5223</v>
      </c>
      <c r="J47" s="385">
        <f>+'q3.1'!$I$13</f>
        <v>5096</v>
      </c>
      <c r="K47" s="385">
        <f>+'q3.1'!$J$13</f>
        <v>5195</v>
      </c>
      <c r="L47" s="385">
        <f>+'q3.1'!$K$13</f>
        <v>5144</v>
      </c>
      <c r="M47" s="385">
        <f>+'q3.1'!$L$13</f>
        <v>5301</v>
      </c>
      <c r="Z47" s="373" t="s">
        <v>379</v>
      </c>
      <c r="AA47" s="394" t="str">
        <f>+AD38</f>
        <v>915.180</v>
      </c>
      <c r="AD47" s="592"/>
      <c r="AE47" s="592"/>
      <c r="AF47" s="592"/>
      <c r="AG47" s="592"/>
      <c r="CR47" s="397"/>
    </row>
    <row r="48" spans="1:105">
      <c r="A48" s="374"/>
      <c r="B48" s="374" t="str">
        <f>+'q3.1'!$A$14</f>
        <v>Terras de Trás-os-Montes</v>
      </c>
      <c r="C48" s="385">
        <f>+'q3.1'!$B$14</f>
        <v>3201</v>
      </c>
      <c r="D48" s="385">
        <f>+'q3.1'!$C$14</f>
        <v>3170</v>
      </c>
      <c r="E48" s="385">
        <f>+'q3.1'!$D$14</f>
        <v>3193</v>
      </c>
      <c r="F48" s="385">
        <f>+'q3.1'!$E$14</f>
        <v>3199</v>
      </c>
      <c r="G48" s="385">
        <f>+'q3.1'!$F$14</f>
        <v>3238</v>
      </c>
      <c r="H48" s="385">
        <f>+'q3.1'!$G$14</f>
        <v>3275</v>
      </c>
      <c r="I48" s="385">
        <f>+'q3.1'!$H$14</f>
        <v>3282</v>
      </c>
      <c r="J48" s="385">
        <f>+'q3.1'!$I$14</f>
        <v>3046</v>
      </c>
      <c r="K48" s="385">
        <f>+'q3.1'!$J$14</f>
        <v>3072</v>
      </c>
      <c r="L48" s="385">
        <f>+'q3.1'!$K$14</f>
        <v>3156</v>
      </c>
      <c r="M48" s="385">
        <f>+'q3.1'!$L$14</f>
        <v>3194</v>
      </c>
      <c r="Z48" s="373" t="s">
        <v>380</v>
      </c>
      <c r="AD48" s="592"/>
      <c r="AE48" s="592"/>
      <c r="AF48" s="592"/>
      <c r="AG48" s="592"/>
      <c r="CR48" s="397"/>
    </row>
    <row r="49" spans="1:96">
      <c r="A49" s="374"/>
      <c r="B49" s="374" t="str">
        <f>+'q3.1'!$A$16</f>
        <v>Região de Aveiro</v>
      </c>
      <c r="C49" s="385">
        <f>+'q3.1'!$B$16</f>
        <v>9137</v>
      </c>
      <c r="D49" s="385">
        <f>+'q3.1'!$C$16</f>
        <v>9095</v>
      </c>
      <c r="E49" s="385">
        <f>+'q3.1'!$D$16</f>
        <v>9205</v>
      </c>
      <c r="F49" s="385">
        <f>+'q3.1'!$E$16</f>
        <v>9320</v>
      </c>
      <c r="G49" s="385">
        <f>+'q3.1'!$F$16</f>
        <v>9561</v>
      </c>
      <c r="H49" s="385">
        <f>+'q3.1'!$G$16</f>
        <v>9662</v>
      </c>
      <c r="I49" s="385">
        <f>+'q3.1'!$H$16</f>
        <v>9814</v>
      </c>
      <c r="J49" s="385">
        <f>+'q3.1'!$I$16</f>
        <v>9682</v>
      </c>
      <c r="K49" s="385">
        <f>+'q3.1'!$J$16</f>
        <v>9658</v>
      </c>
      <c r="L49" s="385">
        <f>+'q3.1'!$K$16</f>
        <v>9380</v>
      </c>
      <c r="M49" s="385">
        <f>+'q3.1'!$L$16</f>
        <v>9676</v>
      </c>
      <c r="Z49" s="373" t="s">
        <v>381</v>
      </c>
      <c r="AA49" s="397">
        <f>ROUND(AF41,1)</f>
        <v>32.799999999999997</v>
      </c>
      <c r="AD49" s="592"/>
      <c r="AE49" s="592"/>
      <c r="AF49" s="592"/>
      <c r="AG49" s="592"/>
      <c r="CR49" s="397"/>
    </row>
    <row r="50" spans="1:96">
      <c r="A50" s="374"/>
      <c r="B50" s="374" t="str">
        <f>+'q3.1'!$A$17</f>
        <v>Região de Coimbra</v>
      </c>
      <c r="C50" s="385">
        <f>+'q3.1'!$B$17</f>
        <v>10971</v>
      </c>
      <c r="D50" s="385">
        <f>+'q3.1'!$C$17</f>
        <v>10767</v>
      </c>
      <c r="E50" s="385">
        <f>+'q3.1'!$D$17</f>
        <v>10830</v>
      </c>
      <c r="F50" s="385">
        <f>+'q3.1'!$E$17</f>
        <v>10841</v>
      </c>
      <c r="G50" s="385">
        <f>+'q3.1'!$F$17</f>
        <v>10913</v>
      </c>
      <c r="H50" s="385">
        <f>+'q3.1'!$G$17</f>
        <v>10920</v>
      </c>
      <c r="I50" s="385">
        <f>+'q3.1'!$H$17</f>
        <v>10935</v>
      </c>
      <c r="J50" s="385">
        <f>+'q3.1'!$I$17</f>
        <v>10620</v>
      </c>
      <c r="K50" s="385">
        <f>+'q3.1'!$J$17</f>
        <v>10718</v>
      </c>
      <c r="L50" s="385">
        <f>+'q3.1'!$K$17</f>
        <v>10509</v>
      </c>
      <c r="M50" s="385">
        <f>+'q3.1'!$L$17</f>
        <v>11014</v>
      </c>
      <c r="Z50" s="373" t="s">
        <v>374</v>
      </c>
      <c r="AD50" s="592"/>
      <c r="AE50" s="592"/>
      <c r="AF50" s="592"/>
      <c r="AG50" s="592"/>
      <c r="CR50" s="397"/>
    </row>
    <row r="51" spans="1:96">
      <c r="A51" s="374"/>
      <c r="B51" s="374" t="str">
        <f>+'q3.1'!$A$18</f>
        <v>Região de Leiria</v>
      </c>
      <c r="C51" s="385">
        <f>+'q3.1'!$B$18</f>
        <v>10212</v>
      </c>
      <c r="D51" s="385">
        <f>+'q3.1'!$C$18</f>
        <v>10195</v>
      </c>
      <c r="E51" s="385">
        <f>+'q3.1'!$D$18</f>
        <v>10176</v>
      </c>
      <c r="F51" s="385">
        <f>+'q3.1'!$E$18</f>
        <v>10214</v>
      </c>
      <c r="G51" s="385">
        <f>+'q3.1'!$F$18</f>
        <v>10313</v>
      </c>
      <c r="H51" s="385">
        <f>+'q3.1'!$G$18</f>
        <v>10330</v>
      </c>
      <c r="I51" s="385">
        <f>+'q3.1'!$H$18</f>
        <v>10275</v>
      </c>
      <c r="J51" s="385">
        <f>+'q3.1'!$I$18</f>
        <v>9997</v>
      </c>
      <c r="K51" s="385">
        <f>+'q3.1'!$J$18</f>
        <v>9987</v>
      </c>
      <c r="L51" s="385">
        <f>+'q3.1'!$K$18</f>
        <v>9844</v>
      </c>
      <c r="M51" s="385">
        <f>+'q3.1'!$L$18</f>
        <v>10184</v>
      </c>
      <c r="Z51" s="373" t="s">
        <v>382</v>
      </c>
      <c r="AA51" s="373" t="str">
        <f>+AH38</f>
        <v>, mais</v>
      </c>
      <c r="CR51" s="397"/>
    </row>
    <row r="52" spans="1:96">
      <c r="A52" s="374"/>
      <c r="B52" s="374" t="str">
        <f>+'q3.1'!$A$19</f>
        <v>Viseu Dão Lafões</v>
      </c>
      <c r="C52" s="385">
        <f>+'q3.1'!$B$19</f>
        <v>6789</v>
      </c>
      <c r="D52" s="385">
        <f>+'q3.1'!$C$19</f>
        <v>6734</v>
      </c>
      <c r="E52" s="385">
        <f>+'q3.1'!$D$19</f>
        <v>6859</v>
      </c>
      <c r="F52" s="385">
        <f>+'q3.1'!$E$19</f>
        <v>6980</v>
      </c>
      <c r="G52" s="385">
        <f>+'q3.1'!$F$19</f>
        <v>7045</v>
      </c>
      <c r="H52" s="385">
        <f>+'q3.1'!$G$19</f>
        <v>7065</v>
      </c>
      <c r="I52" s="385">
        <f>+'q3.1'!$H$19</f>
        <v>7093</v>
      </c>
      <c r="J52" s="385">
        <f>+'q3.1'!$I$19</f>
        <v>6962</v>
      </c>
      <c r="K52" s="385">
        <f>+'q3.1'!$J$19</f>
        <v>6975</v>
      </c>
      <c r="L52" s="385">
        <f>+'q3.1'!$K$19</f>
        <v>6950</v>
      </c>
      <c r="M52" s="385">
        <f>+'q3.1'!$L$19</f>
        <v>7226</v>
      </c>
      <c r="Z52" s="373" t="s">
        <v>383</v>
      </c>
      <c r="AA52" s="394" t="str">
        <f>TEXT(AI38,"##.###")</f>
        <v>226.292</v>
      </c>
      <c r="CR52" s="397"/>
    </row>
    <row r="53" spans="1:96">
      <c r="A53" s="374"/>
      <c r="B53" s="374" t="str">
        <f>+'q3.1'!$A$20</f>
        <v>Beira Baixa</v>
      </c>
      <c r="C53" s="385">
        <f>+'q3.1'!$B$20</f>
        <v>2777</v>
      </c>
      <c r="D53" s="385">
        <f>+'q3.1'!$C$20</f>
        <v>2644</v>
      </c>
      <c r="E53" s="385">
        <f>+'q3.1'!$D$20</f>
        <v>2688</v>
      </c>
      <c r="F53" s="385">
        <f>+'q3.1'!$E$20</f>
        <v>2715</v>
      </c>
      <c r="G53" s="385">
        <f>+'q3.1'!$F$20</f>
        <v>2717</v>
      </c>
      <c r="H53" s="385">
        <f>+'q3.1'!$G$20</f>
        <v>2654</v>
      </c>
      <c r="I53" s="385">
        <f>+'q3.1'!$H$20</f>
        <v>2682</v>
      </c>
      <c r="J53" s="385">
        <f>+'q3.1'!$I$20</f>
        <v>2637</v>
      </c>
      <c r="K53" s="385">
        <f>+'q3.1'!$J$20</f>
        <v>2619</v>
      </c>
      <c r="L53" s="385">
        <f>+'q3.1'!$K$20</f>
        <v>2630</v>
      </c>
      <c r="M53" s="385">
        <f>+'q3.1'!$L$20</f>
        <v>2733</v>
      </c>
      <c r="Z53" s="373" t="s">
        <v>668</v>
      </c>
    </row>
    <row r="54" spans="1:96">
      <c r="A54" s="374"/>
      <c r="B54" s="374" t="str">
        <f>+'q3.1'!$A$21</f>
        <v>Beiras e Serra da Estrela</v>
      </c>
      <c r="C54" s="385">
        <f>+'q3.1'!$B$21</f>
        <v>5929</v>
      </c>
      <c r="D54" s="385">
        <f>+'q3.1'!$C$21</f>
        <v>5887</v>
      </c>
      <c r="E54" s="385">
        <f>+'q3.1'!$D$21</f>
        <v>6008</v>
      </c>
      <c r="F54" s="385">
        <f>+'q3.1'!$E$21</f>
        <v>5979</v>
      </c>
      <c r="G54" s="385">
        <f>+'q3.1'!$F$21</f>
        <v>6003</v>
      </c>
      <c r="H54" s="385">
        <f>+'q3.1'!$G$21</f>
        <v>6026</v>
      </c>
      <c r="I54" s="385">
        <f>+'q3.1'!$H$21</f>
        <v>5967</v>
      </c>
      <c r="J54" s="385">
        <f>+'q3.1'!$I$21</f>
        <v>5676</v>
      </c>
      <c r="K54" s="385">
        <f>+'q3.1'!$J$21</f>
        <v>5659</v>
      </c>
      <c r="L54" s="385">
        <f>+'q3.1'!$K$21</f>
        <v>5525</v>
      </c>
      <c r="M54" s="385">
        <f>+'q3.1'!$L$21</f>
        <v>5687</v>
      </c>
      <c r="Z54" s="373" t="s">
        <v>384</v>
      </c>
      <c r="AA54" s="394" t="str">
        <f>+AD39</f>
        <v>875.584</v>
      </c>
    </row>
    <row r="55" spans="1:96">
      <c r="A55" s="374"/>
      <c r="B55" s="374" t="str">
        <f>+'q3.1'!$A$23</f>
        <v>Oeste</v>
      </c>
      <c r="C55" s="385">
        <f>+'q3.1'!$B$23</f>
        <v>10592</v>
      </c>
      <c r="D55" s="385">
        <f>+'q3.1'!$C$23</f>
        <v>10311</v>
      </c>
      <c r="E55" s="385">
        <f>+'q3.1'!$D$23</f>
        <v>10433</v>
      </c>
      <c r="F55" s="385">
        <f>+'q3.1'!$E$23</f>
        <v>10563</v>
      </c>
      <c r="G55" s="385">
        <f>+'q3.1'!$F$23</f>
        <v>10676</v>
      </c>
      <c r="H55" s="385">
        <f>+'q3.1'!$G$23</f>
        <v>10940</v>
      </c>
      <c r="I55" s="385">
        <f>+'q3.1'!$H$23</f>
        <v>11025</v>
      </c>
      <c r="J55" s="385">
        <f>+'q3.1'!$I$23</f>
        <v>10864</v>
      </c>
      <c r="K55" s="385">
        <f>+'q3.1'!$J$23</f>
        <v>10952</v>
      </c>
      <c r="L55" s="385">
        <f>+'q3.1'!$K$23</f>
        <v>10812</v>
      </c>
      <c r="M55" s="385">
        <f>+'q3.1'!$L$23</f>
        <v>11295</v>
      </c>
      <c r="Z55" s="373" t="s">
        <v>515</v>
      </c>
    </row>
    <row r="56" spans="1:96">
      <c r="A56" s="374"/>
      <c r="B56" s="374" t="str">
        <f>+'q3.1'!$A$24</f>
        <v>Médio Tejo</v>
      </c>
      <c r="C56" s="385">
        <f>+'q3.1'!$B$24</f>
        <v>6231</v>
      </c>
      <c r="D56" s="385">
        <f>+'q3.1'!$C$24</f>
        <v>6080</v>
      </c>
      <c r="E56" s="385">
        <f>+'q3.1'!$D$24</f>
        <v>6017</v>
      </c>
      <c r="F56" s="385">
        <f>+'q3.1'!$E$24</f>
        <v>6079</v>
      </c>
      <c r="G56" s="385">
        <f>+'q3.1'!$F$24</f>
        <v>6040</v>
      </c>
      <c r="H56" s="385">
        <f>+'q3.1'!$G$24</f>
        <v>6030</v>
      </c>
      <c r="I56" s="385">
        <f>+'q3.1'!$H$24</f>
        <v>5964</v>
      </c>
      <c r="J56" s="385">
        <f>+'q3.1'!$I$24</f>
        <v>5812</v>
      </c>
      <c r="K56" s="385">
        <f>+'q3.1'!$J$24</f>
        <v>5778</v>
      </c>
      <c r="L56" s="385">
        <f>+'q3.1'!$K$24</f>
        <v>5770</v>
      </c>
      <c r="M56" s="385">
        <f>+'q3.1'!$L$24</f>
        <v>5900</v>
      </c>
      <c r="Z56" s="373" t="s">
        <v>385</v>
      </c>
      <c r="AA56" s="397">
        <f>ROUND(AF42,1)</f>
        <v>34.200000000000003</v>
      </c>
    </row>
    <row r="57" spans="1:96">
      <c r="A57" s="374"/>
      <c r="B57" s="374" t="str">
        <f>+'q3.1'!$A$25</f>
        <v>Lezíria do Tejo</v>
      </c>
      <c r="C57" s="385">
        <f>+'q3.1'!$B$25</f>
        <v>6263</v>
      </c>
      <c r="D57" s="385">
        <f>+'q3.1'!$C$25</f>
        <v>6278</v>
      </c>
      <c r="E57" s="385">
        <f>+'q3.1'!$D$25</f>
        <v>6345</v>
      </c>
      <c r="F57" s="385">
        <f>+'q3.1'!$E$25</f>
        <v>6363</v>
      </c>
      <c r="G57" s="385">
        <f>+'q3.1'!$F$25</f>
        <v>6404</v>
      </c>
      <c r="H57" s="385">
        <f>+'q3.1'!$G$25</f>
        <v>6418</v>
      </c>
      <c r="I57" s="385">
        <f>+'q3.1'!$H$25</f>
        <v>6385</v>
      </c>
      <c r="J57" s="385">
        <f>+'q3.1'!$I$25</f>
        <v>6208</v>
      </c>
      <c r="K57" s="385">
        <f>+'q3.1'!$J$25</f>
        <v>6168</v>
      </c>
      <c r="L57" s="385">
        <f>+'q3.1'!$K$25</f>
        <v>5957</v>
      </c>
      <c r="M57" s="385">
        <f>+'q3.1'!$L$25</f>
        <v>6202</v>
      </c>
      <c r="Z57" s="373" t="s">
        <v>376</v>
      </c>
    </row>
    <row r="58" spans="1:96">
      <c r="A58" s="374"/>
      <c r="B58" s="374" t="str">
        <f>+'q3.1'!$A$26</f>
        <v>Grande Lisboa</v>
      </c>
      <c r="C58" s="385">
        <f>+'q3.1'!$B$26</f>
        <v>54272</v>
      </c>
      <c r="D58" s="385">
        <f>+'q3.1'!$C$26</f>
        <v>53685</v>
      </c>
      <c r="E58" s="385">
        <f>+'q3.1'!$D$26</f>
        <v>54415</v>
      </c>
      <c r="F58" s="385">
        <f>+'q3.1'!$E$26</f>
        <v>55029</v>
      </c>
      <c r="G58" s="385">
        <f>+'q3.1'!$F$26</f>
        <v>55354</v>
      </c>
      <c r="H58" s="385">
        <f>+'q3.1'!$G$26</f>
        <v>56108</v>
      </c>
      <c r="I58" s="385">
        <f>+'q3.1'!$H$26</f>
        <v>57209</v>
      </c>
      <c r="J58" s="385">
        <f>+'q3.1'!$I$26</f>
        <v>55559</v>
      </c>
      <c r="K58" s="385">
        <f>+'q3.1'!$J$26</f>
        <v>56643</v>
      </c>
      <c r="L58" s="385">
        <f>+'q3.1'!$K$26</f>
        <v>54793</v>
      </c>
      <c r="M58" s="385">
        <f>+'q3.1'!$L$26</f>
        <v>57854</v>
      </c>
      <c r="Z58" s="373" t="s">
        <v>386</v>
      </c>
      <c r="AA58" s="373" t="str">
        <f>+AH39</f>
        <v>, mais</v>
      </c>
    </row>
    <row r="59" spans="1:96">
      <c r="A59" s="374"/>
      <c r="B59" s="374" t="str">
        <f>+'q3.1'!$A$27</f>
        <v>Península de Setúbal</v>
      </c>
      <c r="C59" s="385">
        <f>+'q3.1'!$B$27</f>
        <v>13489</v>
      </c>
      <c r="D59" s="385">
        <f>+'q3.1'!$C$27</f>
        <v>13094</v>
      </c>
      <c r="E59" s="385">
        <f>+'q3.1'!$D$27</f>
        <v>13124</v>
      </c>
      <c r="F59" s="385">
        <f>+'q3.1'!$E$27</f>
        <v>13250</v>
      </c>
      <c r="G59" s="385">
        <f>+'q3.1'!$F$27</f>
        <v>13484</v>
      </c>
      <c r="H59" s="385">
        <f>+'q3.1'!$G$27</f>
        <v>13666</v>
      </c>
      <c r="I59" s="385">
        <f>+'q3.1'!$H$27</f>
        <v>13850</v>
      </c>
      <c r="J59" s="385">
        <f>+'q3.1'!$I$27</f>
        <v>13653</v>
      </c>
      <c r="K59" s="385">
        <f>+'q3.1'!$J$27</f>
        <v>14047</v>
      </c>
      <c r="L59" s="385">
        <f>+'q3.1'!$K$27</f>
        <v>13853</v>
      </c>
      <c r="M59" s="385">
        <f>+'q3.1'!$L$27</f>
        <v>14699</v>
      </c>
      <c r="Z59" s="373" t="s">
        <v>387</v>
      </c>
      <c r="AA59" s="394" t="str">
        <f>TEXT(AI39,"##.###")</f>
        <v>223.230</v>
      </c>
    </row>
    <row r="60" spans="1:96">
      <c r="A60" s="374"/>
      <c r="B60" s="374" t="str">
        <f>+'q3.1'!$A$29</f>
        <v>Alentejo Litoral</v>
      </c>
      <c r="C60" s="385">
        <f>+'q3.1'!$B$29</f>
        <v>2411</v>
      </c>
      <c r="D60" s="385">
        <f>+'q3.1'!$C$29</f>
        <v>2468</v>
      </c>
      <c r="E60" s="385">
        <f>+'q3.1'!$D$29</f>
        <v>2495</v>
      </c>
      <c r="F60" s="385">
        <f>+'q3.1'!$E$29</f>
        <v>2491</v>
      </c>
      <c r="G60" s="385">
        <f>+'q3.1'!$F$29</f>
        <v>2550</v>
      </c>
      <c r="H60" s="385">
        <f>+'q3.1'!$G$29</f>
        <v>2586</v>
      </c>
      <c r="I60" s="385">
        <f>+'q3.1'!$H$29</f>
        <v>2592</v>
      </c>
      <c r="J60" s="385">
        <f>+'q3.1'!$I$29</f>
        <v>2596</v>
      </c>
      <c r="K60" s="385">
        <f>+'q3.1'!$J$29</f>
        <v>2681</v>
      </c>
      <c r="L60" s="385">
        <f>+'q3.1'!$K$29</f>
        <v>2645</v>
      </c>
      <c r="M60" s="385">
        <f>+'q3.1'!$L$29</f>
        <v>2804</v>
      </c>
      <c r="Z60" s="373" t="s">
        <v>669</v>
      </c>
    </row>
    <row r="61" spans="1:96">
      <c r="A61" s="374"/>
      <c r="B61" s="374" t="str">
        <f>+'q3.1'!$A$30</f>
        <v>Baixo Alentejo</v>
      </c>
      <c r="C61" s="385">
        <f>+'q3.1'!$B$30</f>
        <v>3365</v>
      </c>
      <c r="D61" s="385">
        <f>+'q3.1'!$C$30</f>
        <v>3325</v>
      </c>
      <c r="E61" s="385">
        <f>+'q3.1'!$D$30</f>
        <v>3419</v>
      </c>
      <c r="F61" s="385">
        <f>+'q3.1'!$E$30</f>
        <v>3475</v>
      </c>
      <c r="G61" s="385">
        <f>+'q3.1'!$F$30</f>
        <v>3509</v>
      </c>
      <c r="H61" s="385">
        <f>+'q3.1'!$G$30</f>
        <v>3574</v>
      </c>
      <c r="I61" s="385">
        <f>+'q3.1'!$H$30</f>
        <v>3584</v>
      </c>
      <c r="J61" s="385">
        <f>+'q3.1'!$I$30</f>
        <v>3505</v>
      </c>
      <c r="K61" s="385">
        <f>+'q3.1'!$J$30</f>
        <v>3502</v>
      </c>
      <c r="L61" s="385">
        <f>+'q3.1'!$K$30</f>
        <v>3499</v>
      </c>
      <c r="M61" s="385">
        <f>+'q3.1'!$L$30</f>
        <v>3654</v>
      </c>
    </row>
    <row r="62" spans="1:96">
      <c r="A62" s="374"/>
      <c r="B62" s="374" t="str">
        <f>+'q3.1'!$A$31</f>
        <v>Alto Alentejo</v>
      </c>
      <c r="C62" s="385">
        <f>+'q3.1'!$B$31</f>
        <v>2862</v>
      </c>
      <c r="D62" s="385">
        <f>+'q3.1'!$C$31</f>
        <v>2880</v>
      </c>
      <c r="E62" s="385">
        <f>+'q3.1'!$D$31</f>
        <v>2917</v>
      </c>
      <c r="F62" s="385">
        <f>+'q3.1'!$E$31</f>
        <v>2906</v>
      </c>
      <c r="G62" s="385">
        <f>+'q3.1'!$F$31</f>
        <v>2929</v>
      </c>
      <c r="H62" s="385">
        <f>+'q3.1'!$G$31</f>
        <v>2901</v>
      </c>
      <c r="I62" s="385">
        <f>+'q3.1'!$H$31</f>
        <v>2878</v>
      </c>
      <c r="J62" s="385">
        <f>+'q3.1'!$I$31</f>
        <v>2783</v>
      </c>
      <c r="K62" s="385">
        <f>+'q3.1'!$J$31</f>
        <v>2770</v>
      </c>
      <c r="L62" s="385">
        <f>+'q3.1'!$K$31</f>
        <v>2634</v>
      </c>
      <c r="M62" s="385">
        <f>+'q3.1'!$L$31</f>
        <v>2877</v>
      </c>
    </row>
    <row r="63" spans="1:96">
      <c r="A63" s="374"/>
      <c r="B63" s="374" t="str">
        <f>+'q3.1'!$A$32</f>
        <v>Alentejo Central</v>
      </c>
      <c r="C63" s="385">
        <f>+'q3.1'!$B$32</f>
        <v>4842</v>
      </c>
      <c r="D63" s="385">
        <f>+'q3.1'!$C$32</f>
        <v>4860</v>
      </c>
      <c r="E63" s="385">
        <f>+'q3.1'!$D$32</f>
        <v>5026</v>
      </c>
      <c r="F63" s="385">
        <f>+'q3.1'!$E$32</f>
        <v>5065</v>
      </c>
      <c r="G63" s="385">
        <f>+'q3.1'!$F$32</f>
        <v>5038</v>
      </c>
      <c r="H63" s="385">
        <f>+'q3.1'!$G$32</f>
        <v>5034</v>
      </c>
      <c r="I63" s="385">
        <f>+'q3.1'!$H$32</f>
        <v>4966</v>
      </c>
      <c r="J63" s="385">
        <f>+'q3.1'!$I$32</f>
        <v>4869</v>
      </c>
      <c r="K63" s="385">
        <f>+'q3.1'!$J$32</f>
        <v>4904</v>
      </c>
      <c r="L63" s="385">
        <f>+'q3.1'!$K$32</f>
        <v>4640</v>
      </c>
      <c r="M63" s="385">
        <f>+'q3.1'!$L$32</f>
        <v>5048</v>
      </c>
    </row>
    <row r="64" spans="1:96">
      <c r="A64" s="374"/>
      <c r="B64" s="374" t="str">
        <f>+'q3.1'!$A$33</f>
        <v>Algarve</v>
      </c>
      <c r="C64" s="385">
        <f>+'q3.1'!$B$33</f>
        <v>15093</v>
      </c>
      <c r="D64" s="385">
        <f>+'q3.1'!$C$33</f>
        <v>15012</v>
      </c>
      <c r="E64" s="385">
        <f>+'q3.1'!$D$33</f>
        <v>15485</v>
      </c>
      <c r="F64" s="385">
        <f>+'q3.1'!$E$33</f>
        <v>15831</v>
      </c>
      <c r="G64" s="385">
        <f>+'q3.1'!$F$33</f>
        <v>16300</v>
      </c>
      <c r="H64" s="385">
        <f>+'q3.1'!$G$33</f>
        <v>16481</v>
      </c>
      <c r="I64" s="385">
        <f>+'q3.1'!$H$33</f>
        <v>17081</v>
      </c>
      <c r="J64" s="385">
        <f>+'q3.1'!$I$33</f>
        <v>17191</v>
      </c>
      <c r="K64" s="385">
        <f>+'q3.1'!$J$33</f>
        <v>16775</v>
      </c>
      <c r="L64" s="385">
        <f>+'q3.1'!$K$33</f>
        <v>16329</v>
      </c>
      <c r="M64" s="385">
        <f>+'q3.1'!$L$33</f>
        <v>17066</v>
      </c>
    </row>
    <row r="65" spans="1:89">
      <c r="B65" s="374" t="s">
        <v>14</v>
      </c>
      <c r="C65" s="385">
        <f>+'q3.1'!$B$5</f>
        <v>268026</v>
      </c>
      <c r="D65" s="385">
        <f>+'q3.1'!$C$5</f>
        <v>265860</v>
      </c>
      <c r="E65" s="385">
        <f>+'q3.1'!$D$5</f>
        <v>270181</v>
      </c>
      <c r="F65" s="385">
        <f>+'q3.1'!$E$5</f>
        <v>273060</v>
      </c>
      <c r="G65" s="385">
        <f>+'q3.1'!$F$5</f>
        <v>276332</v>
      </c>
      <c r="H65" s="385">
        <f>+'q3.1'!$G$5</f>
        <v>279191</v>
      </c>
      <c r="I65" s="385">
        <f>+'q3.1'!$H$5</f>
        <v>282236</v>
      </c>
      <c r="J65" s="385">
        <f>+'q3.1'!$I$5</f>
        <v>275751</v>
      </c>
      <c r="K65" s="385">
        <f>+'q3.1'!$J$5</f>
        <v>277641</v>
      </c>
      <c r="L65" s="385">
        <f>+'q3.1'!$K$5</f>
        <v>271806</v>
      </c>
      <c r="M65" s="385">
        <f>+'q3.1'!$L$5</f>
        <v>284860</v>
      </c>
    </row>
    <row r="69" spans="1:89">
      <c r="A69" s="374" t="s">
        <v>689</v>
      </c>
      <c r="D69" s="375"/>
    </row>
    <row r="70" spans="1:89">
      <c r="A70" s="490" t="s">
        <v>264</v>
      </c>
      <c r="C70" s="374">
        <f>+'q6.1'!$B$4</f>
        <v>2012</v>
      </c>
      <c r="D70" s="374">
        <f>+'q6.1'!$C$4</f>
        <v>2013</v>
      </c>
      <c r="E70" s="374">
        <f>+'q6.1'!$D$4</f>
        <v>2014</v>
      </c>
      <c r="F70" s="374">
        <f>+'q6.1'!$E$4</f>
        <v>2015</v>
      </c>
      <c r="G70" s="374">
        <f>+'q6.1'!$F$4</f>
        <v>2016</v>
      </c>
      <c r="H70" s="374">
        <f>+'q6.1'!$G$4</f>
        <v>2017</v>
      </c>
      <c r="I70" s="374">
        <f>+'q6.1'!$H$4</f>
        <v>2018</v>
      </c>
      <c r="J70" s="374">
        <f>+'q6.1'!$I$4</f>
        <v>2019</v>
      </c>
      <c r="K70" s="374">
        <f>+'q6.1'!$J$4</f>
        <v>2020</v>
      </c>
      <c r="L70" s="374">
        <f>+'q6.1'!$K$4</f>
        <v>2021</v>
      </c>
      <c r="M70" s="374">
        <f>+'q6.1'!$L$4</f>
        <v>2022</v>
      </c>
      <c r="R70" s="374" t="str">
        <f>INDEX($A$2:$A$8,$P$2)</f>
        <v>Grande Lisboa</v>
      </c>
    </row>
    <row r="71" spans="1:89">
      <c r="A71" s="374" t="s">
        <v>677</v>
      </c>
      <c r="B71" s="374" t="str">
        <f>+'q6.1'!$A$6</f>
        <v>Norte</v>
      </c>
      <c r="C71" s="385">
        <f>+'q6.1'!$B$6</f>
        <v>118959</v>
      </c>
      <c r="D71" s="385">
        <f>+'q6.1'!$C$6</f>
        <v>118120</v>
      </c>
      <c r="E71" s="385">
        <f>+'q6.1'!$D$6</f>
        <v>120246</v>
      </c>
      <c r="F71" s="385">
        <f>+'q6.1'!$E$6</f>
        <v>121392</v>
      </c>
      <c r="G71" s="385">
        <f>+'q6.1'!$F$6</f>
        <v>123068</v>
      </c>
      <c r="H71" s="385">
        <f>+'q6.1'!$G$6</f>
        <v>124207</v>
      </c>
      <c r="I71" s="385">
        <f>+'q6.1'!$H$6</f>
        <v>125524</v>
      </c>
      <c r="J71" s="385">
        <f>+'q6.1'!$I$6</f>
        <v>122296</v>
      </c>
      <c r="K71" s="385">
        <f>+'q6.1'!$J$6</f>
        <v>123094</v>
      </c>
      <c r="L71" s="385">
        <f>+'q6.1'!$K$6</f>
        <v>121078</v>
      </c>
      <c r="M71" s="385">
        <f>+'q6.1'!$L$6</f>
        <v>126463</v>
      </c>
      <c r="S71" s="374">
        <f>+C30</f>
        <v>2012</v>
      </c>
      <c r="T71" s="374">
        <f t="shared" ref="T71:AC71" si="59">+D30</f>
        <v>2013</v>
      </c>
      <c r="U71" s="374">
        <f t="shared" si="59"/>
        <v>2014</v>
      </c>
      <c r="V71" s="374">
        <f t="shared" si="59"/>
        <v>2015</v>
      </c>
      <c r="W71" s="374">
        <f t="shared" si="59"/>
        <v>2016</v>
      </c>
      <c r="X71" s="374">
        <f t="shared" si="59"/>
        <v>2017</v>
      </c>
      <c r="Y71" s="374">
        <f t="shared" si="59"/>
        <v>2018</v>
      </c>
      <c r="Z71" s="374">
        <f t="shared" si="59"/>
        <v>2019</v>
      </c>
      <c r="AA71" s="374">
        <f t="shared" si="59"/>
        <v>2020</v>
      </c>
      <c r="AB71" s="374">
        <f t="shared" si="59"/>
        <v>2021</v>
      </c>
      <c r="AC71" s="374">
        <f t="shared" si="59"/>
        <v>2022</v>
      </c>
      <c r="AE71" s="341" t="s">
        <v>664</v>
      </c>
      <c r="AF71" s="341" t="s">
        <v>665</v>
      </c>
    </row>
    <row r="72" spans="1:89">
      <c r="A72" s="374"/>
      <c r="B72" s="374" t="str">
        <f>+'q6.1'!$A$15</f>
        <v>Centro</v>
      </c>
      <c r="C72" s="385">
        <f>+'q6.1'!$B$15</f>
        <v>54765</v>
      </c>
      <c r="D72" s="385">
        <f>+'q6.1'!$C$15</f>
        <v>53918</v>
      </c>
      <c r="E72" s="385">
        <f>+'q6.1'!$D$15</f>
        <v>54102</v>
      </c>
      <c r="F72" s="385">
        <f>+'q6.1'!$E$15</f>
        <v>54333</v>
      </c>
      <c r="G72" s="385">
        <f>+'q6.1'!$F$15</f>
        <v>54880</v>
      </c>
      <c r="H72" s="385">
        <f>+'q6.1'!$G$15</f>
        <v>54959</v>
      </c>
      <c r="I72" s="385">
        <f>+'q6.1'!$H$15</f>
        <v>55026</v>
      </c>
      <c r="J72" s="385">
        <f>+'q6.1'!$I$15</f>
        <v>53653</v>
      </c>
      <c r="K72" s="385">
        <f>+'q6.1'!$J$15</f>
        <v>53834</v>
      </c>
      <c r="L72" s="385">
        <f>+'q6.1'!$K$15</f>
        <v>52972</v>
      </c>
      <c r="M72" s="385">
        <f>+'q6.1'!$L$15</f>
        <v>54851</v>
      </c>
      <c r="R72" s="345" t="s">
        <v>352</v>
      </c>
      <c r="S72" s="532">
        <f>+VLOOKUP($R$70,$B$190:$M$197,COLUMN(C191)-1,0)</f>
        <v>1192.6909840284645</v>
      </c>
      <c r="T72" s="532">
        <f t="shared" ref="T72:AC72" si="60">+VLOOKUP($R$70,$B$190:$M$197,COLUMN(D191)-1,0)</f>
        <v>1184.3394968190814</v>
      </c>
      <c r="U72" s="532">
        <f t="shared" si="60"/>
        <v>1174.2335426887817</v>
      </c>
      <c r="V72" s="532">
        <f t="shared" si="60"/>
        <v>1175.5703698145885</v>
      </c>
      <c r="W72" s="532">
        <f t="shared" si="60"/>
        <v>1179.7804523135078</v>
      </c>
      <c r="X72" s="532">
        <f t="shared" si="60"/>
        <v>1197.3980544344977</v>
      </c>
      <c r="Y72" s="532">
        <f t="shared" si="60"/>
        <v>1219.74446356669</v>
      </c>
      <c r="Z72" s="532">
        <f t="shared" si="60"/>
        <v>1255.7750738574869</v>
      </c>
      <c r="AA72" s="532">
        <f t="shared" si="60"/>
        <v>1293.0735258916031</v>
      </c>
      <c r="AB72" s="532">
        <f t="shared" si="60"/>
        <v>1339.8023759541529</v>
      </c>
      <c r="AC72" s="532">
        <f t="shared" si="60"/>
        <v>1418.3948630060115</v>
      </c>
      <c r="AD72" s="385" t="str">
        <f>TEXT(AC72,"##.###")</f>
        <v>1.418</v>
      </c>
      <c r="AE72" s="347">
        <f>+(AC72/AB72-1)</f>
        <v>5.8659760918761128E-2</v>
      </c>
      <c r="AF72" s="347">
        <f>+(AC72/S72-1)</f>
        <v>0.18923919271629241</v>
      </c>
      <c r="AG72" s="394">
        <f>+AC72-S72</f>
        <v>225.70387897754699</v>
      </c>
      <c r="AH72" s="373" t="str">
        <f>IF(AG72&gt;0,", mais",", menos")</f>
        <v>, mais</v>
      </c>
      <c r="AI72" s="373">
        <f>IF(AG72&gt;0,AG72,AG72*-1)</f>
        <v>225.70387897754699</v>
      </c>
    </row>
    <row r="73" spans="1:89">
      <c r="A73" s="374"/>
      <c r="B73" s="374" t="str">
        <f>+'q6.1'!$A$22</f>
        <v>Oeste e Vale do Tejo</v>
      </c>
      <c r="C73" s="385">
        <f>+'q6.1'!$B$22</f>
        <v>27529</v>
      </c>
      <c r="D73" s="385">
        <f>+'q6.1'!$C$22</f>
        <v>26909</v>
      </c>
      <c r="E73" s="385">
        <f>+'q6.1'!$D$22</f>
        <v>26958</v>
      </c>
      <c r="F73" s="385">
        <f>+'q6.1'!$E$22</f>
        <v>27160</v>
      </c>
      <c r="G73" s="385">
        <f>+'q6.1'!$F$22</f>
        <v>27317</v>
      </c>
      <c r="H73" s="385">
        <f>+'q6.1'!$G$22</f>
        <v>27550</v>
      </c>
      <c r="I73" s="385">
        <f>+'q6.1'!$H$22</f>
        <v>27533</v>
      </c>
      <c r="J73" s="385">
        <f>+'q6.1'!$I$22</f>
        <v>26916</v>
      </c>
      <c r="K73" s="385">
        <f>+'q6.1'!$J$22</f>
        <v>26902</v>
      </c>
      <c r="L73" s="385">
        <f>+'q6.1'!$K$22</f>
        <v>26497</v>
      </c>
      <c r="M73" s="385">
        <f>+'q6.1'!$L$22</f>
        <v>27499</v>
      </c>
      <c r="R73" s="345" t="s">
        <v>353</v>
      </c>
      <c r="S73" s="532">
        <f>+VLOOKUP($R$70,$B$230:$M$237,COLUMN(C231)-1,0)</f>
        <v>1436.7508171929078</v>
      </c>
      <c r="T73" s="532">
        <f t="shared" ref="T73:AC73" si="61">+VLOOKUP($R$70,$B$230:$M$237,COLUMN(D231)-1,0)</f>
        <v>1427.9555868243838</v>
      </c>
      <c r="U73" s="532">
        <f t="shared" si="61"/>
        <v>1421.2480737947819</v>
      </c>
      <c r="V73" s="532">
        <f t="shared" si="61"/>
        <v>1420.2438087132427</v>
      </c>
      <c r="W73" s="532">
        <f t="shared" si="61"/>
        <v>1424.2804857352442</v>
      </c>
      <c r="X73" s="532">
        <f t="shared" si="61"/>
        <v>1447.5142165713758</v>
      </c>
      <c r="Y73" s="532">
        <f t="shared" si="61"/>
        <v>1480.7625560860886</v>
      </c>
      <c r="Z73" s="532">
        <f t="shared" si="61"/>
        <v>1518.6031180967984</v>
      </c>
      <c r="AA73" s="532">
        <f t="shared" si="61"/>
        <v>1558.3371113726521</v>
      </c>
      <c r="AB73" s="532">
        <f t="shared" si="61"/>
        <v>1609.1367002569812</v>
      </c>
      <c r="AC73" s="532">
        <f t="shared" si="61"/>
        <v>1705.138574047387</v>
      </c>
      <c r="AD73" s="385" t="str">
        <f>TEXT(AC73,"##.###")</f>
        <v>1.705</v>
      </c>
      <c r="AE73" s="347">
        <f>+(AC73/AB73-1)</f>
        <v>5.9660483646339246E-2</v>
      </c>
      <c r="AF73" s="347">
        <f>+(AC73/S73-1)</f>
        <v>0.18680188216551663</v>
      </c>
      <c r="AG73" s="394">
        <f>+AC73-S73</f>
        <v>268.38775685447922</v>
      </c>
      <c r="AH73" s="373" t="str">
        <f>IF(AG73&gt;0,", mais",", menos")</f>
        <v>, mais</v>
      </c>
      <c r="AI73" s="373">
        <f>IF(AG73&gt;0,AG73,AG73*-1)</f>
        <v>268.38775685447922</v>
      </c>
    </row>
    <row r="74" spans="1:89">
      <c r="A74" s="374"/>
      <c r="B74" s="374" t="str">
        <f>+'q6.1'!$A$26</f>
        <v>Grande Lisboa</v>
      </c>
      <c r="C74" s="385">
        <f>+'q6.1'!$B$26</f>
        <v>65539</v>
      </c>
      <c r="D74" s="385">
        <f>+'q6.1'!$C$26</f>
        <v>64587</v>
      </c>
      <c r="E74" s="385">
        <f>+'q6.1'!$D$26</f>
        <v>65289</v>
      </c>
      <c r="F74" s="385">
        <f>+'q6.1'!$E$26</f>
        <v>65847</v>
      </c>
      <c r="G74" s="385">
        <f>+'q6.1'!$F$26</f>
        <v>66220</v>
      </c>
      <c r="H74" s="385">
        <f>+'q6.1'!$G$26</f>
        <v>66764</v>
      </c>
      <c r="I74" s="385">
        <f>+'q6.1'!$H$26</f>
        <v>67989</v>
      </c>
      <c r="J74" s="385">
        <f>+'q6.1'!$I$26</f>
        <v>66115</v>
      </c>
      <c r="K74" s="385">
        <f>+'q6.1'!$J$26</f>
        <v>67101</v>
      </c>
      <c r="L74" s="385">
        <f>+'q6.1'!$K$26</f>
        <v>64927</v>
      </c>
      <c r="M74" s="385">
        <f>+'q6.1'!$L$26</f>
        <v>68270</v>
      </c>
      <c r="AQ74" s="393" t="s">
        <v>699</v>
      </c>
      <c r="BM74" s="393" t="s">
        <v>699</v>
      </c>
      <c r="CG74" s="393" t="s">
        <v>699</v>
      </c>
    </row>
    <row r="75" spans="1:89">
      <c r="A75" s="374"/>
      <c r="B75" s="374" t="str">
        <f>+'q6.1'!$A$27</f>
        <v>Península de Setúbal</v>
      </c>
      <c r="C75" s="385">
        <f>+'q6.1'!$B$27</f>
        <v>17029</v>
      </c>
      <c r="D75" s="385">
        <f>+'q6.1'!$C$27</f>
        <v>16429</v>
      </c>
      <c r="E75" s="385">
        <f>+'q6.1'!$D$27</f>
        <v>16417</v>
      </c>
      <c r="F75" s="385">
        <f>+'q6.1'!$E$27</f>
        <v>16509</v>
      </c>
      <c r="G75" s="385">
        <f>+'q6.1'!$F$27</f>
        <v>16639</v>
      </c>
      <c r="H75" s="385">
        <f>+'q6.1'!$G$27</f>
        <v>16803</v>
      </c>
      <c r="I75" s="385">
        <f>+'q6.1'!$H$27</f>
        <v>16960</v>
      </c>
      <c r="J75" s="385">
        <f>+'q6.1'!$I$27</f>
        <v>16656</v>
      </c>
      <c r="K75" s="385">
        <f>+'q6.1'!$J$27</f>
        <v>17101</v>
      </c>
      <c r="L75" s="385">
        <f>+'q6.1'!$K$27</f>
        <v>16860</v>
      </c>
      <c r="M75" s="385">
        <f>+'q6.1'!$L$27</f>
        <v>17786</v>
      </c>
      <c r="AF75" s="397">
        <f>+(AC72/S72-1)*100</f>
        <v>18.923919271629241</v>
      </c>
      <c r="AQ75" s="373" t="s">
        <v>702</v>
      </c>
      <c r="BM75" s="373" t="s">
        <v>719</v>
      </c>
      <c r="CG75" s="373" t="s">
        <v>721</v>
      </c>
    </row>
    <row r="76" spans="1:89">
      <c r="A76" s="374"/>
      <c r="B76" s="374" t="str">
        <f>+'q6.1'!$A$28</f>
        <v>Alentejo</v>
      </c>
      <c r="C76" s="385">
        <f>+'q6.1'!$B$28</f>
        <v>16527</v>
      </c>
      <c r="D76" s="385">
        <f>+'q6.1'!$C$28</f>
        <v>16513</v>
      </c>
      <c r="E76" s="385">
        <f>+'q6.1'!$D$28</f>
        <v>16818</v>
      </c>
      <c r="F76" s="385">
        <f>+'q6.1'!$E$28</f>
        <v>16844</v>
      </c>
      <c r="G76" s="385">
        <f>+'q6.1'!$F$28</f>
        <v>16907</v>
      </c>
      <c r="H76" s="385">
        <f>+'q6.1'!$G$28</f>
        <v>16939</v>
      </c>
      <c r="I76" s="385">
        <f>+'q6.1'!$H$28</f>
        <v>16868</v>
      </c>
      <c r="J76" s="385">
        <f>+'q6.1'!$I$28</f>
        <v>16454</v>
      </c>
      <c r="K76" s="385">
        <f>+'q6.1'!$J$28</f>
        <v>16561</v>
      </c>
      <c r="L76" s="385">
        <f>+'q6.1'!$K$28</f>
        <v>16084</v>
      </c>
      <c r="M76" s="385">
        <f>+'q6.1'!$L$28</f>
        <v>17115</v>
      </c>
      <c r="Z76" s="393" t="s">
        <v>695</v>
      </c>
      <c r="AF76" s="397">
        <f>+(AC73/S73-1)*100</f>
        <v>18.680188216551663</v>
      </c>
      <c r="AQ76" s="373" t="s">
        <v>700</v>
      </c>
      <c r="AR76" s="373">
        <f>+$AR$6</f>
        <v>2022</v>
      </c>
      <c r="BM76" s="373" t="s">
        <v>720</v>
      </c>
      <c r="BN76" s="373">
        <f>+$BM$6</f>
        <v>2022</v>
      </c>
      <c r="CG76" s="373" t="s">
        <v>722</v>
      </c>
      <c r="CH76" s="373">
        <f>+$CG$6</f>
        <v>2022</v>
      </c>
    </row>
    <row r="77" spans="1:89">
      <c r="A77" s="374"/>
      <c r="B77" s="374" t="str">
        <f>+'q6.1'!$A$33</f>
        <v>Algarve</v>
      </c>
      <c r="C77" s="385">
        <f>+'q6.1'!$B$33</f>
        <v>18829</v>
      </c>
      <c r="D77" s="385">
        <f>+'q6.1'!$C$33</f>
        <v>18636</v>
      </c>
      <c r="E77" s="385">
        <f>+'q6.1'!$D$33</f>
        <v>19056</v>
      </c>
      <c r="F77" s="385">
        <f>+'q6.1'!$E$33</f>
        <v>19415</v>
      </c>
      <c r="G77" s="385">
        <f>+'q6.1'!$F$33</f>
        <v>19902</v>
      </c>
      <c r="H77" s="385">
        <f>+'q6.1'!$G$33</f>
        <v>20073</v>
      </c>
      <c r="I77" s="385">
        <f>+'q6.1'!$H$33</f>
        <v>20768</v>
      </c>
      <c r="J77" s="385">
        <f>+'q6.1'!$I$33</f>
        <v>20888</v>
      </c>
      <c r="K77" s="385">
        <f>+'q6.1'!$J$33</f>
        <v>20366</v>
      </c>
      <c r="L77" s="385">
        <f>+'q6.1'!$K$33</f>
        <v>19836</v>
      </c>
      <c r="M77" s="385">
        <f>+'q6.1'!$L$33</f>
        <v>20699</v>
      </c>
      <c r="AQ77" s="373" t="s">
        <v>711</v>
      </c>
      <c r="AR77" s="373" t="str">
        <f>+$R$4</f>
        <v>Grande Lisboa</v>
      </c>
      <c r="AS77" s="373" t="s">
        <v>712</v>
      </c>
      <c r="BM77" s="373" t="s">
        <v>711</v>
      </c>
      <c r="BN77" s="373" t="str">
        <f>+$R$4</f>
        <v>Grande Lisboa</v>
      </c>
      <c r="BO77" s="373" t="s">
        <v>712</v>
      </c>
      <c r="CG77" s="373" t="s">
        <v>711</v>
      </c>
      <c r="CH77" s="373" t="str">
        <f>+$R$4</f>
        <v>Grande Lisboa</v>
      </c>
      <c r="CI77" s="373" t="s">
        <v>712</v>
      </c>
    </row>
    <row r="78" spans="1:89">
      <c r="B78" s="374" t="s">
        <v>14</v>
      </c>
      <c r="C78" s="385">
        <f>+'q6.1'!$B$5</f>
        <v>319177</v>
      </c>
      <c r="D78" s="385">
        <f>+'q6.1'!$C$5</f>
        <v>315112</v>
      </c>
      <c r="E78" s="385">
        <f>+'q6.1'!$D$5</f>
        <v>318886</v>
      </c>
      <c r="F78" s="385">
        <f>+'q6.1'!$E$5</f>
        <v>321500</v>
      </c>
      <c r="G78" s="385">
        <f>+'q6.1'!$F$5</f>
        <v>324933</v>
      </c>
      <c r="H78" s="385">
        <f>+'q6.1'!$G$5</f>
        <v>327295</v>
      </c>
      <c r="I78" s="385">
        <f>+'q6.1'!$H$5</f>
        <v>330668</v>
      </c>
      <c r="J78" s="385">
        <f>+'q6.1'!$I$5</f>
        <v>322978</v>
      </c>
      <c r="K78" s="385">
        <f>+'q6.1'!$J$5</f>
        <v>324959</v>
      </c>
      <c r="L78" s="385">
        <f>+'q6.1'!$K$5</f>
        <v>318254</v>
      </c>
      <c r="M78" s="385">
        <f>+'q6.1'!$L$5</f>
        <v>332683</v>
      </c>
      <c r="Z78" s="373">
        <f>+AC71</f>
        <v>2022</v>
      </c>
      <c r="AA78" s="373" t="s">
        <v>506</v>
      </c>
      <c r="AB78" s="373" t="s">
        <v>698</v>
      </c>
      <c r="AQ78" s="373">
        <f>INDEX($AR$38:$AX$44,MATCH($AR$77,$AR$38:$AR$44,0),2)</f>
        <v>57854</v>
      </c>
      <c r="AR78" s="373" t="str">
        <f>TEXT(AQ78,"##.###")</f>
        <v>57.854</v>
      </c>
      <c r="AS78" s="373" t="s">
        <v>575</v>
      </c>
      <c r="BM78" s="373">
        <f>INDEX($BM$38:$BS$44,MATCH($BN$77,$BM$38:$BM$44,0),2)</f>
        <v>915180</v>
      </c>
      <c r="BN78" s="373" t="str">
        <f>TEXT(BM78,"##.###")</f>
        <v>915.180</v>
      </c>
      <c r="BO78" s="373" t="s">
        <v>575</v>
      </c>
      <c r="CG78" s="373">
        <f>INDEX($CG$38:$CM$44,MATCH($CH$77,$CG$38:$CG$44,0),2)</f>
        <v>1418.3948630060115</v>
      </c>
      <c r="CH78" s="373" t="str">
        <f>TEXT(CG78,"##.###")</f>
        <v>1.418</v>
      </c>
      <c r="CI78" s="373" t="s">
        <v>391</v>
      </c>
    </row>
    <row r="79" spans="1:89" ht="12.75" customHeight="1">
      <c r="B79" s="374"/>
      <c r="C79" s="385"/>
      <c r="D79" s="385"/>
      <c r="E79" s="385"/>
      <c r="F79" s="385"/>
      <c r="G79" s="385"/>
      <c r="H79" s="385"/>
      <c r="I79" s="385"/>
      <c r="J79" s="385"/>
      <c r="K79" s="385"/>
      <c r="L79" s="385"/>
      <c r="M79" s="385"/>
      <c r="Z79" s="373" t="s">
        <v>390</v>
      </c>
      <c r="AA79" s="373" t="str">
        <f>+R70</f>
        <v>Grande Lisboa</v>
      </c>
      <c r="AD79" s="590" t="str">
        <f>CONCATENATE(Z78,AA78,CHAR(10),AB78," ",R70,Z80,AD72,Z82,AA83,Z84,AH72," ",AA86,Z87,AD73,Z89,AA90,Z91,AH73," ",AA93," ",Z94)</f>
        <v>2022:
Na região Grande Lisboa a remuneração média mensal base era de 1.418 euros (18,9%, ou seja, mais 225,7 euros que em 2012) e de 1.705 euros a remuneração média mensal ganho (18,7%, mais 268,4 euros que em 2012).</v>
      </c>
      <c r="AE79" s="590"/>
      <c r="AF79" s="590"/>
      <c r="AG79" s="590"/>
      <c r="AH79" s="590"/>
      <c r="AQ79" s="373">
        <f>INDEX($AR$38:$AX$44,MATCH($AR$77,$AR$38:$AR$44,0),4)</f>
        <v>20.309625781085444</v>
      </c>
      <c r="AR79" s="373" t="str">
        <f>TEXT(AQ79,"##.###,0")</f>
        <v>20,3</v>
      </c>
      <c r="AT79" s="538"/>
      <c r="AU79" s="538"/>
      <c r="AV79" s="538"/>
      <c r="AW79" s="538"/>
      <c r="AX79" s="538"/>
      <c r="BM79" s="373">
        <f>INDEX($BM$38:$BS$44,MATCH($BN$77,$BM$38:$BM$44,0),4)</f>
        <v>27.424558341688936</v>
      </c>
      <c r="BN79" s="373" t="str">
        <f>TEXT(BM79,"##.###,0")</f>
        <v>27,4</v>
      </c>
      <c r="BP79" s="538"/>
      <c r="BQ79" s="538"/>
      <c r="BR79" s="538"/>
      <c r="BS79" s="538"/>
      <c r="BT79" s="538"/>
      <c r="CG79" s="373">
        <f>INDEX($CG$38:$CM$44,MATCH($CH$77,$CG$38:$CG$44,0),4)</f>
        <v>24.045681252461669</v>
      </c>
      <c r="CH79" s="373" t="str">
        <f>TEXT(CG79,"##.###,0")</f>
        <v>24,0</v>
      </c>
      <c r="CJ79" s="538"/>
      <c r="CK79" s="538"/>
    </row>
    <row r="80" spans="1:89">
      <c r="C80" s="374">
        <f>+C70</f>
        <v>2012</v>
      </c>
      <c r="D80" s="374">
        <f t="shared" ref="D80:M80" si="62">+D70</f>
        <v>2013</v>
      </c>
      <c r="E80" s="374">
        <f t="shared" si="62"/>
        <v>2014</v>
      </c>
      <c r="F80" s="374">
        <f t="shared" si="62"/>
        <v>2015</v>
      </c>
      <c r="G80" s="374">
        <f t="shared" si="62"/>
        <v>2016</v>
      </c>
      <c r="H80" s="374">
        <f t="shared" si="62"/>
        <v>2017</v>
      </c>
      <c r="I80" s="374">
        <f t="shared" si="62"/>
        <v>2018</v>
      </c>
      <c r="J80" s="374">
        <f t="shared" si="62"/>
        <v>2019</v>
      </c>
      <c r="K80" s="374">
        <f t="shared" si="62"/>
        <v>2020</v>
      </c>
      <c r="L80" s="374">
        <f t="shared" si="62"/>
        <v>2021</v>
      </c>
      <c r="M80" s="374">
        <f t="shared" si="62"/>
        <v>2022</v>
      </c>
      <c r="Z80" s="373" t="s">
        <v>395</v>
      </c>
      <c r="AD80" s="590"/>
      <c r="AE80" s="590"/>
      <c r="AF80" s="590"/>
      <c r="AG80" s="590"/>
      <c r="AH80" s="590"/>
      <c r="AQ80" s="373" t="s">
        <v>716</v>
      </c>
      <c r="AT80" s="538"/>
      <c r="AU80" s="538"/>
      <c r="AV80" s="538"/>
      <c r="AW80" s="538"/>
      <c r="AX80" s="538"/>
      <c r="BM80" s="373" t="s">
        <v>716</v>
      </c>
      <c r="BP80" s="538"/>
      <c r="BQ80" s="538"/>
      <c r="BR80" s="538"/>
      <c r="BS80" s="538"/>
      <c r="BT80" s="538"/>
      <c r="CG80" s="373" t="s">
        <v>723</v>
      </c>
      <c r="CJ80" s="538"/>
      <c r="CK80" s="538"/>
    </row>
    <row r="81" spans="1:97">
      <c r="A81" s="374" t="s">
        <v>678</v>
      </c>
      <c r="B81" s="374" t="str">
        <f>+'q6.1'!$A$7</f>
        <v>Alto Minho</v>
      </c>
      <c r="C81" s="385">
        <f>+'q6.1'!$B$7</f>
        <v>8273</v>
      </c>
      <c r="D81" s="385">
        <f>+'q6.1'!$C$7</f>
        <v>8133</v>
      </c>
      <c r="E81" s="385">
        <f>+'q6.1'!$D$7</f>
        <v>8188</v>
      </c>
      <c r="F81" s="385">
        <f>+'q6.1'!$E$7</f>
        <v>8233</v>
      </c>
      <c r="G81" s="385">
        <f>+'q6.1'!$F$7</f>
        <v>8364</v>
      </c>
      <c r="H81" s="385">
        <f>+'q6.1'!$G$7</f>
        <v>8315</v>
      </c>
      <c r="I81" s="385">
        <f>+'q6.1'!$H$7</f>
        <v>8400</v>
      </c>
      <c r="J81" s="385">
        <f>+'q6.1'!$I$7</f>
        <v>8045</v>
      </c>
      <c r="K81" s="385">
        <f>+'q6.1'!$J$7</f>
        <v>8065</v>
      </c>
      <c r="L81" s="385">
        <f>+'q6.1'!$K$7</f>
        <v>7974</v>
      </c>
      <c r="M81" s="385">
        <f>+'q6.1'!$L$7</f>
        <v>8261</v>
      </c>
      <c r="Z81" s="373" t="s">
        <v>389</v>
      </c>
      <c r="AA81" s="399" t="str">
        <f>+AD72</f>
        <v>1.418</v>
      </c>
      <c r="AD81" s="590"/>
      <c r="AE81" s="590"/>
      <c r="AF81" s="590"/>
      <c r="AG81" s="590"/>
      <c r="AH81" s="590"/>
      <c r="AQ81" s="373">
        <f>INDEX($AR$38:$AX$44,MATCH($AR$77,$AR$38:$AR$44,0),6)</f>
        <v>2</v>
      </c>
      <c r="AT81" s="538"/>
      <c r="AU81" s="538"/>
      <c r="AV81" s="540" t="s">
        <v>717</v>
      </c>
      <c r="AW81" s="538"/>
      <c r="AX81" s="538"/>
      <c r="BM81" s="373">
        <f>INDEX($BM$38:$BS$44,MATCH($BN$77,$BM$38:$BM$44,0),6)</f>
        <v>2</v>
      </c>
      <c r="BP81" s="538"/>
      <c r="BQ81" s="538"/>
      <c r="BR81" s="540" t="s">
        <v>717</v>
      </c>
      <c r="BS81" s="538"/>
      <c r="BT81" s="538"/>
      <c r="CG81" s="373">
        <f>INDEX($CG$38:$CM$44,MATCH($CH$77,$CG$38:$CG$44,0),6)</f>
        <v>1</v>
      </c>
      <c r="CJ81" s="538"/>
      <c r="CK81" s="538"/>
      <c r="CL81" s="540" t="s">
        <v>717</v>
      </c>
      <c r="CM81" s="538"/>
      <c r="CN81" s="538"/>
    </row>
    <row r="82" spans="1:97" ht="42.75" customHeight="1">
      <c r="A82" s="374"/>
      <c r="B82" s="374" t="str">
        <f>+'q6.1'!$A$8</f>
        <v>Cávado</v>
      </c>
      <c r="C82" s="385">
        <f>+'q6.1'!$B$8</f>
        <v>14521</v>
      </c>
      <c r="D82" s="385">
        <f>+'q6.1'!$C$8</f>
        <v>14520</v>
      </c>
      <c r="E82" s="385">
        <f>+'q6.1'!$D$8</f>
        <v>14930</v>
      </c>
      <c r="F82" s="385">
        <f>+'q6.1'!$E$8</f>
        <v>15116</v>
      </c>
      <c r="G82" s="385">
        <f>+'q6.1'!$F$8</f>
        <v>15401</v>
      </c>
      <c r="H82" s="385">
        <f>+'q6.1'!$G$8</f>
        <v>15634</v>
      </c>
      <c r="I82" s="385">
        <f>+'q6.1'!$H$8</f>
        <v>15756</v>
      </c>
      <c r="J82" s="385">
        <f>+'q6.1'!$I$8</f>
        <v>15412</v>
      </c>
      <c r="K82" s="385">
        <f>+'q6.1'!$J$8</f>
        <v>15514</v>
      </c>
      <c r="L82" s="385">
        <f>+'q6.1'!$K$8</f>
        <v>15289</v>
      </c>
      <c r="M82" s="385">
        <f>+'q6.1'!$L$8</f>
        <v>16345</v>
      </c>
      <c r="Z82" s="373" t="s">
        <v>391</v>
      </c>
      <c r="AD82" s="590"/>
      <c r="AE82" s="590"/>
      <c r="AF82" s="590"/>
      <c r="AG82" s="590"/>
      <c r="AH82" s="590"/>
      <c r="AQ82" s="373" t="s">
        <v>703</v>
      </c>
      <c r="AT82" s="538"/>
      <c r="AU82" s="538"/>
      <c r="AV82" s="591" t="str">
        <f>CONCATENATE(AQ75,CHAR(10),AQ77,AR77,AS77,AR78,AS78,AR79,AQ80,AQ81,AQ82,CHAR(10),AQ83,AS83,AQ84,AR84,AR85,AS85,AR86,AS86,AT86,AU86,AQ87,AR87,AQ88,AR88,AR89,AS89,AR90,AS90,AT90,AU90)</f>
        <v>EMPRESAS
NUTS II Grande Lisboa: 57.854 (20,3% do Continente; 2ª região de 7)
Sub-regiões NUTS III: Máx. da NUTS II - Grande Lisboa - 57.854 (100,0% do Grande Lisboa); Min. da NUTS II - Grande Lisboa - 57.854 (100,0% do Grande Lisboa).</v>
      </c>
      <c r="AW82" s="591"/>
      <c r="AX82" s="591"/>
      <c r="AY82" s="591"/>
      <c r="AZ82" s="591"/>
      <c r="BM82" s="373" t="s">
        <v>703</v>
      </c>
      <c r="BP82" s="538"/>
      <c r="BQ82" s="538"/>
      <c r="BR82" s="591" t="str">
        <f>CONCATENATE(BM75,CHAR(10),BM77,BN77,BO77,BN78,BO78,BN79,BM80,BM81,BM82,CHAR(10),BM83,BO83,BM84,BN84,BN85,BO85,BN86,BO86,BP86,BQ86,BM87,BN87,BM88,BN88,BN89,BO89,BN90,BO90,BP90,BQ90)</f>
        <v>PESSOAS AO SERVIÇO
NUTS II Grande Lisboa: 915.180 (27,4% do Continente; 2ª região de 7)
Sub-regiões NUTS III: Máx. da NUTS II - Grande Lisboa - 915.180 (100,0% do Grande Lisboa); Min. da NUTS II - Grande Lisboa - 915.180 (100,0% do Grande Lisboa).</v>
      </c>
      <c r="BS82" s="591"/>
      <c r="BT82" s="591"/>
      <c r="BU82" s="591"/>
      <c r="BV82" s="591"/>
      <c r="CG82" s="373" t="s">
        <v>703</v>
      </c>
      <c r="CJ82" s="538"/>
      <c r="CK82" s="538"/>
      <c r="CL82" s="591" t="str">
        <f>CONCATENATE(CG75,CHAR(10),CG77,CH77,CI77,CH78,CI78,CH79,CG80,CG81,CG82,CHAR(10),CG83,CI83,CG84,CH84,CH85,CI85,CH86,CI86,CJ86,CK86,CG87,CH87,CG88,CH88,CH89,CI89,CH90,CI90,CJ90,CK90)</f>
        <v>REMUNERAÇÃO BASE
NUTS II Grande Lisboa: 1.418 euros (24,0% que no Continente; 1ª região de 7)
Sub-regiões NUTS III: Máx. da NUTS II - Grande Lisboa - 1.418 euros (+,0% da NUTS II); Min. da NUTS II - Grande Lisboa - 1.418 euros (,0% da NUTS II).</v>
      </c>
      <c r="CM82" s="591"/>
      <c r="CN82" s="591"/>
      <c r="CO82" s="591"/>
      <c r="CP82" s="591"/>
    </row>
    <row r="83" spans="1:97">
      <c r="A83" s="374"/>
      <c r="B83" s="374" t="str">
        <f>+'q6.1'!$A$9</f>
        <v>Ave</v>
      </c>
      <c r="C83" s="385">
        <f>+'q6.1'!$B$9</f>
        <v>13968</v>
      </c>
      <c r="D83" s="385">
        <f>+'q6.1'!$C$9</f>
        <v>13948</v>
      </c>
      <c r="E83" s="385">
        <f>+'q6.1'!$D$9</f>
        <v>14360</v>
      </c>
      <c r="F83" s="385">
        <f>+'q6.1'!$E$9</f>
        <v>14483</v>
      </c>
      <c r="G83" s="385">
        <f>+'q6.1'!$F$9</f>
        <v>14818</v>
      </c>
      <c r="H83" s="385">
        <f>+'q6.1'!$G$9</f>
        <v>15050</v>
      </c>
      <c r="I83" s="385">
        <f>+'q6.1'!$H$9</f>
        <v>15078</v>
      </c>
      <c r="J83" s="385">
        <f>+'q6.1'!$I$9</f>
        <v>14513</v>
      </c>
      <c r="K83" s="385">
        <f>+'q6.1'!$J$9</f>
        <v>14697</v>
      </c>
      <c r="L83" s="385">
        <f>+'q6.1'!$K$9</f>
        <v>14380</v>
      </c>
      <c r="M83" s="385">
        <f>+'q6.1'!$L$9</f>
        <v>15257</v>
      </c>
      <c r="Z83" s="373" t="s">
        <v>392</v>
      </c>
      <c r="AA83" s="397">
        <f>ROUND(AF75,1)</f>
        <v>18.899999999999999</v>
      </c>
      <c r="AD83" s="590"/>
      <c r="AE83" s="590"/>
      <c r="AF83" s="590"/>
      <c r="AG83" s="590"/>
      <c r="AH83" s="590"/>
      <c r="AQ83" s="373" t="s">
        <v>704</v>
      </c>
      <c r="AT83" s="538"/>
      <c r="AU83" s="538"/>
      <c r="AV83" s="591"/>
      <c r="AW83" s="591"/>
      <c r="AX83" s="591"/>
      <c r="AY83" s="591"/>
      <c r="AZ83" s="591"/>
      <c r="BM83" s="373" t="s">
        <v>704</v>
      </c>
      <c r="BP83" s="538"/>
      <c r="BQ83" s="538"/>
      <c r="BR83" s="591"/>
      <c r="BS83" s="591"/>
      <c r="BT83" s="591"/>
      <c r="BU83" s="591"/>
      <c r="BV83" s="591"/>
      <c r="CG83" s="373" t="s">
        <v>704</v>
      </c>
      <c r="CJ83" s="538"/>
      <c r="CK83" s="538"/>
      <c r="CL83" s="591"/>
      <c r="CM83" s="591"/>
      <c r="CN83" s="591"/>
      <c r="CO83" s="591"/>
      <c r="CP83" s="591"/>
    </row>
    <row r="84" spans="1:97">
      <c r="A84" s="374"/>
      <c r="B84" s="374" t="str">
        <f>+'q6.1'!$A$10</f>
        <v>Área Metropolitana do Porto</v>
      </c>
      <c r="C84" s="385">
        <f>+'q6.1'!$B$10</f>
        <v>56816</v>
      </c>
      <c r="D84" s="385">
        <f>+'q6.1'!$C$10</f>
        <v>56488</v>
      </c>
      <c r="E84" s="385">
        <f>+'q6.1'!$D$10</f>
        <v>57194</v>
      </c>
      <c r="F84" s="385">
        <f>+'q6.1'!$E$10</f>
        <v>57692</v>
      </c>
      <c r="G84" s="385">
        <f>+'q6.1'!$F$10</f>
        <v>58291</v>
      </c>
      <c r="H84" s="385">
        <f>+'q6.1'!$G$10</f>
        <v>58794</v>
      </c>
      <c r="I84" s="385">
        <f>+'q6.1'!$H$10</f>
        <v>59602</v>
      </c>
      <c r="J84" s="385">
        <f>+'q6.1'!$I$10</f>
        <v>58375</v>
      </c>
      <c r="K84" s="385">
        <f>+'q6.1'!$J$10</f>
        <v>58630</v>
      </c>
      <c r="L84" s="385">
        <f>+'q6.1'!$K$10</f>
        <v>57051</v>
      </c>
      <c r="M84" s="385">
        <f>+'q6.1'!$L$10</f>
        <v>59479</v>
      </c>
      <c r="Z84" s="373" t="s">
        <v>374</v>
      </c>
      <c r="AD84" s="590"/>
      <c r="AE84" s="590"/>
      <c r="AF84" s="590"/>
      <c r="AG84" s="590"/>
      <c r="AH84" s="590"/>
      <c r="AQ84" s="373" t="str">
        <f>IF($AR$77="Norte",$AZ$38,IF($AR$77="Centro",$AZ$39,IF($AR$77="Oeste e Vale do Tejo",$AZ$40,IF($AR$77="Grande Lisboa",$AZ$41,IF($AR$77="Península de Setúbal",$AZ$42,IF($AR$77="Alentejo",$AZ$43,IF($AR$77="Algarve",$AZ$44," ")))))))</f>
        <v>Grande Lisboa</v>
      </c>
      <c r="AR84" s="373" t="s">
        <v>714</v>
      </c>
      <c r="AT84" s="538"/>
      <c r="AU84" s="538"/>
      <c r="AV84" s="591"/>
      <c r="AW84" s="591"/>
      <c r="AX84" s="591"/>
      <c r="AY84" s="591"/>
      <c r="AZ84" s="591"/>
      <c r="BM84" s="373" t="str">
        <f>IF($BN$77="Norte",$BU$38,IF($BN$77="Centro",$BU$39,IF($BN$77="Oeste e Vale do Tejo",$BU$40,IF($BN$77="Grande Lisboa",$BU$41,IF($BN$77="Península de Setúbal",$BU$42,IF($BN$77="Alentejo",$BU$43,IF($BN$77="Algarve",$BU$44," ")))))))</f>
        <v>Grande Lisboa</v>
      </c>
      <c r="BN84" s="373" t="s">
        <v>714</v>
      </c>
      <c r="BP84" s="538"/>
      <c r="BQ84" s="538"/>
      <c r="BR84" s="591"/>
      <c r="BS84" s="591"/>
      <c r="BT84" s="591"/>
      <c r="BU84" s="591"/>
      <c r="BV84" s="591"/>
      <c r="CG84" s="373" t="str">
        <f>IF($CH$77="Norte",$CQ$38,IF($CH$77="Centro",$CQ$39,IF($CH$77="Oeste e Vale do Tejo",$CQ$40,IF($CH$77="Grande Lisboa",$CQ$41,IF($CH$77="Península de Setúbal",$CQ$42,IF($CH$77="Alentejo",$CQ$43,IF($CH$77="Algarve",$CQ$44," ")))))))</f>
        <v>Grande Lisboa</v>
      </c>
      <c r="CH84" s="373" t="s">
        <v>714</v>
      </c>
      <c r="CJ84" s="538"/>
      <c r="CK84" s="538"/>
      <c r="CL84" s="591"/>
      <c r="CM84" s="591"/>
      <c r="CN84" s="591"/>
      <c r="CO84" s="591"/>
      <c r="CP84" s="591"/>
    </row>
    <row r="85" spans="1:97">
      <c r="A85" s="374"/>
      <c r="B85" s="374" t="str">
        <f>+'q6.1'!$A$11</f>
        <v>Alto Tâmega e Barroso</v>
      </c>
      <c r="C85" s="385">
        <f>+'q6.1'!$B$11</f>
        <v>2492</v>
      </c>
      <c r="D85" s="385">
        <f>+'q6.1'!$C$11</f>
        <v>2450</v>
      </c>
      <c r="E85" s="385">
        <f>+'q6.1'!$D$11</f>
        <v>2505</v>
      </c>
      <c r="F85" s="385">
        <f>+'q6.1'!$E$11</f>
        <v>2562</v>
      </c>
      <c r="G85" s="385">
        <f>+'q6.1'!$F$11</f>
        <v>2620</v>
      </c>
      <c r="H85" s="385">
        <f>+'q6.1'!$G$11</f>
        <v>2636</v>
      </c>
      <c r="I85" s="385">
        <f>+'q6.1'!$H$11</f>
        <v>2669</v>
      </c>
      <c r="J85" s="385">
        <f>+'q6.1'!$I$11</f>
        <v>2590</v>
      </c>
      <c r="K85" s="385">
        <f>+'q6.1'!$J$11</f>
        <v>2642</v>
      </c>
      <c r="L85" s="385">
        <f>+'q6.1'!$K$11</f>
        <v>2629</v>
      </c>
      <c r="M85" s="385">
        <f>+'q6.1'!$L$11</f>
        <v>2739</v>
      </c>
      <c r="Z85" s="373" t="s">
        <v>393</v>
      </c>
      <c r="AA85" s="373" t="str">
        <f>+AH72</f>
        <v>, mais</v>
      </c>
      <c r="AQ85" s="373">
        <f>IF($AR$77="Norte",$AY$38,IF($AR$77="Centro",$AY$39,IF($AR$77="Oeste e Vale do Tejo",$AY$40,IF($AR$77="Grande Lisboa",$AY$41,IF($AR$77="Península de Setúbal",$AY$42,IF($AR$77="Alentejo",$AY$43,IF($AR$77="Algarve",$AY$44," ")))))))</f>
        <v>57854</v>
      </c>
      <c r="AR85" s="373" t="str">
        <f>TEXT(AQ85,"##.###")</f>
        <v>57.854</v>
      </c>
      <c r="AS85" s="373" t="s">
        <v>575</v>
      </c>
      <c r="AT85" s="538"/>
      <c r="AU85" s="538"/>
      <c r="AV85" s="591"/>
      <c r="AW85" s="591"/>
      <c r="AX85" s="591"/>
      <c r="AY85" s="591"/>
      <c r="AZ85" s="591"/>
      <c r="BM85" s="373">
        <f>IF($BN$77="Norte",$BT$38,IF($BN$77="Centro",$BT$39,IF($BN$77="Oeste e Vale do Tejo",$BT$40,IF($BN$77="Grande Lisboa",$BT$41,IF($BN$77="Península de Setúbal",$BT$42,IF($BN$77="Alentejo",$BT$43,IF($BN$77="Algarve",$BT$44," ")))))))</f>
        <v>915180</v>
      </c>
      <c r="BN85" s="373" t="str">
        <f>TEXT(BM85,"##.###")</f>
        <v>915.180</v>
      </c>
      <c r="BO85" s="373" t="s">
        <v>575</v>
      </c>
      <c r="BP85" s="538"/>
      <c r="BQ85" s="538"/>
      <c r="BR85" s="591"/>
      <c r="BS85" s="591"/>
      <c r="BT85" s="591"/>
      <c r="BU85" s="591"/>
      <c r="BV85" s="591"/>
      <c r="CG85" s="373">
        <f>IF($CH$77="Norte",$CP$38,IF($CH$77="Centro",$CP$39,IF($CH$77="Oeste e Vale do Tejo",$CP$40,IF($CH$77="Grande Lisboa",$CP$41,IF($CH$77="Península de Setúbal",$CP$42,IF($CH$77="Alentejo",$CP$43,IF($CH$77="Algarve",$CP$44," ")))))))</f>
        <v>1418.3948630060115</v>
      </c>
      <c r="CH85" s="373" t="str">
        <f>TEXT(CG85,"##.###")</f>
        <v>1.418</v>
      </c>
      <c r="CI85" s="373" t="s">
        <v>391</v>
      </c>
      <c r="CJ85" s="538"/>
      <c r="CK85" s="538"/>
      <c r="CL85" s="591"/>
      <c r="CM85" s="591"/>
      <c r="CN85" s="591"/>
      <c r="CO85" s="591"/>
      <c r="CP85" s="591"/>
    </row>
    <row r="86" spans="1:97">
      <c r="A86" s="374"/>
      <c r="B86" s="374" t="str">
        <f>+'q6.1'!$A$12</f>
        <v>Tâmega e Sousa</v>
      </c>
      <c r="C86" s="385">
        <f>+'q6.1'!$B$12</f>
        <v>13063</v>
      </c>
      <c r="D86" s="385">
        <f>+'q6.1'!$C$12</f>
        <v>12781</v>
      </c>
      <c r="E86" s="385">
        <f>+'q6.1'!$D$12</f>
        <v>13219</v>
      </c>
      <c r="F86" s="385">
        <f>+'q6.1'!$E$12</f>
        <v>13492</v>
      </c>
      <c r="G86" s="385">
        <f>+'q6.1'!$F$12</f>
        <v>13669</v>
      </c>
      <c r="H86" s="385">
        <f>+'q6.1'!$G$12</f>
        <v>13820</v>
      </c>
      <c r="I86" s="385">
        <f>+'q6.1'!$H$12</f>
        <v>14097</v>
      </c>
      <c r="J86" s="385">
        <f>+'q6.1'!$I$12</f>
        <v>13814</v>
      </c>
      <c r="K86" s="385">
        <f>+'q6.1'!$J$12</f>
        <v>13874</v>
      </c>
      <c r="L86" s="385">
        <f>+'q6.1'!$K$12</f>
        <v>14035</v>
      </c>
      <c r="M86" s="385">
        <f>+'q6.1'!$L$12</f>
        <v>14461</v>
      </c>
      <c r="Z86" s="373" t="s">
        <v>394</v>
      </c>
      <c r="AA86" s="394" t="str">
        <f>TEXT(AI72,"##.###,0")</f>
        <v>225,7</v>
      </c>
      <c r="AQ86" s="373">
        <f>IF($AR$77="Norte",$BA$38,IF($AR$77="Centro",$BA$39,IF($AR$77="Oeste e Vale do Tejo",$BA$40,IF($AR$77="Grande Lisboa",$BA$41,IF($AR$77="Península de Setúbal",$BA$42,IF($AR$77="Alentejo",$BA$43,IF($AR$77="Algarve",$BA$44," ")))))))</f>
        <v>100</v>
      </c>
      <c r="AR86" s="373" t="str">
        <f>TEXT(AQ86,"##.###,0")</f>
        <v>100,0</v>
      </c>
      <c r="AS86" s="373" t="s">
        <v>715</v>
      </c>
      <c r="AT86" s="373" t="str">
        <f>+AR77</f>
        <v>Grande Lisboa</v>
      </c>
      <c r="AU86" s="373" t="s">
        <v>713</v>
      </c>
      <c r="AV86" s="393" t="s">
        <v>718</v>
      </c>
      <c r="BM86" s="373">
        <f>IF($BN$77="Norte",$BV$38,IF($BN$77="Centro",$BV$39,IF($BN$77="Oeste e Vale do Tejo",$BV$40,IF($BN$77="Grande Lisboa",$BV$41,IF($BN$77="Península de Setúbal",$BV$42,IF($BN$77="Alentejo",$BV$43,IF($BN$77="Algarve",$BV$44," ")))))))</f>
        <v>100</v>
      </c>
      <c r="BN86" s="373" t="str">
        <f>TEXT(BM86,"##.###,0")</f>
        <v>100,0</v>
      </c>
      <c r="BO86" s="373" t="s">
        <v>715</v>
      </c>
      <c r="BP86" s="373" t="str">
        <f>+BN77</f>
        <v>Grande Lisboa</v>
      </c>
      <c r="BQ86" s="373" t="s">
        <v>713</v>
      </c>
      <c r="BR86" s="393" t="s">
        <v>718</v>
      </c>
      <c r="CG86" s="373">
        <f>IF($CH$77="Norte",$CR$38,IF($CH$77="Centro",$CR$39,IF($CH$77="Oeste e Vale do Tejo",$CR$40,IF($CH$77="Grande Lisboa",$CR$41,IF($CH$77="Península de Setúbal",$CR$42,IF($CH$77="Alentejo",$CR$43,IF($CH$77="Algarve",$CR$44," ")))))))</f>
        <v>0</v>
      </c>
      <c r="CH86" s="373" t="str">
        <f>TEXT(CG86,"+##.###,0")</f>
        <v>+,0</v>
      </c>
      <c r="CI86" s="373" t="s">
        <v>725</v>
      </c>
      <c r="CJ86" s="373" t="s">
        <v>677</v>
      </c>
      <c r="CK86" s="373" t="s">
        <v>713</v>
      </c>
      <c r="CL86" s="393" t="s">
        <v>718</v>
      </c>
    </row>
    <row r="87" spans="1:97">
      <c r="A87" s="374"/>
      <c r="B87" s="374" t="str">
        <f>+'q6.1'!$A$13</f>
        <v>Douro</v>
      </c>
      <c r="C87" s="385">
        <f>+'q6.1'!$B$13</f>
        <v>6068</v>
      </c>
      <c r="D87" s="385">
        <f>+'q6.1'!$C$13</f>
        <v>6105</v>
      </c>
      <c r="E87" s="385">
        <f>+'q6.1'!$D$13</f>
        <v>6125</v>
      </c>
      <c r="F87" s="385">
        <f>+'q6.1'!$E$13</f>
        <v>6090</v>
      </c>
      <c r="G87" s="385">
        <f>+'q6.1'!$F$13</f>
        <v>6142</v>
      </c>
      <c r="H87" s="385">
        <f>+'q6.1'!$G$13</f>
        <v>6166</v>
      </c>
      <c r="I87" s="385">
        <f>+'q6.1'!$H$13</f>
        <v>6137</v>
      </c>
      <c r="J87" s="385">
        <f>+'q6.1'!$I$13</f>
        <v>6006</v>
      </c>
      <c r="K87" s="385">
        <f>+'q6.1'!$J$13</f>
        <v>6107</v>
      </c>
      <c r="L87" s="385">
        <f>+'q6.1'!$K$13</f>
        <v>6046</v>
      </c>
      <c r="M87" s="385">
        <f>+'q6.1'!$L$13</f>
        <v>6219</v>
      </c>
      <c r="Z87" s="373" t="s">
        <v>670</v>
      </c>
      <c r="AQ87" s="373" t="s">
        <v>709</v>
      </c>
      <c r="AR87" s="373" t="s">
        <v>714</v>
      </c>
      <c r="BM87" s="373" t="s">
        <v>709</v>
      </c>
      <c r="BN87" s="373" t="s">
        <v>714</v>
      </c>
      <c r="CG87" s="373" t="s">
        <v>709</v>
      </c>
      <c r="CH87" s="373" t="s">
        <v>714</v>
      </c>
    </row>
    <row r="88" spans="1:97" ht="12.75" customHeight="1">
      <c r="A88" s="374"/>
      <c r="B88" s="374" t="str">
        <f>+'q6.1'!$A$14</f>
        <v>Terras de Trás-os-Montes</v>
      </c>
      <c r="C88" s="385">
        <f>+'q6.1'!$B$14</f>
        <v>3758</v>
      </c>
      <c r="D88" s="385">
        <f>+'q6.1'!$C$14</f>
        <v>3695</v>
      </c>
      <c r="E88" s="385">
        <f>+'q6.1'!$D$14</f>
        <v>3725</v>
      </c>
      <c r="F88" s="385">
        <f>+'q6.1'!$E$14</f>
        <v>3724</v>
      </c>
      <c r="G88" s="385">
        <f>+'q6.1'!$F$14</f>
        <v>3763</v>
      </c>
      <c r="H88" s="385">
        <f>+'q6.1'!$G$14</f>
        <v>3792</v>
      </c>
      <c r="I88" s="385">
        <f>+'q6.1'!$H$14</f>
        <v>3785</v>
      </c>
      <c r="J88" s="385">
        <f>+'q6.1'!$I$14</f>
        <v>3541</v>
      </c>
      <c r="K88" s="385">
        <f>+'q6.1'!$J$14</f>
        <v>3565</v>
      </c>
      <c r="L88" s="385">
        <f>+'q6.1'!$K$14</f>
        <v>3674</v>
      </c>
      <c r="M88" s="385">
        <f>+'q6.1'!$L$14</f>
        <v>3702</v>
      </c>
      <c r="Z88" s="373" t="s">
        <v>396</v>
      </c>
      <c r="AA88" s="394" t="str">
        <f>+AD73</f>
        <v>1.705</v>
      </c>
      <c r="AQ88" s="373" t="str">
        <f>IF($AR$77="Norte",$BC$38,IF($AR$77="Centro",$BC$39,IF($AR$77="Oeste e Vale do Tejo",$BC$40,IF($AR$77="Grande Lisboa",$BC$41,IF($AR$77="Península de Setúbal",$BC$42,IF($AR$77="Alentejo",$BC$43,IF($AR$77="Algarve",$BC$44," ")))))))</f>
        <v>Grande Lisboa</v>
      </c>
      <c r="AR88" s="373" t="s">
        <v>714</v>
      </c>
      <c r="AV88" s="592" t="str">
        <f>CONCATENATE(AQ75,CHAR(10),AQ77,AR77,AS77,AR78,AS78,AR79,AQ80,AQ81,AQ82,CHAR(10),"Esta NUTS II coincide com a NUTS III.")</f>
        <v>EMPRESAS
NUTS II Grande Lisboa: 57.854 (20,3% do Continente; 2ª região de 7)
Esta NUTS II coincide com a NUTS III.</v>
      </c>
      <c r="AW88" s="592"/>
      <c r="AX88" s="592"/>
      <c r="AY88" s="592"/>
      <c r="BM88" s="373" t="str">
        <f>IF($BN$77="Norte",$BX$38,IF($BN$77="Centro",$BX$39,IF($BN$77="Oeste e Vale do Tejo",$BX$40,IF($BN$77="Grande Lisboa",$BX$41,IF($BN$77="Península de Setúbal",$BX$42,IF($BN$77="Alentejo",$BX$43,IF($BN$77="Algarve",$BX$44," ")))))))</f>
        <v>Grande Lisboa</v>
      </c>
      <c r="BN88" s="373" t="s">
        <v>714</v>
      </c>
      <c r="BR88" s="592" t="str">
        <f>CONCATENATE(BM75,CHAR(10),BM77,BN77,BO77,BN78,BO78,BN79,BM80,BM81,BM82,CHAR(10),"Esta NUTS II coincide com a NUTS III.")</f>
        <v>PESSOAS AO SERVIÇO
NUTS II Grande Lisboa: 915.180 (27,4% do Continente; 2ª região de 7)
Esta NUTS II coincide com a NUTS III.</v>
      </c>
      <c r="BS88" s="592"/>
      <c r="BT88" s="592"/>
      <c r="BU88" s="592"/>
      <c r="CG88" s="373" t="str">
        <f>IF($CH$77="Norte",$CT$38,IF($CH$77="Centro",$CT$39,IF($CH$77="Oeste e Vale do Tejo",$CT$40,IF($CH$77="Grande Lisboa",$CT$41,IF($CH$77="Península de Setúbal",$CT$42,IF($CH$77="Alentejo",$CT$43,IF($CH$77="Algarve",$CT$44," ")))))))</f>
        <v>Grande Lisboa</v>
      </c>
      <c r="CH88" s="373" t="s">
        <v>714</v>
      </c>
      <c r="CL88" s="592" t="str">
        <f>CONCATENATE(CG75,CHAR(10),CG77,CH77,CI77,CH78,CI78,CH79,CG80,CG81,CG82,CHAR(10),"Esta NUTS II coincide com a NUTS III.")</f>
        <v>REMUNERAÇÃO BASE
NUTS II Grande Lisboa: 1.418 euros (24,0% que no Continente; 1ª região de 7)
Esta NUTS II coincide com a NUTS III.</v>
      </c>
      <c r="CM88" s="592"/>
      <c r="CN88" s="592"/>
      <c r="CO88" s="592"/>
    </row>
    <row r="89" spans="1:97">
      <c r="A89" s="374"/>
      <c r="B89" s="374" t="str">
        <f>+'q6.1'!$A$16</f>
        <v>Região de Aveiro</v>
      </c>
      <c r="C89" s="385">
        <f>+'q6.1'!$B$16</f>
        <v>10885</v>
      </c>
      <c r="D89" s="385">
        <f>+'q6.1'!$C$16</f>
        <v>10733</v>
      </c>
      <c r="E89" s="385">
        <f>+'q6.1'!$D$16</f>
        <v>10771</v>
      </c>
      <c r="F89" s="385">
        <f>+'q6.1'!$E$16</f>
        <v>10850</v>
      </c>
      <c r="G89" s="385">
        <f>+'q6.1'!$F$16</f>
        <v>11109</v>
      </c>
      <c r="H89" s="385">
        <f>+'q6.1'!$G$16</f>
        <v>11238</v>
      </c>
      <c r="I89" s="385">
        <f>+'q6.1'!$H$16</f>
        <v>11392</v>
      </c>
      <c r="J89" s="385">
        <f>+'q6.1'!$I$16</f>
        <v>11270</v>
      </c>
      <c r="K89" s="385">
        <f>+'q6.1'!$J$16</f>
        <v>11291</v>
      </c>
      <c r="L89" s="385">
        <f>+'q6.1'!$K$16</f>
        <v>10980</v>
      </c>
      <c r="M89" s="385">
        <f>+'q6.1'!$L$16</f>
        <v>11325</v>
      </c>
      <c r="Z89" s="373" t="s">
        <v>400</v>
      </c>
      <c r="AQ89" s="373">
        <f>IF($AR$77="Norte",$BB$38,IF($AR$77="Centro",$BB$39,IF($AR$77="Oeste e Vale do Tejo",$BB$40,IF($AR$77="Grande Lisboa",$BB$41,IF($AR$77="Península de Setúbal",$BB$42,IF($AR$77="Alentejo",$BB$43,IF($AR$77="Algarve",$BB$44," ")))))))</f>
        <v>57854</v>
      </c>
      <c r="AR89" s="373" t="str">
        <f>TEXT(AQ89,"##.###")</f>
        <v>57.854</v>
      </c>
      <c r="AS89" s="373" t="s">
        <v>575</v>
      </c>
      <c r="AV89" s="592"/>
      <c r="AW89" s="592"/>
      <c r="AX89" s="592"/>
      <c r="AY89" s="592"/>
      <c r="BM89" s="373">
        <f>IF($BN$77="Norte",$BW$38,IF($BN$77="Centro",$BW$39,IF($BN$77="Oeste e Vale do Tejo",$BW$40,IF($BN$77="Grande Lisboa",$BW$41,IF($BN$77="Península de Setúbal",$BW$42,IF($BN$77="Alentejo",$BW$43,IF($BN$77="Algarve",$BW$44," ")))))))</f>
        <v>915180</v>
      </c>
      <c r="BN89" s="373" t="str">
        <f>TEXT(BM89,"##.###")</f>
        <v>915.180</v>
      </c>
      <c r="BO89" s="373" t="s">
        <v>575</v>
      </c>
      <c r="BR89" s="592"/>
      <c r="BS89" s="592"/>
      <c r="BT89" s="592"/>
      <c r="BU89" s="592"/>
      <c r="CG89" s="373">
        <f>IF($CH$77="Norte",$CS$38,IF($CH$77="Centro",$CS$39,IF($CH$77="Oeste e Vale do Tejo",$CS$40,IF($CH$77="Grande Lisboa",$CS$41,IF($CH$77="Península de Setúbal",$CS$42,IF($CH$77="Alentejo",$CS$43,IF($CH$77="Algarve",$CS$44," ")))))))</f>
        <v>1418.3948630060115</v>
      </c>
      <c r="CH89" s="373" t="str">
        <f>TEXT(CG89,"##.###")</f>
        <v>1.418</v>
      </c>
      <c r="CI89" s="373" t="s">
        <v>391</v>
      </c>
      <c r="CL89" s="592"/>
      <c r="CM89" s="592"/>
      <c r="CN89" s="592"/>
      <c r="CO89" s="592"/>
    </row>
    <row r="90" spans="1:97">
      <c r="A90" s="374"/>
      <c r="B90" s="374" t="str">
        <f>+'q6.1'!$A$17</f>
        <v>Região de Coimbra</v>
      </c>
      <c r="C90" s="385">
        <f>+'q6.1'!$B$17</f>
        <v>13475</v>
      </c>
      <c r="D90" s="385">
        <f>+'q6.1'!$C$17</f>
        <v>13209</v>
      </c>
      <c r="E90" s="385">
        <f>+'q6.1'!$D$17</f>
        <v>13210</v>
      </c>
      <c r="F90" s="385">
        <f>+'q6.1'!$E$17</f>
        <v>13220</v>
      </c>
      <c r="G90" s="385">
        <f>+'q6.1'!$F$17</f>
        <v>13289</v>
      </c>
      <c r="H90" s="385">
        <f>+'q6.1'!$G$17</f>
        <v>13260</v>
      </c>
      <c r="I90" s="385">
        <f>+'q6.1'!$H$17</f>
        <v>13232</v>
      </c>
      <c r="J90" s="385">
        <f>+'q6.1'!$I$17</f>
        <v>12834</v>
      </c>
      <c r="K90" s="385">
        <f>+'q6.1'!$J$17</f>
        <v>12976</v>
      </c>
      <c r="L90" s="385">
        <f>+'q6.1'!$K$17</f>
        <v>12780</v>
      </c>
      <c r="M90" s="385">
        <f>+'q6.1'!$L$17</f>
        <v>13325</v>
      </c>
      <c r="Z90" s="373" t="s">
        <v>397</v>
      </c>
      <c r="AA90" s="397">
        <f>ROUND(AF76,1)</f>
        <v>18.7</v>
      </c>
      <c r="AQ90" s="373">
        <f>IF($AR$77="Norte",$BD$38,IF($AR$77="Centro",$BD$39,IF($AR$77="Oeste e Vale do Tejo",$BD$40,IF($AR$77="Grande Lisboa",$BD$41,IF($AR$77="Península de Setúbal",$BD$42,IF($AR$77="Alentejo",$BD$43,IF($AR$77="Algarve",$BD$44," ")))))))</f>
        <v>100</v>
      </c>
      <c r="AR90" s="373" t="str">
        <f>TEXT(AQ90,"##.###,0")</f>
        <v>100,0</v>
      </c>
      <c r="AS90" s="373" t="s">
        <v>715</v>
      </c>
      <c r="AT90" s="373" t="str">
        <f>+AR77</f>
        <v>Grande Lisboa</v>
      </c>
      <c r="AU90" s="373" t="s">
        <v>505</v>
      </c>
      <c r="AV90" s="592"/>
      <c r="AW90" s="592"/>
      <c r="AX90" s="592"/>
      <c r="AY90" s="592"/>
      <c r="BM90" s="373">
        <f>IF($BN$77="Norte",$BY$38,IF($BN$77="Centro",$BY$39,IF($BN$77="Oeste e Vale do Tejo",$BY$40,IF($BN$77="Grande Lisboa",$BY$41,IF($BN$77="Península de Setúbal",$BY$42,IF($BN$77="Alentejo",$BY$43,IF($BN$77="Algarve",$BY$44," ")))))))</f>
        <v>100</v>
      </c>
      <c r="BN90" s="373" t="str">
        <f>TEXT(BM90,"##.###,0")</f>
        <v>100,0</v>
      </c>
      <c r="BO90" s="373" t="s">
        <v>715</v>
      </c>
      <c r="BP90" s="373" t="str">
        <f>+BN77</f>
        <v>Grande Lisboa</v>
      </c>
      <c r="BQ90" s="373" t="s">
        <v>505</v>
      </c>
      <c r="BR90" s="592"/>
      <c r="BS90" s="592"/>
      <c r="BT90" s="592"/>
      <c r="BU90" s="592"/>
      <c r="CG90" s="373">
        <f>IF($CH$77="Norte",$CU$38,IF($CH$77="Centro",$CU$39,IF($CH$77="Oeste e Vale do Tejo",$CU$40,IF($CH$77="Grande Lisboa",$CU$41,IF($CH$77="Península de Setúbal",$CU$42,IF($CH$77="Alentejo",$CU$43,IF($CH$77="Algarve",$CU$44," ")))))))</f>
        <v>0</v>
      </c>
      <c r="CH90" s="373" t="str">
        <f>TEXT(CG90,"##.###,0")</f>
        <v>,0</v>
      </c>
      <c r="CI90" s="373" t="s">
        <v>725</v>
      </c>
      <c r="CJ90" s="373" t="s">
        <v>677</v>
      </c>
      <c r="CK90" s="373" t="s">
        <v>505</v>
      </c>
      <c r="CL90" s="592"/>
      <c r="CM90" s="592"/>
      <c r="CN90" s="592"/>
      <c r="CO90" s="592"/>
    </row>
    <row r="91" spans="1:97">
      <c r="A91" s="374"/>
      <c r="B91" s="374" t="str">
        <f>+'q6.1'!$A$18</f>
        <v>Região de Leiria</v>
      </c>
      <c r="C91" s="385">
        <f>+'q6.1'!$B$18</f>
        <v>11848</v>
      </c>
      <c r="D91" s="385">
        <f>+'q6.1'!$C$18</f>
        <v>11800</v>
      </c>
      <c r="E91" s="385">
        <f>+'q6.1'!$D$18</f>
        <v>11750</v>
      </c>
      <c r="F91" s="385">
        <f>+'q6.1'!$E$18</f>
        <v>11795</v>
      </c>
      <c r="G91" s="385">
        <f>+'q6.1'!$F$18</f>
        <v>11912</v>
      </c>
      <c r="H91" s="385">
        <f>+'q6.1'!$G$18</f>
        <v>11909</v>
      </c>
      <c r="I91" s="385">
        <f>+'q6.1'!$H$18</f>
        <v>11844</v>
      </c>
      <c r="J91" s="385">
        <f>+'q6.1'!$I$18</f>
        <v>11538</v>
      </c>
      <c r="K91" s="385">
        <f>+'q6.1'!$J$18</f>
        <v>11586</v>
      </c>
      <c r="L91" s="385">
        <f>+'q6.1'!$K$18</f>
        <v>11446</v>
      </c>
      <c r="M91" s="385">
        <f>+'q6.1'!$L$18</f>
        <v>11845</v>
      </c>
      <c r="Z91" s="373" t="s">
        <v>376</v>
      </c>
      <c r="AU91" s="398"/>
      <c r="AV91" s="398"/>
      <c r="AW91" s="398"/>
      <c r="AX91" s="398"/>
      <c r="BQ91" s="398"/>
      <c r="BR91" s="398"/>
      <c r="BS91" s="398"/>
      <c r="BT91" s="398"/>
      <c r="CK91" s="398"/>
      <c r="CL91" s="398"/>
      <c r="CM91" s="398"/>
      <c r="CN91" s="398"/>
    </row>
    <row r="92" spans="1:97" ht="12.75" customHeight="1">
      <c r="A92" s="374"/>
      <c r="B92" s="374" t="str">
        <f>+'q6.1'!$A$19</f>
        <v>Viseu Dão Lafões</v>
      </c>
      <c r="C92" s="385">
        <f>+'q6.1'!$B$19</f>
        <v>8071</v>
      </c>
      <c r="D92" s="385">
        <f>+'q6.1'!$C$19</f>
        <v>7951</v>
      </c>
      <c r="E92" s="385">
        <f>+'q6.1'!$D$19</f>
        <v>8035</v>
      </c>
      <c r="F92" s="385">
        <f>+'q6.1'!$E$19</f>
        <v>8168</v>
      </c>
      <c r="G92" s="385">
        <f>+'q6.1'!$F$19</f>
        <v>8259</v>
      </c>
      <c r="H92" s="385">
        <f>+'q6.1'!$G$19</f>
        <v>8311</v>
      </c>
      <c r="I92" s="385">
        <f>+'q6.1'!$H$19</f>
        <v>8351</v>
      </c>
      <c r="J92" s="385">
        <f>+'q6.1'!$I$19</f>
        <v>8174</v>
      </c>
      <c r="K92" s="385">
        <f>+'q6.1'!$J$19</f>
        <v>8205</v>
      </c>
      <c r="L92" s="385">
        <f>+'q6.1'!$K$19</f>
        <v>8152</v>
      </c>
      <c r="M92" s="385">
        <f>+'q6.1'!$L$19</f>
        <v>8478</v>
      </c>
      <c r="Z92" s="373" t="s">
        <v>398</v>
      </c>
      <c r="AA92" s="373" t="str">
        <f>+AH73</f>
        <v>, mais</v>
      </c>
      <c r="AU92" s="398"/>
      <c r="AV92" s="398"/>
      <c r="AW92" s="373" t="str">
        <f>IF($AR$77="Norte",$AV$82,IF($AR$77="Centro",$AV$82,IF($AR$77="Oeste e Vale do Tejo",$AV$82,IF($AR$77="Alentejo",$AV$82,$AV$88))))</f>
        <v>EMPRESAS
NUTS II Grande Lisboa: 57.854 (20,3% do Continente; 2ª região de 7)
Esta NUTS II coincide com a NUTS III.</v>
      </c>
      <c r="AX92" s="398"/>
      <c r="BQ92" s="398"/>
      <c r="BR92" s="398"/>
      <c r="BS92" s="592" t="str">
        <f>IF($BN$77="Norte",$BR$82,IF($BN$77="Centro",$BR$82,IF($BN$77="Oeste e Vale do Tejo",$BR$82,IF($BN$77="Alentejo",$BR$82,$BR$88))))</f>
        <v>PESSOAS AO SERVIÇO
NUTS II Grande Lisboa: 915.180 (27,4% do Continente; 2ª região de 7)
Esta NUTS II coincide com a NUTS III.</v>
      </c>
      <c r="BT92" s="592"/>
      <c r="BU92" s="592"/>
      <c r="BV92" s="592"/>
      <c r="BW92" s="592"/>
      <c r="BX92" s="592"/>
      <c r="BY92" s="592"/>
      <c r="CK92" s="398"/>
      <c r="CL92" s="398"/>
      <c r="CM92" s="592" t="str">
        <f>IF($CH$77="Norte",$CL$82,IF($CH$77="Centro",$CL$82,IF($CH$77="Oeste e Vale do Tejo",$CL$82,IF($CH$77="Alentejo",$CL$82,$CL$88))))</f>
        <v>REMUNERAÇÃO BASE
NUTS II Grande Lisboa: 1.418 euros (24,0% que no Continente; 1ª região de 7)
Esta NUTS II coincide com a NUTS III.</v>
      </c>
      <c r="CN92" s="592"/>
      <c r="CO92" s="592"/>
      <c r="CP92" s="592"/>
      <c r="CQ92" s="592"/>
      <c r="CR92" s="592"/>
      <c r="CS92" s="592"/>
    </row>
    <row r="93" spans="1:97">
      <c r="A93" s="374"/>
      <c r="B93" s="374" t="str">
        <f>+'q6.1'!$A$20</f>
        <v>Beira Baixa</v>
      </c>
      <c r="C93" s="385">
        <f>+'q6.1'!$B$20</f>
        <v>3414</v>
      </c>
      <c r="D93" s="385">
        <f>+'q6.1'!$C$20</f>
        <v>3267</v>
      </c>
      <c r="E93" s="385">
        <f>+'q6.1'!$D$20</f>
        <v>3287</v>
      </c>
      <c r="F93" s="385">
        <f>+'q6.1'!$E$20</f>
        <v>3291</v>
      </c>
      <c r="G93" s="385">
        <f>+'q6.1'!$F$20</f>
        <v>3288</v>
      </c>
      <c r="H93" s="385">
        <f>+'q6.1'!$G$20</f>
        <v>3208</v>
      </c>
      <c r="I93" s="385">
        <f>+'q6.1'!$H$20</f>
        <v>3244</v>
      </c>
      <c r="J93" s="385">
        <f>+'q6.1'!$I$20</f>
        <v>3195</v>
      </c>
      <c r="K93" s="385">
        <f>+'q6.1'!$J$20</f>
        <v>3163</v>
      </c>
      <c r="L93" s="385">
        <f>+'q6.1'!$K$20</f>
        <v>3161</v>
      </c>
      <c r="M93" s="385">
        <f>+'q6.1'!$L$20</f>
        <v>3245</v>
      </c>
      <c r="Z93" s="373" t="s">
        <v>399</v>
      </c>
      <c r="AA93" s="394" t="str">
        <f>TEXT(AI73,"##.###,0")</f>
        <v>268,4</v>
      </c>
      <c r="AQ93" s="393" t="s">
        <v>699</v>
      </c>
      <c r="AV93" s="398"/>
      <c r="AW93" s="398"/>
      <c r="AX93" s="398"/>
      <c r="AY93" s="398"/>
      <c r="AZ93" s="398"/>
      <c r="BM93" s="393" t="s">
        <v>699</v>
      </c>
      <c r="BR93" s="398"/>
      <c r="BS93" s="592"/>
      <c r="BT93" s="592"/>
      <c r="BU93" s="592"/>
      <c r="BV93" s="592"/>
      <c r="BW93" s="592"/>
      <c r="BX93" s="592"/>
      <c r="BY93" s="592"/>
      <c r="CG93" s="393" t="s">
        <v>699</v>
      </c>
      <c r="CL93" s="398"/>
      <c r="CM93" s="592"/>
      <c r="CN93" s="592"/>
      <c r="CO93" s="592"/>
      <c r="CP93" s="592"/>
      <c r="CQ93" s="592"/>
      <c r="CR93" s="592"/>
      <c r="CS93" s="592"/>
    </row>
    <row r="94" spans="1:97">
      <c r="A94" s="374"/>
      <c r="B94" s="374" t="str">
        <f>+'q6.1'!$A$21</f>
        <v>Beiras e Serra da Estrela</v>
      </c>
      <c r="C94" s="385">
        <f>+'q6.1'!$B$21</f>
        <v>7072</v>
      </c>
      <c r="D94" s="385">
        <f>+'q6.1'!$C$21</f>
        <v>6958</v>
      </c>
      <c r="E94" s="385">
        <f>+'q6.1'!$D$21</f>
        <v>7049</v>
      </c>
      <c r="F94" s="385">
        <f>+'q6.1'!$E$21</f>
        <v>7009</v>
      </c>
      <c r="G94" s="385">
        <f>+'q6.1'!$F$21</f>
        <v>7023</v>
      </c>
      <c r="H94" s="385">
        <f>+'q6.1'!$G$21</f>
        <v>7033</v>
      </c>
      <c r="I94" s="385">
        <f>+'q6.1'!$H$21</f>
        <v>6963</v>
      </c>
      <c r="J94" s="385">
        <f>+'q6.1'!$I$21</f>
        <v>6642</v>
      </c>
      <c r="K94" s="385">
        <f>+'q6.1'!$J$21</f>
        <v>6613</v>
      </c>
      <c r="L94" s="385">
        <f>+'q6.1'!$K$21</f>
        <v>6453</v>
      </c>
      <c r="M94" s="385">
        <f>+'q6.1'!$L$21</f>
        <v>6633</v>
      </c>
      <c r="Z94" s="373" t="s">
        <v>726</v>
      </c>
      <c r="AQ94" s="373" t="s">
        <v>710</v>
      </c>
      <c r="AV94" s="398"/>
      <c r="AW94" s="398"/>
      <c r="AX94" s="398"/>
      <c r="AY94" s="398"/>
      <c r="AZ94" s="398"/>
      <c r="BM94" s="373" t="s">
        <v>186</v>
      </c>
      <c r="BR94" s="398"/>
      <c r="BS94" s="592"/>
      <c r="BT94" s="592"/>
      <c r="BU94" s="592"/>
      <c r="BV94" s="592"/>
      <c r="BW94" s="592"/>
      <c r="BX94" s="592"/>
      <c r="BY94" s="592"/>
      <c r="CG94" s="373" t="s">
        <v>724</v>
      </c>
      <c r="CL94" s="398"/>
      <c r="CM94" s="592"/>
      <c r="CN94" s="592"/>
      <c r="CO94" s="592"/>
      <c r="CP94" s="592"/>
      <c r="CQ94" s="592"/>
      <c r="CR94" s="592"/>
      <c r="CS94" s="592"/>
    </row>
    <row r="95" spans="1:97" ht="12.75" customHeight="1">
      <c r="A95" s="374"/>
      <c r="B95" s="374" t="str">
        <f>+'q6.1'!$A$23</f>
        <v>Oeste</v>
      </c>
      <c r="C95" s="385">
        <f>+'q6.1'!$B$23</f>
        <v>12415</v>
      </c>
      <c r="D95" s="385">
        <f>+'q6.1'!$C$23</f>
        <v>12085</v>
      </c>
      <c r="E95" s="385">
        <f>+'q6.1'!$D$23</f>
        <v>12157</v>
      </c>
      <c r="F95" s="385">
        <f>+'q6.1'!$E$23</f>
        <v>12279</v>
      </c>
      <c r="G95" s="385">
        <f>+'q6.1'!$F$23</f>
        <v>12458</v>
      </c>
      <c r="H95" s="385">
        <f>+'q6.1'!$G$23</f>
        <v>12690</v>
      </c>
      <c r="I95" s="385">
        <f>+'q6.1'!$H$23</f>
        <v>12776</v>
      </c>
      <c r="J95" s="385">
        <f>+'q6.1'!$I$23</f>
        <v>12579</v>
      </c>
      <c r="K95" s="385">
        <f>+'q6.1'!$J$23</f>
        <v>12676</v>
      </c>
      <c r="L95" s="385">
        <f>+'q6.1'!$K$23</f>
        <v>12522</v>
      </c>
      <c r="M95" s="385">
        <f>+'q6.1'!$L$23</f>
        <v>13106</v>
      </c>
      <c r="AQ95" s="373" t="s">
        <v>700</v>
      </c>
      <c r="AR95" s="373">
        <f>+$AR$6</f>
        <v>2022</v>
      </c>
      <c r="AV95" s="398"/>
      <c r="AW95" s="398"/>
      <c r="AX95" s="398"/>
      <c r="AY95" s="398"/>
      <c r="AZ95" s="398"/>
      <c r="BM95" s="373" t="s">
        <v>720</v>
      </c>
      <c r="BN95" s="373">
        <f>+$BM$6</f>
        <v>2022</v>
      </c>
      <c r="BR95" s="398"/>
      <c r="BS95" s="592"/>
      <c r="BT95" s="592"/>
      <c r="BU95" s="592"/>
      <c r="BV95" s="592"/>
      <c r="BW95" s="592"/>
      <c r="BX95" s="592"/>
      <c r="BY95" s="592"/>
      <c r="CG95" s="373" t="s">
        <v>722</v>
      </c>
      <c r="CH95" s="373">
        <f>+$CG$6</f>
        <v>2022</v>
      </c>
      <c r="CL95" s="398"/>
      <c r="CM95" s="592"/>
      <c r="CN95" s="592"/>
      <c r="CO95" s="592"/>
      <c r="CP95" s="592"/>
      <c r="CQ95" s="592"/>
      <c r="CR95" s="592"/>
      <c r="CS95" s="592"/>
    </row>
    <row r="96" spans="1:97">
      <c r="A96" s="374"/>
      <c r="B96" s="374" t="str">
        <f>+'q6.1'!$A$24</f>
        <v>Médio Tejo</v>
      </c>
      <c r="C96" s="385">
        <f>+'q6.1'!$B$24</f>
        <v>7519</v>
      </c>
      <c r="D96" s="385">
        <f>+'q6.1'!$C$24</f>
        <v>7290</v>
      </c>
      <c r="E96" s="385">
        <f>+'q6.1'!$D$24</f>
        <v>7236</v>
      </c>
      <c r="F96" s="385">
        <f>+'q6.1'!$E$24</f>
        <v>7301</v>
      </c>
      <c r="G96" s="385">
        <f>+'q6.1'!$F$24</f>
        <v>7236</v>
      </c>
      <c r="H96" s="385">
        <f>+'q6.1'!$G$24</f>
        <v>7229</v>
      </c>
      <c r="I96" s="385">
        <f>+'q6.1'!$H$24</f>
        <v>7144</v>
      </c>
      <c r="J96" s="385">
        <f>+'q6.1'!$I$24</f>
        <v>6955</v>
      </c>
      <c r="K96" s="385">
        <f>+'q6.1'!$J$24</f>
        <v>6887</v>
      </c>
      <c r="L96" s="385">
        <f>+'q6.1'!$K$24</f>
        <v>6863</v>
      </c>
      <c r="M96" s="385">
        <f>+'q6.1'!$L$24</f>
        <v>7027</v>
      </c>
      <c r="AQ96" s="373" t="s">
        <v>711</v>
      </c>
      <c r="AR96" s="373" t="str">
        <f>+$R$4</f>
        <v>Grande Lisboa</v>
      </c>
      <c r="AS96" s="373" t="s">
        <v>712</v>
      </c>
      <c r="AV96" s="398"/>
      <c r="AW96" s="398"/>
      <c r="AX96" s="398"/>
      <c r="AY96" s="398"/>
      <c r="AZ96" s="398"/>
      <c r="BM96" s="373" t="s">
        <v>711</v>
      </c>
      <c r="BN96" s="373" t="str">
        <f>+$R$4</f>
        <v>Grande Lisboa</v>
      </c>
      <c r="BO96" s="373" t="s">
        <v>712</v>
      </c>
      <c r="BR96" s="398"/>
      <c r="BS96" s="398"/>
      <c r="BT96" s="398"/>
      <c r="BU96" s="398"/>
      <c r="BV96" s="398"/>
      <c r="CG96" s="373" t="s">
        <v>711</v>
      </c>
      <c r="CH96" s="373" t="str">
        <f>+$R$4</f>
        <v>Grande Lisboa</v>
      </c>
      <c r="CI96" s="373" t="s">
        <v>712</v>
      </c>
      <c r="CL96" s="398"/>
      <c r="CM96" s="592"/>
      <c r="CN96" s="592"/>
      <c r="CO96" s="592"/>
      <c r="CP96" s="592"/>
      <c r="CQ96" s="592"/>
      <c r="CR96" s="592"/>
      <c r="CS96" s="592"/>
    </row>
    <row r="97" spans="1:97">
      <c r="A97" s="374"/>
      <c r="B97" s="374" t="str">
        <f>+'q6.1'!$A$25</f>
        <v>Lezíria do Tejo</v>
      </c>
      <c r="C97" s="385">
        <f>+'q6.1'!$B$25</f>
        <v>7595</v>
      </c>
      <c r="D97" s="385">
        <f>+'q6.1'!$C$25</f>
        <v>7534</v>
      </c>
      <c r="E97" s="385">
        <f>+'q6.1'!$D$25</f>
        <v>7565</v>
      </c>
      <c r="F97" s="385">
        <f>+'q6.1'!$E$25</f>
        <v>7580</v>
      </c>
      <c r="G97" s="385">
        <f>+'q6.1'!$F$25</f>
        <v>7623</v>
      </c>
      <c r="H97" s="385">
        <f>+'q6.1'!$G$25</f>
        <v>7631</v>
      </c>
      <c r="I97" s="385">
        <f>+'q6.1'!$H$25</f>
        <v>7613</v>
      </c>
      <c r="J97" s="385">
        <f>+'q6.1'!$I$25</f>
        <v>7382</v>
      </c>
      <c r="K97" s="385">
        <f>+'q6.1'!$J$25</f>
        <v>7339</v>
      </c>
      <c r="L97" s="385">
        <f>+'q6.1'!$K$25</f>
        <v>7112</v>
      </c>
      <c r="M97" s="385">
        <f>+'q6.1'!$L$25</f>
        <v>7366</v>
      </c>
      <c r="AQ97" s="373">
        <f>INDEX($AR$38:$AX$44,MATCH($AR$77,$AR$38:$AR$44,0),3)</f>
        <v>68270</v>
      </c>
      <c r="AR97" s="373" t="str">
        <f>TEXT(AQ97,"##.###")</f>
        <v>68.270</v>
      </c>
      <c r="AS97" s="373" t="s">
        <v>575</v>
      </c>
      <c r="AV97" s="398"/>
      <c r="AW97" s="398"/>
      <c r="AX97" s="398"/>
      <c r="AY97" s="398"/>
      <c r="AZ97" s="398"/>
      <c r="BM97" s="373">
        <f>INDEX($BM$38:$BS$44,MATCH($BN$77,$BM$38:$BM$44,0),3)</f>
        <v>875584</v>
      </c>
      <c r="BN97" s="373" t="str">
        <f>TEXT(BM97,"##.###")</f>
        <v>875.584</v>
      </c>
      <c r="BO97" s="373" t="s">
        <v>575</v>
      </c>
      <c r="BR97" s="398"/>
      <c r="BS97" s="398"/>
      <c r="BT97" s="398"/>
      <c r="BU97" s="398"/>
      <c r="BV97" s="398"/>
      <c r="CG97" s="373">
        <f>INDEX($CG$38:$CM$44,MATCH($CH$77,$CG$38:$CG$44,0),3)</f>
        <v>1705.138574047387</v>
      </c>
      <c r="CH97" s="373" t="str">
        <f>TEXT(CG97,"##.###")</f>
        <v>1.705</v>
      </c>
      <c r="CI97" s="373" t="s">
        <v>391</v>
      </c>
      <c r="CL97" s="398"/>
      <c r="CM97" s="398"/>
      <c r="CN97" s="398"/>
      <c r="CO97" s="398"/>
      <c r="CP97" s="398"/>
    </row>
    <row r="98" spans="1:97">
      <c r="A98" s="374"/>
      <c r="B98" s="374" t="str">
        <f>+'q6.1'!$A$26</f>
        <v>Grande Lisboa</v>
      </c>
      <c r="C98" s="385">
        <f>+'q6.1'!$B$26</f>
        <v>65539</v>
      </c>
      <c r="D98" s="385">
        <f>+'q6.1'!$C$26</f>
        <v>64587</v>
      </c>
      <c r="E98" s="385">
        <f>+'q6.1'!$D$26</f>
        <v>65289</v>
      </c>
      <c r="F98" s="385">
        <f>+'q6.1'!$E$26</f>
        <v>65847</v>
      </c>
      <c r="G98" s="385">
        <f>+'q6.1'!$F$26</f>
        <v>66220</v>
      </c>
      <c r="H98" s="385">
        <f>+'q6.1'!$G$26</f>
        <v>66764</v>
      </c>
      <c r="I98" s="385">
        <f>+'q6.1'!$H$26</f>
        <v>67989</v>
      </c>
      <c r="J98" s="385">
        <f>+'q6.1'!$I$26</f>
        <v>66115</v>
      </c>
      <c r="K98" s="385">
        <f>+'q6.1'!$J$26</f>
        <v>67101</v>
      </c>
      <c r="L98" s="385">
        <f>+'q6.1'!$K$26</f>
        <v>64927</v>
      </c>
      <c r="M98" s="385">
        <f>+'q6.1'!$L$26</f>
        <v>68270</v>
      </c>
      <c r="AQ98" s="373">
        <f>INDEX($AR$38:$AX$44,MATCH($AR$77,$AR$38:$AR$44,0),5)</f>
        <v>20.521036542294016</v>
      </c>
      <c r="AR98" s="373" t="str">
        <f>TEXT(AQ98,"##.###,0")</f>
        <v>20,5</v>
      </c>
      <c r="AT98" s="538"/>
      <c r="AU98" s="538"/>
      <c r="AV98" s="398"/>
      <c r="AW98" s="398"/>
      <c r="AX98" s="398"/>
      <c r="AY98" s="398"/>
      <c r="AZ98" s="398"/>
      <c r="BM98" s="373">
        <f>INDEX($BM$38:$BS$44,MATCH($BN$77,$BM$38:$BM$44,0),5)</f>
        <v>27.812678378741531</v>
      </c>
      <c r="BN98" s="373" t="str">
        <f>TEXT(BM98,"##.###,0")</f>
        <v>27,8</v>
      </c>
      <c r="BP98" s="538"/>
      <c r="BQ98" s="538"/>
      <c r="BR98" s="398"/>
      <c r="BS98" s="398"/>
      <c r="BT98" s="398"/>
      <c r="BU98" s="398"/>
      <c r="BV98" s="398"/>
      <c r="CG98" s="373">
        <f>INDEX($CG$38:$CM$44,MATCH($CH$77,$CG$38:$CG$44,0),5)</f>
        <v>24.64506549334391</v>
      </c>
      <c r="CH98" s="373" t="str">
        <f>TEXT(CG98,"##.###,0")</f>
        <v>24,6</v>
      </c>
      <c r="CJ98" s="538"/>
      <c r="CK98" s="538"/>
      <c r="CL98" s="398"/>
      <c r="CM98" s="398"/>
      <c r="CN98" s="398"/>
      <c r="CO98" s="398"/>
      <c r="CP98" s="398"/>
    </row>
    <row r="99" spans="1:97">
      <c r="A99" s="374"/>
      <c r="B99" s="374" t="str">
        <f>+'q6.1'!$A$27</f>
        <v>Península de Setúbal</v>
      </c>
      <c r="C99" s="385">
        <f>+'q6.1'!$B$27</f>
        <v>17029</v>
      </c>
      <c r="D99" s="385">
        <f>+'q6.1'!$C$27</f>
        <v>16429</v>
      </c>
      <c r="E99" s="385">
        <f>+'q6.1'!$D$27</f>
        <v>16417</v>
      </c>
      <c r="F99" s="385">
        <f>+'q6.1'!$E$27</f>
        <v>16509</v>
      </c>
      <c r="G99" s="385">
        <f>+'q6.1'!$F$27</f>
        <v>16639</v>
      </c>
      <c r="H99" s="385">
        <f>+'q6.1'!$G$27</f>
        <v>16803</v>
      </c>
      <c r="I99" s="385">
        <f>+'q6.1'!$H$27</f>
        <v>16960</v>
      </c>
      <c r="J99" s="385">
        <f>+'q6.1'!$I$27</f>
        <v>16656</v>
      </c>
      <c r="K99" s="385">
        <f>+'q6.1'!$J$27</f>
        <v>17101</v>
      </c>
      <c r="L99" s="385">
        <f>+'q6.1'!$K$27</f>
        <v>16860</v>
      </c>
      <c r="M99" s="385">
        <f>+'q6.1'!$L$27</f>
        <v>17786</v>
      </c>
      <c r="AQ99" s="373" t="s">
        <v>716</v>
      </c>
      <c r="AT99" s="538"/>
      <c r="AU99" s="538"/>
      <c r="AV99" s="540" t="s">
        <v>717</v>
      </c>
      <c r="BM99" s="373" t="s">
        <v>716</v>
      </c>
      <c r="BP99" s="538"/>
      <c r="BQ99" s="538"/>
      <c r="BR99" s="540" t="s">
        <v>717</v>
      </c>
      <c r="CG99" s="373" t="s">
        <v>723</v>
      </c>
      <c r="CJ99" s="538"/>
      <c r="CK99" s="538"/>
      <c r="CL99" s="540" t="s">
        <v>717</v>
      </c>
    </row>
    <row r="100" spans="1:97" ht="12.75" customHeight="1">
      <c r="A100" s="374"/>
      <c r="B100" s="374" t="str">
        <f>+'q6.1'!$A$29</f>
        <v>Alentejo Litoral</v>
      </c>
      <c r="C100" s="385">
        <f>+'q6.1'!$B$29</f>
        <v>3048</v>
      </c>
      <c r="D100" s="385">
        <f>+'q6.1'!$C$29</f>
        <v>3087</v>
      </c>
      <c r="E100" s="385">
        <f>+'q6.1'!$D$29</f>
        <v>3079</v>
      </c>
      <c r="F100" s="385">
        <f>+'q6.1'!$E$29</f>
        <v>3085</v>
      </c>
      <c r="G100" s="385">
        <f>+'q6.1'!$F$29</f>
        <v>3145</v>
      </c>
      <c r="H100" s="385">
        <f>+'q6.1'!$G$29</f>
        <v>3176</v>
      </c>
      <c r="I100" s="385">
        <f>+'q6.1'!$H$29</f>
        <v>3187</v>
      </c>
      <c r="J100" s="385">
        <f>+'q6.1'!$I$29</f>
        <v>3177</v>
      </c>
      <c r="K100" s="385">
        <f>+'q6.1'!$J$29</f>
        <v>3249</v>
      </c>
      <c r="L100" s="385">
        <f>+'q6.1'!$K$29</f>
        <v>3219</v>
      </c>
      <c r="M100" s="385">
        <f>+'q6.1'!$L$29</f>
        <v>3368</v>
      </c>
      <c r="AQ100" s="373">
        <f>INDEX($AR$38:$AX$44,MATCH($AR$77,$AR$38:$AR$44,0),7)</f>
        <v>2</v>
      </c>
      <c r="AT100" s="538"/>
      <c r="AU100" s="538"/>
      <c r="AV100" s="591" t="str">
        <f>CONCATENATE(AQ94,CHAR(10),AQ96,AR96,AS96,AR97,AS97,AR98,AQ99,AQ100,AQ101,CHAR(10),AS101,AQ102,AS102,AQ103,AR103,AS103,AR104,AS104,AT104,AU104,AR105,AS105,AT105,AU105,AQ106,AR106,AQ107,AR107,AR108,AS108,AR109,AS109,AT109,AU109)</f>
        <v>ESTABELECIMENTOS
NUTS II Grande Lisboa: 68.270 (20,5% do Continente; 2ª região de 7)
Sub-regiões NUTS III: Máx. da NUTS II - Grande Lisboa - 68.270 (100,0% do Grande Lisboa); Min. da NUTS II - Grande Lisboa - 68.270 (100,0% do Grande Lisboa).</v>
      </c>
      <c r="AW100" s="591"/>
      <c r="AX100" s="591"/>
      <c r="AY100" s="591"/>
      <c r="AZ100" s="591"/>
      <c r="BM100" s="373">
        <f>INDEX($BM$38:$BS$44,MATCH($BN$77,$BM$38:$BM$44,0),7)</f>
        <v>2</v>
      </c>
      <c r="BP100" s="538"/>
      <c r="BQ100" s="538"/>
      <c r="BR100" s="591" t="str">
        <f>CONCATENATE(BM94,CHAR(10),BM96,BN96,BO96,BN97,BO97,BN98,BM99,BM100,BM101,CHAR(10),BO101,BM102,BO102,BM103,BN103,BO103,BN104,BO104,BP104,BQ104,BN105,BO105,BP105,BQ105,BM106,BN106,BM107,BN107,BN108,BO108,BN109,BO109,BP109,BQ109)</f>
        <v>TCO
NUTS II Grande Lisboa: 875.584 (27,8% do Continente; 2ª região de 7)
Sub-regiões NUTS III: Máx. da NUTS II - Grande Lisboa - 875.584 (100,0% do Grande Lisboa); Min. da NUTS II - Grande Lisboa - 875.584 (100,0% do Grande Lisboa).</v>
      </c>
      <c r="BS100" s="591"/>
      <c r="BT100" s="591"/>
      <c r="BU100" s="591"/>
      <c r="BV100" s="591"/>
      <c r="BW100" s="591"/>
      <c r="BX100" s="591"/>
      <c r="CG100" s="373">
        <f>INDEX($CG$38:$CM$44,MATCH($CH$77,$CG$38:$CG$44,0),7)</f>
        <v>1</v>
      </c>
      <c r="CJ100" s="538"/>
      <c r="CK100" s="538"/>
      <c r="CL100" s="591" t="str">
        <f>CONCATENATE(CG94,CHAR(10),CG96,CH96,CI96,CH97,CI97,CH98,CG99,CG100,CG101,CHAR(10),CI101,CG102,CI102,CG103,CH103,CI103,CH104,CI104,CJ104,CK104,CH105,CI105,CJ105,CK105,CG106,CH106,CG107,CH107,CH108,CI108,CH109,CI109,CJ109,CK109)</f>
        <v>REMUNERAÇÃO GANHO
NUTS II Grande Lisboa: 1.705 euros (24,6% que no Continente; 1ª região de 7)
Sub-regiões NUTS III: Máx. da NUTS II - Grande Lisboa - 1.705 euros (+0,0% da NUTS II); Min. da NUTS II - Grande Lisboa - 1.705 euros (,0% da NUTS II).</v>
      </c>
      <c r="CM100" s="591"/>
      <c r="CN100" s="591"/>
      <c r="CO100" s="591"/>
      <c r="CP100" s="591"/>
      <c r="CQ100" s="591"/>
      <c r="CR100" s="591"/>
      <c r="CS100" s="591"/>
    </row>
    <row r="101" spans="1:97">
      <c r="A101" s="374"/>
      <c r="B101" s="374" t="str">
        <f>+'q6.1'!$A$30</f>
        <v>Baixo Alentejo</v>
      </c>
      <c r="C101" s="385">
        <f>+'q6.1'!$B$30</f>
        <v>4008</v>
      </c>
      <c r="D101" s="385">
        <f>+'q6.1'!$C$30</f>
        <v>3977</v>
      </c>
      <c r="E101" s="385">
        <f>+'q6.1'!$D$30</f>
        <v>4090</v>
      </c>
      <c r="F101" s="385">
        <f>+'q6.1'!$E$30</f>
        <v>4123</v>
      </c>
      <c r="G101" s="385">
        <f>+'q6.1'!$F$30</f>
        <v>4152</v>
      </c>
      <c r="H101" s="385">
        <f>+'q6.1'!$G$30</f>
        <v>4217</v>
      </c>
      <c r="I101" s="385">
        <f>+'q6.1'!$H$30</f>
        <v>4208</v>
      </c>
      <c r="J101" s="385">
        <f>+'q6.1'!$I$30</f>
        <v>4100</v>
      </c>
      <c r="K101" s="385">
        <f>+'q6.1'!$J$30</f>
        <v>4108</v>
      </c>
      <c r="L101" s="385">
        <f>+'q6.1'!$K$30</f>
        <v>4065</v>
      </c>
      <c r="M101" s="385">
        <f>+'q6.1'!$L$30</f>
        <v>4263</v>
      </c>
      <c r="AQ101" s="373" t="s">
        <v>703</v>
      </c>
      <c r="AT101" s="538"/>
      <c r="AU101" s="538"/>
      <c r="AV101" s="591"/>
      <c r="AW101" s="591"/>
      <c r="AX101" s="591"/>
      <c r="AY101" s="591"/>
      <c r="AZ101" s="591"/>
      <c r="BM101" s="373" t="s">
        <v>703</v>
      </c>
      <c r="BP101" s="538"/>
      <c r="BQ101" s="538"/>
      <c r="BR101" s="591"/>
      <c r="BS101" s="591"/>
      <c r="BT101" s="591"/>
      <c r="BU101" s="591"/>
      <c r="BV101" s="591"/>
      <c r="BW101" s="591"/>
      <c r="BX101" s="591"/>
      <c r="CG101" s="373" t="s">
        <v>703</v>
      </c>
      <c r="CJ101" s="538"/>
      <c r="CK101" s="538"/>
      <c r="CL101" s="591"/>
      <c r="CM101" s="591"/>
      <c r="CN101" s="591"/>
      <c r="CO101" s="591"/>
      <c r="CP101" s="591"/>
      <c r="CQ101" s="591"/>
      <c r="CR101" s="591"/>
      <c r="CS101" s="591"/>
    </row>
    <row r="102" spans="1:97">
      <c r="A102" s="374"/>
      <c r="B102" s="374" t="str">
        <f>+'q6.1'!$A$31</f>
        <v>Alto Alentejo</v>
      </c>
      <c r="C102" s="385">
        <f>+'q6.1'!$B$31</f>
        <v>3495</v>
      </c>
      <c r="D102" s="385">
        <f>+'q6.1'!$C$31</f>
        <v>3471</v>
      </c>
      <c r="E102" s="385">
        <f>+'q6.1'!$D$31</f>
        <v>3518</v>
      </c>
      <c r="F102" s="385">
        <f>+'q6.1'!$E$31</f>
        <v>3504</v>
      </c>
      <c r="G102" s="385">
        <f>+'q6.1'!$F$31</f>
        <v>3523</v>
      </c>
      <c r="H102" s="385">
        <f>+'q6.1'!$G$31</f>
        <v>3473</v>
      </c>
      <c r="I102" s="385">
        <f>+'q6.1'!$H$31</f>
        <v>3444</v>
      </c>
      <c r="J102" s="385">
        <f>+'q6.1'!$I$31</f>
        <v>3298</v>
      </c>
      <c r="K102" s="385">
        <f>+'q6.1'!$J$31</f>
        <v>3302</v>
      </c>
      <c r="L102" s="385">
        <f>+'q6.1'!$K$31</f>
        <v>3192</v>
      </c>
      <c r="M102" s="385">
        <f>+'q6.1'!$L$31</f>
        <v>3433</v>
      </c>
      <c r="AQ102" s="373" t="s">
        <v>704</v>
      </c>
      <c r="AT102" s="538"/>
      <c r="AU102" s="538"/>
      <c r="AV102" s="591"/>
      <c r="AW102" s="591"/>
      <c r="AX102" s="591"/>
      <c r="AY102" s="591"/>
      <c r="AZ102" s="591"/>
      <c r="BM102" s="373" t="s">
        <v>704</v>
      </c>
      <c r="BP102" s="538"/>
      <c r="BQ102" s="538"/>
      <c r="BR102" s="591"/>
      <c r="BS102" s="591"/>
      <c r="BT102" s="591"/>
      <c r="BU102" s="591"/>
      <c r="BV102" s="591"/>
      <c r="BW102" s="591"/>
      <c r="BX102" s="591"/>
      <c r="CG102" s="373" t="s">
        <v>704</v>
      </c>
      <c r="CJ102" s="538"/>
      <c r="CK102" s="538"/>
      <c r="CL102" s="591"/>
      <c r="CM102" s="591"/>
      <c r="CN102" s="591"/>
      <c r="CO102" s="591"/>
      <c r="CP102" s="591"/>
      <c r="CQ102" s="591"/>
      <c r="CR102" s="591"/>
      <c r="CS102" s="591"/>
    </row>
    <row r="103" spans="1:97">
      <c r="A103" s="374"/>
      <c r="B103" s="374" t="str">
        <f>+'q6.1'!$A$32</f>
        <v>Alentejo Central</v>
      </c>
      <c r="C103" s="385">
        <f>+'q6.1'!$B$32</f>
        <v>5976</v>
      </c>
      <c r="D103" s="385">
        <f>+'q6.1'!$C$32</f>
        <v>5978</v>
      </c>
      <c r="E103" s="385">
        <f>+'q6.1'!$D$32</f>
        <v>6131</v>
      </c>
      <c r="F103" s="385">
        <f>+'q6.1'!$E$32</f>
        <v>6132</v>
      </c>
      <c r="G103" s="385">
        <f>+'q6.1'!$F$32</f>
        <v>6087</v>
      </c>
      <c r="H103" s="385">
        <f>+'q6.1'!$G$32</f>
        <v>6073</v>
      </c>
      <c r="I103" s="385">
        <f>+'q6.1'!$H$32</f>
        <v>6029</v>
      </c>
      <c r="J103" s="385">
        <f>+'q6.1'!$I$32</f>
        <v>5879</v>
      </c>
      <c r="K103" s="385">
        <f>+'q6.1'!$J$32</f>
        <v>5902</v>
      </c>
      <c r="L103" s="385">
        <f>+'q6.1'!$K$32</f>
        <v>5608</v>
      </c>
      <c r="M103" s="385">
        <f>+'q6.1'!$L$32</f>
        <v>6051</v>
      </c>
      <c r="AQ103" s="373" t="str">
        <f>IF($AR$77="Norte",$BF$38,IF($AR$77="Centro",$BF$39,IF($AR$77="Oeste e Vale do Tejo",$BF$40,IF($AR$77="Grande Lisboa",$BF$41,IF($AR$77="Península de Setúbal",$BF$42,IF($AR$77="Alentejo",$BF$43,IF($AR$77="Algarve",$BF$44," ")))))))</f>
        <v>Grande Lisboa</v>
      </c>
      <c r="AR103" s="373" t="s">
        <v>714</v>
      </c>
      <c r="AT103" s="538"/>
      <c r="AU103" s="538"/>
      <c r="AV103" s="591"/>
      <c r="AW103" s="591"/>
      <c r="AX103" s="591"/>
      <c r="AY103" s="591"/>
      <c r="AZ103" s="591"/>
      <c r="BM103" s="373" t="str">
        <f>IF($BN$77="Norte",$CA$38,IF($BN$77="Centro",$CA$39,IF($BN$77="Oeste e Vale do Tejo",$CA$40,IF($BN$77="Grande Lisboa",$CA$41,IF($BN$77="Península de Setúbal",$CA$42,IF($BN$77="Alentejo",$CA$43,IF($BN$77="Algarve",$CA$44," ")))))))</f>
        <v>Grande Lisboa</v>
      </c>
      <c r="BN103" s="373" t="s">
        <v>714</v>
      </c>
      <c r="BP103" s="538"/>
      <c r="BQ103" s="538"/>
      <c r="BR103" s="591"/>
      <c r="BS103" s="591"/>
      <c r="BT103" s="591"/>
      <c r="BU103" s="591"/>
      <c r="BV103" s="591"/>
      <c r="BW103" s="591"/>
      <c r="BX103" s="591"/>
      <c r="CG103" s="373" t="str">
        <f>IF($CH$77="Norte",$CW$38,IF($CH$77="Centro",$CW$39,IF($CH$77="Oeste e Vale do Tejo",$CW$40,IF($CH$77="Grande Lisboa",$CW$41,IF($CH$77="Península de Setúbal",$CW$42,IF($CH$77="Alentejo",$CW$43,IF($CH$77="Algarve",$CW$44," ")))))))</f>
        <v>Grande Lisboa</v>
      </c>
      <c r="CH103" s="373" t="s">
        <v>714</v>
      </c>
      <c r="CJ103" s="538"/>
      <c r="CK103" s="538"/>
      <c r="CL103" s="591"/>
      <c r="CM103" s="591"/>
      <c r="CN103" s="591"/>
      <c r="CO103" s="591"/>
      <c r="CP103" s="591"/>
      <c r="CQ103" s="591"/>
      <c r="CR103" s="591"/>
      <c r="CS103" s="591"/>
    </row>
    <row r="104" spans="1:97">
      <c r="A104" s="374"/>
      <c r="B104" s="374" t="str">
        <f>+'q6.1'!$A$33</f>
        <v>Algarve</v>
      </c>
      <c r="C104" s="385">
        <f>+'q6.1'!$B$33</f>
        <v>18829</v>
      </c>
      <c r="D104" s="385">
        <f>+'q6.1'!$C$33</f>
        <v>18636</v>
      </c>
      <c r="E104" s="385">
        <f>+'q6.1'!$D$33</f>
        <v>19056</v>
      </c>
      <c r="F104" s="385">
        <f>+'q6.1'!$E$33</f>
        <v>19415</v>
      </c>
      <c r="G104" s="385">
        <f>+'q6.1'!$F$33</f>
        <v>19902</v>
      </c>
      <c r="H104" s="385">
        <f>+'q6.1'!$G$33</f>
        <v>20073</v>
      </c>
      <c r="I104" s="385">
        <f>+'q6.1'!$H$33</f>
        <v>20768</v>
      </c>
      <c r="J104" s="385">
        <f>+'q6.1'!$I$33</f>
        <v>20888</v>
      </c>
      <c r="K104" s="385">
        <f>+'q6.1'!$J$33</f>
        <v>20366</v>
      </c>
      <c r="L104" s="385">
        <f>+'q6.1'!$K$33</f>
        <v>19836</v>
      </c>
      <c r="M104" s="385">
        <f>+'q6.1'!$L$33</f>
        <v>20699</v>
      </c>
      <c r="AQ104" s="373">
        <f>IF($AR$77="Norte",$BE$38,IF($AR$77="Centro",$BE$39,IF($AR$77="Oeste e Vale do Tejo",$BE$40,IF($AR$77="Grande Lisboa",$BE$41,IF($AR$77="Península de Setúbal",$BE$42,IF($AR$77="Alentejo",$BE$43,IF($AR$77="Algarve",$BE$44," ")))))))</f>
        <v>68270</v>
      </c>
      <c r="AR104" s="373" t="str">
        <f>TEXT(AQ104,"##.###")</f>
        <v>68.270</v>
      </c>
      <c r="AS104" s="373" t="s">
        <v>575</v>
      </c>
      <c r="AT104" s="538"/>
      <c r="AU104" s="538"/>
      <c r="BM104" s="373">
        <f>IF($BN$77="Norte",$BZ$38,IF($BN$77="Centro",$BZ$39,IF($BN$77="Oeste e Vale do Tejo",$BZ$40,IF($BN$77="Grande Lisboa",$BZ$41,IF($BN$77="Península de Setúbal",$BZ$42,IF($BN$77="Alentejo",$BZ$43,IF($BN$77="Algarve",$BZ$44," ")))))))</f>
        <v>875584</v>
      </c>
      <c r="BN104" s="373" t="str">
        <f>TEXT(BM104,"##.###")</f>
        <v>875.584</v>
      </c>
      <c r="BO104" s="373" t="s">
        <v>575</v>
      </c>
      <c r="BP104" s="538"/>
      <c r="BQ104" s="538"/>
      <c r="CG104" s="373">
        <f>IF($CH$77="Norte",$CV$38,IF($CH$77="Centro",$CV$39,IF($CH$77="Oeste e Vale do Tejo",$CV$40,IF($CH$77="Grande Lisboa",$CV$41,IF($CH$77="Península de Setúbal",$CV$42,IF($CH$77="Alentejo",$CV$43,IF($CH$77="Algarve",$CV$44," ")))))))</f>
        <v>1705.138574047387</v>
      </c>
      <c r="CH104" s="373" t="str">
        <f>TEXT(CG104,"##.###")</f>
        <v>1.705</v>
      </c>
      <c r="CI104" s="373" t="s">
        <v>391</v>
      </c>
      <c r="CJ104" s="538"/>
      <c r="CK104" s="538"/>
    </row>
    <row r="105" spans="1:97">
      <c r="B105" s="374" t="s">
        <v>14</v>
      </c>
      <c r="C105" s="385">
        <f>+'q6.1'!$B$5</f>
        <v>319177</v>
      </c>
      <c r="D105" s="385">
        <f>+'q6.1'!$C$5</f>
        <v>315112</v>
      </c>
      <c r="E105" s="385">
        <f>+'q6.1'!$D$5</f>
        <v>318886</v>
      </c>
      <c r="F105" s="385">
        <f>+'q6.1'!$E$5</f>
        <v>321500</v>
      </c>
      <c r="G105" s="385">
        <f>+'q6.1'!$F$5</f>
        <v>324933</v>
      </c>
      <c r="H105" s="385">
        <f>+'q6.1'!$G$5</f>
        <v>327295</v>
      </c>
      <c r="I105" s="385">
        <f>+'q6.1'!$H$5</f>
        <v>330668</v>
      </c>
      <c r="J105" s="385">
        <f>+'q6.1'!$I$5</f>
        <v>322978</v>
      </c>
      <c r="K105" s="385">
        <f>+'q6.1'!$J$5</f>
        <v>324959</v>
      </c>
      <c r="L105" s="385">
        <f>+'q6.1'!$K$5</f>
        <v>318254</v>
      </c>
      <c r="M105" s="385">
        <f>+'q6.1'!$L$5</f>
        <v>332683</v>
      </c>
      <c r="AQ105" s="373">
        <f>IF($AR$77="Norte",$BG$38,IF($AR$77="Centro",$BG$39,IF($AR$77="Oeste e Vale do Tejo",$BG$40,IF($AR$77="Grande Lisboa",$BG$41,IF($AR$77="Península de Setúbal",$BG$42,IF($AR$77="Alentejo",$BG$43,IF($AR$77="Algarve",$BG$44," ")))))))</f>
        <v>100</v>
      </c>
      <c r="AR105" s="373" t="str">
        <f>TEXT(AQ105,"##.###,0")</f>
        <v>100,0</v>
      </c>
      <c r="AS105" s="373" t="s">
        <v>715</v>
      </c>
      <c r="AT105" s="373" t="str">
        <f>+AR96</f>
        <v>Grande Lisboa</v>
      </c>
      <c r="AU105" s="373" t="s">
        <v>713</v>
      </c>
      <c r="AV105" s="393" t="s">
        <v>718</v>
      </c>
      <c r="BM105" s="373">
        <f>IF($BN$77="Norte",$BV$38,IF($BN$77="Centro",$BV$39,IF($BN$77="Oeste e Vale do Tejo",$BV$40,IF($BN$77="Grande Lisboa",$BV$41,IF($BN$77="Península de Setúbal",$BV$42,IF($BN$77="Alentejo",$BV$43,IF($BN$77="Algarve",$BV$44," ")))))))</f>
        <v>100</v>
      </c>
      <c r="BN105" s="373" t="str">
        <f>TEXT(BM105,"##.###,0")</f>
        <v>100,0</v>
      </c>
      <c r="BO105" s="373" t="s">
        <v>715</v>
      </c>
      <c r="BP105" s="373" t="str">
        <f>+BN96</f>
        <v>Grande Lisboa</v>
      </c>
      <c r="BQ105" s="373" t="s">
        <v>713</v>
      </c>
      <c r="BR105" s="393" t="s">
        <v>718</v>
      </c>
      <c r="CG105" s="373">
        <f>IF($CH$77="Norte",$CX$38,IF($CH$77="Centro",$CX$39,IF($CH$77="Oeste e Vale do Tejo",$CX$40,IF($CH$77="Grande Lisboa",$CX$41,IF($CH$77="Península de Setúbal",$CX$42,IF($CH$77="Alentejo",$CX$43,IF($CH$77="Algarve",$CX$44," ")))))))</f>
        <v>0</v>
      </c>
      <c r="CH105" s="373" t="str">
        <f>TEXT(CG105,"+##.##0,0")</f>
        <v>+0,0</v>
      </c>
      <c r="CI105" s="373" t="s">
        <v>725</v>
      </c>
      <c r="CJ105" s="373" t="s">
        <v>677</v>
      </c>
      <c r="CK105" s="373" t="s">
        <v>713</v>
      </c>
      <c r="CL105" s="393" t="s">
        <v>718</v>
      </c>
    </row>
    <row r="106" spans="1:97">
      <c r="AQ106" s="373" t="s">
        <v>709</v>
      </c>
      <c r="AR106" s="373" t="s">
        <v>714</v>
      </c>
      <c r="BM106" s="373" t="s">
        <v>709</v>
      </c>
      <c r="BN106" s="373" t="s">
        <v>714</v>
      </c>
      <c r="CG106" s="373" t="s">
        <v>709</v>
      </c>
      <c r="CH106" s="373" t="s">
        <v>714</v>
      </c>
    </row>
    <row r="107" spans="1:97" ht="12.75" customHeight="1">
      <c r="AQ107" s="373" t="str">
        <f>IF($AR$77="Norte",$BI$38,IF($AR$77="Centro",$BI$39,IF($AR$77="Oeste e Vale do Tejo",$BI$40,IF($AR$77="Grande Lisboa",$BI$41,IF($AR$77="Península de Setúbal",$BI$42,IF($AR$77="Alentejo",$BI$43,IF($AR$77="Algarve",$BI$44," ")))))))</f>
        <v>Grande Lisboa</v>
      </c>
      <c r="AR107" s="373" t="s">
        <v>714</v>
      </c>
      <c r="AV107" s="590" t="str">
        <f>CONCATENATE(AQ94,CHAR(10),AQ96,AR96,AS96,AR97,AS97,AR98,AQ99,AQ100,AQ101,CHAR(10),"Esta NUTS II coincide com a NUTS III.")</f>
        <v>ESTABELECIMENTOS
NUTS II Grande Lisboa: 68.270 (20,5% do Continente; 2ª região de 7)
Esta NUTS II coincide com a NUTS III.</v>
      </c>
      <c r="AW107" s="590"/>
      <c r="AX107" s="590"/>
      <c r="AY107" s="590"/>
      <c r="AZ107" s="590"/>
      <c r="BM107" s="373" t="str">
        <f>IF($BN$77="Norte",$CD$38,IF($BN$77="Centro",$CD$39,IF($BN$77="Oeste e Vale do Tejo",$CD$40,IF($BN$77="Grande Lisboa",$CD$41,IF($BN$77="Península de Setúbal",$CD$42,IF($BN$77="Alentejo",$CD$43,IF($BN$77="Algarve",$CD$44," ")))))))</f>
        <v>Grande Lisboa</v>
      </c>
      <c r="BN107" s="373" t="s">
        <v>714</v>
      </c>
      <c r="BR107" s="590" t="str">
        <f>CONCATENATE(BM94,CHAR(10),BM96,BN96,BO96,BN97,BO97,BN98,BM99,BM100,BM101,CHAR(10),"Esta NUTS II coincide com a NUTS III.")</f>
        <v>TCO
NUTS II Grande Lisboa: 875.584 (27,8% do Continente; 2ª região de 7)
Esta NUTS II coincide com a NUTS III.</v>
      </c>
      <c r="BS107" s="590"/>
      <c r="BT107" s="590"/>
      <c r="BU107" s="590"/>
      <c r="BV107" s="590"/>
      <c r="CG107" s="373" t="str">
        <f>IF($CH$77="Norte",$CZ$38,IF($CH$77="Centro",$CZ$39,IF($CH$77="Oeste e Vale do Tejo",$CZ$40,IF($CH$77="Grande Lisboa",$CZ$41,IF($CH$77="Península de Setúbal",$CZ$42,IF($CH$77="Alentejo",$CZ$43,IF($CH$77="Algarve",$CZ$44," ")))))))</f>
        <v>Grande Lisboa</v>
      </c>
      <c r="CH107" s="373" t="s">
        <v>714</v>
      </c>
      <c r="CL107" s="590" t="str">
        <f>CONCATENATE(CG94,CHAR(10),CG96,CH96,CI96,CH97,CI97,CH98,CG99,CG100,CG101,CHAR(10),"Esta NUTS II coincide com a NUTS III.")</f>
        <v>REMUNERAÇÃO GANHO
NUTS II Grande Lisboa: 1.705 euros (24,6% que no Continente; 1ª região de 7)
Esta NUTS II coincide com a NUTS III.</v>
      </c>
      <c r="CM107" s="590"/>
      <c r="CN107" s="590"/>
      <c r="CO107" s="590"/>
      <c r="CP107" s="590"/>
    </row>
    <row r="108" spans="1:97">
      <c r="AQ108" s="373">
        <f>IF($AR$77="Norte",$BH$38,IF($AR$77="Centro",$BH$39,IF($AR$77="Oeste e Vale do Tejo",$BH$40,IF($AR$77="Grande Lisboa",$BH$41,IF($AR$77="Península de Setúbal",$BH$42,IF($AR$77="Alentejo",$BH$43,IF($AR$77="Algarve",$BH$44," ")))))))</f>
        <v>68270</v>
      </c>
      <c r="AR108" s="373" t="str">
        <f>TEXT(AQ108,"##.###")</f>
        <v>68.270</v>
      </c>
      <c r="AS108" s="373" t="s">
        <v>575</v>
      </c>
      <c r="AV108" s="590"/>
      <c r="AW108" s="590"/>
      <c r="AX108" s="590"/>
      <c r="AY108" s="590"/>
      <c r="AZ108" s="590"/>
      <c r="BM108" s="373">
        <f>IF($BN$77="Norte",$CC$38,IF($BN$77="Centro",$CC$39,IF($BN$77="Oeste e Vale do Tejo",$CC$40,IF($BN$77="Grande Lisboa",$CC$41,IF($BN$77="Península de Setúbal",$CC$42,IF($BN$77="Alentejo",$CC$43,IF($BN$77="Algarve",$CC$44," ")))))))</f>
        <v>875584</v>
      </c>
      <c r="BN108" s="373" t="str">
        <f>TEXT(BM108,"##.###")</f>
        <v>875.584</v>
      </c>
      <c r="BO108" s="373" t="s">
        <v>575</v>
      </c>
      <c r="BR108" s="590"/>
      <c r="BS108" s="590"/>
      <c r="BT108" s="590"/>
      <c r="BU108" s="590"/>
      <c r="BV108" s="590"/>
      <c r="CG108" s="373">
        <f>IF($CH$77="Norte",$CY$38,IF($CH$77="Centro",$CY$39,IF($CH$77="Oeste e Vale do Tejo",$CY$40,IF($CH$77="Grande Lisboa",$CY$41,IF($CH$77="Península de Setúbal",$CY$42,IF($CH$77="Alentejo",$CY$43,IF($CH$77="Algarve",$CY$44," ")))))))</f>
        <v>1705.138574047387</v>
      </c>
      <c r="CH108" s="373" t="str">
        <f>TEXT(CG108,"##.###")</f>
        <v>1.705</v>
      </c>
      <c r="CI108" s="373" t="s">
        <v>391</v>
      </c>
      <c r="CL108" s="590"/>
      <c r="CM108" s="590"/>
      <c r="CN108" s="590"/>
      <c r="CO108" s="590"/>
      <c r="CP108" s="590"/>
    </row>
    <row r="109" spans="1:97">
      <c r="A109" s="374" t="s">
        <v>690</v>
      </c>
      <c r="D109" s="375"/>
      <c r="AQ109" s="373">
        <f>IF($AR$77="Norte",$BJ$38,IF($AR$77="Centro",$BJ$39,IF($AR$77="Oeste e Vale do Tejo",$BJ$40,IF($AR$77="Grande Lisboa",$BJ$41,IF($AR$77="Península de Setúbal",$BJ$42,IF($AR$77="Alentejo",$BJ$43,IF($AR$77="Algarve",$BJ$44," ")))))))</f>
        <v>100</v>
      </c>
      <c r="AR109" s="373" t="str">
        <f>TEXT(AQ109,"##.###,0")</f>
        <v>100,0</v>
      </c>
      <c r="AS109" s="373" t="s">
        <v>715</v>
      </c>
      <c r="AT109" s="373" t="str">
        <f>+AR96</f>
        <v>Grande Lisboa</v>
      </c>
      <c r="AU109" s="373" t="s">
        <v>505</v>
      </c>
      <c r="AV109" s="590"/>
      <c r="AW109" s="590"/>
      <c r="AX109" s="590"/>
      <c r="AY109" s="590"/>
      <c r="AZ109" s="590"/>
      <c r="BM109" s="373">
        <f>IF($BN$77="Norte",$CE$38,IF($BN$77="Centro",$CE$39,IF($BN$77="Oeste e Vale do Tejo",$CE$40,IF($BN$77="Grande Lisboa",$CE$41,IF($BN$77="Península de Setúbal",$CE$42,IF($BN$77="Alentejo",$CE$43,IF($BN$77="Algarve",$CE$44," ")))))))</f>
        <v>100</v>
      </c>
      <c r="BN109" s="373" t="str">
        <f>TEXT(BM109,"##.###,0")</f>
        <v>100,0</v>
      </c>
      <c r="BO109" s="373" t="s">
        <v>715</v>
      </c>
      <c r="BP109" s="373" t="str">
        <f>+BN96</f>
        <v>Grande Lisboa</v>
      </c>
      <c r="BQ109" s="373" t="s">
        <v>505</v>
      </c>
      <c r="BR109" s="590"/>
      <c r="BS109" s="590"/>
      <c r="BT109" s="590"/>
      <c r="BU109" s="590"/>
      <c r="BV109" s="590"/>
      <c r="CG109" s="373">
        <f>IF($CH$77="Norte",$DA$38,IF($CH$77="Centro",$DA$39,IF($CH$77="Oeste e Vale do Tejo",$DA$40,IF($CH$77="Grande Lisboa",$DA$41,IF($CH$77="Península de Setúbal",$DA$42,IF($CH$77="Alentejo",$DA$43,IF($CH$77="Algarve",$DA$44," ")))))))</f>
        <v>0</v>
      </c>
      <c r="CH109" s="373" t="str">
        <f>TEXT(CG109,"##.###,0")</f>
        <v>,0</v>
      </c>
      <c r="CI109" s="373" t="s">
        <v>725</v>
      </c>
      <c r="CJ109" s="373" t="s">
        <v>677</v>
      </c>
      <c r="CK109" s="373" t="s">
        <v>505</v>
      </c>
      <c r="CL109" s="590"/>
      <c r="CM109" s="590"/>
      <c r="CN109" s="590"/>
      <c r="CO109" s="590"/>
      <c r="CP109" s="590"/>
    </row>
    <row r="110" spans="1:97">
      <c r="A110" s="490" t="s">
        <v>265</v>
      </c>
      <c r="C110" s="374">
        <f>+'q9.1'!$B$4</f>
        <v>2012</v>
      </c>
      <c r="D110" s="374">
        <f>+'q9.1'!$C$4</f>
        <v>2013</v>
      </c>
      <c r="E110" s="374">
        <f>+'q9.1'!$D$4</f>
        <v>2014</v>
      </c>
      <c r="F110" s="374">
        <f>+'q9.1'!$E$4</f>
        <v>2015</v>
      </c>
      <c r="G110" s="374">
        <f>+'q9.1'!$F$4</f>
        <v>2016</v>
      </c>
      <c r="H110" s="374">
        <f>+'q9.1'!$G$4</f>
        <v>2017</v>
      </c>
      <c r="I110" s="374">
        <f>+'q9.1'!$H$4</f>
        <v>2018</v>
      </c>
      <c r="J110" s="374">
        <f>+'q9.1'!$I$4</f>
        <v>2019</v>
      </c>
      <c r="K110" s="374">
        <f>+'q9.1'!$J$4</f>
        <v>2020</v>
      </c>
      <c r="L110" s="374">
        <f>+'q9.1'!$K$4</f>
        <v>2021</v>
      </c>
      <c r="M110" s="374">
        <f>+'q9.1'!$L$4</f>
        <v>2022</v>
      </c>
      <c r="AU110" s="398"/>
      <c r="AV110" s="398"/>
      <c r="AW110" s="398"/>
      <c r="AX110" s="398"/>
      <c r="AY110" s="398"/>
      <c r="AZ110" s="398"/>
      <c r="BQ110" s="398"/>
      <c r="BR110" s="398"/>
      <c r="BS110" s="398"/>
      <c r="BT110" s="398"/>
      <c r="BU110" s="398"/>
      <c r="BV110" s="398"/>
      <c r="CL110" s="398"/>
      <c r="CM110" s="398"/>
      <c r="CN110" s="398"/>
      <c r="CO110" s="398"/>
      <c r="CP110" s="398"/>
    </row>
    <row r="111" spans="1:97">
      <c r="A111" s="374" t="s">
        <v>677</v>
      </c>
      <c r="B111" s="374" t="str">
        <f>+'q9.1'!$A$6</f>
        <v>Norte</v>
      </c>
      <c r="C111" s="385">
        <f>+'q9.1'!$B$6</f>
        <v>932602.99999999977</v>
      </c>
      <c r="D111" s="385">
        <f>+'q9.1'!$C$6</f>
        <v>933126.00000000012</v>
      </c>
      <c r="E111" s="385">
        <f>+'q9.1'!$D$6</f>
        <v>966786.99999999988</v>
      </c>
      <c r="F111" s="385">
        <f>+'q9.1'!$E$6</f>
        <v>1002830.9999999999</v>
      </c>
      <c r="G111" s="385">
        <f>+'q9.1'!$F$6</f>
        <v>1038348.9999999998</v>
      </c>
      <c r="H111" s="385">
        <f>+'q9.1'!$G$6</f>
        <v>1090049.0000000002</v>
      </c>
      <c r="I111" s="385">
        <f>+'q9.1'!$H$6</f>
        <v>1119718.0000000005</v>
      </c>
      <c r="J111" s="385">
        <f>+'q9.1'!$I$6</f>
        <v>1132969.9999999998</v>
      </c>
      <c r="K111" s="385">
        <f>+'q9.1'!$J$6</f>
        <v>1127589.9999999998</v>
      </c>
      <c r="L111" s="385">
        <f>+'q9.1'!$K$6</f>
        <v>1137435.9999999998</v>
      </c>
      <c r="M111" s="385">
        <f>+'q9.1'!$L$6</f>
        <v>1215310.0000000002</v>
      </c>
      <c r="AU111" s="398"/>
      <c r="AV111" s="398"/>
      <c r="AW111" s="398"/>
      <c r="AX111" s="398"/>
      <c r="AY111" s="398"/>
      <c r="AZ111" s="398"/>
      <c r="BQ111" s="398"/>
      <c r="BR111" s="398"/>
      <c r="BS111" s="398"/>
      <c r="BT111" s="398"/>
      <c r="BU111" s="398"/>
      <c r="BV111" s="398"/>
      <c r="CL111" s="398"/>
      <c r="CM111" s="398"/>
      <c r="CN111" s="398"/>
      <c r="CO111" s="398"/>
      <c r="CP111" s="398"/>
    </row>
    <row r="112" spans="1:97">
      <c r="A112" s="374"/>
      <c r="B112" s="374" t="str">
        <f>+'q9.1'!$A$15</f>
        <v>Centro</v>
      </c>
      <c r="C112" s="385">
        <f>+'q9.1'!$B$15</f>
        <v>407599.00000000006</v>
      </c>
      <c r="D112" s="385">
        <f>+'q9.1'!$C$15</f>
        <v>405897.00000000029</v>
      </c>
      <c r="E112" s="385">
        <f>+'q9.1'!$D$15</f>
        <v>416808.00000000023</v>
      </c>
      <c r="F112" s="385">
        <f>+'q9.1'!$E$15</f>
        <v>426185</v>
      </c>
      <c r="G112" s="385">
        <f>+'q9.1'!$F$15</f>
        <v>438938.99999999994</v>
      </c>
      <c r="H112" s="385">
        <f>+'q9.1'!$G$15</f>
        <v>455651.00000000006</v>
      </c>
      <c r="I112" s="385">
        <f>+'q9.1'!$H$15</f>
        <v>471228.00000000006</v>
      </c>
      <c r="J112" s="385">
        <f>+'q9.1'!$I$15</f>
        <v>474235.00000000012</v>
      </c>
      <c r="K112" s="385">
        <f>+'q9.1'!$J$15</f>
        <v>476406.00000000023</v>
      </c>
      <c r="L112" s="385">
        <f>+'q9.1'!$K$15</f>
        <v>477289.00000000006</v>
      </c>
      <c r="M112" s="385">
        <f>+'q9.1'!$L$15</f>
        <v>506309.99999999988</v>
      </c>
      <c r="AU112" s="398"/>
      <c r="AV112" s="398"/>
      <c r="AW112" s="373" t="str">
        <f>IF($AR$77="Norte",$AV$100,IF($AR$77="Centro",$AV$100,IF($AR$77="Oeste e Vale do Tejo",$AV$100,IF($AR$77="Alentejo",$AV$100,$AV$107))))</f>
        <v>ESTABELECIMENTOS
NUTS II Grande Lisboa: 68.270 (20,5% do Continente; 2ª região de 7)
Esta NUTS II coincide com a NUTS III.</v>
      </c>
      <c r="AX112" s="398"/>
      <c r="AY112" s="398"/>
      <c r="AZ112" s="398"/>
      <c r="BQ112" s="398"/>
      <c r="BR112" s="398"/>
      <c r="BS112" s="373" t="str">
        <f>IF($BN$77="Norte",$BR$100,IF($BN$77="Centro",$BR$100,IF($BN$77="Oeste e Vale do Tejo",$BR$100,IF($BN$77="Alentejo",$BR$100,$BR$107))))</f>
        <v>TCO
NUTS II Grande Lisboa: 875.584 (27,8% do Continente; 2ª região de 7)
Esta NUTS II coincide com a NUTS III.</v>
      </c>
      <c r="BT112" s="398"/>
      <c r="BU112" s="398"/>
      <c r="BV112" s="398"/>
      <c r="CL112" s="398"/>
      <c r="CM112" s="373" t="str">
        <f>IF($CH$77="Norte",$CL$100,IF($CH$77="Centro",$CL$100,IF($CH$77="Oeste e Vale do Tejo",$CL$100,IF($CH$77="Alentejo",$CL$100,$CL$107))))</f>
        <v>REMUNERAÇÃO GANHO
NUTS II Grande Lisboa: 1.705 euros (24,6% que no Continente; 1ª região de 7)
Esta NUTS II coincide com a NUTS III.</v>
      </c>
      <c r="CN112" s="398"/>
      <c r="CO112" s="398"/>
      <c r="CP112" s="398"/>
    </row>
    <row r="113" spans="1:93">
      <c r="A113" s="374"/>
      <c r="B113" s="374" t="str">
        <f>+'q9.1'!$A$22</f>
        <v>Oeste e Vale do Tejo</v>
      </c>
      <c r="C113" s="385">
        <f>+'q9.1'!$B$22</f>
        <v>185417.99999999991</v>
      </c>
      <c r="D113" s="385">
        <f>+'q9.1'!$C$22</f>
        <v>181980.00000000003</v>
      </c>
      <c r="E113" s="385">
        <f>+'q9.1'!$D$22</f>
        <v>187163.99999999997</v>
      </c>
      <c r="F113" s="385">
        <f>+'q9.1'!$E$22</f>
        <v>191426.99999999997</v>
      </c>
      <c r="G113" s="385">
        <f>+'q9.1'!$F$22</f>
        <v>195958</v>
      </c>
      <c r="H113" s="385">
        <f>+'q9.1'!$G$22</f>
        <v>207117.99999999994</v>
      </c>
      <c r="I113" s="385">
        <f>+'q9.1'!$H$22</f>
        <v>218361</v>
      </c>
      <c r="J113" s="385">
        <f>+'q9.1'!$I$22</f>
        <v>222503.00000000012</v>
      </c>
      <c r="K113" s="385">
        <f>+'q9.1'!$J$22</f>
        <v>222503</v>
      </c>
      <c r="L113" s="385">
        <f>+'q9.1'!$K$22</f>
        <v>220224.99999999991</v>
      </c>
      <c r="M113" s="385">
        <f>+'q9.1'!$L$22</f>
        <v>233662.99999999994</v>
      </c>
      <c r="AU113" s="398"/>
      <c r="AV113" s="398"/>
      <c r="AW113" s="398"/>
      <c r="AX113" s="398"/>
      <c r="AY113" s="398"/>
      <c r="AZ113" s="398"/>
    </row>
    <row r="114" spans="1:93">
      <c r="A114" s="374"/>
      <c r="B114" s="374" t="str">
        <f>+'q9.1'!$A$26</f>
        <v>Grande Lisboa</v>
      </c>
      <c r="C114" s="385">
        <f>+'q9.1'!$B$26</f>
        <v>688888.00000000012</v>
      </c>
      <c r="D114" s="385">
        <f>+'q9.1'!$C$26</f>
        <v>692704</v>
      </c>
      <c r="E114" s="385">
        <f>+'q9.1'!$D$26</f>
        <v>715126</v>
      </c>
      <c r="F114" s="385">
        <f>+'q9.1'!$E$26</f>
        <v>730551</v>
      </c>
      <c r="G114" s="385">
        <f>+'q9.1'!$F$26</f>
        <v>765222</v>
      </c>
      <c r="H114" s="385">
        <f>+'q9.1'!$G$26</f>
        <v>790694</v>
      </c>
      <c r="I114" s="385">
        <f>+'q9.1'!$H$26</f>
        <v>826919</v>
      </c>
      <c r="J114" s="385">
        <f>+'q9.1'!$I$26</f>
        <v>845336</v>
      </c>
      <c r="K114" s="385">
        <f>+'q9.1'!$J$26</f>
        <v>835460</v>
      </c>
      <c r="L114" s="385">
        <f>+'q9.1'!$K$26</f>
        <v>838586</v>
      </c>
      <c r="M114" s="385">
        <f>+'q9.1'!$L$26</f>
        <v>915180</v>
      </c>
      <c r="AW114" s="398"/>
    </row>
    <row r="115" spans="1:93">
      <c r="A115" s="374"/>
      <c r="B115" s="374" t="str">
        <f>+'q9.1'!$A$27</f>
        <v>Península de Setúbal</v>
      </c>
      <c r="C115" s="385">
        <f>+'q9.1'!$B$27</f>
        <v>129973</v>
      </c>
      <c r="D115" s="385">
        <f>+'q9.1'!$C$27</f>
        <v>128055</v>
      </c>
      <c r="E115" s="385">
        <f>+'q9.1'!$D$27</f>
        <v>129592</v>
      </c>
      <c r="F115" s="385">
        <f>+'q9.1'!$E$27</f>
        <v>132359</v>
      </c>
      <c r="G115" s="385">
        <f>+'q9.1'!$F$27</f>
        <v>135968</v>
      </c>
      <c r="H115" s="385">
        <f>+'q9.1'!$G$27</f>
        <v>143619</v>
      </c>
      <c r="I115" s="385">
        <f>+'q9.1'!$H$27</f>
        <v>152137</v>
      </c>
      <c r="J115" s="385">
        <f>+'q9.1'!$I$27</f>
        <v>155943</v>
      </c>
      <c r="K115" s="385">
        <f>+'q9.1'!$J$27</f>
        <v>156000</v>
      </c>
      <c r="L115" s="385">
        <f>+'q9.1'!$K$27</f>
        <v>157437</v>
      </c>
      <c r="M115" s="385">
        <f>+'q9.1'!$L$27</f>
        <v>168606.00000000003</v>
      </c>
      <c r="AR115" s="374"/>
    </row>
    <row r="116" spans="1:93">
      <c r="A116" s="374"/>
      <c r="B116" s="374" t="str">
        <f>+'q9.1'!$A$28</f>
        <v>Alentejo</v>
      </c>
      <c r="C116" s="385">
        <f>+'q9.1'!$B$28</f>
        <v>100397</v>
      </c>
      <c r="D116" s="385">
        <f>+'q9.1'!$C$28</f>
        <v>99741.999999999971</v>
      </c>
      <c r="E116" s="385">
        <f>+'q9.1'!$D$28</f>
        <v>101944.99999999997</v>
      </c>
      <c r="F116" s="385">
        <f>+'q9.1'!$E$28</f>
        <v>105678.00000000003</v>
      </c>
      <c r="G116" s="385">
        <f>+'q9.1'!$F$28</f>
        <v>109694</v>
      </c>
      <c r="H116" s="385">
        <f>+'q9.1'!$G$28</f>
        <v>114002.00000000001</v>
      </c>
      <c r="I116" s="385">
        <f>+'q9.1'!$H$28</f>
        <v>117709.00000000001</v>
      </c>
      <c r="J116" s="385">
        <f>+'q9.1'!$I$28</f>
        <v>119673.99999999999</v>
      </c>
      <c r="K116" s="385">
        <f>+'q9.1'!$J$28</f>
        <v>122938.99999999997</v>
      </c>
      <c r="L116" s="385">
        <f>+'q9.1'!$K$28</f>
        <v>122965.99999999997</v>
      </c>
      <c r="M116" s="385">
        <f>+'q9.1'!$L$28</f>
        <v>132510.00000000003</v>
      </c>
      <c r="AU116" s="398"/>
      <c r="AV116" s="398"/>
      <c r="AW116" s="398"/>
      <c r="AX116" s="398"/>
      <c r="AY116" s="398"/>
      <c r="AZ116" s="398"/>
    </row>
    <row r="117" spans="1:93">
      <c r="A117" s="374"/>
      <c r="B117" s="374" t="str">
        <f>+'q9.1'!$A$33</f>
        <v>Algarve</v>
      </c>
      <c r="C117" s="385">
        <f>+'q9.1'!$B$33</f>
        <v>114854</v>
      </c>
      <c r="D117" s="385">
        <f>+'q9.1'!$C$33</f>
        <v>114172.00000000001</v>
      </c>
      <c r="E117" s="385">
        <f>+'q9.1'!$D$33</f>
        <v>119459</v>
      </c>
      <c r="F117" s="385">
        <f>+'q9.1'!$E$33</f>
        <v>126979.99999999999</v>
      </c>
      <c r="G117" s="385">
        <f>+'q9.1'!$F$33</f>
        <v>135848.00000000003</v>
      </c>
      <c r="H117" s="385">
        <f>+'q9.1'!$G$33</f>
        <v>145770.00000000003</v>
      </c>
      <c r="I117" s="385">
        <f>+'q9.1'!$H$33</f>
        <v>154417</v>
      </c>
      <c r="J117" s="385">
        <f>+'q9.1'!$I$33</f>
        <v>160288</v>
      </c>
      <c r="K117" s="385">
        <f>+'q9.1'!$J$33</f>
        <v>144667.99999999997</v>
      </c>
      <c r="L117" s="385">
        <f>+'q9.1'!$K$33</f>
        <v>148406</v>
      </c>
      <c r="M117" s="385">
        <f>+'q9.1'!$L$33</f>
        <v>165503</v>
      </c>
      <c r="AU117" s="398"/>
      <c r="AV117" s="398"/>
      <c r="AW117" s="398"/>
      <c r="AX117" s="398"/>
      <c r="AY117" s="398"/>
      <c r="AZ117" s="398"/>
    </row>
    <row r="118" spans="1:93">
      <c r="B118" s="374" t="s">
        <v>14</v>
      </c>
      <c r="C118" s="385">
        <f>+'q9.1'!$B$5</f>
        <v>2559732</v>
      </c>
      <c r="D118" s="385">
        <f>+'q9.1'!$C$5</f>
        <v>2555676</v>
      </c>
      <c r="E118" s="385">
        <f>+'q9.1'!$D$5</f>
        <v>2636881</v>
      </c>
      <c r="F118" s="385">
        <f>+'q9.1'!$E$5</f>
        <v>2716011</v>
      </c>
      <c r="G118" s="385">
        <f>+'q9.1'!$F$5</f>
        <v>2819978</v>
      </c>
      <c r="H118" s="385">
        <f>+'q9.1'!$G$5</f>
        <v>2946903</v>
      </c>
      <c r="I118" s="385">
        <f>+'q9.1'!$H$5</f>
        <v>3060489</v>
      </c>
      <c r="J118" s="385">
        <f>+'q9.1'!$I$5</f>
        <v>3110949</v>
      </c>
      <c r="K118" s="385">
        <f>+'q9.1'!$J$5</f>
        <v>3085566</v>
      </c>
      <c r="L118" s="385">
        <f>+'q9.1'!$K$5</f>
        <v>3102345</v>
      </c>
      <c r="M118" s="385">
        <f>+'q9.1'!$L$5</f>
        <v>3337082</v>
      </c>
      <c r="AU118" s="398"/>
      <c r="AV118" s="398"/>
      <c r="AW118" s="398"/>
      <c r="AX118" s="398"/>
      <c r="AY118" s="398"/>
      <c r="AZ118" s="398"/>
    </row>
    <row r="119" spans="1:93">
      <c r="B119" s="374"/>
      <c r="C119" s="385"/>
      <c r="D119" s="385"/>
      <c r="E119" s="385"/>
      <c r="F119" s="385"/>
      <c r="G119" s="385"/>
      <c r="H119" s="385"/>
      <c r="I119" s="385"/>
      <c r="J119" s="385"/>
      <c r="K119" s="385"/>
      <c r="L119" s="385"/>
      <c r="M119" s="385"/>
      <c r="AU119" s="398"/>
      <c r="AV119" s="398"/>
      <c r="AW119" s="398"/>
      <c r="AX119" s="398"/>
      <c r="AY119" s="398"/>
      <c r="AZ119" s="398"/>
    </row>
    <row r="120" spans="1:93">
      <c r="C120" s="374">
        <f>+C110</f>
        <v>2012</v>
      </c>
      <c r="D120" s="374">
        <f t="shared" ref="D120:M120" si="63">+D110</f>
        <v>2013</v>
      </c>
      <c r="E120" s="374">
        <f t="shared" si="63"/>
        <v>2014</v>
      </c>
      <c r="F120" s="374">
        <f t="shared" si="63"/>
        <v>2015</v>
      </c>
      <c r="G120" s="374">
        <f t="shared" si="63"/>
        <v>2016</v>
      </c>
      <c r="H120" s="374">
        <f t="shared" si="63"/>
        <v>2017</v>
      </c>
      <c r="I120" s="374">
        <f t="shared" si="63"/>
        <v>2018</v>
      </c>
      <c r="J120" s="374">
        <f t="shared" si="63"/>
        <v>2019</v>
      </c>
      <c r="K120" s="374">
        <f t="shared" si="63"/>
        <v>2020</v>
      </c>
      <c r="L120" s="374">
        <f t="shared" si="63"/>
        <v>2021</v>
      </c>
      <c r="M120" s="374">
        <f t="shared" si="63"/>
        <v>2022</v>
      </c>
      <c r="AU120" s="398"/>
      <c r="AV120" s="398"/>
      <c r="AW120" s="398"/>
      <c r="AX120" s="398"/>
      <c r="AY120" s="398"/>
      <c r="AZ120" s="398"/>
    </row>
    <row r="121" spans="1:93">
      <c r="A121" s="374" t="s">
        <v>678</v>
      </c>
      <c r="B121" s="374" t="str">
        <f>+'q9.1'!$A$7</f>
        <v>Alto Minho</v>
      </c>
      <c r="C121" s="385">
        <f>+'q9.1'!$B$7</f>
        <v>51891</v>
      </c>
      <c r="D121" s="385">
        <f>+'q9.1'!$C$7</f>
        <v>53023</v>
      </c>
      <c r="E121" s="385">
        <f>+'q9.1'!$D$7</f>
        <v>54568</v>
      </c>
      <c r="F121" s="385">
        <f>+'q9.1'!$E$7</f>
        <v>56865</v>
      </c>
      <c r="G121" s="385">
        <f>+'q9.1'!$F$7</f>
        <v>57001</v>
      </c>
      <c r="H121" s="385">
        <f>+'q9.1'!$G$7</f>
        <v>59646</v>
      </c>
      <c r="I121" s="385">
        <f>+'q9.1'!$H$7</f>
        <v>62987.000000000007</v>
      </c>
      <c r="J121" s="385">
        <f>+'q9.1'!$I$7</f>
        <v>63449</v>
      </c>
      <c r="K121" s="385">
        <f>+'q9.1'!$J$7</f>
        <v>64864</v>
      </c>
      <c r="L121" s="385">
        <f>+'q9.1'!$K$7</f>
        <v>65112</v>
      </c>
      <c r="M121" s="385">
        <f>+'q9.1'!$L$7</f>
        <v>68558</v>
      </c>
      <c r="AU121" s="398"/>
      <c r="AV121" s="398"/>
      <c r="AW121" s="398"/>
      <c r="AX121" s="398"/>
      <c r="AY121" s="398"/>
      <c r="AZ121" s="398"/>
      <c r="CJ121" s="538"/>
      <c r="CK121" s="538"/>
      <c r="CL121" s="538"/>
      <c r="CM121" s="538"/>
      <c r="CN121" s="538"/>
      <c r="CO121" s="538"/>
    </row>
    <row r="122" spans="1:93">
      <c r="A122" s="374"/>
      <c r="B122" s="374" t="str">
        <f>+'q9.1'!$A$8</f>
        <v>Cávado</v>
      </c>
      <c r="C122" s="385">
        <f>+'q9.1'!$B$8</f>
        <v>107950</v>
      </c>
      <c r="D122" s="385">
        <f>+'q9.1'!$C$8</f>
        <v>107406</v>
      </c>
      <c r="E122" s="385">
        <f>+'q9.1'!$D$8</f>
        <v>112832.00000000001</v>
      </c>
      <c r="F122" s="385">
        <f>+'q9.1'!$E$8</f>
        <v>116890</v>
      </c>
      <c r="G122" s="385">
        <f>+'q9.1'!$F$8</f>
        <v>122550</v>
      </c>
      <c r="H122" s="385">
        <f>+'q9.1'!$G$8</f>
        <v>129416</v>
      </c>
      <c r="I122" s="385">
        <f>+'q9.1'!$H$8</f>
        <v>135825</v>
      </c>
      <c r="J122" s="385">
        <f>+'q9.1'!$I$8</f>
        <v>139055</v>
      </c>
      <c r="K122" s="385">
        <f>+'q9.1'!$J$8</f>
        <v>138839</v>
      </c>
      <c r="L122" s="385">
        <f>+'q9.1'!$K$8</f>
        <v>141395</v>
      </c>
      <c r="M122" s="385">
        <f>+'q9.1'!$L$8</f>
        <v>153121</v>
      </c>
      <c r="AU122" s="398"/>
      <c r="AV122" s="398"/>
      <c r="AW122" s="398"/>
      <c r="AX122" s="398"/>
      <c r="AY122" s="398"/>
      <c r="AZ122" s="398"/>
      <c r="CJ122" s="538"/>
      <c r="CK122" s="538"/>
      <c r="CL122" s="538"/>
      <c r="CM122" s="538"/>
      <c r="CN122" s="538"/>
      <c r="CO122" s="538"/>
    </row>
    <row r="123" spans="1:93">
      <c r="A123" s="374"/>
      <c r="B123" s="374" t="str">
        <f>+'q9.1'!$A$9</f>
        <v>Ave</v>
      </c>
      <c r="C123" s="385">
        <f>+'q9.1'!$B$9</f>
        <v>119016.00000000001</v>
      </c>
      <c r="D123" s="385">
        <f>+'q9.1'!$C$9</f>
        <v>121303</v>
      </c>
      <c r="E123" s="385">
        <f>+'q9.1'!$D$9</f>
        <v>125966</v>
      </c>
      <c r="F123" s="385">
        <f>+'q9.1'!$E$9</f>
        <v>131033.00000000001</v>
      </c>
      <c r="G123" s="385">
        <f>+'q9.1'!$F$9</f>
        <v>136891</v>
      </c>
      <c r="H123" s="385">
        <f>+'q9.1'!$G$9</f>
        <v>141727</v>
      </c>
      <c r="I123" s="385">
        <f>+'q9.1'!$H$9</f>
        <v>145043</v>
      </c>
      <c r="J123" s="385">
        <f>+'q9.1'!$I$9</f>
        <v>138907.99999999997</v>
      </c>
      <c r="K123" s="385">
        <f>+'q9.1'!$J$9</f>
        <v>141053.99999999997</v>
      </c>
      <c r="L123" s="385">
        <f>+'q9.1'!$K$9</f>
        <v>141116.99999999997</v>
      </c>
      <c r="M123" s="385">
        <f>+'q9.1'!$L$9</f>
        <v>149246</v>
      </c>
      <c r="CJ123" s="538"/>
      <c r="CK123" s="538"/>
      <c r="CL123" s="538"/>
      <c r="CM123" s="538"/>
      <c r="CN123" s="538"/>
      <c r="CO123" s="538"/>
    </row>
    <row r="124" spans="1:93">
      <c r="A124" s="374"/>
      <c r="B124" s="374" t="str">
        <f>+'q9.1'!$A$10</f>
        <v>Área Metropolitana do Porto</v>
      </c>
      <c r="C124" s="385">
        <f>+'q9.1'!$B$10</f>
        <v>487498</v>
      </c>
      <c r="D124" s="385">
        <f>+'q9.1'!$C$10</f>
        <v>484471</v>
      </c>
      <c r="E124" s="385">
        <f>+'q9.1'!$D$10</f>
        <v>501063.99999999994</v>
      </c>
      <c r="F124" s="385">
        <f>+'q9.1'!$E$10</f>
        <v>519452</v>
      </c>
      <c r="G124" s="385">
        <f>+'q9.1'!$F$10</f>
        <v>537773</v>
      </c>
      <c r="H124" s="385">
        <f>+'q9.1'!$G$10</f>
        <v>569098</v>
      </c>
      <c r="I124" s="385">
        <f>+'q9.1'!$H$10</f>
        <v>581232</v>
      </c>
      <c r="J124" s="385">
        <f>+'q9.1'!$I$10</f>
        <v>596772</v>
      </c>
      <c r="K124" s="385">
        <f>+'q9.1'!$J$10</f>
        <v>586860.00000000012</v>
      </c>
      <c r="L124" s="385">
        <f>+'q9.1'!$K$10</f>
        <v>588688</v>
      </c>
      <c r="M124" s="385">
        <f>+'q9.1'!$L$10</f>
        <v>633694</v>
      </c>
      <c r="CJ124" s="538"/>
      <c r="CK124" s="538"/>
      <c r="CL124" s="538"/>
      <c r="CM124" s="538"/>
      <c r="CN124" s="538"/>
      <c r="CO124" s="538"/>
    </row>
    <row r="125" spans="1:93">
      <c r="A125" s="374"/>
      <c r="B125" s="374" t="str">
        <f>+'q9.1'!$A$11</f>
        <v>Alto Tâmega e Barroso</v>
      </c>
      <c r="C125" s="385">
        <f>+'q9.1'!$B$11</f>
        <v>12427.999999999998</v>
      </c>
      <c r="D125" s="385">
        <f>+'q9.1'!$C$11</f>
        <v>12212.999999999998</v>
      </c>
      <c r="E125" s="385">
        <f>+'q9.1'!$D$11</f>
        <v>12481</v>
      </c>
      <c r="F125" s="385">
        <f>+'q9.1'!$E$11</f>
        <v>12990</v>
      </c>
      <c r="G125" s="385">
        <f>+'q9.1'!$F$11</f>
        <v>13302</v>
      </c>
      <c r="H125" s="385">
        <f>+'q9.1'!$G$11</f>
        <v>14461</v>
      </c>
      <c r="I125" s="385">
        <f>+'q9.1'!$H$11</f>
        <v>14799</v>
      </c>
      <c r="J125" s="385">
        <f>+'q9.1'!$I$11</f>
        <v>15061.000000000002</v>
      </c>
      <c r="K125" s="385">
        <f>+'q9.1'!$J$11</f>
        <v>14649</v>
      </c>
      <c r="L125" s="385">
        <f>+'q9.1'!$K$11</f>
        <v>14857.000000000002</v>
      </c>
      <c r="M125" s="385">
        <f>+'q9.1'!$L$11</f>
        <v>15757.000000000002</v>
      </c>
      <c r="CJ125" s="538"/>
      <c r="CK125" s="538"/>
      <c r="CL125" s="538"/>
      <c r="CM125" s="538"/>
      <c r="CN125" s="538"/>
      <c r="CO125" s="538"/>
    </row>
    <row r="126" spans="1:93">
      <c r="A126" s="374"/>
      <c r="B126" s="374" t="str">
        <f>+'q9.1'!$A$12</f>
        <v>Tâmega e Sousa</v>
      </c>
      <c r="C126" s="385">
        <f>+'q9.1'!$B$12</f>
        <v>103914.00000000001</v>
      </c>
      <c r="D126" s="385">
        <f>+'q9.1'!$C$12</f>
        <v>105008.99999999999</v>
      </c>
      <c r="E126" s="385">
        <f>+'q9.1'!$D$12</f>
        <v>109577</v>
      </c>
      <c r="F126" s="385">
        <f>+'q9.1'!$E$12</f>
        <v>113797.99999999999</v>
      </c>
      <c r="G126" s="385">
        <f>+'q9.1'!$F$12</f>
        <v>117764.99999999999</v>
      </c>
      <c r="H126" s="385">
        <f>+'q9.1'!$G$12</f>
        <v>121423</v>
      </c>
      <c r="I126" s="385">
        <f>+'q9.1'!$H$12</f>
        <v>124176</v>
      </c>
      <c r="J126" s="385">
        <f>+'q9.1'!$I$12</f>
        <v>123941</v>
      </c>
      <c r="K126" s="385">
        <f>+'q9.1'!$J$12</f>
        <v>124025</v>
      </c>
      <c r="L126" s="385">
        <f>+'q9.1'!$K$12</f>
        <v>127874.00000000001</v>
      </c>
      <c r="M126" s="385">
        <f>+'q9.1'!$L$12</f>
        <v>134241</v>
      </c>
      <c r="CJ126" s="538"/>
      <c r="CK126" s="538"/>
      <c r="CL126" s="538"/>
      <c r="CM126" s="538"/>
      <c r="CN126" s="538"/>
      <c r="CO126" s="538"/>
    </row>
    <row r="127" spans="1:93">
      <c r="A127" s="374"/>
      <c r="B127" s="374" t="str">
        <f>+'q9.1'!$A$13</f>
        <v>Douro</v>
      </c>
      <c r="C127" s="385">
        <f>+'q9.1'!$B$13</f>
        <v>32921</v>
      </c>
      <c r="D127" s="385">
        <f>+'q9.1'!$C$13</f>
        <v>32813</v>
      </c>
      <c r="E127" s="385">
        <f>+'q9.1'!$D$13</f>
        <v>32882.000000000007</v>
      </c>
      <c r="F127" s="385">
        <f>+'q9.1'!$E$13</f>
        <v>33847</v>
      </c>
      <c r="G127" s="385">
        <f>+'q9.1'!$F$13</f>
        <v>34594.999999999993</v>
      </c>
      <c r="H127" s="385">
        <f>+'q9.1'!$G$13</f>
        <v>35335</v>
      </c>
      <c r="I127" s="385">
        <f>+'q9.1'!$H$13</f>
        <v>36289.000000000007</v>
      </c>
      <c r="J127" s="385">
        <f>+'q9.1'!$I$13</f>
        <v>36417</v>
      </c>
      <c r="K127" s="385">
        <f>+'q9.1'!$J$13</f>
        <v>37413</v>
      </c>
      <c r="L127" s="385">
        <f>+'q9.1'!$K$13</f>
        <v>38175.000000000015</v>
      </c>
      <c r="M127" s="385">
        <f>+'q9.1'!$L$13</f>
        <v>40025.000000000007</v>
      </c>
      <c r="CJ127" s="538"/>
      <c r="CK127" s="538"/>
      <c r="CL127" s="538"/>
      <c r="CM127" s="538"/>
      <c r="CN127" s="538"/>
      <c r="CO127" s="538"/>
    </row>
    <row r="128" spans="1:93">
      <c r="A128" s="374"/>
      <c r="B128" s="374" t="str">
        <f>+'q9.1'!$A$14</f>
        <v>Terras de Trás-os-Montes</v>
      </c>
      <c r="C128" s="385">
        <f>+'q9.1'!$B$14</f>
        <v>16984.999999999996</v>
      </c>
      <c r="D128" s="385">
        <f>+'q9.1'!$C$14</f>
        <v>16888</v>
      </c>
      <c r="E128" s="385">
        <f>+'q9.1'!$D$14</f>
        <v>17417</v>
      </c>
      <c r="F128" s="385">
        <f>+'q9.1'!$E$14</f>
        <v>17956.000000000004</v>
      </c>
      <c r="G128" s="385">
        <f>+'q9.1'!$F$14</f>
        <v>18472</v>
      </c>
      <c r="H128" s="385">
        <f>+'q9.1'!$G$14</f>
        <v>18943</v>
      </c>
      <c r="I128" s="385">
        <f>+'q9.1'!$H$14</f>
        <v>19367.000000000004</v>
      </c>
      <c r="J128" s="385">
        <f>+'q9.1'!$I$14</f>
        <v>19367</v>
      </c>
      <c r="K128" s="385">
        <f>+'q9.1'!$J$14</f>
        <v>19886</v>
      </c>
      <c r="L128" s="385">
        <f>+'q9.1'!$K$14</f>
        <v>20217.999999999996</v>
      </c>
      <c r="M128" s="385">
        <f>+'q9.1'!$L$14</f>
        <v>20667.999999999996</v>
      </c>
    </row>
    <row r="129" spans="1:52">
      <c r="A129" s="374"/>
      <c r="B129" s="374" t="str">
        <f>+'q9.1'!$A$16</f>
        <v>Região de Aveiro</v>
      </c>
      <c r="C129" s="385">
        <f>+'q9.1'!$B$16</f>
        <v>102638</v>
      </c>
      <c r="D129" s="385">
        <f>+'q9.1'!$C$16</f>
        <v>101729.00000000001</v>
      </c>
      <c r="E129" s="385">
        <f>+'q9.1'!$D$16</f>
        <v>105834</v>
      </c>
      <c r="F129" s="385">
        <f>+'q9.1'!$E$16</f>
        <v>108508</v>
      </c>
      <c r="G129" s="385">
        <f>+'q9.1'!$F$16</f>
        <v>114017</v>
      </c>
      <c r="H129" s="385">
        <f>+'q9.1'!$G$16</f>
        <v>118713.00000000001</v>
      </c>
      <c r="I129" s="385">
        <f>+'q9.1'!$H$16</f>
        <v>125109.00000000001</v>
      </c>
      <c r="J129" s="385">
        <f>+'q9.1'!$I$16</f>
        <v>126163.00000000001</v>
      </c>
      <c r="K129" s="385">
        <f>+'q9.1'!$J$16</f>
        <v>127075</v>
      </c>
      <c r="L129" s="385">
        <f>+'q9.1'!$K$16</f>
        <v>124894</v>
      </c>
      <c r="M129" s="385">
        <f>+'q9.1'!$L$16</f>
        <v>135023</v>
      </c>
    </row>
    <row r="130" spans="1:52">
      <c r="A130" s="374"/>
      <c r="B130" s="374" t="str">
        <f>+'q9.1'!$A$17</f>
        <v>Região de Coimbra</v>
      </c>
      <c r="C130" s="385">
        <f>+'q9.1'!$B$17</f>
        <v>100094</v>
      </c>
      <c r="D130" s="385">
        <f>+'q9.1'!$C$17</f>
        <v>99480</v>
      </c>
      <c r="E130" s="385">
        <f>+'q9.1'!$D$17</f>
        <v>98821</v>
      </c>
      <c r="F130" s="385">
        <f>+'q9.1'!$E$17</f>
        <v>101551</v>
      </c>
      <c r="G130" s="385">
        <f>+'q9.1'!$F$17</f>
        <v>103167.00000000001</v>
      </c>
      <c r="H130" s="385">
        <f>+'q9.1'!$G$17</f>
        <v>107820.00000000001</v>
      </c>
      <c r="I130" s="385">
        <f>+'q9.1'!$H$17</f>
        <v>109081.99999999999</v>
      </c>
      <c r="J130" s="385">
        <f>+'q9.1'!$I$17</f>
        <v>110360.99999999999</v>
      </c>
      <c r="K130" s="385">
        <f>+'q9.1'!$J$17</f>
        <v>111631.00000000001</v>
      </c>
      <c r="L130" s="385">
        <f>+'q9.1'!$K$17</f>
        <v>111741.99999999999</v>
      </c>
      <c r="M130" s="385">
        <f>+'q9.1'!$L$17</f>
        <v>119330.00000000001</v>
      </c>
    </row>
    <row r="131" spans="1:52">
      <c r="A131" s="374"/>
      <c r="B131" s="374" t="str">
        <f>+'q9.1'!$A$18</f>
        <v>Região de Leiria</v>
      </c>
      <c r="C131" s="385">
        <f>+'q9.1'!$B$18</f>
        <v>82983</v>
      </c>
      <c r="D131" s="385">
        <f>+'q9.1'!$C$18</f>
        <v>84147</v>
      </c>
      <c r="E131" s="385">
        <f>+'q9.1'!$D$18</f>
        <v>88098.000000000015</v>
      </c>
      <c r="F131" s="385">
        <f>+'q9.1'!$E$18</f>
        <v>90173</v>
      </c>
      <c r="G131" s="385">
        <f>+'q9.1'!$F$18</f>
        <v>93302</v>
      </c>
      <c r="H131" s="385">
        <f>+'q9.1'!$G$18</f>
        <v>96838</v>
      </c>
      <c r="I131" s="385">
        <f>+'q9.1'!$H$18</f>
        <v>98908</v>
      </c>
      <c r="J131" s="385">
        <f>+'q9.1'!$I$18</f>
        <v>99524.000000000015</v>
      </c>
      <c r="K131" s="385">
        <f>+'q9.1'!$J$18</f>
        <v>99673</v>
      </c>
      <c r="L131" s="385">
        <f>+'q9.1'!$K$18</f>
        <v>101975</v>
      </c>
      <c r="M131" s="385">
        <f>+'q9.1'!$L$18</f>
        <v>105680</v>
      </c>
    </row>
    <row r="132" spans="1:52">
      <c r="A132" s="374"/>
      <c r="B132" s="374" t="str">
        <f>+'q9.1'!$A$19</f>
        <v>Viseu Dão Lafões</v>
      </c>
      <c r="C132" s="385">
        <f>+'q9.1'!$B$19</f>
        <v>57918</v>
      </c>
      <c r="D132" s="385">
        <f>+'q9.1'!$C$19</f>
        <v>57790</v>
      </c>
      <c r="E132" s="385">
        <f>+'q9.1'!$D$19</f>
        <v>59194.999999999985</v>
      </c>
      <c r="F132" s="385">
        <f>+'q9.1'!$E$19</f>
        <v>60825.999999999993</v>
      </c>
      <c r="G132" s="385">
        <f>+'q9.1'!$F$19</f>
        <v>62720.000000000015</v>
      </c>
      <c r="H132" s="385">
        <f>+'q9.1'!$G$19</f>
        <v>65047.999999999993</v>
      </c>
      <c r="I132" s="385">
        <f>+'q9.1'!$H$19</f>
        <v>68123</v>
      </c>
      <c r="J132" s="385">
        <f>+'q9.1'!$I$19</f>
        <v>69618</v>
      </c>
      <c r="K132" s="385">
        <f>+'q9.1'!$J$19</f>
        <v>69458</v>
      </c>
      <c r="L132" s="385">
        <f>+'q9.1'!$K$19</f>
        <v>69853</v>
      </c>
      <c r="M132" s="385">
        <f>+'q9.1'!$L$19</f>
        <v>74206</v>
      </c>
    </row>
    <row r="133" spans="1:52">
      <c r="A133" s="374"/>
      <c r="B133" s="374" t="str">
        <f>+'q9.1'!$A$20</f>
        <v>Beira Baixa</v>
      </c>
      <c r="C133" s="385">
        <f>+'q9.1'!$B$20</f>
        <v>20276</v>
      </c>
      <c r="D133" s="385">
        <f>+'q9.1'!$C$20</f>
        <v>19693</v>
      </c>
      <c r="E133" s="385">
        <f>+'q9.1'!$D$20</f>
        <v>20702</v>
      </c>
      <c r="F133" s="385">
        <f>+'q9.1'!$E$20</f>
        <v>20362</v>
      </c>
      <c r="G133" s="385">
        <f>+'q9.1'!$F$20</f>
        <v>20449</v>
      </c>
      <c r="H133" s="385">
        <f>+'q9.1'!$G$20</f>
        <v>20492</v>
      </c>
      <c r="I133" s="385">
        <f>+'q9.1'!$H$20</f>
        <v>22102</v>
      </c>
      <c r="J133" s="385">
        <f>+'q9.1'!$I$20</f>
        <v>21918</v>
      </c>
      <c r="K133" s="385">
        <f>+'q9.1'!$J$20</f>
        <v>21929</v>
      </c>
      <c r="L133" s="385">
        <f>+'q9.1'!$K$20</f>
        <v>21615</v>
      </c>
      <c r="M133" s="385">
        <f>+'q9.1'!$L$20</f>
        <v>22628</v>
      </c>
    </row>
    <row r="134" spans="1:52">
      <c r="A134" s="374"/>
      <c r="B134" s="374" t="str">
        <f>+'q9.1'!$A$21</f>
        <v>Beiras e Serra da Estrela</v>
      </c>
      <c r="C134" s="385">
        <f>+'q9.1'!$B$21</f>
        <v>43690</v>
      </c>
      <c r="D134" s="385">
        <f>+'q9.1'!$C$21</f>
        <v>43057.999999999993</v>
      </c>
      <c r="E134" s="385">
        <f>+'q9.1'!$D$21</f>
        <v>44158</v>
      </c>
      <c r="F134" s="385">
        <f>+'q9.1'!$E$21</f>
        <v>44765</v>
      </c>
      <c r="G134" s="385">
        <f>+'q9.1'!$F$21</f>
        <v>45284</v>
      </c>
      <c r="H134" s="385">
        <f>+'q9.1'!$G$21</f>
        <v>46740.000000000007</v>
      </c>
      <c r="I134" s="385">
        <f>+'q9.1'!$H$21</f>
        <v>47904</v>
      </c>
      <c r="J134" s="385">
        <f>+'q9.1'!$I$21</f>
        <v>46651</v>
      </c>
      <c r="K134" s="385">
        <f>+'q9.1'!$J$21</f>
        <v>46640</v>
      </c>
      <c r="L134" s="385">
        <f>+'q9.1'!$K$21</f>
        <v>47210</v>
      </c>
      <c r="M134" s="385">
        <f>+'q9.1'!$L$21</f>
        <v>49443</v>
      </c>
    </row>
    <row r="135" spans="1:52">
      <c r="A135" s="374"/>
      <c r="B135" s="374" t="str">
        <f>+'q9.1'!$A$23</f>
        <v>Oeste</v>
      </c>
      <c r="C135" s="385">
        <f>+'q9.1'!$B$23</f>
        <v>81008</v>
      </c>
      <c r="D135" s="385">
        <f>+'q9.1'!$C$23</f>
        <v>79682</v>
      </c>
      <c r="E135" s="385">
        <f>+'q9.1'!$D$23</f>
        <v>83007</v>
      </c>
      <c r="F135" s="385">
        <f>+'q9.1'!$E$23</f>
        <v>85074</v>
      </c>
      <c r="G135" s="385">
        <f>+'q9.1'!$F$23</f>
        <v>87605.999999999985</v>
      </c>
      <c r="H135" s="385">
        <f>+'q9.1'!$G$23</f>
        <v>92480</v>
      </c>
      <c r="I135" s="385">
        <f>+'q9.1'!$H$23</f>
        <v>100447</v>
      </c>
      <c r="J135" s="385">
        <f>+'q9.1'!$I$23</f>
        <v>102230.00000000001</v>
      </c>
      <c r="K135" s="385">
        <f>+'q9.1'!$J$23</f>
        <v>101028.99999999999</v>
      </c>
      <c r="L135" s="385">
        <f>+'q9.1'!$K$23</f>
        <v>99264.999999999985</v>
      </c>
      <c r="M135" s="385">
        <f>+'q9.1'!$L$23</f>
        <v>105262</v>
      </c>
      <c r="AU135" s="398"/>
      <c r="AV135" s="398"/>
      <c r="AW135" s="398"/>
      <c r="AX135" s="398"/>
      <c r="AY135" s="398"/>
      <c r="AZ135" s="398"/>
    </row>
    <row r="136" spans="1:52">
      <c r="A136" s="374"/>
      <c r="B136" s="374" t="str">
        <f>+'q9.1'!$A$24</f>
        <v>Médio Tejo</v>
      </c>
      <c r="C136" s="385">
        <f>+'q9.1'!$B$24</f>
        <v>50459</v>
      </c>
      <c r="D136" s="385">
        <f>+'q9.1'!$C$24</f>
        <v>49139</v>
      </c>
      <c r="E136" s="385">
        <f>+'q9.1'!$D$24</f>
        <v>49897</v>
      </c>
      <c r="F136" s="385">
        <f>+'q9.1'!$E$24</f>
        <v>51350</v>
      </c>
      <c r="G136" s="385">
        <f>+'q9.1'!$F$24</f>
        <v>51114</v>
      </c>
      <c r="H136" s="385">
        <f>+'q9.1'!$G$24</f>
        <v>53556</v>
      </c>
      <c r="I136" s="385">
        <f>+'q9.1'!$H$24</f>
        <v>54546.999999999993</v>
      </c>
      <c r="J136" s="385">
        <f>+'q9.1'!$I$24</f>
        <v>55892</v>
      </c>
      <c r="K136" s="385">
        <f>+'q9.1'!$J$24</f>
        <v>55002</v>
      </c>
      <c r="L136" s="385">
        <f>+'q9.1'!$K$24</f>
        <v>54352.000000000007</v>
      </c>
      <c r="M136" s="385">
        <f>+'q9.1'!$L$24</f>
        <v>58043.999999999993</v>
      </c>
      <c r="AU136" s="398"/>
      <c r="AV136" s="398"/>
      <c r="AW136" s="398"/>
      <c r="AX136" s="398"/>
      <c r="AY136" s="398"/>
      <c r="AZ136" s="398"/>
    </row>
    <row r="137" spans="1:52">
      <c r="A137" s="374"/>
      <c r="B137" s="374" t="str">
        <f>+'q9.1'!$A$25</f>
        <v>Lezíria do Tejo</v>
      </c>
      <c r="C137" s="385">
        <f>+'q9.1'!$B$25</f>
        <v>53950.999999999993</v>
      </c>
      <c r="D137" s="385">
        <f>+'q9.1'!$C$25</f>
        <v>53158.999999999993</v>
      </c>
      <c r="E137" s="385">
        <f>+'q9.1'!$D$25</f>
        <v>54260</v>
      </c>
      <c r="F137" s="385">
        <f>+'q9.1'!$E$25</f>
        <v>55003</v>
      </c>
      <c r="G137" s="385">
        <f>+'q9.1'!$F$25</f>
        <v>57238.000000000007</v>
      </c>
      <c r="H137" s="385">
        <f>+'q9.1'!$G$25</f>
        <v>61082</v>
      </c>
      <c r="I137" s="385">
        <f>+'q9.1'!$H$25</f>
        <v>63366.999999999993</v>
      </c>
      <c r="J137" s="385">
        <f>+'q9.1'!$I$25</f>
        <v>64381</v>
      </c>
      <c r="K137" s="385">
        <f>+'q9.1'!$J$25</f>
        <v>66472</v>
      </c>
      <c r="L137" s="385">
        <f>+'q9.1'!$K$25</f>
        <v>66608</v>
      </c>
      <c r="M137" s="385">
        <f>+'q9.1'!$L$25</f>
        <v>70357</v>
      </c>
      <c r="AU137" s="398"/>
      <c r="AV137" s="398"/>
      <c r="AW137" s="398"/>
      <c r="AX137" s="398"/>
      <c r="AY137" s="398"/>
      <c r="AZ137" s="398"/>
    </row>
    <row r="138" spans="1:52">
      <c r="A138" s="374"/>
      <c r="B138" s="374" t="str">
        <f>+'q9.1'!$A$26</f>
        <v>Grande Lisboa</v>
      </c>
      <c r="C138" s="385">
        <f>+'q9.1'!$B$26</f>
        <v>688888.00000000012</v>
      </c>
      <c r="D138" s="385">
        <f>+'q9.1'!$C$26</f>
        <v>692704</v>
      </c>
      <c r="E138" s="385">
        <f>+'q9.1'!$D$26</f>
        <v>715126</v>
      </c>
      <c r="F138" s="385">
        <f>+'q9.1'!$E$26</f>
        <v>730551</v>
      </c>
      <c r="G138" s="385">
        <f>+'q9.1'!$F$26</f>
        <v>765222</v>
      </c>
      <c r="H138" s="385">
        <f>+'q9.1'!$G$26</f>
        <v>790694</v>
      </c>
      <c r="I138" s="385">
        <f>+'q9.1'!$H$26</f>
        <v>826919</v>
      </c>
      <c r="J138" s="385">
        <f>+'q9.1'!$I$26</f>
        <v>845336</v>
      </c>
      <c r="K138" s="385">
        <f>+'q9.1'!$J$26</f>
        <v>835460</v>
      </c>
      <c r="L138" s="385">
        <f>+'q9.1'!$K$26</f>
        <v>838586</v>
      </c>
      <c r="M138" s="385">
        <f>+'q9.1'!$L$26</f>
        <v>915180</v>
      </c>
      <c r="AU138" s="398"/>
      <c r="AV138" s="398"/>
      <c r="AW138" s="398"/>
      <c r="AX138" s="398"/>
      <c r="AY138" s="398"/>
      <c r="AZ138" s="398"/>
    </row>
    <row r="139" spans="1:52">
      <c r="A139" s="374"/>
      <c r="B139" s="374" t="str">
        <f>+'q9.1'!$A$27</f>
        <v>Península de Setúbal</v>
      </c>
      <c r="C139" s="385">
        <f>+'q9.1'!$B$27</f>
        <v>129973</v>
      </c>
      <c r="D139" s="385">
        <f>+'q9.1'!$C$27</f>
        <v>128055</v>
      </c>
      <c r="E139" s="385">
        <f>+'q9.1'!$D$27</f>
        <v>129592</v>
      </c>
      <c r="F139" s="385">
        <f>+'q9.1'!$E$27</f>
        <v>132359</v>
      </c>
      <c r="G139" s="385">
        <f>+'q9.1'!$F$27</f>
        <v>135968</v>
      </c>
      <c r="H139" s="385">
        <f>+'q9.1'!$G$27</f>
        <v>143619</v>
      </c>
      <c r="I139" s="385">
        <f>+'q9.1'!$H$27</f>
        <v>152137</v>
      </c>
      <c r="J139" s="385">
        <f>+'q9.1'!$I$27</f>
        <v>155943</v>
      </c>
      <c r="K139" s="385">
        <f>+'q9.1'!$J$27</f>
        <v>156000</v>
      </c>
      <c r="L139" s="385">
        <f>+'q9.1'!$K$27</f>
        <v>157437</v>
      </c>
      <c r="M139" s="385">
        <f>+'q9.1'!$L$27</f>
        <v>168606.00000000003</v>
      </c>
      <c r="AU139" s="398"/>
      <c r="AV139" s="398"/>
      <c r="AW139" s="398"/>
      <c r="AX139" s="398"/>
      <c r="AY139" s="398"/>
      <c r="AZ139" s="398"/>
    </row>
    <row r="140" spans="1:52">
      <c r="A140" s="374"/>
      <c r="B140" s="374" t="str">
        <f>+'q9.1'!$A$29</f>
        <v>Alentejo Litoral</v>
      </c>
      <c r="C140" s="385">
        <f>+'q9.1'!$B$29</f>
        <v>21246</v>
      </c>
      <c r="D140" s="385">
        <f>+'q9.1'!$C$29</f>
        <v>21618</v>
      </c>
      <c r="E140" s="385">
        <f>+'q9.1'!$D$29</f>
        <v>21990</v>
      </c>
      <c r="F140" s="385">
        <f>+'q9.1'!$E$29</f>
        <v>23369</v>
      </c>
      <c r="G140" s="385">
        <f>+'q9.1'!$F$29</f>
        <v>24792</v>
      </c>
      <c r="H140" s="385">
        <f>+'q9.1'!$G$29</f>
        <v>26345</v>
      </c>
      <c r="I140" s="385">
        <f>+'q9.1'!$H$29</f>
        <v>27966</v>
      </c>
      <c r="J140" s="385">
        <f>+'q9.1'!$I$29</f>
        <v>29548</v>
      </c>
      <c r="K140" s="385">
        <f>+'q9.1'!$J$29</f>
        <v>33057</v>
      </c>
      <c r="L140" s="385">
        <f>+'q9.1'!$K$29</f>
        <v>33366</v>
      </c>
      <c r="M140" s="385">
        <f>+'q9.1'!$L$29</f>
        <v>35947</v>
      </c>
      <c r="AU140" s="398"/>
      <c r="AV140" s="398"/>
      <c r="AW140" s="398"/>
      <c r="AX140" s="398"/>
      <c r="AY140" s="398"/>
      <c r="AZ140" s="398"/>
    </row>
    <row r="141" spans="1:52">
      <c r="A141" s="374"/>
      <c r="B141" s="374" t="str">
        <f>+'q9.1'!$A$30</f>
        <v>Baixo Alentejo</v>
      </c>
      <c r="C141" s="385">
        <f>+'q9.1'!$B$30</f>
        <v>23569</v>
      </c>
      <c r="D141" s="385">
        <f>+'q9.1'!$C$30</f>
        <v>23564</v>
      </c>
      <c r="E141" s="385">
        <f>+'q9.1'!$D$30</f>
        <v>23979.999999999996</v>
      </c>
      <c r="F141" s="385">
        <f>+'q9.1'!$E$30</f>
        <v>24788</v>
      </c>
      <c r="G141" s="385">
        <f>+'q9.1'!$F$30</f>
        <v>25090</v>
      </c>
      <c r="H141" s="385">
        <f>+'q9.1'!$G$30</f>
        <v>26560</v>
      </c>
      <c r="I141" s="385">
        <f>+'q9.1'!$H$30</f>
        <v>26946.000000000004</v>
      </c>
      <c r="J141" s="385">
        <f>+'q9.1'!$I$30</f>
        <v>26981</v>
      </c>
      <c r="K141" s="385">
        <f>+'q9.1'!$J$30</f>
        <v>26942</v>
      </c>
      <c r="L141" s="385">
        <f>+'q9.1'!$K$30</f>
        <v>27020.999999999993</v>
      </c>
      <c r="M141" s="385">
        <f>+'q9.1'!$L$30</f>
        <v>29984</v>
      </c>
      <c r="AU141" s="398"/>
      <c r="AV141" s="398"/>
      <c r="AW141" s="398"/>
      <c r="AX141" s="398"/>
      <c r="AY141" s="398"/>
      <c r="AZ141" s="398"/>
    </row>
    <row r="142" spans="1:52">
      <c r="A142" s="374"/>
      <c r="B142" s="374" t="str">
        <f>+'q9.1'!$A$31</f>
        <v>Alto Alentejo</v>
      </c>
      <c r="C142" s="385">
        <f>+'q9.1'!$B$31</f>
        <v>20456.000000000004</v>
      </c>
      <c r="D142" s="385">
        <f>+'q9.1'!$C$31</f>
        <v>20094</v>
      </c>
      <c r="E142" s="385">
        <f>+'q9.1'!$D$31</f>
        <v>20497.000000000004</v>
      </c>
      <c r="F142" s="385">
        <f>+'q9.1'!$E$31</f>
        <v>20703.999999999996</v>
      </c>
      <c r="G142" s="385">
        <f>+'q9.1'!$F$31</f>
        <v>21614.000000000004</v>
      </c>
      <c r="H142" s="385">
        <f>+'q9.1'!$G$31</f>
        <v>22068</v>
      </c>
      <c r="I142" s="385">
        <f>+'q9.1'!$H$31</f>
        <v>22055.999999999996</v>
      </c>
      <c r="J142" s="385">
        <f>+'q9.1'!$I$31</f>
        <v>22201.000000000004</v>
      </c>
      <c r="K142" s="385">
        <f>+'q9.1'!$J$31</f>
        <v>22475</v>
      </c>
      <c r="L142" s="385">
        <f>+'q9.1'!$K$31</f>
        <v>21854</v>
      </c>
      <c r="M142" s="385">
        <f>+'q9.1'!$L$31</f>
        <v>23056</v>
      </c>
      <c r="AU142" s="398"/>
      <c r="AV142" s="398"/>
      <c r="AW142" s="398"/>
      <c r="AX142" s="398"/>
      <c r="AY142" s="398"/>
      <c r="AZ142" s="398"/>
    </row>
    <row r="143" spans="1:52">
      <c r="A143" s="374"/>
      <c r="B143" s="374" t="str">
        <f>+'q9.1'!$A$32</f>
        <v>Alentejo Central</v>
      </c>
      <c r="C143" s="385">
        <f>+'q9.1'!$B$32</f>
        <v>35126</v>
      </c>
      <c r="D143" s="385">
        <f>+'q9.1'!$C$32</f>
        <v>34466</v>
      </c>
      <c r="E143" s="385">
        <f>+'q9.1'!$D$32</f>
        <v>35478</v>
      </c>
      <c r="F143" s="385">
        <f>+'q9.1'!$E$32</f>
        <v>36817</v>
      </c>
      <c r="G143" s="385">
        <f>+'q9.1'!$F$32</f>
        <v>38198</v>
      </c>
      <c r="H143" s="385">
        <f>+'q9.1'!$G$32</f>
        <v>39028.999999999993</v>
      </c>
      <c r="I143" s="385">
        <f>+'q9.1'!$H$32</f>
        <v>40741</v>
      </c>
      <c r="J143" s="385">
        <f>+'q9.1'!$I$32</f>
        <v>40943.999999999993</v>
      </c>
      <c r="K143" s="385">
        <f>+'q9.1'!$J$32</f>
        <v>40465</v>
      </c>
      <c r="L143" s="385">
        <f>+'q9.1'!$K$32</f>
        <v>40724.999999999993</v>
      </c>
      <c r="M143" s="385">
        <f>+'q9.1'!$L$32</f>
        <v>43523</v>
      </c>
      <c r="AU143" s="398"/>
      <c r="AV143" s="398"/>
      <c r="AW143" s="398"/>
      <c r="AX143" s="398"/>
      <c r="AY143" s="398"/>
      <c r="AZ143" s="398"/>
    </row>
    <row r="144" spans="1:52">
      <c r="A144" s="374"/>
      <c r="B144" s="374" t="str">
        <f>+'q9.1'!$A$33</f>
        <v>Algarve</v>
      </c>
      <c r="C144" s="385">
        <f>+'q9.1'!$B$33</f>
        <v>114854</v>
      </c>
      <c r="D144" s="385">
        <f>+'q9.1'!$C$33</f>
        <v>114172.00000000001</v>
      </c>
      <c r="E144" s="385">
        <f>+'q9.1'!$D$33</f>
        <v>119459</v>
      </c>
      <c r="F144" s="385">
        <f>+'q9.1'!$E$33</f>
        <v>126979.99999999999</v>
      </c>
      <c r="G144" s="385">
        <f>+'q9.1'!$F$33</f>
        <v>135848.00000000003</v>
      </c>
      <c r="H144" s="385">
        <f>+'q9.1'!$G$33</f>
        <v>145770.00000000003</v>
      </c>
      <c r="I144" s="385">
        <f>+'q9.1'!$H$33</f>
        <v>154417</v>
      </c>
      <c r="J144" s="385">
        <f>+'q9.1'!$I$33</f>
        <v>160288</v>
      </c>
      <c r="K144" s="385">
        <f>+'q9.1'!$J$33</f>
        <v>144667.99999999997</v>
      </c>
      <c r="L144" s="385">
        <f>+'q9.1'!$K$33</f>
        <v>148406</v>
      </c>
      <c r="M144" s="385">
        <f>+'q9.1'!$L$33</f>
        <v>165503</v>
      </c>
    </row>
    <row r="145" spans="1:47">
      <c r="B145" s="374" t="s">
        <v>14</v>
      </c>
      <c r="C145" s="385">
        <f>+'q9.1'!$B$5</f>
        <v>2559732</v>
      </c>
      <c r="D145" s="385">
        <f>+'q9.1'!$C$5</f>
        <v>2555676</v>
      </c>
      <c r="E145" s="385">
        <f>+'q9.1'!$D$5</f>
        <v>2636881</v>
      </c>
      <c r="F145" s="385">
        <f>+'q9.1'!$E$5</f>
        <v>2716011</v>
      </c>
      <c r="G145" s="385">
        <f>+'q9.1'!$F$5</f>
        <v>2819978</v>
      </c>
      <c r="H145" s="385">
        <f>+'q9.1'!$G$5</f>
        <v>2946903</v>
      </c>
      <c r="I145" s="385">
        <f>+'q9.1'!$H$5</f>
        <v>3060489</v>
      </c>
      <c r="J145" s="385">
        <f>+'q9.1'!$I$5</f>
        <v>3110949</v>
      </c>
      <c r="K145" s="385">
        <f>+'q9.1'!$J$5</f>
        <v>3085566</v>
      </c>
      <c r="L145" s="385">
        <f>+'q9.1'!$K$5</f>
        <v>3102345</v>
      </c>
      <c r="M145" s="385">
        <f>+'q9.1'!$L$5</f>
        <v>3337082</v>
      </c>
    </row>
    <row r="146" spans="1:47">
      <c r="AU146" s="373">
        <f>LEN(AU135)</f>
        <v>0</v>
      </c>
    </row>
    <row r="149" spans="1:47">
      <c r="A149" s="374" t="s">
        <v>691</v>
      </c>
      <c r="D149" s="375"/>
    </row>
    <row r="150" spans="1:47">
      <c r="A150" s="490" t="s">
        <v>186</v>
      </c>
      <c r="C150" s="374">
        <f>+'q12.1'!$B$4</f>
        <v>2012</v>
      </c>
      <c r="D150" s="374">
        <f>+'q12.1'!$C$4</f>
        <v>2013</v>
      </c>
      <c r="E150" s="374">
        <f>+'q12.1'!$D$4</f>
        <v>2014</v>
      </c>
      <c r="F150" s="374">
        <f>+'q12.1'!$E$4</f>
        <v>2015</v>
      </c>
      <c r="G150" s="374">
        <f>+'q12.1'!$F$4</f>
        <v>2016</v>
      </c>
      <c r="H150" s="374">
        <f>+'q12.1'!$G$4</f>
        <v>2017</v>
      </c>
      <c r="I150" s="374">
        <f>+'q12.1'!$H$4</f>
        <v>2018</v>
      </c>
      <c r="J150" s="374">
        <f>+'q12.1'!$I$4</f>
        <v>2019</v>
      </c>
      <c r="K150" s="374">
        <f>+'q12.1'!$J$4</f>
        <v>2020</v>
      </c>
      <c r="L150" s="374">
        <f>+'q12.1'!$K$4</f>
        <v>2021</v>
      </c>
      <c r="M150" s="374">
        <f>+'q12.1'!$L$4</f>
        <v>2022</v>
      </c>
    </row>
    <row r="151" spans="1:47">
      <c r="A151" s="374" t="s">
        <v>677</v>
      </c>
      <c r="B151" s="374" t="str">
        <f>+'q12.1'!$A$6</f>
        <v>Norte</v>
      </c>
      <c r="C151" s="385">
        <f>+'q12.1'!$B$6</f>
        <v>867359.99999999988</v>
      </c>
      <c r="D151" s="385">
        <f>+'q12.1'!$C$6</f>
        <v>867596</v>
      </c>
      <c r="E151" s="385">
        <f>+'q12.1'!$D$6</f>
        <v>898201.00000000035</v>
      </c>
      <c r="F151" s="385">
        <f>+'q12.1'!$E$6</f>
        <v>934106</v>
      </c>
      <c r="G151" s="385">
        <f>+'q12.1'!$F$6</f>
        <v>969358.00000000047</v>
      </c>
      <c r="H151" s="385">
        <f>+'q12.1'!$G$6</f>
        <v>1020482.9999999999</v>
      </c>
      <c r="I151" s="385">
        <f>+'q12.1'!$H$6</f>
        <v>1048977.9999999998</v>
      </c>
      <c r="J151" s="385">
        <f>+'q12.1'!$I$6</f>
        <v>1063143</v>
      </c>
      <c r="K151" s="385">
        <f>+'q12.1'!$J$6</f>
        <v>1057089.9999999993</v>
      </c>
      <c r="L151" s="385">
        <f>+'q12.1'!$K$6</f>
        <v>1067824.0000000007</v>
      </c>
      <c r="M151" s="385">
        <f>+'q12.1'!$L$6</f>
        <v>1142574.9999999998</v>
      </c>
    </row>
    <row r="152" spans="1:47">
      <c r="A152" s="374"/>
      <c r="B152" s="374" t="str">
        <f>+'q12.1'!$A$15</f>
        <v>Centro</v>
      </c>
      <c r="C152" s="385">
        <f>+'q12.1'!$B$15</f>
        <v>376953.99999999988</v>
      </c>
      <c r="D152" s="385">
        <f>+'q12.1'!$C$15</f>
        <v>375479.00000000012</v>
      </c>
      <c r="E152" s="385">
        <f>+'q12.1'!$D$15</f>
        <v>385062.00000000006</v>
      </c>
      <c r="F152" s="385">
        <f>+'q12.1'!$E$15</f>
        <v>394749.00000000006</v>
      </c>
      <c r="G152" s="385">
        <f>+'q12.1'!$F$15</f>
        <v>407291</v>
      </c>
      <c r="H152" s="385">
        <f>+'q12.1'!$G$15</f>
        <v>423923.00000000012</v>
      </c>
      <c r="I152" s="385">
        <f>+'q12.1'!$H$15</f>
        <v>439199</v>
      </c>
      <c r="J152" s="385">
        <f>+'q12.1'!$I$15</f>
        <v>442560.99999999988</v>
      </c>
      <c r="K152" s="385">
        <f>+'q12.1'!$J$15</f>
        <v>444343.99999999994</v>
      </c>
      <c r="L152" s="385">
        <f>+'q12.1'!$K$15</f>
        <v>445473.00000000006</v>
      </c>
      <c r="M152" s="385">
        <f>+'q12.1'!$L$15</f>
        <v>473399</v>
      </c>
    </row>
    <row r="153" spans="1:47">
      <c r="A153" s="374"/>
      <c r="B153" s="374" t="str">
        <f>+'q12.1'!$A$22</f>
        <v>Oeste e Vale do Tejo</v>
      </c>
      <c r="C153" s="385">
        <f>+'q12.1'!$B$22</f>
        <v>170697.99999999997</v>
      </c>
      <c r="D153" s="385">
        <f>+'q12.1'!$C$22</f>
        <v>167401.00000000006</v>
      </c>
      <c r="E153" s="385">
        <f>+'q12.1'!$D$22</f>
        <v>172345.99999999997</v>
      </c>
      <c r="F153" s="385">
        <f>+'q12.1'!$E$22</f>
        <v>176637</v>
      </c>
      <c r="G153" s="385">
        <f>+'q12.1'!$F$22</f>
        <v>181245.00000000003</v>
      </c>
      <c r="H153" s="385">
        <f>+'q12.1'!$G$22</f>
        <v>192179</v>
      </c>
      <c r="I153" s="385">
        <f>+'q12.1'!$H$22</f>
        <v>203271.00000000003</v>
      </c>
      <c r="J153" s="385">
        <f>+'q12.1'!$I$22</f>
        <v>207475</v>
      </c>
      <c r="K153" s="385">
        <f>+'q12.1'!$J$22</f>
        <v>207244</v>
      </c>
      <c r="L153" s="385">
        <f>+'q12.1'!$K$22</f>
        <v>205139.99999999994</v>
      </c>
      <c r="M153" s="385">
        <f>+'q12.1'!$L$22</f>
        <v>217876.00000000006</v>
      </c>
    </row>
    <row r="154" spans="1:47">
      <c r="A154" s="374"/>
      <c r="B154" s="374" t="str">
        <f>+'q12.1'!$A$26</f>
        <v>Grande Lisboa</v>
      </c>
      <c r="C154" s="385">
        <f>+'q12.1'!$B$26</f>
        <v>652354</v>
      </c>
      <c r="D154" s="385">
        <f>+'q12.1'!$C$26</f>
        <v>656569.99999999988</v>
      </c>
      <c r="E154" s="385">
        <f>+'q12.1'!$D$26</f>
        <v>677265</v>
      </c>
      <c r="F154" s="385">
        <f>+'q12.1'!$E$26</f>
        <v>692513</v>
      </c>
      <c r="G154" s="385">
        <f>+'q12.1'!$F$26</f>
        <v>728120</v>
      </c>
      <c r="H154" s="385">
        <f>+'q12.1'!$G$26</f>
        <v>753266.00000000012</v>
      </c>
      <c r="I154" s="385">
        <f>+'q12.1'!$H$26</f>
        <v>788380.00000000012</v>
      </c>
      <c r="J154" s="385">
        <f>+'q12.1'!$I$26</f>
        <v>807855</v>
      </c>
      <c r="K154" s="385">
        <f>+'q12.1'!$J$26</f>
        <v>797460</v>
      </c>
      <c r="L154" s="385">
        <f>+'q12.1'!$K$26</f>
        <v>801493</v>
      </c>
      <c r="M154" s="385">
        <f>+'q12.1'!$L$26</f>
        <v>875584</v>
      </c>
    </row>
    <row r="155" spans="1:47">
      <c r="A155" s="374"/>
      <c r="B155" s="374" t="str">
        <f>+'q12.1'!$A$27</f>
        <v>Península de Setúbal</v>
      </c>
      <c r="C155" s="385">
        <f>+'q12.1'!$B$27</f>
        <v>120886.00000000001</v>
      </c>
      <c r="D155" s="385">
        <f>+'q12.1'!$C$27</f>
        <v>119320</v>
      </c>
      <c r="E155" s="385">
        <f>+'q12.1'!$D$27</f>
        <v>120734</v>
      </c>
      <c r="F155" s="385">
        <f>+'q12.1'!$E$27</f>
        <v>123784.00000000001</v>
      </c>
      <c r="G155" s="385">
        <f>+'q12.1'!$F$27</f>
        <v>127295</v>
      </c>
      <c r="H155" s="385">
        <f>+'q12.1'!$G$27</f>
        <v>134832.00000000003</v>
      </c>
      <c r="I155" s="385">
        <f>+'q12.1'!$H$27</f>
        <v>143332</v>
      </c>
      <c r="J155" s="385">
        <f>+'q12.1'!$I$27</f>
        <v>147144.00000000003</v>
      </c>
      <c r="K155" s="385">
        <f>+'q12.1'!$J$27</f>
        <v>146898</v>
      </c>
      <c r="L155" s="385">
        <f>+'q12.1'!$K$27</f>
        <v>148398</v>
      </c>
      <c r="M155" s="385">
        <f>+'q12.1'!$L$27</f>
        <v>158898</v>
      </c>
    </row>
    <row r="156" spans="1:47">
      <c r="A156" s="374"/>
      <c r="B156" s="374" t="str">
        <f>+'q12.1'!$A$28</f>
        <v>Alentejo</v>
      </c>
      <c r="C156" s="385">
        <f>+'q12.1'!$B$28</f>
        <v>93645</v>
      </c>
      <c r="D156" s="385">
        <f>+'q12.1'!$C$28</f>
        <v>92817</v>
      </c>
      <c r="E156" s="385">
        <f>+'q12.1'!$D$28</f>
        <v>94632.999999999971</v>
      </c>
      <c r="F156" s="385">
        <f>+'q12.1'!$E$28</f>
        <v>98629.999999999985</v>
      </c>
      <c r="G156" s="385">
        <f>+'q12.1'!$F$28</f>
        <v>102620</v>
      </c>
      <c r="H156" s="385">
        <f>+'q12.1'!$G$28</f>
        <v>106989.99999999999</v>
      </c>
      <c r="I156" s="385">
        <f>+'q12.1'!$H$28</f>
        <v>110648.00000000001</v>
      </c>
      <c r="J156" s="385">
        <f>+'q12.1'!$I$28</f>
        <v>112693</v>
      </c>
      <c r="K156" s="385">
        <f>+'q12.1'!$J$28</f>
        <v>115844.99999999997</v>
      </c>
      <c r="L156" s="385">
        <f>+'q12.1'!$K$28</f>
        <v>116079.00000000004</v>
      </c>
      <c r="M156" s="385">
        <f>+'q12.1'!$L$28</f>
        <v>125145.00000000001</v>
      </c>
    </row>
    <row r="157" spans="1:47">
      <c r="A157" s="374"/>
      <c r="B157" s="374" t="str">
        <f>+'q12.1'!$A$33</f>
        <v>Algarve</v>
      </c>
      <c r="C157" s="385">
        <f>+'q12.1'!$B$33</f>
        <v>105488.99999999999</v>
      </c>
      <c r="D157" s="385">
        <f>+'q12.1'!$C$33</f>
        <v>104938</v>
      </c>
      <c r="E157" s="385">
        <f>+'q12.1'!$D$33</f>
        <v>109922</v>
      </c>
      <c r="F157" s="385">
        <f>+'q12.1'!$E$33</f>
        <v>117234</v>
      </c>
      <c r="G157" s="385">
        <f>+'q12.1'!$F$33</f>
        <v>125989.99999999999</v>
      </c>
      <c r="H157" s="385">
        <f>+'q12.1'!$G$33</f>
        <v>135848</v>
      </c>
      <c r="I157" s="385">
        <f>+'q12.1'!$H$33</f>
        <v>144110</v>
      </c>
      <c r="J157" s="385">
        <f>+'q12.1'!$I$33</f>
        <v>149611</v>
      </c>
      <c r="K157" s="385">
        <f>+'q12.1'!$J$33</f>
        <v>133943.99999999997</v>
      </c>
      <c r="L157" s="385">
        <f>+'q12.1'!$K$33</f>
        <v>137936</v>
      </c>
      <c r="M157" s="385">
        <f>+'q12.1'!$L$33</f>
        <v>154669.99999999997</v>
      </c>
    </row>
    <row r="158" spans="1:47">
      <c r="B158" s="374" t="s">
        <v>14</v>
      </c>
      <c r="C158" s="385">
        <f>+'q12.1'!$B$5</f>
        <v>2387386.0000000009</v>
      </c>
      <c r="D158" s="385">
        <f>+'q12.1'!$C$5</f>
        <v>2384121</v>
      </c>
      <c r="E158" s="385">
        <f>+'q12.1'!$D$5</f>
        <v>2458163</v>
      </c>
      <c r="F158" s="385">
        <f>+'q12.1'!$E$5</f>
        <v>2537653.0000000028</v>
      </c>
      <c r="G158" s="385">
        <f>+'q12.1'!$F$5</f>
        <v>2641918.9999999977</v>
      </c>
      <c r="H158" s="385">
        <f>+'q12.1'!$G$5</f>
        <v>2767520.9999999977</v>
      </c>
      <c r="I158" s="385">
        <f>+'q12.1'!$H$5</f>
        <v>2877918.0000000005</v>
      </c>
      <c r="J158" s="385">
        <f>+'q12.1'!$I$5</f>
        <v>2930481.9999999995</v>
      </c>
      <c r="K158" s="385">
        <f>+'q12.1'!$J$5</f>
        <v>2902824.9999999981</v>
      </c>
      <c r="L158" s="385">
        <f>+'q12.1'!$K$5</f>
        <v>2922343.0000000014</v>
      </c>
      <c r="M158" s="385">
        <f>+'q12.1'!$L$5</f>
        <v>3148146.9999999995</v>
      </c>
    </row>
    <row r="159" spans="1:47">
      <c r="B159" s="374"/>
      <c r="C159" s="385"/>
      <c r="D159" s="385"/>
      <c r="E159" s="385"/>
      <c r="F159" s="385"/>
      <c r="G159" s="385"/>
      <c r="H159" s="385"/>
      <c r="I159" s="385"/>
      <c r="J159" s="385"/>
      <c r="K159" s="385"/>
      <c r="L159" s="385"/>
      <c r="M159" s="385"/>
    </row>
    <row r="160" spans="1:47">
      <c r="C160" s="374">
        <f>+C150</f>
        <v>2012</v>
      </c>
      <c r="D160" s="374">
        <f t="shared" ref="D160:M160" si="64">+D150</f>
        <v>2013</v>
      </c>
      <c r="E160" s="374">
        <f t="shared" si="64"/>
        <v>2014</v>
      </c>
      <c r="F160" s="374">
        <f t="shared" si="64"/>
        <v>2015</v>
      </c>
      <c r="G160" s="374">
        <f t="shared" si="64"/>
        <v>2016</v>
      </c>
      <c r="H160" s="374">
        <f t="shared" si="64"/>
        <v>2017</v>
      </c>
      <c r="I160" s="374">
        <f t="shared" si="64"/>
        <v>2018</v>
      </c>
      <c r="J160" s="374">
        <f t="shared" si="64"/>
        <v>2019</v>
      </c>
      <c r="K160" s="374">
        <f t="shared" si="64"/>
        <v>2020</v>
      </c>
      <c r="L160" s="374">
        <f t="shared" si="64"/>
        <v>2021</v>
      </c>
      <c r="M160" s="374">
        <f t="shared" si="64"/>
        <v>2022</v>
      </c>
    </row>
    <row r="161" spans="1:13">
      <c r="A161" s="374" t="s">
        <v>678</v>
      </c>
      <c r="B161" s="374" t="str">
        <f>+'q12.1'!$A$7</f>
        <v>Alto Minho</v>
      </c>
      <c r="C161" s="385">
        <f>+'q12.1'!$B$7</f>
        <v>47838</v>
      </c>
      <c r="D161" s="385">
        <f>+'q12.1'!$C$7</f>
        <v>48872.999999999993</v>
      </c>
      <c r="E161" s="385">
        <f>+'q12.1'!$D$7</f>
        <v>50225</v>
      </c>
      <c r="F161" s="385">
        <f>+'q12.1'!$E$7</f>
        <v>52609</v>
      </c>
      <c r="G161" s="385">
        <f>+'q12.1'!$F$7</f>
        <v>52622.000000000007</v>
      </c>
      <c r="H161" s="385">
        <f>+'q12.1'!$G$7</f>
        <v>55356</v>
      </c>
      <c r="I161" s="385">
        <f>+'q12.1'!$H$7</f>
        <v>58686</v>
      </c>
      <c r="J161" s="385">
        <f>+'q12.1'!$I$7</f>
        <v>59295.000000000007</v>
      </c>
      <c r="K161" s="385">
        <f>+'q12.1'!$J$7</f>
        <v>60629</v>
      </c>
      <c r="L161" s="385">
        <f>+'q12.1'!$K$7</f>
        <v>60893</v>
      </c>
      <c r="M161" s="385">
        <f>+'q12.1'!$L$7</f>
        <v>64187</v>
      </c>
    </row>
    <row r="162" spans="1:13">
      <c r="A162" s="374"/>
      <c r="B162" s="374" t="str">
        <f>+'q12.1'!$A$8</f>
        <v>Cávado</v>
      </c>
      <c r="C162" s="385">
        <f>+'q12.1'!$B$8</f>
        <v>99797.000000000015</v>
      </c>
      <c r="D162" s="385">
        <f>+'q12.1'!$C$8</f>
        <v>99096</v>
      </c>
      <c r="E162" s="385">
        <f>+'q12.1'!$D$8</f>
        <v>104058</v>
      </c>
      <c r="F162" s="385">
        <f>+'q12.1'!$E$8</f>
        <v>107920</v>
      </c>
      <c r="G162" s="385">
        <f>+'q12.1'!$F$8</f>
        <v>113517</v>
      </c>
      <c r="H162" s="385">
        <f>+'q12.1'!$G$8</f>
        <v>120158.00000000001</v>
      </c>
      <c r="I162" s="385">
        <f>+'q12.1'!$H$8</f>
        <v>126435</v>
      </c>
      <c r="J162" s="385">
        <f>+'q12.1'!$I$8</f>
        <v>129738.99999999999</v>
      </c>
      <c r="K162" s="385">
        <f>+'q12.1'!$J$8</f>
        <v>129449</v>
      </c>
      <c r="L162" s="385">
        <f>+'q12.1'!$K$8</f>
        <v>132064</v>
      </c>
      <c r="M162" s="385">
        <f>+'q12.1'!$L$8</f>
        <v>143159</v>
      </c>
    </row>
    <row r="163" spans="1:13">
      <c r="A163" s="374"/>
      <c r="B163" s="374" t="str">
        <f>+'q12.1'!$A$9</f>
        <v>Ave</v>
      </c>
      <c r="C163" s="385">
        <f>+'q12.1'!$B$9</f>
        <v>111087</v>
      </c>
      <c r="D163" s="385">
        <f>+'q12.1'!$C$9</f>
        <v>113206.00000000001</v>
      </c>
      <c r="E163" s="385">
        <f>+'q12.1'!$D$9</f>
        <v>117573.99999999999</v>
      </c>
      <c r="F163" s="385">
        <f>+'q12.1'!$E$9</f>
        <v>122620.00000000001</v>
      </c>
      <c r="G163" s="385">
        <f>+'q12.1'!$F$9</f>
        <v>128328</v>
      </c>
      <c r="H163" s="385">
        <f>+'q12.1'!$G$9</f>
        <v>132997</v>
      </c>
      <c r="I163" s="385">
        <f>+'q12.1'!$H$9</f>
        <v>136304</v>
      </c>
      <c r="J163" s="385">
        <f>+'q12.1'!$I$9</f>
        <v>130389.99999999999</v>
      </c>
      <c r="K163" s="385">
        <f>+'q12.1'!$J$9</f>
        <v>132409.00000000003</v>
      </c>
      <c r="L163" s="385">
        <f>+'q12.1'!$K$9</f>
        <v>132536</v>
      </c>
      <c r="M163" s="385">
        <f>+'q12.1'!$L$9</f>
        <v>140262</v>
      </c>
    </row>
    <row r="164" spans="1:13">
      <c r="A164" s="374"/>
      <c r="B164" s="374" t="str">
        <f>+'q12.1'!$A$10</f>
        <v>Área Metropolitana do Porto</v>
      </c>
      <c r="C164" s="385">
        <f>+'q12.1'!$B$10</f>
        <v>454580.99999999994</v>
      </c>
      <c r="D164" s="385">
        <f>+'q12.1'!$C$10</f>
        <v>451487.99999999994</v>
      </c>
      <c r="E164" s="385">
        <f>+'q12.1'!$D$10</f>
        <v>466468</v>
      </c>
      <c r="F164" s="385">
        <f>+'q12.1'!$E$10</f>
        <v>484890</v>
      </c>
      <c r="G164" s="385">
        <f>+'q12.1'!$F$10</f>
        <v>503447</v>
      </c>
      <c r="H164" s="385">
        <f>+'q12.1'!$G$10</f>
        <v>534642</v>
      </c>
      <c r="I164" s="385">
        <f>+'q12.1'!$H$10</f>
        <v>546000</v>
      </c>
      <c r="J164" s="385">
        <f>+'q12.1'!$I$10</f>
        <v>561884</v>
      </c>
      <c r="K164" s="385">
        <f>+'q12.1'!$J$10</f>
        <v>551846</v>
      </c>
      <c r="L164" s="385">
        <f>+'q12.1'!$K$10</f>
        <v>554585</v>
      </c>
      <c r="M164" s="385">
        <f>+'q12.1'!$L$10</f>
        <v>598036</v>
      </c>
    </row>
    <row r="165" spans="1:13">
      <c r="A165" s="374"/>
      <c r="B165" s="374" t="str">
        <f>+'q12.1'!$A$11</f>
        <v>Alto Tâmega e Barroso</v>
      </c>
      <c r="C165" s="385">
        <f>+'q12.1'!$B$11</f>
        <v>11289</v>
      </c>
      <c r="D165" s="385">
        <f>+'q12.1'!$C$11</f>
        <v>11107</v>
      </c>
      <c r="E165" s="385">
        <f>+'q12.1'!$D$11</f>
        <v>11285</v>
      </c>
      <c r="F165" s="385">
        <f>+'q12.1'!$E$11</f>
        <v>11800</v>
      </c>
      <c r="G165" s="385">
        <f>+'q12.1'!$F$11</f>
        <v>12071</v>
      </c>
      <c r="H165" s="385">
        <f>+'q12.1'!$G$11</f>
        <v>13249.000000000002</v>
      </c>
      <c r="I165" s="385">
        <f>+'q12.1'!$H$11</f>
        <v>13543.999999999998</v>
      </c>
      <c r="J165" s="385">
        <f>+'q12.1'!$I$11</f>
        <v>13822.999999999998</v>
      </c>
      <c r="K165" s="385">
        <f>+'q12.1'!$J$11</f>
        <v>13398</v>
      </c>
      <c r="L165" s="385">
        <f>+'q12.1'!$K$11</f>
        <v>13653</v>
      </c>
      <c r="M165" s="385">
        <f>+'q12.1'!$L$11</f>
        <v>14446</v>
      </c>
    </row>
    <row r="166" spans="1:13">
      <c r="A166" s="374"/>
      <c r="B166" s="374" t="str">
        <f>+'q12.1'!$A$12</f>
        <v>Tâmega e Sousa</v>
      </c>
      <c r="C166" s="385">
        <f>+'q12.1'!$B$12</f>
        <v>97011</v>
      </c>
      <c r="D166" s="385">
        <f>+'q12.1'!$C$12</f>
        <v>98223.000000000015</v>
      </c>
      <c r="E166" s="385">
        <f>+'q12.1'!$D$12</f>
        <v>102491</v>
      </c>
      <c r="F166" s="385">
        <f>+'q12.1'!$E$12</f>
        <v>106598</v>
      </c>
      <c r="G166" s="385">
        <f>+'q12.1'!$F$12</f>
        <v>110512</v>
      </c>
      <c r="H166" s="385">
        <f>+'q12.1'!$G$12</f>
        <v>114101</v>
      </c>
      <c r="I166" s="385">
        <f>+'q12.1'!$H$12</f>
        <v>116671</v>
      </c>
      <c r="J166" s="385">
        <f>+'q12.1'!$I$12</f>
        <v>116470.00000000001</v>
      </c>
      <c r="K166" s="385">
        <f>+'q12.1'!$J$12</f>
        <v>116377</v>
      </c>
      <c r="L166" s="385">
        <f>+'q12.1'!$K$12</f>
        <v>120140</v>
      </c>
      <c r="M166" s="385">
        <f>+'q12.1'!$L$12</f>
        <v>126317.99999999999</v>
      </c>
    </row>
    <row r="167" spans="1:13">
      <c r="A167" s="374"/>
      <c r="B167" s="374" t="str">
        <f>+'q12.1'!$A$13</f>
        <v>Douro</v>
      </c>
      <c r="C167" s="385">
        <f>+'q12.1'!$B$13</f>
        <v>30545.000000000004</v>
      </c>
      <c r="D167" s="385">
        <f>+'q12.1'!$C$13</f>
        <v>30393</v>
      </c>
      <c r="E167" s="385">
        <f>+'q12.1'!$D$13</f>
        <v>30403.000000000004</v>
      </c>
      <c r="F167" s="385">
        <f>+'q12.1'!$E$13</f>
        <v>31414</v>
      </c>
      <c r="G167" s="385">
        <f>+'q12.1'!$F$13</f>
        <v>32095.000000000004</v>
      </c>
      <c r="H167" s="385">
        <f>+'q12.1'!$G$13</f>
        <v>32842</v>
      </c>
      <c r="I167" s="385">
        <f>+'q12.1'!$H$13</f>
        <v>33778.999999999993</v>
      </c>
      <c r="J167" s="385">
        <f>+'q12.1'!$I$13</f>
        <v>33925</v>
      </c>
      <c r="K167" s="385">
        <f>+'q12.1'!$J$13</f>
        <v>34875.000000000007</v>
      </c>
      <c r="L167" s="385">
        <f>+'q12.1'!$K$13</f>
        <v>35549.000000000007</v>
      </c>
      <c r="M167" s="385">
        <f>+'q12.1'!$L$13</f>
        <v>37314</v>
      </c>
    </row>
    <row r="168" spans="1:13">
      <c r="A168" s="374"/>
      <c r="B168" s="374" t="str">
        <f>+'q12.1'!$A$14</f>
        <v>Terras de Trás-os-Montes</v>
      </c>
      <c r="C168" s="385">
        <f>+'q12.1'!$B$14</f>
        <v>15212</v>
      </c>
      <c r="D168" s="385">
        <f>+'q12.1'!$C$14</f>
        <v>15209.999999999998</v>
      </c>
      <c r="E168" s="385">
        <f>+'q12.1'!$D$14</f>
        <v>15696.999999999998</v>
      </c>
      <c r="F168" s="385">
        <f>+'q12.1'!$E$14</f>
        <v>16254.999999999998</v>
      </c>
      <c r="G168" s="385">
        <f>+'q12.1'!$F$14</f>
        <v>16766</v>
      </c>
      <c r="H168" s="385">
        <f>+'q12.1'!$G$14</f>
        <v>17138.000000000004</v>
      </c>
      <c r="I168" s="385">
        <f>+'q12.1'!$H$14</f>
        <v>17559</v>
      </c>
      <c r="J168" s="385">
        <f>+'q12.1'!$I$14</f>
        <v>17617</v>
      </c>
      <c r="K168" s="385">
        <f>+'q12.1'!$J$14</f>
        <v>18107</v>
      </c>
      <c r="L168" s="385">
        <f>+'q12.1'!$K$14</f>
        <v>18404</v>
      </c>
      <c r="M168" s="385">
        <f>+'q12.1'!$L$14</f>
        <v>18853</v>
      </c>
    </row>
    <row r="169" spans="1:13">
      <c r="A169" s="374"/>
      <c r="B169" s="374" t="str">
        <f>+'q12.1'!$A$16</f>
        <v>Região de Aveiro</v>
      </c>
      <c r="C169" s="385">
        <f>+'q12.1'!$B$16</f>
        <v>95451.000000000015</v>
      </c>
      <c r="D169" s="385">
        <f>+'q12.1'!$C$16</f>
        <v>94576</v>
      </c>
      <c r="E169" s="385">
        <f>+'q12.1'!$D$16</f>
        <v>98368.000000000015</v>
      </c>
      <c r="F169" s="385">
        <f>+'q12.1'!$E$16</f>
        <v>101027</v>
      </c>
      <c r="G169" s="385">
        <f>+'q12.1'!$F$16</f>
        <v>106482</v>
      </c>
      <c r="H169" s="385">
        <f>+'q12.1'!$G$16</f>
        <v>111036</v>
      </c>
      <c r="I169" s="385">
        <f>+'q12.1'!$H$16</f>
        <v>117298</v>
      </c>
      <c r="J169" s="385">
        <f>+'q12.1'!$I$16</f>
        <v>118388.99999999999</v>
      </c>
      <c r="K169" s="385">
        <f>+'q12.1'!$J$16</f>
        <v>119180</v>
      </c>
      <c r="L169" s="385">
        <f>+'q12.1'!$K$16</f>
        <v>117165.99999999999</v>
      </c>
      <c r="M169" s="385">
        <f>+'q12.1'!$L$16</f>
        <v>127100</v>
      </c>
    </row>
    <row r="170" spans="1:13">
      <c r="A170" s="374"/>
      <c r="B170" s="374" t="str">
        <f>+'q12.1'!$A$17</f>
        <v>Região de Coimbra</v>
      </c>
      <c r="C170" s="385">
        <f>+'q12.1'!$B$17</f>
        <v>92494.999999999985</v>
      </c>
      <c r="D170" s="385">
        <f>+'q12.1'!$C$17</f>
        <v>92022.000000000015</v>
      </c>
      <c r="E170" s="385">
        <f>+'q12.1'!$D$17</f>
        <v>91037</v>
      </c>
      <c r="F170" s="385">
        <f>+'q12.1'!$E$17</f>
        <v>93998.000000000015</v>
      </c>
      <c r="G170" s="385">
        <f>+'q12.1'!$F$17</f>
        <v>95633</v>
      </c>
      <c r="H170" s="385">
        <f>+'q12.1'!$G$17</f>
        <v>100266.00000000001</v>
      </c>
      <c r="I170" s="385">
        <f>+'q12.1'!$H$17</f>
        <v>101543</v>
      </c>
      <c r="J170" s="385">
        <f>+'q12.1'!$I$17</f>
        <v>102855.99999999999</v>
      </c>
      <c r="K170" s="385">
        <f>+'q12.1'!$J$17</f>
        <v>103974.99999999999</v>
      </c>
      <c r="L170" s="385">
        <f>+'q12.1'!$K$17</f>
        <v>104161.00000000001</v>
      </c>
      <c r="M170" s="385">
        <f>+'q12.1'!$L$17</f>
        <v>111437</v>
      </c>
    </row>
    <row r="171" spans="1:13">
      <c r="A171" s="374"/>
      <c r="B171" s="374" t="str">
        <f>+'q12.1'!$A$18</f>
        <v>Região de Leiria</v>
      </c>
      <c r="C171" s="385">
        <f>+'q12.1'!$B$18</f>
        <v>76066.999999999985</v>
      </c>
      <c r="D171" s="385">
        <f>+'q12.1'!$C$18</f>
        <v>77335</v>
      </c>
      <c r="E171" s="385">
        <f>+'q12.1'!$D$18</f>
        <v>81138</v>
      </c>
      <c r="F171" s="385">
        <f>+'q12.1'!$E$18</f>
        <v>83217</v>
      </c>
      <c r="G171" s="385">
        <f>+'q12.1'!$F$18</f>
        <v>86265</v>
      </c>
      <c r="H171" s="385">
        <f>+'q12.1'!$G$18</f>
        <v>89775</v>
      </c>
      <c r="I171" s="385">
        <f>+'q12.1'!$H$18</f>
        <v>91777</v>
      </c>
      <c r="J171" s="385">
        <f>+'q12.1'!$I$18</f>
        <v>92356.999999999985</v>
      </c>
      <c r="K171" s="385">
        <f>+'q12.1'!$J$18</f>
        <v>92504</v>
      </c>
      <c r="L171" s="385">
        <f>+'q12.1'!$K$18</f>
        <v>94709.000000000015</v>
      </c>
      <c r="M171" s="385">
        <f>+'q12.1'!$L$18</f>
        <v>98098</v>
      </c>
    </row>
    <row r="172" spans="1:13">
      <c r="A172" s="374"/>
      <c r="B172" s="374" t="str">
        <f>+'q12.1'!$A$19</f>
        <v>Viseu Dão Lafões</v>
      </c>
      <c r="C172" s="385">
        <f>+'q12.1'!$B$19</f>
        <v>53648</v>
      </c>
      <c r="D172" s="385">
        <f>+'q12.1'!$C$19</f>
        <v>53553</v>
      </c>
      <c r="E172" s="385">
        <f>+'q12.1'!$D$19</f>
        <v>54665</v>
      </c>
      <c r="F172" s="385">
        <f>+'q12.1'!$E$19</f>
        <v>56306</v>
      </c>
      <c r="G172" s="385">
        <f>+'q12.1'!$F$19</f>
        <v>58117.000000000007</v>
      </c>
      <c r="H172" s="385">
        <f>+'q12.1'!$G$19</f>
        <v>60427.000000000007</v>
      </c>
      <c r="I172" s="385">
        <f>+'q12.1'!$H$19</f>
        <v>63457.999999999993</v>
      </c>
      <c r="J172" s="385">
        <f>+'q12.1'!$I$19</f>
        <v>65071</v>
      </c>
      <c r="K172" s="385">
        <f>+'q12.1'!$J$19</f>
        <v>64891</v>
      </c>
      <c r="L172" s="385">
        <f>+'q12.1'!$K$19</f>
        <v>65303</v>
      </c>
      <c r="M172" s="385">
        <f>+'q12.1'!$L$19</f>
        <v>69493</v>
      </c>
    </row>
    <row r="173" spans="1:13">
      <c r="A173" s="374"/>
      <c r="B173" s="374" t="str">
        <f>+'q12.1'!$A$20</f>
        <v>Beira Baixa</v>
      </c>
      <c r="C173" s="385">
        <f>+'q12.1'!$B$20</f>
        <v>18822</v>
      </c>
      <c r="D173" s="385">
        <f>+'q12.1'!$C$20</f>
        <v>18295</v>
      </c>
      <c r="E173" s="385">
        <f>+'q12.1'!$D$20</f>
        <v>19205</v>
      </c>
      <c r="F173" s="385">
        <f>+'q12.1'!$E$20</f>
        <v>18862</v>
      </c>
      <c r="G173" s="385">
        <f>+'q12.1'!$F$20</f>
        <v>18976</v>
      </c>
      <c r="H173" s="385">
        <f>+'q12.1'!$G$20</f>
        <v>19074</v>
      </c>
      <c r="I173" s="385">
        <f>+'q12.1'!$H$20</f>
        <v>20595</v>
      </c>
      <c r="J173" s="385">
        <f>+'q12.1'!$I$20</f>
        <v>20454</v>
      </c>
      <c r="K173" s="385">
        <f>+'q12.1'!$J$20</f>
        <v>20429</v>
      </c>
      <c r="L173" s="385">
        <f>+'q12.1'!$K$20</f>
        <v>20093</v>
      </c>
      <c r="M173" s="385">
        <f>+'q12.1'!$L$20</f>
        <v>21005</v>
      </c>
    </row>
    <row r="174" spans="1:13">
      <c r="A174" s="374"/>
      <c r="B174" s="374" t="str">
        <f>+'q12.1'!$A$21</f>
        <v>Beiras e Serra da Estrela</v>
      </c>
      <c r="C174" s="385">
        <f>+'q12.1'!$B$21</f>
        <v>40471.000000000007</v>
      </c>
      <c r="D174" s="385">
        <f>+'q12.1'!$C$21</f>
        <v>39698.000000000007</v>
      </c>
      <c r="E174" s="385">
        <f>+'q12.1'!$D$21</f>
        <v>40649</v>
      </c>
      <c r="F174" s="385">
        <f>+'q12.1'!$E$21</f>
        <v>41339</v>
      </c>
      <c r="G174" s="385">
        <f>+'q12.1'!$F$21</f>
        <v>41818.000000000007</v>
      </c>
      <c r="H174" s="385">
        <f>+'q12.1'!$G$21</f>
        <v>43345</v>
      </c>
      <c r="I174" s="385">
        <f>+'q12.1'!$H$21</f>
        <v>44527.999999999993</v>
      </c>
      <c r="J174" s="385">
        <f>+'q12.1'!$I$21</f>
        <v>43434.000000000007</v>
      </c>
      <c r="K174" s="385">
        <f>+'q12.1'!$J$21</f>
        <v>43365</v>
      </c>
      <c r="L174" s="385">
        <f>+'q12.1'!$K$21</f>
        <v>44041.000000000007</v>
      </c>
      <c r="M174" s="385">
        <f>+'q12.1'!$L$21</f>
        <v>46266</v>
      </c>
    </row>
    <row r="175" spans="1:13">
      <c r="A175" s="374"/>
      <c r="B175" s="374" t="str">
        <f>+'q12.1'!$A$23</f>
        <v>Oeste</v>
      </c>
      <c r="C175" s="385">
        <f>+'q12.1'!$B$23</f>
        <v>74176</v>
      </c>
      <c r="D175" s="385">
        <f>+'q12.1'!$C$23</f>
        <v>72876.000000000015</v>
      </c>
      <c r="E175" s="385">
        <f>+'q12.1'!$D$23</f>
        <v>76041</v>
      </c>
      <c r="F175" s="385">
        <f>+'q12.1'!$E$23</f>
        <v>78135</v>
      </c>
      <c r="G175" s="385">
        <f>+'q12.1'!$F$23</f>
        <v>80561</v>
      </c>
      <c r="H175" s="385">
        <f>+'q12.1'!$G$23</f>
        <v>85296.999999999985</v>
      </c>
      <c r="I175" s="385">
        <f>+'q12.1'!$H$23</f>
        <v>93248</v>
      </c>
      <c r="J175" s="385">
        <f>+'q12.1'!$I$23</f>
        <v>94993</v>
      </c>
      <c r="K175" s="385">
        <f>+'q12.1'!$J$23</f>
        <v>93635</v>
      </c>
      <c r="L175" s="385">
        <f>+'q12.1'!$K$23</f>
        <v>91960</v>
      </c>
      <c r="M175" s="385">
        <f>+'q12.1'!$L$23</f>
        <v>97506</v>
      </c>
    </row>
    <row r="176" spans="1:13">
      <c r="A176" s="374"/>
      <c r="B176" s="374" t="str">
        <f>+'q12.1'!$A$24</f>
        <v>Médio Tejo</v>
      </c>
      <c r="C176" s="385">
        <f>+'q12.1'!$B$24</f>
        <v>46354</v>
      </c>
      <c r="D176" s="385">
        <f>+'q12.1'!$C$24</f>
        <v>45178</v>
      </c>
      <c r="E176" s="385">
        <f>+'q12.1'!$D$24</f>
        <v>45874.999999999993</v>
      </c>
      <c r="F176" s="385">
        <f>+'q12.1'!$E$24</f>
        <v>47312</v>
      </c>
      <c r="G176" s="385">
        <f>+'q12.1'!$F$24</f>
        <v>47227.000000000007</v>
      </c>
      <c r="H176" s="385">
        <f>+'q12.1'!$G$24</f>
        <v>49621</v>
      </c>
      <c r="I176" s="385">
        <f>+'q12.1'!$H$24</f>
        <v>50555</v>
      </c>
      <c r="J176" s="385">
        <f>+'q12.1'!$I$24</f>
        <v>51812</v>
      </c>
      <c r="K176" s="385">
        <f>+'q12.1'!$J$24</f>
        <v>50877</v>
      </c>
      <c r="L176" s="385">
        <f>+'q12.1'!$K$24</f>
        <v>50282</v>
      </c>
      <c r="M176" s="385">
        <f>+'q12.1'!$L$24</f>
        <v>53904.000000000007</v>
      </c>
    </row>
    <row r="177" spans="1:13">
      <c r="A177" s="374"/>
      <c r="B177" s="374" t="str">
        <f>+'q12.1'!$A$25</f>
        <v>Lezíria do Tejo</v>
      </c>
      <c r="C177" s="385">
        <f>+'q12.1'!$B$25</f>
        <v>50168</v>
      </c>
      <c r="D177" s="385">
        <f>+'q12.1'!$C$25</f>
        <v>49347</v>
      </c>
      <c r="E177" s="385">
        <f>+'q12.1'!$D$25</f>
        <v>50430.000000000007</v>
      </c>
      <c r="F177" s="385">
        <f>+'q12.1'!$E$25</f>
        <v>51190</v>
      </c>
      <c r="G177" s="385">
        <f>+'q12.1'!$F$25</f>
        <v>53456.999999999993</v>
      </c>
      <c r="H177" s="385">
        <f>+'q12.1'!$G$25</f>
        <v>57260.999999999993</v>
      </c>
      <c r="I177" s="385">
        <f>+'q12.1'!$H$25</f>
        <v>59468</v>
      </c>
      <c r="J177" s="385">
        <f>+'q12.1'!$I$25</f>
        <v>60669.999999999993</v>
      </c>
      <c r="K177" s="385">
        <f>+'q12.1'!$J$25</f>
        <v>62731.999999999993</v>
      </c>
      <c r="L177" s="385">
        <f>+'q12.1'!$K$25</f>
        <v>62898</v>
      </c>
      <c r="M177" s="385">
        <f>+'q12.1'!$L$25</f>
        <v>66465.999999999985</v>
      </c>
    </row>
    <row r="178" spans="1:13">
      <c r="A178" s="374"/>
      <c r="B178" s="374" t="str">
        <f>+'q12.1'!$A$26</f>
        <v>Grande Lisboa</v>
      </c>
      <c r="C178" s="385">
        <f>+'q12.1'!$B$26</f>
        <v>652354</v>
      </c>
      <c r="D178" s="385">
        <f>+'q12.1'!$C$26</f>
        <v>656569.99999999988</v>
      </c>
      <c r="E178" s="385">
        <f>+'q12.1'!$D$26</f>
        <v>677265</v>
      </c>
      <c r="F178" s="385">
        <f>+'q12.1'!$E$26</f>
        <v>692513</v>
      </c>
      <c r="G178" s="385">
        <f>+'q12.1'!$F$26</f>
        <v>728120</v>
      </c>
      <c r="H178" s="385">
        <f>+'q12.1'!$G$26</f>
        <v>753266.00000000012</v>
      </c>
      <c r="I178" s="385">
        <f>+'q12.1'!$H$26</f>
        <v>788380.00000000012</v>
      </c>
      <c r="J178" s="385">
        <f>+'q12.1'!$I$26</f>
        <v>807855</v>
      </c>
      <c r="K178" s="385">
        <f>+'q12.1'!$J$26</f>
        <v>797460</v>
      </c>
      <c r="L178" s="385">
        <f>+'q12.1'!$K$26</f>
        <v>801493</v>
      </c>
      <c r="M178" s="385">
        <f>+'q12.1'!$L$26</f>
        <v>875584</v>
      </c>
    </row>
    <row r="179" spans="1:13">
      <c r="A179" s="374"/>
      <c r="B179" s="374" t="str">
        <f>+'q12.1'!$A$27</f>
        <v>Península de Setúbal</v>
      </c>
      <c r="C179" s="385">
        <f>+'q12.1'!$B$27</f>
        <v>120886.00000000001</v>
      </c>
      <c r="D179" s="385">
        <f>+'q12.1'!$C$27</f>
        <v>119320</v>
      </c>
      <c r="E179" s="385">
        <f>+'q12.1'!$D$27</f>
        <v>120734</v>
      </c>
      <c r="F179" s="385">
        <f>+'q12.1'!$E$27</f>
        <v>123784.00000000001</v>
      </c>
      <c r="G179" s="385">
        <f>+'q12.1'!$F$27</f>
        <v>127295</v>
      </c>
      <c r="H179" s="385">
        <f>+'q12.1'!$G$27</f>
        <v>134832.00000000003</v>
      </c>
      <c r="I179" s="385">
        <f>+'q12.1'!$H$27</f>
        <v>143332</v>
      </c>
      <c r="J179" s="385">
        <f>+'q12.1'!$I$27</f>
        <v>147144.00000000003</v>
      </c>
      <c r="K179" s="385">
        <f>+'q12.1'!$J$27</f>
        <v>146898</v>
      </c>
      <c r="L179" s="385">
        <f>+'q12.1'!$K$27</f>
        <v>148398</v>
      </c>
      <c r="M179" s="385">
        <f>+'q12.1'!$L$27</f>
        <v>158898</v>
      </c>
    </row>
    <row r="180" spans="1:13">
      <c r="A180" s="374"/>
      <c r="B180" s="374" t="str">
        <f>+'q12.1'!$A$29</f>
        <v>Alentejo Litoral</v>
      </c>
      <c r="C180" s="385">
        <f>+'q12.1'!$B$29</f>
        <v>20037</v>
      </c>
      <c r="D180" s="385">
        <f>+'q12.1'!$C$29</f>
        <v>20360</v>
      </c>
      <c r="E180" s="385">
        <f>+'q12.1'!$D$29</f>
        <v>20669</v>
      </c>
      <c r="F180" s="385">
        <f>+'q12.1'!$E$29</f>
        <v>22067</v>
      </c>
      <c r="G180" s="385">
        <f>+'q12.1'!$F$29</f>
        <v>23455</v>
      </c>
      <c r="H180" s="385">
        <f>+'q12.1'!$G$29</f>
        <v>25004</v>
      </c>
      <c r="I180" s="385">
        <f>+'q12.1'!$H$29</f>
        <v>26593</v>
      </c>
      <c r="J180" s="385">
        <f>+'q12.1'!$I$29</f>
        <v>28106</v>
      </c>
      <c r="K180" s="385">
        <f>+'q12.1'!$J$29</f>
        <v>31575</v>
      </c>
      <c r="L180" s="385">
        <f>+'q12.1'!$K$29</f>
        <v>31890</v>
      </c>
      <c r="M180" s="385">
        <f>+'q12.1'!$L$29</f>
        <v>34475</v>
      </c>
    </row>
    <row r="181" spans="1:13">
      <c r="A181" s="374"/>
      <c r="B181" s="374" t="str">
        <f>+'q12.1'!$A$30</f>
        <v>Baixo Alentejo</v>
      </c>
      <c r="C181" s="385">
        <f>+'q12.1'!$B$30</f>
        <v>22023</v>
      </c>
      <c r="D181" s="385">
        <f>+'q12.1'!$C$30</f>
        <v>22085.999999999996</v>
      </c>
      <c r="E181" s="385">
        <f>+'q12.1'!$D$30</f>
        <v>22425.999999999996</v>
      </c>
      <c r="F181" s="385">
        <f>+'q12.1'!$E$30</f>
        <v>23238.999999999996</v>
      </c>
      <c r="G181" s="385">
        <f>+'q12.1'!$F$30</f>
        <v>23619.000000000004</v>
      </c>
      <c r="H181" s="385">
        <f>+'q12.1'!$G$30</f>
        <v>25024</v>
      </c>
      <c r="I181" s="385">
        <f>+'q12.1'!$H$30</f>
        <v>25408</v>
      </c>
      <c r="J181" s="385">
        <f>+'q12.1'!$I$30</f>
        <v>25504</v>
      </c>
      <c r="K181" s="385">
        <f>+'q12.1'!$J$30</f>
        <v>25388.999999999996</v>
      </c>
      <c r="L181" s="385">
        <f>+'q12.1'!$K$30</f>
        <v>25463.000000000004</v>
      </c>
      <c r="M181" s="385">
        <f>+'q12.1'!$L$30</f>
        <v>28355.999999999996</v>
      </c>
    </row>
    <row r="182" spans="1:13">
      <c r="A182" s="374"/>
      <c r="B182" s="374" t="str">
        <f>+'q12.1'!$A$31</f>
        <v>Alto Alentejo</v>
      </c>
      <c r="C182" s="385">
        <f>+'q12.1'!$B$31</f>
        <v>19060</v>
      </c>
      <c r="D182" s="385">
        <f>+'q12.1'!$C$31</f>
        <v>18653.000000000004</v>
      </c>
      <c r="E182" s="385">
        <f>+'q12.1'!$D$31</f>
        <v>19009</v>
      </c>
      <c r="F182" s="385">
        <f>+'q12.1'!$E$31</f>
        <v>19293</v>
      </c>
      <c r="G182" s="385">
        <f>+'q12.1'!$F$31</f>
        <v>20176.000000000004</v>
      </c>
      <c r="H182" s="385">
        <f>+'q12.1'!$G$31</f>
        <v>20664</v>
      </c>
      <c r="I182" s="385">
        <f>+'q12.1'!$H$31</f>
        <v>20619.999999999996</v>
      </c>
      <c r="J182" s="385">
        <f>+'q12.1'!$I$31</f>
        <v>20826</v>
      </c>
      <c r="K182" s="385">
        <f>+'q12.1'!$J$31</f>
        <v>21098</v>
      </c>
      <c r="L182" s="385">
        <f>+'q12.1'!$K$31</f>
        <v>20537</v>
      </c>
      <c r="M182" s="385">
        <f>+'q12.1'!$L$31</f>
        <v>21623.000000000007</v>
      </c>
    </row>
    <row r="183" spans="1:13">
      <c r="A183" s="374"/>
      <c r="B183" s="374" t="str">
        <f>+'q12.1'!$A$32</f>
        <v>Alentejo Central</v>
      </c>
      <c r="C183" s="385">
        <f>+'q12.1'!$B$32</f>
        <v>32525</v>
      </c>
      <c r="D183" s="385">
        <f>+'q12.1'!$C$32</f>
        <v>31718.000000000004</v>
      </c>
      <c r="E183" s="385">
        <f>+'q12.1'!$D$32</f>
        <v>32529</v>
      </c>
      <c r="F183" s="385">
        <f>+'q12.1'!$E$32</f>
        <v>34030.999999999993</v>
      </c>
      <c r="G183" s="385">
        <f>+'q12.1'!$F$32</f>
        <v>35370</v>
      </c>
      <c r="H183" s="385">
        <f>+'q12.1'!$G$32</f>
        <v>36298.000000000007</v>
      </c>
      <c r="I183" s="385">
        <f>+'q12.1'!$H$32</f>
        <v>38027.000000000015</v>
      </c>
      <c r="J183" s="385">
        <f>+'q12.1'!$I$32</f>
        <v>38257</v>
      </c>
      <c r="K183" s="385">
        <f>+'q12.1'!$J$32</f>
        <v>37783</v>
      </c>
      <c r="L183" s="385">
        <f>+'q12.1'!$K$32</f>
        <v>38189</v>
      </c>
      <c r="M183" s="385">
        <f>+'q12.1'!$L$32</f>
        <v>40691</v>
      </c>
    </row>
    <row r="184" spans="1:13">
      <c r="A184" s="374"/>
      <c r="B184" s="374" t="str">
        <f>+'q12.1'!$A$33</f>
        <v>Algarve</v>
      </c>
      <c r="C184" s="385">
        <f>+'q12.1'!$B$33</f>
        <v>105488.99999999999</v>
      </c>
      <c r="D184" s="385">
        <f>+'q12.1'!$C$33</f>
        <v>104938</v>
      </c>
      <c r="E184" s="385">
        <f>+'q12.1'!$D$33</f>
        <v>109922</v>
      </c>
      <c r="F184" s="385">
        <f>+'q12.1'!$E$33</f>
        <v>117234</v>
      </c>
      <c r="G184" s="385">
        <f>+'q12.1'!$F$33</f>
        <v>125989.99999999999</v>
      </c>
      <c r="H184" s="385">
        <f>+'q12.1'!$G$33</f>
        <v>135848</v>
      </c>
      <c r="I184" s="385">
        <f>+'q12.1'!$H$33</f>
        <v>144110</v>
      </c>
      <c r="J184" s="385">
        <f>+'q12.1'!$I$33</f>
        <v>149611</v>
      </c>
      <c r="K184" s="385">
        <f>+'q12.1'!$J$33</f>
        <v>133943.99999999997</v>
      </c>
      <c r="L184" s="385">
        <f>+'q12.1'!$K$33</f>
        <v>137936</v>
      </c>
      <c r="M184" s="385">
        <f>+'q12.1'!$L$33</f>
        <v>154669.99999999997</v>
      </c>
    </row>
    <row r="185" spans="1:13">
      <c r="B185" s="374" t="s">
        <v>14</v>
      </c>
      <c r="C185" s="385">
        <f>+'q12.1'!$B$5</f>
        <v>2387386.0000000009</v>
      </c>
      <c r="D185" s="385">
        <f>+'q12.1'!$C$5</f>
        <v>2384121</v>
      </c>
      <c r="E185" s="385">
        <f>+'q12.1'!$D$5</f>
        <v>2458163</v>
      </c>
      <c r="F185" s="385">
        <f>+'q12.1'!$E$5</f>
        <v>2537653.0000000028</v>
      </c>
      <c r="G185" s="385">
        <f>+'q12.1'!$F$5</f>
        <v>2641918.9999999977</v>
      </c>
      <c r="H185" s="385">
        <f>+'q12.1'!$G$5</f>
        <v>2767520.9999999977</v>
      </c>
      <c r="I185" s="385">
        <f>+'q12.1'!$H$5</f>
        <v>2877918.0000000005</v>
      </c>
      <c r="J185" s="385">
        <f>+'q12.1'!$I$5</f>
        <v>2930481.9999999995</v>
      </c>
      <c r="K185" s="385">
        <f>+'q12.1'!$J$5</f>
        <v>2902824.9999999981</v>
      </c>
      <c r="L185" s="385">
        <f>+'q12.1'!$K$5</f>
        <v>2922343.0000000014</v>
      </c>
      <c r="M185" s="385">
        <f>+'q12.1'!$L$5</f>
        <v>3148146.9999999995</v>
      </c>
    </row>
    <row r="189" spans="1:13">
      <c r="A189" s="374" t="s">
        <v>692</v>
      </c>
      <c r="D189" s="375"/>
    </row>
    <row r="190" spans="1:13">
      <c r="A190" s="490" t="s">
        <v>358</v>
      </c>
      <c r="C190" s="374">
        <f>+'q19.1'!$B$4</f>
        <v>2012</v>
      </c>
      <c r="D190" s="374">
        <f>+'q19.1'!$C$4</f>
        <v>2013</v>
      </c>
      <c r="E190" s="374">
        <f>+'q19.1'!$D$4</f>
        <v>2014</v>
      </c>
      <c r="F190" s="374">
        <f>+'q19.1'!$E$4</f>
        <v>2015</v>
      </c>
      <c r="G190" s="374">
        <f>+'q19.1'!$F$4</f>
        <v>2016</v>
      </c>
      <c r="H190" s="374">
        <f>+'q19.1'!$G$4</f>
        <v>2017</v>
      </c>
      <c r="I190" s="374">
        <f>+'q19.1'!$H$4</f>
        <v>2018</v>
      </c>
      <c r="J190" s="374">
        <f>+'q19.1'!$I$4</f>
        <v>2019</v>
      </c>
      <c r="K190" s="374">
        <f>+'q19.1'!$J$4</f>
        <v>2020</v>
      </c>
      <c r="L190" s="374">
        <f>+'q19.1'!$K$4</f>
        <v>2021</v>
      </c>
      <c r="M190" s="374">
        <f>+'q19.1'!$L$4</f>
        <v>2022</v>
      </c>
    </row>
    <row r="191" spans="1:13">
      <c r="A191" s="374" t="s">
        <v>677</v>
      </c>
      <c r="B191" s="374" t="str">
        <f>+'q19.1'!$A$6</f>
        <v>Norte</v>
      </c>
      <c r="C191" s="532">
        <f>+'q19.1'!$B$6</f>
        <v>808.48296880327041</v>
      </c>
      <c r="D191" s="532">
        <f>+'q19.1'!$C$6</f>
        <v>809.49634301852325</v>
      </c>
      <c r="E191" s="532">
        <f>+'q19.1'!$D$6</f>
        <v>812.0063787626824</v>
      </c>
      <c r="F191" s="532">
        <f>+'q19.1'!$E$6</f>
        <v>820.0743276851656</v>
      </c>
      <c r="G191" s="532">
        <f>+'q19.1'!$F$6</f>
        <v>834.00621706960692</v>
      </c>
      <c r="H191" s="532">
        <f>+'q19.1'!$G$6</f>
        <v>854.75729368721454</v>
      </c>
      <c r="I191" s="532">
        <f>+'q19.1'!$H$6</f>
        <v>887.43558069809126</v>
      </c>
      <c r="J191" s="532">
        <f>+'q19.1'!$I$6</f>
        <v>924.50443883369405</v>
      </c>
      <c r="K191" s="532">
        <f>+'q19.1'!$J$6</f>
        <v>965.76444774252479</v>
      </c>
      <c r="L191" s="532">
        <f>+'q19.1'!$K$6</f>
        <v>1006.7509032237157</v>
      </c>
      <c r="M191" s="532">
        <f>+'q19.1'!$L$6</f>
        <v>1063.2116885853982</v>
      </c>
    </row>
    <row r="192" spans="1:13">
      <c r="A192" s="374"/>
      <c r="B192" s="374" t="str">
        <f>+'q19.1'!$A$15</f>
        <v>Centro</v>
      </c>
      <c r="C192" s="532">
        <f>+'q19.1'!$B$15</f>
        <v>790.64444594885811</v>
      </c>
      <c r="D192" s="532">
        <f>+'q19.1'!$C$15</f>
        <v>790.29827742541056</v>
      </c>
      <c r="E192" s="532">
        <f>+'q19.1'!$D$15</f>
        <v>791.6892890170999</v>
      </c>
      <c r="F192" s="532">
        <f>+'q19.1'!$E$15</f>
        <v>797.26264077675955</v>
      </c>
      <c r="G192" s="532">
        <f>+'q19.1'!$F$15</f>
        <v>811.52229769515759</v>
      </c>
      <c r="H192" s="532">
        <f>+'q19.1'!$G$15</f>
        <v>830.13304476283747</v>
      </c>
      <c r="I192" s="532">
        <f>+'q19.1'!$H$15</f>
        <v>859.11378517236426</v>
      </c>
      <c r="J192" s="532">
        <f>+'q19.1'!$I$15</f>
        <v>891.46999365677982</v>
      </c>
      <c r="K192" s="532">
        <f>+'q19.1'!$J$15</f>
        <v>920.01077313561723</v>
      </c>
      <c r="L192" s="532">
        <f>+'q19.1'!$K$15</f>
        <v>961.01832308079781</v>
      </c>
      <c r="M192" s="532">
        <f>+'q19.1'!$L$15</f>
        <v>1007.642687752657</v>
      </c>
    </row>
    <row r="193" spans="1:13">
      <c r="A193" s="374"/>
      <c r="B193" s="374" t="str">
        <f>+'q19.1'!$A$22</f>
        <v>Oeste e Vale do Tejo</v>
      </c>
      <c r="C193" s="532">
        <f>+'q19.1'!$B$22</f>
        <v>782.08861419973505</v>
      </c>
      <c r="D193" s="532">
        <f>+'q19.1'!$C$22</f>
        <v>783.15208150699243</v>
      </c>
      <c r="E193" s="532">
        <f>+'q19.1'!$D$22</f>
        <v>784.38562005968402</v>
      </c>
      <c r="F193" s="532">
        <f>+'q19.1'!$E$22</f>
        <v>787.4203476577236</v>
      </c>
      <c r="G193" s="532">
        <f>+'q19.1'!$F$22</f>
        <v>795.81357354056377</v>
      </c>
      <c r="H193" s="532">
        <f>+'q19.1'!$G$22</f>
        <v>813.34053861835901</v>
      </c>
      <c r="I193" s="532">
        <f>+'q19.1'!$H$22</f>
        <v>833.08270710807074</v>
      </c>
      <c r="J193" s="532">
        <f>+'q19.1'!$I$22</f>
        <v>857.96173213910583</v>
      </c>
      <c r="K193" s="532">
        <f>+'q19.1'!$J$22</f>
        <v>892.05777670136501</v>
      </c>
      <c r="L193" s="532">
        <f>+'q19.1'!$K$22</f>
        <v>929.27204362095836</v>
      </c>
      <c r="M193" s="532">
        <f>+'q19.1'!$L$22</f>
        <v>969.16885384892851</v>
      </c>
    </row>
    <row r="194" spans="1:13">
      <c r="A194" s="374"/>
      <c r="B194" s="374" t="str">
        <f>+'q19.1'!$A$26</f>
        <v>Grande Lisboa</v>
      </c>
      <c r="C194" s="532">
        <f>+'q19.1'!$B$26</f>
        <v>1192.6909840284645</v>
      </c>
      <c r="D194" s="532">
        <f>+'q19.1'!$C$26</f>
        <v>1184.3394968190814</v>
      </c>
      <c r="E194" s="532">
        <f>+'q19.1'!$D$26</f>
        <v>1174.2335426887817</v>
      </c>
      <c r="F194" s="532">
        <f>+'q19.1'!$E$26</f>
        <v>1175.5703698145885</v>
      </c>
      <c r="G194" s="532">
        <f>+'q19.1'!$F$26</f>
        <v>1179.7804523135078</v>
      </c>
      <c r="H194" s="532">
        <f>+'q19.1'!$G$26</f>
        <v>1197.3980544344977</v>
      </c>
      <c r="I194" s="532">
        <f>+'q19.1'!$H$26</f>
        <v>1219.74446356669</v>
      </c>
      <c r="J194" s="532">
        <f>+'q19.1'!$I$26</f>
        <v>1255.7750738574869</v>
      </c>
      <c r="K194" s="532">
        <f>+'q19.1'!$J$26</f>
        <v>1293.0735258916031</v>
      </c>
      <c r="L194" s="532">
        <f>+'q19.1'!$K$26</f>
        <v>1339.8023759541529</v>
      </c>
      <c r="M194" s="532">
        <f>+'q19.1'!$L$26</f>
        <v>1418.3948630060115</v>
      </c>
    </row>
    <row r="195" spans="1:13">
      <c r="A195" s="374"/>
      <c r="B195" s="374" t="str">
        <f>+'q19.1'!$A$27</f>
        <v>Península de Setúbal</v>
      </c>
      <c r="C195" s="532">
        <f>+'q19.1'!$B$27</f>
        <v>963.30623380883878</v>
      </c>
      <c r="D195" s="532">
        <f>+'q19.1'!$C$27</f>
        <v>947.18917694577124</v>
      </c>
      <c r="E195" s="532">
        <f>+'q19.1'!$D$27</f>
        <v>942.28750371942351</v>
      </c>
      <c r="F195" s="532">
        <f>+'q19.1'!$E$27</f>
        <v>958.82369081004344</v>
      </c>
      <c r="G195" s="532">
        <f>+'q19.1'!$F$27</f>
        <v>981.54859148707874</v>
      </c>
      <c r="H195" s="532">
        <f>+'q19.1'!$G$27</f>
        <v>991.48604567331813</v>
      </c>
      <c r="I195" s="532">
        <f>+'q19.1'!$H$27</f>
        <v>1000.7045679390471</v>
      </c>
      <c r="J195" s="532">
        <f>+'q19.1'!$I$27</f>
        <v>1025.8739888658235</v>
      </c>
      <c r="K195" s="532">
        <f>+'q19.1'!$J$27</f>
        <v>1059.858077899368</v>
      </c>
      <c r="L195" s="532">
        <f>+'q19.1'!$K$27</f>
        <v>1079.4921273042953</v>
      </c>
      <c r="M195" s="532">
        <f>+'q19.1'!$L$27</f>
        <v>1126.7122247908299</v>
      </c>
    </row>
    <row r="196" spans="1:13">
      <c r="A196" s="374"/>
      <c r="B196" s="374" t="str">
        <f>+'q19.1'!$A$28</f>
        <v>Alentejo</v>
      </c>
      <c r="C196" s="532">
        <f>+'q19.1'!$B$28</f>
        <v>801.09517255914477</v>
      </c>
      <c r="D196" s="532">
        <f>+'q19.1'!$C$28</f>
        <v>806.9189823704196</v>
      </c>
      <c r="E196" s="532">
        <f>+'q19.1'!$D$28</f>
        <v>805.21391687541802</v>
      </c>
      <c r="F196" s="532">
        <f>+'q19.1'!$E$28</f>
        <v>807.43997542073134</v>
      </c>
      <c r="G196" s="532">
        <f>+'q19.1'!$F$28</f>
        <v>813.39251193207588</v>
      </c>
      <c r="H196" s="532">
        <f>+'q19.1'!$G$28</f>
        <v>830.8279853671911</v>
      </c>
      <c r="I196" s="532">
        <f>+'q19.1'!$H$28</f>
        <v>854.15335620089502</v>
      </c>
      <c r="J196" s="532">
        <f>+'q19.1'!$I$28</f>
        <v>874.14502147108601</v>
      </c>
      <c r="K196" s="532">
        <f>+'q19.1'!$J$28</f>
        <v>908.52646115820846</v>
      </c>
      <c r="L196" s="532">
        <f>+'q19.1'!$K$28</f>
        <v>942.07571101416465</v>
      </c>
      <c r="M196" s="532">
        <f>+'q19.1'!$L$28</f>
        <v>988.91355750707601</v>
      </c>
    </row>
    <row r="197" spans="1:13">
      <c r="A197" s="374"/>
      <c r="B197" s="374" t="str">
        <f>+'q19.1'!$A$33</f>
        <v>Algarve</v>
      </c>
      <c r="C197" s="532">
        <f>+'q19.1'!$B$33</f>
        <v>790.60025776836153</v>
      </c>
      <c r="D197" s="532">
        <f>+'q19.1'!$C$33</f>
        <v>785.86960122626215</v>
      </c>
      <c r="E197" s="532">
        <f>+'q19.1'!$D$33</f>
        <v>780.52258650459282</v>
      </c>
      <c r="F197" s="532">
        <f>+'q19.1'!$E$33</f>
        <v>781.12469577959507</v>
      </c>
      <c r="G197" s="532">
        <f>+'q19.1'!$F$33</f>
        <v>793.75555532098826</v>
      </c>
      <c r="H197" s="532">
        <f>+'q19.1'!$G$33</f>
        <v>810.98580678129701</v>
      </c>
      <c r="I197" s="532">
        <f>+'q19.1'!$H$33</f>
        <v>836.08858210028575</v>
      </c>
      <c r="J197" s="532">
        <f>+'q19.1'!$I$33</f>
        <v>861.14538818491644</v>
      </c>
      <c r="K197" s="532">
        <f>+'q19.1'!$J$33</f>
        <v>897.18211642109191</v>
      </c>
      <c r="L197" s="532">
        <f>+'q19.1'!$K$33</f>
        <v>928.4403955392919</v>
      </c>
      <c r="M197" s="532">
        <f>+'q19.1'!$L$33</f>
        <v>965.82601351644075</v>
      </c>
    </row>
    <row r="198" spans="1:13">
      <c r="B198" s="374" t="s">
        <v>14</v>
      </c>
      <c r="C198" s="532">
        <f>+'q19.1'!$B$5</f>
        <v>915.01247006081269</v>
      </c>
      <c r="D198" s="532">
        <f>+'q19.1'!$C$5</f>
        <v>912.18298170177184</v>
      </c>
      <c r="E198" s="532">
        <f>+'q19.1'!$D$5</f>
        <v>909.49144915721502</v>
      </c>
      <c r="F198" s="532">
        <f>+'q19.1'!$E$5</f>
        <v>913.92544791377316</v>
      </c>
      <c r="G198" s="532">
        <f>+'q19.1'!$F$5</f>
        <v>924.93921530908142</v>
      </c>
      <c r="H198" s="532">
        <f>+'q19.1'!$G$5</f>
        <v>943.00107511786268</v>
      </c>
      <c r="I198" s="532">
        <f>+'q19.1'!$H$5</f>
        <v>970.41689676342446</v>
      </c>
      <c r="J198" s="532">
        <f>+'q19.1'!$I$5</f>
        <v>1005.0892792510299</v>
      </c>
      <c r="K198" s="532">
        <f>+'q19.1'!$J$5</f>
        <v>1041.9948771786007</v>
      </c>
      <c r="L198" s="532">
        <f>+'q19.1'!$K$5</f>
        <v>1082.7724697513497</v>
      </c>
      <c r="M198" s="532">
        <f>+'q19.1'!$L$5</f>
        <v>1143.445582856891</v>
      </c>
    </row>
    <row r="199" spans="1:13">
      <c r="B199" s="374"/>
      <c r="C199" s="385"/>
      <c r="D199" s="385"/>
      <c r="E199" s="385"/>
      <c r="F199" s="385"/>
      <c r="G199" s="385"/>
      <c r="H199" s="385"/>
      <c r="I199" s="385"/>
      <c r="J199" s="385"/>
      <c r="K199" s="385"/>
      <c r="L199" s="385"/>
      <c r="M199" s="385"/>
    </row>
    <row r="200" spans="1:13">
      <c r="C200" s="374">
        <f>+C190</f>
        <v>2012</v>
      </c>
      <c r="D200" s="374">
        <f t="shared" ref="D200:M200" si="65">+D190</f>
        <v>2013</v>
      </c>
      <c r="E200" s="374">
        <f t="shared" si="65"/>
        <v>2014</v>
      </c>
      <c r="F200" s="374">
        <f t="shared" si="65"/>
        <v>2015</v>
      </c>
      <c r="G200" s="374">
        <f t="shared" si="65"/>
        <v>2016</v>
      </c>
      <c r="H200" s="374">
        <f t="shared" si="65"/>
        <v>2017</v>
      </c>
      <c r="I200" s="374">
        <f t="shared" si="65"/>
        <v>2018</v>
      </c>
      <c r="J200" s="374">
        <f t="shared" si="65"/>
        <v>2019</v>
      </c>
      <c r="K200" s="374">
        <f t="shared" si="65"/>
        <v>2020</v>
      </c>
      <c r="L200" s="374">
        <f t="shared" si="65"/>
        <v>2021</v>
      </c>
      <c r="M200" s="374">
        <f t="shared" si="65"/>
        <v>2022</v>
      </c>
    </row>
    <row r="201" spans="1:13">
      <c r="A201" s="374" t="s">
        <v>678</v>
      </c>
      <c r="B201" s="374" t="str">
        <f>+'q19.1'!$A$7</f>
        <v>Alto Minho</v>
      </c>
      <c r="C201" s="532">
        <f>+'q19.1'!$B$7</f>
        <v>722.48055520348294</v>
      </c>
      <c r="D201" s="532">
        <f>+'q19.1'!$C$7</f>
        <v>726.57026737386104</v>
      </c>
      <c r="E201" s="532">
        <f>+'q19.1'!$D$7</f>
        <v>729.8866524967857</v>
      </c>
      <c r="F201" s="532">
        <f>+'q19.1'!$E$7</f>
        <v>741.65304225916282</v>
      </c>
      <c r="G201" s="532">
        <f>+'q19.1'!$F$7</f>
        <v>746.71799608418974</v>
      </c>
      <c r="H201" s="532">
        <f>+'q19.1'!$G$7</f>
        <v>782.27367877575716</v>
      </c>
      <c r="I201" s="532">
        <f>+'q19.1'!$H$7</f>
        <v>802.92211141340704</v>
      </c>
      <c r="J201" s="532">
        <f>+'q19.1'!$I$7</f>
        <v>834.96549839156432</v>
      </c>
      <c r="K201" s="532">
        <f>+'q19.1'!$J$7</f>
        <v>865.75743811257041</v>
      </c>
      <c r="L201" s="532">
        <f>+'q19.1'!$K$7</f>
        <v>907.38138718916832</v>
      </c>
      <c r="M201" s="532">
        <f>+'q19.1'!$L$7</f>
        <v>955.66561814916668</v>
      </c>
    </row>
    <row r="202" spans="1:13">
      <c r="A202" s="374"/>
      <c r="B202" s="374" t="str">
        <f>+'q19.1'!$A$8</f>
        <v>Cávado</v>
      </c>
      <c r="C202" s="532">
        <f>+'q19.1'!$B$8</f>
        <v>756.29505385491086</v>
      </c>
      <c r="D202" s="532">
        <f>+'q19.1'!$C$8</f>
        <v>755.27598255850421</v>
      </c>
      <c r="E202" s="532">
        <f>+'q19.1'!$D$8</f>
        <v>759.840272194053</v>
      </c>
      <c r="F202" s="532">
        <f>+'q19.1'!$E$8</f>
        <v>761.40994855979102</v>
      </c>
      <c r="G202" s="532">
        <f>+'q19.1'!$F$8</f>
        <v>779.13812347847374</v>
      </c>
      <c r="H202" s="532">
        <f>+'q19.1'!$G$8</f>
        <v>804.20321432369838</v>
      </c>
      <c r="I202" s="532">
        <f>+'q19.1'!$H$8</f>
        <v>837.41060177349868</v>
      </c>
      <c r="J202" s="532">
        <f>+'q19.1'!$I$8</f>
        <v>882.73069563586489</v>
      </c>
      <c r="K202" s="532">
        <f>+'q19.1'!$J$8</f>
        <v>926.11333786222576</v>
      </c>
      <c r="L202" s="532">
        <f>+'q19.1'!$K$8</f>
        <v>973.96706905264648</v>
      </c>
      <c r="M202" s="532">
        <f>+'q19.1'!$L$8</f>
        <v>1014.0747950947501</v>
      </c>
    </row>
    <row r="203" spans="1:13">
      <c r="A203" s="374"/>
      <c r="B203" s="374" t="str">
        <f>+'q19.1'!$A$9</f>
        <v>Ave</v>
      </c>
      <c r="C203" s="532">
        <f>+'q19.1'!$B$9</f>
        <v>713.66823668498489</v>
      </c>
      <c r="D203" s="532">
        <f>+'q19.1'!$C$9</f>
        <v>713.04616640381937</v>
      </c>
      <c r="E203" s="532">
        <f>+'q19.1'!$D$9</f>
        <v>721.62421935684335</v>
      </c>
      <c r="F203" s="532">
        <f>+'q19.1'!$E$9</f>
        <v>730.34139081064484</v>
      </c>
      <c r="G203" s="532">
        <f>+'q19.1'!$F$9</f>
        <v>747.36114073904912</v>
      </c>
      <c r="H203" s="532">
        <f>+'q19.1'!$G$9</f>
        <v>775.07998406738318</v>
      </c>
      <c r="I203" s="532">
        <f>+'q19.1'!$H$9</f>
        <v>802.77548636176732</v>
      </c>
      <c r="J203" s="532">
        <f>+'q19.1'!$I$9</f>
        <v>830.45472563946726</v>
      </c>
      <c r="K203" s="532">
        <f>+'q19.1'!$J$9</f>
        <v>871.56103946350265</v>
      </c>
      <c r="L203" s="532">
        <f>+'q19.1'!$K$9</f>
        <v>916.46064291745063</v>
      </c>
      <c r="M203" s="532">
        <f>+'q19.1'!$L$9</f>
        <v>964.06539448218007</v>
      </c>
    </row>
    <row r="204" spans="1:13">
      <c r="A204" s="374"/>
      <c r="B204" s="374" t="str">
        <f>+'q19.1'!$A$10</f>
        <v>Área Metropolitana do Porto</v>
      </c>
      <c r="C204" s="532">
        <f>+'q19.1'!$B$10</f>
        <v>896.67355393696243</v>
      </c>
      <c r="D204" s="532">
        <f>+'q19.1'!$C$10</f>
        <v>899.10126554317731</v>
      </c>
      <c r="E204" s="532">
        <f>+'q19.1'!$D$10</f>
        <v>899.59318159744919</v>
      </c>
      <c r="F204" s="532">
        <f>+'q19.1'!$E$10</f>
        <v>909.43849137782047</v>
      </c>
      <c r="G204" s="532">
        <f>+'q19.1'!$F$10</f>
        <v>922.09170684657408</v>
      </c>
      <c r="H204" s="532">
        <f>+'q19.1'!$G$10</f>
        <v>937.69458637559512</v>
      </c>
      <c r="I204" s="532">
        <f>+'q19.1'!$H$10</f>
        <v>975.29349834006211</v>
      </c>
      <c r="J204" s="532">
        <f>+'q19.1'!$I$10</f>
        <v>1012.5599185930314</v>
      </c>
      <c r="K204" s="532">
        <f>+'q19.1'!$J$10</f>
        <v>1057.6599517441064</v>
      </c>
      <c r="L204" s="532">
        <f>+'q19.1'!$K$10</f>
        <v>1099.9264312105734</v>
      </c>
      <c r="M204" s="532">
        <f>+'q19.1'!$L$10</f>
        <v>1165.4434957531817</v>
      </c>
    </row>
    <row r="205" spans="1:13">
      <c r="A205" s="374"/>
      <c r="B205" s="374" t="str">
        <f>+'q19.1'!$A$11</f>
        <v>Alto Tâmega e Barroso</v>
      </c>
      <c r="C205" s="532">
        <f>+'q19.1'!$B$11</f>
        <v>688.41031679100422</v>
      </c>
      <c r="D205" s="532">
        <f>+'q19.1'!$C$11</f>
        <v>686.54733362714887</v>
      </c>
      <c r="E205" s="532">
        <f>+'q19.1'!$D$11</f>
        <v>689.68263163550398</v>
      </c>
      <c r="F205" s="532">
        <f>+'q19.1'!$E$11</f>
        <v>689.74903683012622</v>
      </c>
      <c r="G205" s="532">
        <f>+'q19.1'!$F$11</f>
        <v>723.25373250075552</v>
      </c>
      <c r="H205" s="532">
        <f>+'q19.1'!$G$11</f>
        <v>757.29139935809269</v>
      </c>
      <c r="I205" s="532">
        <f>+'q19.1'!$H$11</f>
        <v>779.46986636771317</v>
      </c>
      <c r="J205" s="532">
        <f>+'q19.1'!$I$11</f>
        <v>802.55268054823398</v>
      </c>
      <c r="K205" s="532">
        <f>+'q19.1'!$J$11</f>
        <v>831.22588891989938</v>
      </c>
      <c r="L205" s="532">
        <f>+'q19.1'!$K$11</f>
        <v>852.75797411061831</v>
      </c>
      <c r="M205" s="532">
        <f>+'q19.1'!$L$11</f>
        <v>892.27479129321375</v>
      </c>
    </row>
    <row r="206" spans="1:13">
      <c r="A206" s="374"/>
      <c r="B206" s="374" t="str">
        <f>+'q19.1'!$A$12</f>
        <v>Tâmega e Sousa</v>
      </c>
      <c r="C206" s="532">
        <f>+'q19.1'!$B$12</f>
        <v>649.54021825783957</v>
      </c>
      <c r="D206" s="532">
        <f>+'q19.1'!$C$12</f>
        <v>650.83165747616943</v>
      </c>
      <c r="E206" s="532">
        <f>+'q19.1'!$D$12</f>
        <v>661.45652817309713</v>
      </c>
      <c r="F206" s="532">
        <f>+'q19.1'!$E$12</f>
        <v>668.82930814418171</v>
      </c>
      <c r="G206" s="532">
        <f>+'q19.1'!$F$12</f>
        <v>685.64227373777305</v>
      </c>
      <c r="H206" s="532">
        <f>+'q19.1'!$G$12</f>
        <v>704.33111494570755</v>
      </c>
      <c r="I206" s="532">
        <f>+'q19.1'!$H$12</f>
        <v>733.18467309185905</v>
      </c>
      <c r="J206" s="532">
        <f>+'q19.1'!$I$12</f>
        <v>764.6459234953079</v>
      </c>
      <c r="K206" s="532">
        <f>+'q19.1'!$J$12</f>
        <v>802.58483419137019</v>
      </c>
      <c r="L206" s="532">
        <f>+'q19.1'!$K$12</f>
        <v>845.08885172224075</v>
      </c>
      <c r="M206" s="532">
        <f>+'q19.1'!$L$12</f>
        <v>885.57121879110116</v>
      </c>
    </row>
    <row r="207" spans="1:13">
      <c r="A207" s="374"/>
      <c r="B207" s="374" t="str">
        <f>+'q19.1'!$A$13</f>
        <v>Douro</v>
      </c>
      <c r="C207" s="532">
        <f>+'q19.1'!$B$13</f>
        <v>741.03269851299581</v>
      </c>
      <c r="D207" s="532">
        <f>+'q19.1'!$C$13</f>
        <v>744.163931067004</v>
      </c>
      <c r="E207" s="532">
        <f>+'q19.1'!$D$13</f>
        <v>745.32746517626811</v>
      </c>
      <c r="F207" s="532">
        <f>+'q19.1'!$E$13</f>
        <v>747.61550153361532</v>
      </c>
      <c r="G207" s="532">
        <f>+'q19.1'!$F$13</f>
        <v>750.66208293829106</v>
      </c>
      <c r="H207" s="532">
        <f>+'q19.1'!$G$13</f>
        <v>766.74079062899068</v>
      </c>
      <c r="I207" s="532">
        <f>+'q19.1'!$H$13</f>
        <v>789.35911839580149</v>
      </c>
      <c r="J207" s="532">
        <f>+'q19.1'!$I$13</f>
        <v>816.21488291346782</v>
      </c>
      <c r="K207" s="532">
        <f>+'q19.1'!$J$13</f>
        <v>838.9388349252813</v>
      </c>
      <c r="L207" s="532">
        <f>+'q19.1'!$K$13</f>
        <v>872.94569460988703</v>
      </c>
      <c r="M207" s="532">
        <f>+'q19.1'!$L$13</f>
        <v>922.59328591096858</v>
      </c>
    </row>
    <row r="208" spans="1:13">
      <c r="A208" s="374"/>
      <c r="B208" s="374" t="str">
        <f>+'q19.1'!$A$14</f>
        <v>Terras de Trás-os-Montes</v>
      </c>
      <c r="C208" s="532">
        <f>+'q19.1'!$B$14</f>
        <v>688.94842557473521</v>
      </c>
      <c r="D208" s="532">
        <f>+'q19.1'!$C$14</f>
        <v>705.27843877231464</v>
      </c>
      <c r="E208" s="532">
        <f>+'q19.1'!$D$14</f>
        <v>702.36247034671567</v>
      </c>
      <c r="F208" s="532">
        <f>+'q19.1'!$E$14</f>
        <v>711.03804301548837</v>
      </c>
      <c r="G208" s="532">
        <f>+'q19.1'!$F$14</f>
        <v>732.90442736631405</v>
      </c>
      <c r="H208" s="532">
        <f>+'q19.1'!$G$14</f>
        <v>751.28039239168766</v>
      </c>
      <c r="I208" s="532">
        <f>+'q19.1'!$H$14</f>
        <v>770.97765148378221</v>
      </c>
      <c r="J208" s="532">
        <f>+'q19.1'!$I$14</f>
        <v>799.1619993057966</v>
      </c>
      <c r="K208" s="532">
        <f>+'q19.1'!$J$14</f>
        <v>833.66388715818607</v>
      </c>
      <c r="L208" s="532">
        <f>+'q19.1'!$K$14</f>
        <v>864.25790937457623</v>
      </c>
      <c r="M208" s="532">
        <f>+'q19.1'!$L$14</f>
        <v>899.67616523875961</v>
      </c>
    </row>
    <row r="209" spans="1:13">
      <c r="A209" s="374"/>
      <c r="B209" s="374" t="str">
        <f>+'q19.1'!$A$16</f>
        <v>Região de Aveiro</v>
      </c>
      <c r="C209" s="532">
        <f>+'q19.1'!$B$16</f>
        <v>833.53336997422673</v>
      </c>
      <c r="D209" s="532">
        <f>+'q19.1'!$C$16</f>
        <v>833.28497962488893</v>
      </c>
      <c r="E209" s="532">
        <f>+'q19.1'!$D$16</f>
        <v>840.87256721672702</v>
      </c>
      <c r="F209" s="532">
        <f>+'q19.1'!$E$16</f>
        <v>850.11285006271987</v>
      </c>
      <c r="G209" s="532">
        <f>+'q19.1'!$F$16</f>
        <v>860.21977761540575</v>
      </c>
      <c r="H209" s="532">
        <f>+'q19.1'!$G$16</f>
        <v>876.70315741854199</v>
      </c>
      <c r="I209" s="532">
        <f>+'q19.1'!$H$16</f>
        <v>907.61897397342102</v>
      </c>
      <c r="J209" s="532">
        <f>+'q19.1'!$I$16</f>
        <v>947.58183786045458</v>
      </c>
      <c r="K209" s="532">
        <f>+'q19.1'!$J$16</f>
        <v>970.59008674169138</v>
      </c>
      <c r="L209" s="532">
        <f>+'q19.1'!$K$16</f>
        <v>1011.7037886603671</v>
      </c>
      <c r="M209" s="532">
        <f>+'q19.1'!$L$16</f>
        <v>1065.4112333260434</v>
      </c>
    </row>
    <row r="210" spans="1:13">
      <c r="A210" s="374"/>
      <c r="B210" s="374" t="str">
        <f>+'q19.1'!$A$17</f>
        <v>Região de Coimbra</v>
      </c>
      <c r="C210" s="532">
        <f>+'q19.1'!$B$17</f>
        <v>807.04843086707308</v>
      </c>
      <c r="D210" s="532">
        <f>+'q19.1'!$C$17</f>
        <v>811.27327953397662</v>
      </c>
      <c r="E210" s="532">
        <f>+'q19.1'!$D$17</f>
        <v>798.25449093958332</v>
      </c>
      <c r="F210" s="532">
        <f>+'q19.1'!$E$17</f>
        <v>798.2344526869781</v>
      </c>
      <c r="G210" s="532">
        <f>+'q19.1'!$F$17</f>
        <v>813.18747996748368</v>
      </c>
      <c r="H210" s="532">
        <f>+'q19.1'!$G$17</f>
        <v>831.44100384983176</v>
      </c>
      <c r="I210" s="532">
        <f>+'q19.1'!$H$17</f>
        <v>860.33579754714867</v>
      </c>
      <c r="J210" s="532">
        <f>+'q19.1'!$I$17</f>
        <v>892.76868435260644</v>
      </c>
      <c r="K210" s="532">
        <f>+'q19.1'!$J$17</f>
        <v>921.46101987657732</v>
      </c>
      <c r="L210" s="532">
        <f>+'q19.1'!$K$17</f>
        <v>964.5176872119473</v>
      </c>
      <c r="M210" s="532">
        <f>+'q19.1'!$L$17</f>
        <v>1011.4648886712012</v>
      </c>
    </row>
    <row r="211" spans="1:13">
      <c r="A211" s="374"/>
      <c r="B211" s="374" t="str">
        <f>+'q19.1'!$A$18</f>
        <v>Região de Leiria</v>
      </c>
      <c r="C211" s="532">
        <f>+'q19.1'!$B$18</f>
        <v>813.10960144870228</v>
      </c>
      <c r="D211" s="532">
        <f>+'q19.1'!$C$18</f>
        <v>809.51425840846696</v>
      </c>
      <c r="E211" s="532">
        <f>+'q19.1'!$D$18</f>
        <v>816.83764824348862</v>
      </c>
      <c r="F211" s="532">
        <f>+'q19.1'!$E$18</f>
        <v>825.06870954918884</v>
      </c>
      <c r="G211" s="532">
        <f>+'q19.1'!$F$18</f>
        <v>839.80751787889653</v>
      </c>
      <c r="H211" s="532">
        <f>+'q19.1'!$G$18</f>
        <v>859.07449976338307</v>
      </c>
      <c r="I211" s="532">
        <f>+'q19.1'!$H$18</f>
        <v>893.9983210583556</v>
      </c>
      <c r="J211" s="532">
        <f>+'q19.1'!$I$18</f>
        <v>921.38592851700446</v>
      </c>
      <c r="K211" s="532">
        <f>+'q19.1'!$J$18</f>
        <v>947.75260367696387</v>
      </c>
      <c r="L211" s="532">
        <f>+'q19.1'!$K$18</f>
        <v>986.60634767774559</v>
      </c>
      <c r="M211" s="532">
        <f>+'q19.1'!$L$18</f>
        <v>1034.0919589902462</v>
      </c>
    </row>
    <row r="212" spans="1:13">
      <c r="A212" s="374"/>
      <c r="B212" s="374" t="str">
        <f>+'q19.1'!$A$19</f>
        <v>Viseu Dão Lafões</v>
      </c>
      <c r="C212" s="532">
        <f>+'q19.1'!$B$19</f>
        <v>750.55931231831414</v>
      </c>
      <c r="D212" s="532">
        <f>+'q19.1'!$C$19</f>
        <v>744.87469149960998</v>
      </c>
      <c r="E212" s="532">
        <f>+'q19.1'!$D$19</f>
        <v>742.83078510328494</v>
      </c>
      <c r="F212" s="532">
        <f>+'q19.1'!$E$19</f>
        <v>745.1612162903474</v>
      </c>
      <c r="G212" s="532">
        <f>+'q19.1'!$F$19</f>
        <v>757.72027807049619</v>
      </c>
      <c r="H212" s="532">
        <f>+'q19.1'!$G$19</f>
        <v>777.16516225430405</v>
      </c>
      <c r="I212" s="532">
        <f>+'q19.1'!$H$19</f>
        <v>802.21658599948069</v>
      </c>
      <c r="J212" s="532">
        <f>+'q19.1'!$I$19</f>
        <v>830.19999369483003</v>
      </c>
      <c r="K212" s="532">
        <f>+'q19.1'!$J$19</f>
        <v>862.86804942094068</v>
      </c>
      <c r="L212" s="532">
        <f>+'q19.1'!$K$19</f>
        <v>906.8341511254655</v>
      </c>
      <c r="M212" s="532">
        <f>+'q19.1'!$L$19</f>
        <v>944.06911928341015</v>
      </c>
    </row>
    <row r="213" spans="1:13">
      <c r="A213" s="374"/>
      <c r="B213" s="374" t="str">
        <f>+'q19.1'!$A$20</f>
        <v>Beira Baixa</v>
      </c>
      <c r="C213" s="532">
        <f>+'q19.1'!$B$20</f>
        <v>716.46207137023282</v>
      </c>
      <c r="D213" s="532">
        <f>+'q19.1'!$C$20</f>
        <v>723.64288247611546</v>
      </c>
      <c r="E213" s="532">
        <f>+'q19.1'!$D$20</f>
        <v>726.56578200844729</v>
      </c>
      <c r="F213" s="532">
        <f>+'q19.1'!$E$20</f>
        <v>730.63225510788618</v>
      </c>
      <c r="G213" s="532">
        <f>+'q19.1'!$F$20</f>
        <v>750.325851424912</v>
      </c>
      <c r="H213" s="532">
        <f>+'q19.1'!$G$20</f>
        <v>767.59307208637642</v>
      </c>
      <c r="I213" s="532">
        <f>+'q19.1'!$H$20</f>
        <v>786.67981629825965</v>
      </c>
      <c r="J213" s="532">
        <f>+'q19.1'!$I$20</f>
        <v>812.51200315648907</v>
      </c>
      <c r="K213" s="532">
        <f>+'q19.1'!$J$20</f>
        <v>851.67621977756312</v>
      </c>
      <c r="L213" s="532">
        <f>+'q19.1'!$K$20</f>
        <v>894.92776427855711</v>
      </c>
      <c r="M213" s="532">
        <f>+'q19.1'!$L$20</f>
        <v>926.52302131603278</v>
      </c>
    </row>
    <row r="214" spans="1:13">
      <c r="A214" s="374"/>
      <c r="B214" s="374" t="str">
        <f>+'q19.1'!$A$21</f>
        <v>Beiras e Serra da Estrela</v>
      </c>
      <c r="C214" s="532">
        <f>+'q19.1'!$B$21</f>
        <v>700.06028778044526</v>
      </c>
      <c r="D214" s="532">
        <f>+'q19.1'!$C$21</f>
        <v>696.01683929280284</v>
      </c>
      <c r="E214" s="532">
        <f>+'q19.1'!$D$21</f>
        <v>706.70277973594591</v>
      </c>
      <c r="F214" s="532">
        <f>+'q19.1'!$E$21</f>
        <v>713.67112796348124</v>
      </c>
      <c r="G214" s="532">
        <f>+'q19.1'!$F$21</f>
        <v>731.12120220002896</v>
      </c>
      <c r="H214" s="532">
        <f>+'q19.1'!$G$21</f>
        <v>752.07102352139077</v>
      </c>
      <c r="I214" s="532">
        <f>+'q19.1'!$H$21</f>
        <v>776.49594403649326</v>
      </c>
      <c r="J214" s="532">
        <f>+'q19.1'!$I$21</f>
        <v>807.38198307547634</v>
      </c>
      <c r="K214" s="532">
        <f>+'q19.1'!$J$21</f>
        <v>841.01786549365784</v>
      </c>
      <c r="L214" s="532">
        <f>+'q19.1'!$K$21</f>
        <v>877.51232438820534</v>
      </c>
      <c r="M214" s="532">
        <f>+'q19.1'!$L$21</f>
        <v>921.31669641634949</v>
      </c>
    </row>
    <row r="215" spans="1:13">
      <c r="A215" s="374"/>
      <c r="B215" s="374" t="str">
        <f>+'q19.1'!$A$23</f>
        <v>Oeste</v>
      </c>
      <c r="C215" s="532">
        <f>+'q19.1'!$B$23</f>
        <v>769.39505820334603</v>
      </c>
      <c r="D215" s="532">
        <f>+'q19.1'!$C$23</f>
        <v>770.77276389830536</v>
      </c>
      <c r="E215" s="532">
        <f>+'q19.1'!$D$23</f>
        <v>771.78467523525364</v>
      </c>
      <c r="F215" s="532">
        <f>+'q19.1'!$E$23</f>
        <v>770.07024559003628</v>
      </c>
      <c r="G215" s="532">
        <f>+'q19.1'!$F$23</f>
        <v>785.59181093834593</v>
      </c>
      <c r="H215" s="532">
        <f>+'q19.1'!$G$23</f>
        <v>801.29420568772343</v>
      </c>
      <c r="I215" s="532">
        <f>+'q19.1'!$H$23</f>
        <v>821.94993171750252</v>
      </c>
      <c r="J215" s="532">
        <f>+'q19.1'!$I$23</f>
        <v>848.69853535423965</v>
      </c>
      <c r="K215" s="532">
        <f>+'q19.1'!$J$23</f>
        <v>884.54583130035167</v>
      </c>
      <c r="L215" s="532">
        <f>+'q19.1'!$K$23</f>
        <v>926.95886245961594</v>
      </c>
      <c r="M215" s="532">
        <f>+'q19.1'!$L$23</f>
        <v>966.3983311076089</v>
      </c>
    </row>
    <row r="216" spans="1:13">
      <c r="A216" s="374"/>
      <c r="B216" s="374" t="str">
        <f>+'q19.1'!$A$24</f>
        <v>Médio Tejo</v>
      </c>
      <c r="C216" s="532">
        <f>+'q19.1'!$B$24</f>
        <v>779.12128685471032</v>
      </c>
      <c r="D216" s="532">
        <f>+'q19.1'!$C$24</f>
        <v>783.58698637587349</v>
      </c>
      <c r="E216" s="532">
        <f>+'q19.1'!$D$24</f>
        <v>785.86463250531506</v>
      </c>
      <c r="F216" s="532">
        <f>+'q19.1'!$E$24</f>
        <v>791.65178251002749</v>
      </c>
      <c r="G216" s="532">
        <f>+'q19.1'!$F$24</f>
        <v>795.8850830503078</v>
      </c>
      <c r="H216" s="532">
        <f>+'q19.1'!$G$24</f>
        <v>823.16589585509394</v>
      </c>
      <c r="I216" s="532">
        <f>+'q19.1'!$H$24</f>
        <v>843.09182578899038</v>
      </c>
      <c r="J216" s="532">
        <f>+'q19.1'!$I$24</f>
        <v>873.50591969681977</v>
      </c>
      <c r="K216" s="532">
        <f>+'q19.1'!$J$24</f>
        <v>905.27112218415891</v>
      </c>
      <c r="L216" s="532">
        <f>+'q19.1'!$K$24</f>
        <v>935.3750264396383</v>
      </c>
      <c r="M216" s="532">
        <f>+'q19.1'!$L$24</f>
        <v>969.04632391741143</v>
      </c>
    </row>
    <row r="217" spans="1:13">
      <c r="A217" s="374"/>
      <c r="B217" s="374" t="str">
        <f>+'q19.1'!$A$25</f>
        <v>Lezíria do Tejo</v>
      </c>
      <c r="C217" s="532">
        <f>+'q19.1'!$B$25</f>
        <v>804.22043108682465</v>
      </c>
      <c r="D217" s="532">
        <f>+'q19.1'!$C$25</f>
        <v>801.76802892508147</v>
      </c>
      <c r="E217" s="532">
        <f>+'q19.1'!$D$25</f>
        <v>802.57541914107287</v>
      </c>
      <c r="F217" s="532">
        <f>+'q19.1'!$E$25</f>
        <v>810.84622790674268</v>
      </c>
      <c r="G217" s="532">
        <f>+'q19.1'!$F$25</f>
        <v>811.70164461293325</v>
      </c>
      <c r="H217" s="532">
        <f>+'q19.1'!$G$25</f>
        <v>823.11611117454959</v>
      </c>
      <c r="I217" s="532">
        <f>+'q19.1'!$H$25</f>
        <v>841.64106442887567</v>
      </c>
      <c r="J217" s="532">
        <f>+'q19.1'!$I$25</f>
        <v>858.77903755555576</v>
      </c>
      <c r="K217" s="532">
        <f>+'q19.1'!$J$25</f>
        <v>892.51538097259129</v>
      </c>
      <c r="L217" s="532">
        <f>+'q19.1'!$K$25</f>
        <v>927.76097218141967</v>
      </c>
      <c r="M217" s="532">
        <f>+'q19.1'!$L$25</f>
        <v>973.65286859650712</v>
      </c>
    </row>
    <row r="218" spans="1:13">
      <c r="A218" s="374"/>
      <c r="B218" s="374" t="str">
        <f>+'q19.1'!$A$26</f>
        <v>Grande Lisboa</v>
      </c>
      <c r="C218" s="532">
        <f>+'q19.1'!$B$26</f>
        <v>1192.6909840284645</v>
      </c>
      <c r="D218" s="532">
        <f>+'q19.1'!$C$26</f>
        <v>1184.3394968190814</v>
      </c>
      <c r="E218" s="532">
        <f>+'q19.1'!$D$26</f>
        <v>1174.2335426887817</v>
      </c>
      <c r="F218" s="532">
        <f>+'q19.1'!$E$26</f>
        <v>1175.5703698145885</v>
      </c>
      <c r="G218" s="532">
        <f>+'q19.1'!$F$26</f>
        <v>1179.7804523135078</v>
      </c>
      <c r="H218" s="532">
        <f>+'q19.1'!$G$26</f>
        <v>1197.3980544344977</v>
      </c>
      <c r="I218" s="532">
        <f>+'q19.1'!$H$26</f>
        <v>1219.74446356669</v>
      </c>
      <c r="J218" s="532">
        <f>+'q19.1'!$I$26</f>
        <v>1255.7750738574869</v>
      </c>
      <c r="K218" s="532">
        <f>+'q19.1'!$J$26</f>
        <v>1293.0735258916031</v>
      </c>
      <c r="L218" s="532">
        <f>+'q19.1'!$K$26</f>
        <v>1339.8023759541529</v>
      </c>
      <c r="M218" s="532">
        <f>+'q19.1'!$L$26</f>
        <v>1418.3948630060115</v>
      </c>
    </row>
    <row r="219" spans="1:13">
      <c r="A219" s="374"/>
      <c r="B219" s="374" t="str">
        <f>+'q19.1'!$A$27</f>
        <v>Península de Setúbal</v>
      </c>
      <c r="C219" s="532">
        <f>+'q19.1'!$B$27</f>
        <v>963.30623380883878</v>
      </c>
      <c r="D219" s="532">
        <f>+'q19.1'!$C$27</f>
        <v>947.18917694577124</v>
      </c>
      <c r="E219" s="532">
        <f>+'q19.1'!$D$27</f>
        <v>942.28750371942351</v>
      </c>
      <c r="F219" s="532">
        <f>+'q19.1'!$E$27</f>
        <v>958.82369081004344</v>
      </c>
      <c r="G219" s="532">
        <f>+'q19.1'!$F$27</f>
        <v>981.54859148707874</v>
      </c>
      <c r="H219" s="532">
        <f>+'q19.1'!$G$27</f>
        <v>991.48604567331813</v>
      </c>
      <c r="I219" s="532">
        <f>+'q19.1'!$H$27</f>
        <v>1000.7045679390471</v>
      </c>
      <c r="J219" s="532">
        <f>+'q19.1'!$I$27</f>
        <v>1025.8739888658235</v>
      </c>
      <c r="K219" s="532">
        <f>+'q19.1'!$J$27</f>
        <v>1059.858077899368</v>
      </c>
      <c r="L219" s="532">
        <f>+'q19.1'!$K$27</f>
        <v>1079.4921273042953</v>
      </c>
      <c r="M219" s="532">
        <f>+'q19.1'!$L$27</f>
        <v>1126.7122247908299</v>
      </c>
    </row>
    <row r="220" spans="1:13">
      <c r="A220" s="374"/>
      <c r="B220" s="374" t="str">
        <f>+'q19.1'!$A$29</f>
        <v>Alentejo Litoral</v>
      </c>
      <c r="C220" s="532">
        <f>+'q19.1'!$B$29</f>
        <v>902.7306122956436</v>
      </c>
      <c r="D220" s="532">
        <f>+'q19.1'!$C$29</f>
        <v>908.99045037430665</v>
      </c>
      <c r="E220" s="532">
        <f>+'q19.1'!$D$29</f>
        <v>893.32492957746479</v>
      </c>
      <c r="F220" s="532">
        <f>+'q19.1'!$E$29</f>
        <v>884.28436009161419</v>
      </c>
      <c r="G220" s="532">
        <f>+'q19.1'!$F$29</f>
        <v>882.80563734386544</v>
      </c>
      <c r="H220" s="532">
        <f>+'q19.1'!$G$29</f>
        <v>894.33934899260942</v>
      </c>
      <c r="I220" s="532">
        <f>+'q19.1'!$H$29</f>
        <v>914.73852746828675</v>
      </c>
      <c r="J220" s="532">
        <f>+'q19.1'!$I$29</f>
        <v>916.54397757009406</v>
      </c>
      <c r="K220" s="532">
        <f>+'q19.1'!$J$29</f>
        <v>951.99695080802769</v>
      </c>
      <c r="L220" s="532">
        <f>+'q19.1'!$K$29</f>
        <v>976.16859133324851</v>
      </c>
      <c r="M220" s="532">
        <f>+'q19.1'!$L$29</f>
        <v>1023.1760810005951</v>
      </c>
    </row>
    <row r="221" spans="1:13">
      <c r="A221" s="374"/>
      <c r="B221" s="374" t="str">
        <f>+'q19.1'!$A$30</f>
        <v>Baixo Alentejo</v>
      </c>
      <c r="C221" s="532">
        <f>+'q19.1'!$B$30</f>
        <v>777.29864061640103</v>
      </c>
      <c r="D221" s="532">
        <f>+'q19.1'!$C$30</f>
        <v>786.71979352338769</v>
      </c>
      <c r="E221" s="532">
        <f>+'q19.1'!$D$30</f>
        <v>786.13311106252729</v>
      </c>
      <c r="F221" s="532">
        <f>+'q19.1'!$E$30</f>
        <v>793.31665381975643</v>
      </c>
      <c r="G221" s="532">
        <f>+'q19.1'!$F$30</f>
        <v>797.4417046951578</v>
      </c>
      <c r="H221" s="532">
        <f>+'q19.1'!$G$30</f>
        <v>822.88986962123249</v>
      </c>
      <c r="I221" s="532">
        <f>+'q19.1'!$H$30</f>
        <v>852.58507311250355</v>
      </c>
      <c r="J221" s="532">
        <f>+'q19.1'!$I$30</f>
        <v>885.25185657209329</v>
      </c>
      <c r="K221" s="532">
        <f>+'q19.1'!$J$30</f>
        <v>911.62645213403471</v>
      </c>
      <c r="L221" s="532">
        <f>+'q19.1'!$K$30</f>
        <v>950.67734741661957</v>
      </c>
      <c r="M221" s="532">
        <f>+'q19.1'!$L$30</f>
        <v>994.19767032643961</v>
      </c>
    </row>
    <row r="222" spans="1:13">
      <c r="A222" s="374"/>
      <c r="B222" s="374" t="str">
        <f>+'q19.1'!$A$31</f>
        <v>Alto Alentejo</v>
      </c>
      <c r="C222" s="532">
        <f>+'q19.1'!$B$31</f>
        <v>755.41836974031901</v>
      </c>
      <c r="D222" s="532">
        <f>+'q19.1'!$C$31</f>
        <v>750.15320355950985</v>
      </c>
      <c r="E222" s="532">
        <f>+'q19.1'!$D$31</f>
        <v>754.22184279021337</v>
      </c>
      <c r="F222" s="532">
        <f>+'q19.1'!$E$31</f>
        <v>755.70994773741234</v>
      </c>
      <c r="G222" s="532">
        <f>+'q19.1'!$F$31</f>
        <v>767.83196906199862</v>
      </c>
      <c r="H222" s="532">
        <f>+'q19.1'!$G$31</f>
        <v>783.58564020717915</v>
      </c>
      <c r="I222" s="532">
        <f>+'q19.1'!$H$31</f>
        <v>805.96255195598974</v>
      </c>
      <c r="J222" s="532">
        <f>+'q19.1'!$I$31</f>
        <v>828.76150024324954</v>
      </c>
      <c r="K222" s="532">
        <f>+'q19.1'!$J$31</f>
        <v>863.38273371624132</v>
      </c>
      <c r="L222" s="532">
        <f>+'q19.1'!$K$31</f>
        <v>899.36013867586962</v>
      </c>
      <c r="M222" s="532">
        <f>+'q19.1'!$L$31</f>
        <v>939.13431501875846</v>
      </c>
    </row>
    <row r="223" spans="1:13">
      <c r="A223" s="374"/>
      <c r="B223" s="374" t="str">
        <f>+'q19.1'!$A$32</f>
        <v>Alentejo Central</v>
      </c>
      <c r="C223" s="532">
        <f>+'q19.1'!$B$32</f>
        <v>782.20580642693199</v>
      </c>
      <c r="D223" s="532">
        <f>+'q19.1'!$C$32</f>
        <v>789.16583271994762</v>
      </c>
      <c r="E223" s="532">
        <f>+'q19.1'!$D$32</f>
        <v>791.90848027258312</v>
      </c>
      <c r="F223" s="532">
        <f>+'q19.1'!$E$32</f>
        <v>796.54554832782071</v>
      </c>
      <c r="G223" s="532">
        <f>+'q19.1'!$F$32</f>
        <v>804.01786004498342</v>
      </c>
      <c r="H223" s="532">
        <f>+'q19.1'!$G$32</f>
        <v>819.60018360678987</v>
      </c>
      <c r="I223" s="532">
        <f>+'q19.1'!$H$32</f>
        <v>839.16181474480175</v>
      </c>
      <c r="J223" s="532">
        <f>+'q19.1'!$I$32</f>
        <v>861.12811243331953</v>
      </c>
      <c r="K223" s="532">
        <f>+'q19.1'!$J$32</f>
        <v>898.00852296249514</v>
      </c>
      <c r="L223" s="532">
        <f>+'q19.1'!$K$32</f>
        <v>931.83232782701657</v>
      </c>
      <c r="M223" s="532">
        <f>+'q19.1'!$L$32</f>
        <v>984.10746899954529</v>
      </c>
    </row>
    <row r="224" spans="1:13">
      <c r="A224" s="374"/>
      <c r="B224" s="374" t="str">
        <f>+'q19.1'!$A$33</f>
        <v>Algarve</v>
      </c>
      <c r="C224" s="532">
        <f>+'q19.1'!$B$33</f>
        <v>790.60025776836153</v>
      </c>
      <c r="D224" s="532">
        <f>+'q19.1'!$C$33</f>
        <v>785.86960122626215</v>
      </c>
      <c r="E224" s="532">
        <f>+'q19.1'!$D$33</f>
        <v>780.52258650459282</v>
      </c>
      <c r="F224" s="532">
        <f>+'q19.1'!$E$33</f>
        <v>781.12469577959507</v>
      </c>
      <c r="G224" s="532">
        <f>+'q19.1'!$F$33</f>
        <v>793.75555532098826</v>
      </c>
      <c r="H224" s="532">
        <f>+'q19.1'!$G$33</f>
        <v>810.98580678129701</v>
      </c>
      <c r="I224" s="532">
        <f>+'q19.1'!$H$33</f>
        <v>836.08858210028575</v>
      </c>
      <c r="J224" s="532">
        <f>+'q19.1'!$I$33</f>
        <v>861.14538818491644</v>
      </c>
      <c r="K224" s="532">
        <f>+'q19.1'!$J$33</f>
        <v>897.18211642109191</v>
      </c>
      <c r="L224" s="532">
        <f>+'q19.1'!$K$33</f>
        <v>928.4403955392919</v>
      </c>
      <c r="M224" s="532">
        <f>+'q19.1'!$L$33</f>
        <v>965.82601351644075</v>
      </c>
    </row>
    <row r="225" spans="1:13">
      <c r="B225" s="374" t="s">
        <v>14</v>
      </c>
      <c r="C225" s="532">
        <f>+'q19.1'!$B$5</f>
        <v>915.01247006081269</v>
      </c>
      <c r="D225" s="532">
        <f>+'q19.1'!$C$5</f>
        <v>912.18298170177184</v>
      </c>
      <c r="E225" s="532">
        <f>+'q19.1'!$D$5</f>
        <v>909.49144915721502</v>
      </c>
      <c r="F225" s="532">
        <f>+'q19.1'!$E$5</f>
        <v>913.92544791377316</v>
      </c>
      <c r="G225" s="532">
        <f>+'q19.1'!$F$5</f>
        <v>924.93921530908142</v>
      </c>
      <c r="H225" s="532">
        <f>+'q19.1'!$G$5</f>
        <v>943.00107511786268</v>
      </c>
      <c r="I225" s="532">
        <f>+'q19.1'!$H$5</f>
        <v>970.41689676342446</v>
      </c>
      <c r="J225" s="532">
        <f>+'q19.1'!$I$5</f>
        <v>1005.0892792510299</v>
      </c>
      <c r="K225" s="532">
        <f>+'q19.1'!$J$5</f>
        <v>1041.9948771786007</v>
      </c>
      <c r="L225" s="532">
        <f>+'q19.1'!$K$5</f>
        <v>1082.7724697513497</v>
      </c>
      <c r="M225" s="532">
        <f>+'q19.1'!$L$5</f>
        <v>1143.445582856891</v>
      </c>
    </row>
    <row r="229" spans="1:13">
      <c r="A229" s="374" t="s">
        <v>693</v>
      </c>
      <c r="D229" s="375"/>
    </row>
    <row r="230" spans="1:13">
      <c r="A230" s="490" t="s">
        <v>359</v>
      </c>
      <c r="C230" s="374">
        <f>+'q27.1'!$B$4</f>
        <v>2012</v>
      </c>
      <c r="D230" s="374">
        <f>+'q27.1'!$C$4</f>
        <v>2013</v>
      </c>
      <c r="E230" s="374">
        <f>+'q27.1'!$D$4</f>
        <v>2014</v>
      </c>
      <c r="F230" s="374">
        <f>+'q27.1'!$E$4</f>
        <v>2015</v>
      </c>
      <c r="G230" s="374">
        <f>+'q27.1'!$F$4</f>
        <v>2016</v>
      </c>
      <c r="H230" s="374">
        <f>+'q27.1'!$G$4</f>
        <v>2017</v>
      </c>
      <c r="I230" s="374">
        <f>+'q27.1'!$H$4</f>
        <v>2018</v>
      </c>
      <c r="J230" s="374">
        <f>+'q27.1'!$I$4</f>
        <v>2019</v>
      </c>
      <c r="K230" s="374">
        <f>+'q27.1'!$J$4</f>
        <v>2020</v>
      </c>
      <c r="L230" s="374">
        <f>+'q27.1'!$K$4</f>
        <v>2021</v>
      </c>
      <c r="M230" s="374">
        <f>+'q27.1'!$L$4</f>
        <v>2022</v>
      </c>
    </row>
    <row r="231" spans="1:13">
      <c r="A231" s="374" t="s">
        <v>677</v>
      </c>
      <c r="B231" s="374" t="str">
        <f>+'q27.1'!$A$6</f>
        <v>Norte</v>
      </c>
      <c r="C231" s="532">
        <f>+'q27.1'!$B$6</f>
        <v>958.10847686470811</v>
      </c>
      <c r="D231" s="532">
        <f>+'q27.1'!$C$6</f>
        <v>963.43484003771357</v>
      </c>
      <c r="E231" s="532">
        <f>+'q27.1'!$D$6</f>
        <v>967.2026507316948</v>
      </c>
      <c r="F231" s="532">
        <f>+'q27.1'!$E$6</f>
        <v>975.00547718218149</v>
      </c>
      <c r="G231" s="532">
        <f>+'q27.1'!$F$6</f>
        <v>986.92843905419647</v>
      </c>
      <c r="H231" s="532">
        <f>+'q27.1'!$G$6</f>
        <v>1015.5781310233589</v>
      </c>
      <c r="I231" s="532">
        <f>+'q27.1'!$H$6</f>
        <v>1056.6009295445517</v>
      </c>
      <c r="J231" s="532">
        <f>+'q27.1'!$I$6</f>
        <v>1100.4427554645088</v>
      </c>
      <c r="K231" s="532">
        <f>+'q27.1'!$J$6</f>
        <v>1145.2307225742454</v>
      </c>
      <c r="L231" s="532">
        <f>+'q27.1'!$K$6</f>
        <v>1187.1855799425364</v>
      </c>
      <c r="M231" s="532">
        <f>+'q27.1'!$L$6</f>
        <v>1253.4606441915191</v>
      </c>
    </row>
    <row r="232" spans="1:13">
      <c r="A232" s="374"/>
      <c r="B232" s="374" t="str">
        <f>+'q27.1'!$A$15</f>
        <v>Centro</v>
      </c>
      <c r="C232" s="532">
        <f>+'q27.1'!$B$15</f>
        <v>947.14206475910044</v>
      </c>
      <c r="D232" s="532">
        <f>+'q27.1'!$C$15</f>
        <v>945.21389441159772</v>
      </c>
      <c r="E232" s="532">
        <f>+'q27.1'!$D$15</f>
        <v>949.88818973235152</v>
      </c>
      <c r="F232" s="532">
        <f>+'q27.1'!$E$15</f>
        <v>956.66276917453683</v>
      </c>
      <c r="G232" s="532">
        <f>+'q27.1'!$F$15</f>
        <v>972.23242881387955</v>
      </c>
      <c r="H232" s="532">
        <f>+'q27.1'!$G$15</f>
        <v>1002.79173720744</v>
      </c>
      <c r="I232" s="532">
        <f>+'q27.1'!$H$15</f>
        <v>1042.9366204240589</v>
      </c>
      <c r="J232" s="532">
        <f>+'q27.1'!$I$15</f>
        <v>1082.1159185991869</v>
      </c>
      <c r="K232" s="532">
        <f>+'q27.1'!$J$15</f>
        <v>1113.2645258854016</v>
      </c>
      <c r="L232" s="532">
        <f>+'q27.1'!$K$15</f>
        <v>1157.627444527752</v>
      </c>
      <c r="M232" s="532">
        <f>+'q27.1'!$L$15</f>
        <v>1218.0718507496965</v>
      </c>
    </row>
    <row r="233" spans="1:13">
      <c r="A233" s="374"/>
      <c r="B233" s="374" t="str">
        <f>+'q27.1'!$A$22</f>
        <v>Oeste e Vale do Tejo</v>
      </c>
      <c r="C233" s="532">
        <f>+'q27.1'!$B$22</f>
        <v>935.89330088456904</v>
      </c>
      <c r="D233" s="532">
        <f>+'q27.1'!$C$22</f>
        <v>936.58143289501152</v>
      </c>
      <c r="E233" s="532">
        <f>+'q27.1'!$D$22</f>
        <v>941.79524899919909</v>
      </c>
      <c r="F233" s="532">
        <f>+'q27.1'!$E$22</f>
        <v>944.3596541930342</v>
      </c>
      <c r="G233" s="532">
        <f>+'q27.1'!$F$22</f>
        <v>955.71179647550719</v>
      </c>
      <c r="H233" s="532">
        <f>+'q27.1'!$G$22</f>
        <v>976.46450192245129</v>
      </c>
      <c r="I233" s="532">
        <f>+'q27.1'!$H$22</f>
        <v>1005.5650166710384</v>
      </c>
      <c r="J233" s="532">
        <f>+'q27.1'!$I$22</f>
        <v>1035.8122444601465</v>
      </c>
      <c r="K233" s="532">
        <f>+'q27.1'!$J$22</f>
        <v>1074.8554084120585</v>
      </c>
      <c r="L233" s="532">
        <f>+'q27.1'!$K$22</f>
        <v>1115.5639570066828</v>
      </c>
      <c r="M233" s="532">
        <f>+'q27.1'!$L$22</f>
        <v>1165.7289221289689</v>
      </c>
    </row>
    <row r="234" spans="1:13">
      <c r="A234" s="374"/>
      <c r="B234" s="374" t="str">
        <f>+'q27.1'!$A$26</f>
        <v>Grande Lisboa</v>
      </c>
      <c r="C234" s="532">
        <f>+'q27.1'!$B$26</f>
        <v>1436.7508171929078</v>
      </c>
      <c r="D234" s="532">
        <f>+'q27.1'!$C$26</f>
        <v>1427.9555868243838</v>
      </c>
      <c r="E234" s="532">
        <f>+'q27.1'!$D$26</f>
        <v>1421.2480737947819</v>
      </c>
      <c r="F234" s="532">
        <f>+'q27.1'!$E$26</f>
        <v>1420.2438087132427</v>
      </c>
      <c r="G234" s="532">
        <f>+'q27.1'!$F$26</f>
        <v>1424.2804857352442</v>
      </c>
      <c r="H234" s="532">
        <f>+'q27.1'!$G$26</f>
        <v>1447.5142165713758</v>
      </c>
      <c r="I234" s="532">
        <f>+'q27.1'!$H$26</f>
        <v>1480.7625560860886</v>
      </c>
      <c r="J234" s="532">
        <f>+'q27.1'!$I$26</f>
        <v>1518.6031180967984</v>
      </c>
      <c r="K234" s="532">
        <f>+'q27.1'!$J$26</f>
        <v>1558.3371113726521</v>
      </c>
      <c r="L234" s="532">
        <f>+'q27.1'!$K$26</f>
        <v>1609.1367002569812</v>
      </c>
      <c r="M234" s="532">
        <f>+'q27.1'!$L$26</f>
        <v>1705.138574047387</v>
      </c>
    </row>
    <row r="235" spans="1:13">
      <c r="A235" s="374"/>
      <c r="B235" s="374" t="str">
        <f>+'q27.1'!$A$27</f>
        <v>Península de Setúbal</v>
      </c>
      <c r="C235" s="532">
        <f>+'q27.1'!$B$27</f>
        <v>1150.3687443912963</v>
      </c>
      <c r="D235" s="532">
        <f>+'q27.1'!$C$27</f>
        <v>1134.6377307219154</v>
      </c>
      <c r="E235" s="532">
        <f>+'q27.1'!$D$27</f>
        <v>1132.8486378156051</v>
      </c>
      <c r="F235" s="532">
        <f>+'q27.1'!$E$27</f>
        <v>1148.8972843804058</v>
      </c>
      <c r="G235" s="532">
        <f>+'q27.1'!$F$27</f>
        <v>1180.115960411867</v>
      </c>
      <c r="H235" s="532">
        <f>+'q27.1'!$G$27</f>
        <v>1199.6640011583083</v>
      </c>
      <c r="I235" s="532">
        <f>+'q27.1'!$H$27</f>
        <v>1208.2058305256696</v>
      </c>
      <c r="J235" s="532">
        <f>+'q27.1'!$I$27</f>
        <v>1239.4294410266086</v>
      </c>
      <c r="K235" s="532">
        <f>+'q27.1'!$J$27</f>
        <v>1283.0362344878154</v>
      </c>
      <c r="L235" s="532">
        <f>+'q27.1'!$K$27</f>
        <v>1296.7175254504248</v>
      </c>
      <c r="M235" s="532">
        <f>+'q27.1'!$L$27</f>
        <v>1361.0063112502116</v>
      </c>
    </row>
    <row r="236" spans="1:13">
      <c r="A236" s="374"/>
      <c r="B236" s="374" t="str">
        <f>+'q27.1'!$A$28</f>
        <v>Alentejo</v>
      </c>
      <c r="C236" s="532">
        <f>+'q27.1'!$B$28</f>
        <v>995.18877535697322</v>
      </c>
      <c r="D236" s="532">
        <f>+'q27.1'!$C$28</f>
        <v>1008.3747912842522</v>
      </c>
      <c r="E236" s="532">
        <f>+'q27.1'!$D$28</f>
        <v>1002.4955132660954</v>
      </c>
      <c r="F236" s="532">
        <f>+'q27.1'!$E$28</f>
        <v>1002.6344131072708</v>
      </c>
      <c r="G236" s="532">
        <f>+'q27.1'!$F$28</f>
        <v>1008.4606750671755</v>
      </c>
      <c r="H236" s="532">
        <f>+'q27.1'!$G$28</f>
        <v>1030.5181283588138</v>
      </c>
      <c r="I236" s="532">
        <f>+'q27.1'!$H$28</f>
        <v>1069.4267018564456</v>
      </c>
      <c r="J236" s="532">
        <f>+'q27.1'!$I$28</f>
        <v>1083.6273699358733</v>
      </c>
      <c r="K236" s="532">
        <f>+'q27.1'!$J$28</f>
        <v>1124.748693492875</v>
      </c>
      <c r="L236" s="532">
        <f>+'q27.1'!$K$28</f>
        <v>1171.1712598903048</v>
      </c>
      <c r="M236" s="532">
        <f>+'q27.1'!$L$28</f>
        <v>1225.047196267717</v>
      </c>
    </row>
    <row r="237" spans="1:13">
      <c r="A237" s="374"/>
      <c r="B237" s="374" t="str">
        <f>+'q27.1'!$A$33</f>
        <v>Algarve</v>
      </c>
      <c r="C237" s="532">
        <f>+'q27.1'!$B$33</f>
        <v>943.89424917608278</v>
      </c>
      <c r="D237" s="532">
        <f>+'q27.1'!$C$33</f>
        <v>930.97374880713824</v>
      </c>
      <c r="E237" s="532">
        <f>+'q27.1'!$D$33</f>
        <v>927.57847468747889</v>
      </c>
      <c r="F237" s="532">
        <f>+'q27.1'!$E$33</f>
        <v>926.12862527071184</v>
      </c>
      <c r="G237" s="532">
        <f>+'q27.1'!$F$33</f>
        <v>942.73180680378732</v>
      </c>
      <c r="H237" s="532">
        <f>+'q27.1'!$G$33</f>
        <v>968.18550821874965</v>
      </c>
      <c r="I237" s="532">
        <f>+'q27.1'!$H$33</f>
        <v>999.04854164793812</v>
      </c>
      <c r="J237" s="532">
        <f>+'q27.1'!$I$33</f>
        <v>1029.0114269859289</v>
      </c>
      <c r="K237" s="532">
        <f>+'q27.1'!$J$33</f>
        <v>1070.9644070332188</v>
      </c>
      <c r="L237" s="532">
        <f>+'q27.1'!$K$33</f>
        <v>1106.3240281891931</v>
      </c>
      <c r="M237" s="532">
        <f>+'q27.1'!$L$33</f>
        <v>1150.8139774725996</v>
      </c>
    </row>
    <row r="238" spans="1:13">
      <c r="B238" s="374" t="s">
        <v>14</v>
      </c>
      <c r="C238" s="532">
        <f>+'q27.1'!$B$5</f>
        <v>1095.5861928185707</v>
      </c>
      <c r="D238" s="532">
        <f>+'q27.1'!$C$5</f>
        <v>1093.8178723953458</v>
      </c>
      <c r="E238" s="532">
        <f>+'q27.1'!$D$5</f>
        <v>1093.2085408910502</v>
      </c>
      <c r="F238" s="532">
        <f>+'q27.1'!$E$5</f>
        <v>1096.6573412799057</v>
      </c>
      <c r="G238" s="532">
        <f>+'q27.1'!$F$5</f>
        <v>1107.8563656187534</v>
      </c>
      <c r="H238" s="532">
        <f>+'q27.1'!$G$5</f>
        <v>1133.3428868970686</v>
      </c>
      <c r="I238" s="532">
        <f>+'q27.1'!$H$5</f>
        <v>1170.2525051678817</v>
      </c>
      <c r="J238" s="532">
        <f>+'q27.1'!$I$5</f>
        <v>1209.9390048557593</v>
      </c>
      <c r="K238" s="532">
        <f>+'q27.1'!$J$5</f>
        <v>1250.7519708444743</v>
      </c>
      <c r="L238" s="532">
        <f>+'q27.1'!$K$5</f>
        <v>1294.1089406723843</v>
      </c>
      <c r="M238" s="532">
        <f>+'q27.1'!$L$5</f>
        <v>1367.9952489883701</v>
      </c>
    </row>
    <row r="239" spans="1:13">
      <c r="B239" s="374"/>
      <c r="C239" s="385"/>
      <c r="D239" s="385"/>
      <c r="E239" s="385"/>
      <c r="F239" s="385"/>
      <c r="G239" s="385"/>
      <c r="H239" s="385"/>
      <c r="I239" s="385"/>
      <c r="J239" s="385"/>
      <c r="K239" s="385"/>
      <c r="L239" s="385"/>
      <c r="M239" s="385"/>
    </row>
    <row r="240" spans="1:13">
      <c r="C240" s="374">
        <f>+C230</f>
        <v>2012</v>
      </c>
      <c r="D240" s="374">
        <f t="shared" ref="D240:M240" si="66">+D230</f>
        <v>2013</v>
      </c>
      <c r="E240" s="374">
        <f t="shared" si="66"/>
        <v>2014</v>
      </c>
      <c r="F240" s="374">
        <f t="shared" si="66"/>
        <v>2015</v>
      </c>
      <c r="G240" s="374">
        <f t="shared" si="66"/>
        <v>2016</v>
      </c>
      <c r="H240" s="374">
        <f t="shared" si="66"/>
        <v>2017</v>
      </c>
      <c r="I240" s="374">
        <f t="shared" si="66"/>
        <v>2018</v>
      </c>
      <c r="J240" s="374">
        <f t="shared" si="66"/>
        <v>2019</v>
      </c>
      <c r="K240" s="374">
        <f t="shared" si="66"/>
        <v>2020</v>
      </c>
      <c r="L240" s="374">
        <f t="shared" si="66"/>
        <v>2021</v>
      </c>
      <c r="M240" s="374">
        <f t="shared" si="66"/>
        <v>2022</v>
      </c>
    </row>
    <row r="241" spans="1:13">
      <c r="A241" s="374" t="s">
        <v>678</v>
      </c>
      <c r="B241" s="374" t="str">
        <f>+'q27.1'!$A$7</f>
        <v>Alto Minho</v>
      </c>
      <c r="C241" s="532">
        <f>+'q27.1'!$B$7</f>
        <v>864.74925440167544</v>
      </c>
      <c r="D241" s="532">
        <f>+'q27.1'!$C$7</f>
        <v>878.85166789065704</v>
      </c>
      <c r="E241" s="532">
        <f>+'q27.1'!$D$7</f>
        <v>881.13214542496507</v>
      </c>
      <c r="F241" s="532">
        <f>+'q27.1'!$E$7</f>
        <v>895.53129406168682</v>
      </c>
      <c r="G241" s="532">
        <f>+'q27.1'!$F$7</f>
        <v>899.57244493392045</v>
      </c>
      <c r="H241" s="532">
        <f>+'q27.1'!$G$7</f>
        <v>950.10493790408941</v>
      </c>
      <c r="I241" s="532">
        <f>+'q27.1'!$H$7</f>
        <v>978.08295281209575</v>
      </c>
      <c r="J241" s="532">
        <f>+'q27.1'!$I$7</f>
        <v>1013.2597363953164</v>
      </c>
      <c r="K241" s="532">
        <f>+'q27.1'!$J$7</f>
        <v>1057.2132749358655</v>
      </c>
      <c r="L241" s="532">
        <f>+'q27.1'!$K$7</f>
        <v>1094.9764303693098</v>
      </c>
      <c r="M241" s="532">
        <f>+'q27.1'!$L$7</f>
        <v>1154.337399624301</v>
      </c>
    </row>
    <row r="242" spans="1:13">
      <c r="A242" s="374"/>
      <c r="B242" s="374" t="str">
        <f>+'q27.1'!$A$8</f>
        <v>Cávado</v>
      </c>
      <c r="C242" s="532">
        <f>+'q27.1'!$B$8</f>
        <v>891.37489985863851</v>
      </c>
      <c r="D242" s="532">
        <f>+'q27.1'!$C$8</f>
        <v>891.92219800489374</v>
      </c>
      <c r="E242" s="532">
        <f>+'q27.1'!$D$8</f>
        <v>896.2597841717951</v>
      </c>
      <c r="F242" s="532">
        <f>+'q27.1'!$E$8</f>
        <v>899.92732394530151</v>
      </c>
      <c r="G242" s="532">
        <f>+'q27.1'!$F$8</f>
        <v>913.4157017085563</v>
      </c>
      <c r="H242" s="532">
        <f>+'q27.1'!$G$8</f>
        <v>948.41001148618329</v>
      </c>
      <c r="I242" s="532">
        <f>+'q27.1'!$H$8</f>
        <v>988.69863562199259</v>
      </c>
      <c r="J242" s="532">
        <f>+'q27.1'!$I$8</f>
        <v>1044.542782839598</v>
      </c>
      <c r="K242" s="532">
        <f>+'q27.1'!$J$8</f>
        <v>1088.4923852736629</v>
      </c>
      <c r="L242" s="532">
        <f>+'q27.1'!$K$8</f>
        <v>1134.315250042109</v>
      </c>
      <c r="M242" s="532">
        <f>+'q27.1'!$L$8</f>
        <v>1183.0782294131691</v>
      </c>
    </row>
    <row r="243" spans="1:13">
      <c r="A243" s="374"/>
      <c r="B243" s="374" t="str">
        <f>+'q27.1'!$A$9</f>
        <v>Ave</v>
      </c>
      <c r="C243" s="532">
        <f>+'q27.1'!$B$9</f>
        <v>847.89038403817665</v>
      </c>
      <c r="D243" s="532">
        <f>+'q27.1'!$C$9</f>
        <v>849.87576914880015</v>
      </c>
      <c r="E243" s="532">
        <f>+'q27.1'!$D$9</f>
        <v>860.00990150691302</v>
      </c>
      <c r="F243" s="532">
        <f>+'q27.1'!$E$9</f>
        <v>866.16897624743217</v>
      </c>
      <c r="G243" s="532">
        <f>+'q27.1'!$F$9</f>
        <v>883.04017043994634</v>
      </c>
      <c r="H243" s="532">
        <f>+'q27.1'!$G$9</f>
        <v>916.29943164348231</v>
      </c>
      <c r="I243" s="532">
        <f>+'q27.1'!$H$9</f>
        <v>952.13040900991359</v>
      </c>
      <c r="J243" s="532">
        <f>+'q27.1'!$I$9</f>
        <v>984.12636929400537</v>
      </c>
      <c r="K243" s="532">
        <f>+'q27.1'!$J$9</f>
        <v>1030.3401200372991</v>
      </c>
      <c r="L243" s="532">
        <f>+'q27.1'!$K$9</f>
        <v>1080.783596730244</v>
      </c>
      <c r="M243" s="532">
        <f>+'q27.1'!$L$9</f>
        <v>1132.3273242586924</v>
      </c>
    </row>
    <row r="244" spans="1:13">
      <c r="A244" s="374"/>
      <c r="B244" s="374" t="str">
        <f>+'q27.1'!$A$10</f>
        <v>Área Metropolitana do Porto</v>
      </c>
      <c r="C244" s="532">
        <f>+'q27.1'!$B$10</f>
        <v>1065.0405547095149</v>
      </c>
      <c r="D244" s="532">
        <f>+'q27.1'!$C$10</f>
        <v>1074.1848340794797</v>
      </c>
      <c r="E244" s="532">
        <f>+'q27.1'!$D$10</f>
        <v>1075.9556051408813</v>
      </c>
      <c r="F244" s="532">
        <f>+'q27.1'!$E$10</f>
        <v>1084.7259388461794</v>
      </c>
      <c r="G244" s="532">
        <f>+'q27.1'!$F$10</f>
        <v>1095.4993836587944</v>
      </c>
      <c r="H244" s="532">
        <f>+'q27.1'!$G$10</f>
        <v>1118.2328589622327</v>
      </c>
      <c r="I244" s="532">
        <f>+'q27.1'!$H$10</f>
        <v>1164.5935529169897</v>
      </c>
      <c r="J244" s="532">
        <f>+'q27.1'!$I$10</f>
        <v>1208.1273749905713</v>
      </c>
      <c r="K244" s="532">
        <f>+'q27.1'!$J$10</f>
        <v>1257.1069368586395</v>
      </c>
      <c r="L244" s="532">
        <f>+'q27.1'!$K$10</f>
        <v>1301.0551657096953</v>
      </c>
      <c r="M244" s="532">
        <f>+'q27.1'!$L$10</f>
        <v>1378.5625293136845</v>
      </c>
    </row>
    <row r="245" spans="1:13">
      <c r="A245" s="374"/>
      <c r="B245" s="374" t="str">
        <f>+'q27.1'!$A$11</f>
        <v>Alto Tâmega e Barroso</v>
      </c>
      <c r="C245" s="532">
        <f>+'q27.1'!$B$11</f>
        <v>802.73746891555834</v>
      </c>
      <c r="D245" s="532">
        <f>+'q27.1'!$C$11</f>
        <v>803.27788673424436</v>
      </c>
      <c r="E245" s="532">
        <f>+'q27.1'!$D$11</f>
        <v>814.78395551257279</v>
      </c>
      <c r="F245" s="532">
        <f>+'q27.1'!$E$11</f>
        <v>810.69721601489732</v>
      </c>
      <c r="G245" s="532">
        <f>+'q27.1'!$F$11</f>
        <v>844.10168294893708</v>
      </c>
      <c r="H245" s="532">
        <f>+'q27.1'!$G$11</f>
        <v>919.38841265474491</v>
      </c>
      <c r="I245" s="532">
        <f>+'q27.1'!$H$11</f>
        <v>941.49528609865479</v>
      </c>
      <c r="J245" s="532">
        <f>+'q27.1'!$I$11</f>
        <v>954.20740291688662</v>
      </c>
      <c r="K245" s="532">
        <f>+'q27.1'!$J$11</f>
        <v>975.61169504140071</v>
      </c>
      <c r="L245" s="532">
        <f>+'q27.1'!$K$11</f>
        <v>995.05587580338783</v>
      </c>
      <c r="M245" s="532">
        <f>+'q27.1'!$L$11</f>
        <v>1043.3717336747779</v>
      </c>
    </row>
    <row r="246" spans="1:13">
      <c r="A246" s="374"/>
      <c r="B246" s="374" t="str">
        <f>+'q27.1'!$A$12</f>
        <v>Tâmega e Sousa</v>
      </c>
      <c r="C246" s="532">
        <f>+'q27.1'!$B$12</f>
        <v>757.46325895470397</v>
      </c>
      <c r="D246" s="532">
        <f>+'q27.1'!$C$12</f>
        <v>758.81901476945256</v>
      </c>
      <c r="E246" s="532">
        <f>+'q27.1'!$D$12</f>
        <v>773.97410486506419</v>
      </c>
      <c r="F246" s="532">
        <f>+'q27.1'!$E$12</f>
        <v>781.939626095893</v>
      </c>
      <c r="G246" s="532">
        <f>+'q27.1'!$F$12</f>
        <v>796.83959638375643</v>
      </c>
      <c r="H246" s="532">
        <f>+'q27.1'!$G$12</f>
        <v>821.22508459494225</v>
      </c>
      <c r="I246" s="532">
        <f>+'q27.1'!$H$12</f>
        <v>858.44108228011999</v>
      </c>
      <c r="J246" s="532">
        <f>+'q27.1'!$I$12</f>
        <v>898.09270826609293</v>
      </c>
      <c r="K246" s="532">
        <f>+'q27.1'!$J$12</f>
        <v>936.95888523706185</v>
      </c>
      <c r="L246" s="532">
        <f>+'q27.1'!$K$12</f>
        <v>980.68269823620983</v>
      </c>
      <c r="M246" s="532">
        <f>+'q27.1'!$L$12</f>
        <v>1026.1271821216981</v>
      </c>
    </row>
    <row r="247" spans="1:13">
      <c r="A247" s="374"/>
      <c r="B247" s="374" t="str">
        <f>+'q27.1'!$A$13</f>
        <v>Douro</v>
      </c>
      <c r="C247" s="532">
        <f>+'q27.1'!$B$13</f>
        <v>878.23986814945931</v>
      </c>
      <c r="D247" s="532">
        <f>+'q27.1'!$C$13</f>
        <v>874.98375787713792</v>
      </c>
      <c r="E247" s="532">
        <f>+'q27.1'!$D$13</f>
        <v>878.09831900257939</v>
      </c>
      <c r="F247" s="532">
        <f>+'q27.1'!$E$13</f>
        <v>887.02810785045233</v>
      </c>
      <c r="G247" s="532">
        <f>+'q27.1'!$F$13</f>
        <v>882.59968341646368</v>
      </c>
      <c r="H247" s="532">
        <f>+'q27.1'!$G$13</f>
        <v>899.59664950510842</v>
      </c>
      <c r="I247" s="532">
        <f>+'q27.1'!$H$13</f>
        <v>936.20945012337063</v>
      </c>
      <c r="J247" s="532">
        <f>+'q27.1'!$I$13</f>
        <v>971.0889834497126</v>
      </c>
      <c r="K247" s="532">
        <f>+'q27.1'!$J$13</f>
        <v>993.68205168695101</v>
      </c>
      <c r="L247" s="532">
        <f>+'q27.1'!$K$13</f>
        <v>1031.5209000893369</v>
      </c>
      <c r="M247" s="532">
        <f>+'q27.1'!$L$13</f>
        <v>1089.0960613548921</v>
      </c>
    </row>
    <row r="248" spans="1:13">
      <c r="A248" s="374"/>
      <c r="B248" s="374" t="str">
        <f>+'q27.1'!$A$14</f>
        <v>Terras de Trás-os-Montes</v>
      </c>
      <c r="C248" s="532">
        <f>+'q27.1'!$B$14</f>
        <v>817.34831256289181</v>
      </c>
      <c r="D248" s="532">
        <f>+'q27.1'!$C$14</f>
        <v>837.57584011901076</v>
      </c>
      <c r="E248" s="532">
        <f>+'q27.1'!$D$14</f>
        <v>834.90028740875925</v>
      </c>
      <c r="F248" s="532">
        <f>+'q27.1'!$E$14</f>
        <v>845.12911620054331</v>
      </c>
      <c r="G248" s="532">
        <f>+'q27.1'!$F$14</f>
        <v>868.27657849585387</v>
      </c>
      <c r="H248" s="532">
        <f>+'q27.1'!$G$14</f>
        <v>890.96693060936991</v>
      </c>
      <c r="I248" s="532">
        <f>+'q27.1'!$H$14</f>
        <v>918.08143547274005</v>
      </c>
      <c r="J248" s="532">
        <f>+'q27.1'!$I$14</f>
        <v>953.01987643179325</v>
      </c>
      <c r="K248" s="532">
        <f>+'q27.1'!$J$14</f>
        <v>988.17275112495656</v>
      </c>
      <c r="L248" s="532">
        <f>+'q27.1'!$K$14</f>
        <v>1021.8844390177734</v>
      </c>
      <c r="M248" s="532">
        <f>+'q27.1'!$L$14</f>
        <v>1066.6838593345271</v>
      </c>
    </row>
    <row r="249" spans="1:13">
      <c r="A249" s="374"/>
      <c r="B249" s="374" t="str">
        <f>+'q27.1'!$A$16</f>
        <v>Região de Aveiro</v>
      </c>
      <c r="C249" s="532">
        <f>+'q27.1'!$B$16</f>
        <v>987.78580000000136</v>
      </c>
      <c r="D249" s="532">
        <f>+'q27.1'!$C$16</f>
        <v>985.33934146596334</v>
      </c>
      <c r="E249" s="532">
        <f>+'q27.1'!$D$16</f>
        <v>996.19729132103294</v>
      </c>
      <c r="F249" s="532">
        <f>+'q27.1'!$E$16</f>
        <v>1007.6337748727151</v>
      </c>
      <c r="G249" s="532">
        <f>+'q27.1'!$F$16</f>
        <v>1017.7385992245402</v>
      </c>
      <c r="H249" s="532">
        <f>+'q27.1'!$G$16</f>
        <v>1047.920323426674</v>
      </c>
      <c r="I249" s="532">
        <f>+'q27.1'!$H$16</f>
        <v>1091.006201048139</v>
      </c>
      <c r="J249" s="532">
        <f>+'q27.1'!$I$16</f>
        <v>1133.2576117283086</v>
      </c>
      <c r="K249" s="532">
        <f>+'q27.1'!$J$16</f>
        <v>1165.8653763522793</v>
      </c>
      <c r="L249" s="532">
        <f>+'q27.1'!$K$16</f>
        <v>1209.9089178432459</v>
      </c>
      <c r="M249" s="532">
        <f>+'q27.1'!$L$16</f>
        <v>1282.8988460216819</v>
      </c>
    </row>
    <row r="250" spans="1:13">
      <c r="A250" s="374"/>
      <c r="B250" s="374" t="str">
        <f>+'q27.1'!$A$17</f>
        <v>Região de Coimbra</v>
      </c>
      <c r="C250" s="532">
        <f>+'q27.1'!$B$17</f>
        <v>973.0895024732414</v>
      </c>
      <c r="D250" s="532">
        <f>+'q27.1'!$C$17</f>
        <v>974.85941960826256</v>
      </c>
      <c r="E250" s="532">
        <f>+'q27.1'!$D$17</f>
        <v>963.4760656385921</v>
      </c>
      <c r="F250" s="532">
        <f>+'q27.1'!$E$17</f>
        <v>964.08223712049232</v>
      </c>
      <c r="G250" s="532">
        <f>+'q27.1'!$F$17</f>
        <v>988.14089162440837</v>
      </c>
      <c r="H250" s="532">
        <f>+'q27.1'!$G$17</f>
        <v>1015.5321352725065</v>
      </c>
      <c r="I250" s="532">
        <f>+'q27.1'!$H$17</f>
        <v>1052.4988718860779</v>
      </c>
      <c r="J250" s="532">
        <f>+'q27.1'!$I$17</f>
        <v>1093.1507401590256</v>
      </c>
      <c r="K250" s="532">
        <f>+'q27.1'!$J$17</f>
        <v>1119.4634610562707</v>
      </c>
      <c r="L250" s="532">
        <f>+'q27.1'!$K$17</f>
        <v>1167.6026070177602</v>
      </c>
      <c r="M250" s="532">
        <f>+'q27.1'!$L$17</f>
        <v>1223.8240397602849</v>
      </c>
    </row>
    <row r="251" spans="1:13">
      <c r="A251" s="374"/>
      <c r="B251" s="374" t="str">
        <f>+'q27.1'!$A$18</f>
        <v>Região de Leiria</v>
      </c>
      <c r="C251" s="532">
        <f>+'q27.1'!$B$18</f>
        <v>985.29029084755518</v>
      </c>
      <c r="D251" s="532">
        <f>+'q27.1'!$C$18</f>
        <v>979.23917977263761</v>
      </c>
      <c r="E251" s="532">
        <f>+'q27.1'!$D$18</f>
        <v>988.88687522713724</v>
      </c>
      <c r="F251" s="532">
        <f>+'q27.1'!$E$18</f>
        <v>997.90010585671905</v>
      </c>
      <c r="G251" s="532">
        <f>+'q27.1'!$F$18</f>
        <v>1012.2188993192424</v>
      </c>
      <c r="H251" s="532">
        <f>+'q27.1'!$G$18</f>
        <v>1043.6858725607549</v>
      </c>
      <c r="I251" s="532">
        <f>+'q27.1'!$H$18</f>
        <v>1087.4805927781811</v>
      </c>
      <c r="J251" s="532">
        <f>+'q27.1'!$I$18</f>
        <v>1121.9761475375788</v>
      </c>
      <c r="K251" s="532">
        <f>+'q27.1'!$J$18</f>
        <v>1150.128175509288</v>
      </c>
      <c r="L251" s="532">
        <f>+'q27.1'!$K$18</f>
        <v>1194.0138079187768</v>
      </c>
      <c r="M251" s="532">
        <f>+'q27.1'!$L$18</f>
        <v>1251.1986876616286</v>
      </c>
    </row>
    <row r="252" spans="1:13">
      <c r="A252" s="374"/>
      <c r="B252" s="374" t="str">
        <f>+'q27.1'!$A$19</f>
        <v>Viseu Dão Lafões</v>
      </c>
      <c r="C252" s="532">
        <f>+'q27.1'!$B$19</f>
        <v>903.30488281250007</v>
      </c>
      <c r="D252" s="532">
        <f>+'q27.1'!$C$19</f>
        <v>898.95931510619732</v>
      </c>
      <c r="E252" s="532">
        <f>+'q27.1'!$D$19</f>
        <v>902.75443534443525</v>
      </c>
      <c r="F252" s="532">
        <f>+'q27.1'!$E$19</f>
        <v>906.44792925635784</v>
      </c>
      <c r="G252" s="532">
        <f>+'q27.1'!$F$19</f>
        <v>913.09051764554113</v>
      </c>
      <c r="H252" s="532">
        <f>+'q27.1'!$G$19</f>
        <v>943.87165053243018</v>
      </c>
      <c r="I252" s="532">
        <f>+'q27.1'!$H$19</f>
        <v>986.58282708179399</v>
      </c>
      <c r="J252" s="532">
        <f>+'q27.1'!$I$19</f>
        <v>1025.076600725095</v>
      </c>
      <c r="K252" s="532">
        <f>+'q27.1'!$J$19</f>
        <v>1055.393319550861</v>
      </c>
      <c r="L252" s="532">
        <f>+'q27.1'!$K$19</f>
        <v>1099.7385090293253</v>
      </c>
      <c r="M252" s="532">
        <f>+'q27.1'!$L$19</f>
        <v>1154.7229728125794</v>
      </c>
    </row>
    <row r="253" spans="1:13">
      <c r="A253" s="374"/>
      <c r="B253" s="374" t="str">
        <f>+'q27.1'!$A$20</f>
        <v>Beira Baixa</v>
      </c>
      <c r="C253" s="532">
        <f>+'q27.1'!$B$20</f>
        <v>851.77980461142147</v>
      </c>
      <c r="D253" s="532">
        <f>+'q27.1'!$C$20</f>
        <v>857.28564258604899</v>
      </c>
      <c r="E253" s="532">
        <f>+'q27.1'!$D$20</f>
        <v>861.23449788816708</v>
      </c>
      <c r="F253" s="532">
        <f>+'q27.1'!$E$20</f>
        <v>865.40827191140022</v>
      </c>
      <c r="G253" s="532">
        <f>+'q27.1'!$F$20</f>
        <v>884.31673775216075</v>
      </c>
      <c r="H253" s="532">
        <f>+'q27.1'!$G$20</f>
        <v>914.65075643061277</v>
      </c>
      <c r="I253" s="532">
        <f>+'q27.1'!$H$20</f>
        <v>943.51303198217215</v>
      </c>
      <c r="J253" s="532">
        <f>+'q27.1'!$I$20</f>
        <v>976.21441240743002</v>
      </c>
      <c r="K253" s="532">
        <f>+'q27.1'!$J$20</f>
        <v>1016.0480161992253</v>
      </c>
      <c r="L253" s="532">
        <f>+'q27.1'!$K$20</f>
        <v>1061.8933272795562</v>
      </c>
      <c r="M253" s="532">
        <f>+'q27.1'!$L$20</f>
        <v>1106.8519270929878</v>
      </c>
    </row>
    <row r="254" spans="1:13">
      <c r="A254" s="374"/>
      <c r="B254" s="374" t="str">
        <f>+'q27.1'!$A$21</f>
        <v>Beiras e Serra da Estrela</v>
      </c>
      <c r="C254" s="532">
        <f>+'q27.1'!$B$21</f>
        <v>825.60567143830929</v>
      </c>
      <c r="D254" s="532">
        <f>+'q27.1'!$C$21</f>
        <v>819.99939662279746</v>
      </c>
      <c r="E254" s="532">
        <f>+'q27.1'!$D$21</f>
        <v>837.85910359041725</v>
      </c>
      <c r="F254" s="532">
        <f>+'q27.1'!$E$21</f>
        <v>845.20559711382759</v>
      </c>
      <c r="G254" s="532">
        <f>+'q27.1'!$F$21</f>
        <v>863.34727109567211</v>
      </c>
      <c r="H254" s="532">
        <f>+'q27.1'!$G$21</f>
        <v>897.58192148173498</v>
      </c>
      <c r="I254" s="532">
        <f>+'q27.1'!$H$21</f>
        <v>934.82255757676933</v>
      </c>
      <c r="J254" s="532">
        <f>+'q27.1'!$I$21</f>
        <v>974.35840185770905</v>
      </c>
      <c r="K254" s="532">
        <f>+'q27.1'!$J$21</f>
        <v>1013.436953586251</v>
      </c>
      <c r="L254" s="532">
        <f>+'q27.1'!$K$21</f>
        <v>1051.2378280921223</v>
      </c>
      <c r="M254" s="532">
        <f>+'q27.1'!$L$21</f>
        <v>1107.6834073425111</v>
      </c>
    </row>
    <row r="255" spans="1:13">
      <c r="A255" s="374"/>
      <c r="B255" s="374" t="str">
        <f>+'q27.1'!$A$23</f>
        <v>Oeste</v>
      </c>
      <c r="C255" s="532">
        <f>+'q27.1'!$B$23</f>
        <v>909.24462982672082</v>
      </c>
      <c r="D255" s="532">
        <f>+'q27.1'!$C$23</f>
        <v>909.7338393220341</v>
      </c>
      <c r="E255" s="532">
        <f>+'q27.1'!$D$23</f>
        <v>919.69866962851154</v>
      </c>
      <c r="F255" s="532">
        <f>+'q27.1'!$E$23</f>
        <v>915.0269226486829</v>
      </c>
      <c r="G255" s="532">
        <f>+'q27.1'!$F$23</f>
        <v>937.12869760965361</v>
      </c>
      <c r="H255" s="532">
        <f>+'q27.1'!$G$23</f>
        <v>958.16161231106275</v>
      </c>
      <c r="I255" s="532">
        <f>+'q27.1'!$H$23</f>
        <v>984.69134321830575</v>
      </c>
      <c r="J255" s="532">
        <f>+'q27.1'!$I$23</f>
        <v>1019.3408070610873</v>
      </c>
      <c r="K255" s="532">
        <f>+'q27.1'!$J$23</f>
        <v>1061.1286805003956</v>
      </c>
      <c r="L255" s="532">
        <f>+'q27.1'!$K$23</f>
        <v>1106.7626138175262</v>
      </c>
      <c r="M255" s="532">
        <f>+'q27.1'!$L$23</f>
        <v>1152.3915951764122</v>
      </c>
    </row>
    <row r="256" spans="1:13">
      <c r="A256" s="374"/>
      <c r="B256" s="374" t="str">
        <f>+'q27.1'!$A$24</f>
        <v>Médio Tejo</v>
      </c>
      <c r="C256" s="532">
        <f>+'q27.1'!$B$24</f>
        <v>946.65378419371928</v>
      </c>
      <c r="D256" s="532">
        <f>+'q27.1'!$C$24</f>
        <v>949.00407772006588</v>
      </c>
      <c r="E256" s="532">
        <f>+'q27.1'!$D$24</f>
        <v>952.34059504265724</v>
      </c>
      <c r="F256" s="532">
        <f>+'q27.1'!$E$24</f>
        <v>957.83793144395167</v>
      </c>
      <c r="G256" s="532">
        <f>+'q27.1'!$F$24</f>
        <v>964.48015362980345</v>
      </c>
      <c r="H256" s="532">
        <f>+'q27.1'!$G$24</f>
        <v>993.59402618908155</v>
      </c>
      <c r="I256" s="532">
        <f>+'q27.1'!$H$24</f>
        <v>1030.619120750873</v>
      </c>
      <c r="J256" s="532">
        <f>+'q27.1'!$I$24</f>
        <v>1063.3894518478137</v>
      </c>
      <c r="K256" s="532">
        <f>+'q27.1'!$J$24</f>
        <v>1099.6243568981611</v>
      </c>
      <c r="L256" s="532">
        <f>+'q27.1'!$K$24</f>
        <v>1126.709629845064</v>
      </c>
      <c r="M256" s="532">
        <f>+'q27.1'!$L$24</f>
        <v>1175.7172756759385</v>
      </c>
    </row>
    <row r="257" spans="1:13">
      <c r="A257" s="374"/>
      <c r="B257" s="374" t="str">
        <f>+'q27.1'!$A$25</f>
        <v>Lezíria do Tejo</v>
      </c>
      <c r="C257" s="532">
        <f>+'q27.1'!$B$25</f>
        <v>966.20376998583345</v>
      </c>
      <c r="D257" s="532">
        <f>+'q27.1'!$C$25</f>
        <v>965.95446488599316</v>
      </c>
      <c r="E257" s="532">
        <f>+'q27.1'!$D$25</f>
        <v>966.16159857270293</v>
      </c>
      <c r="F257" s="532">
        <f>+'q27.1'!$E$25</f>
        <v>977.92999269852521</v>
      </c>
      <c r="G257" s="532">
        <f>+'q27.1'!$F$25</f>
        <v>976.73504346356242</v>
      </c>
      <c r="H257" s="532">
        <f>+'q27.1'!$G$25</f>
        <v>989.34404777673706</v>
      </c>
      <c r="I257" s="532">
        <f>+'q27.1'!$H$25</f>
        <v>1015.9978782369624</v>
      </c>
      <c r="J257" s="532">
        <f>+'q27.1'!$I$25</f>
        <v>1037.3219124444438</v>
      </c>
      <c r="K257" s="532">
        <f>+'q27.1'!$J$25</f>
        <v>1075.1545596086407</v>
      </c>
      <c r="L257" s="532">
        <f>+'q27.1'!$K$25</f>
        <v>1120.1355230390282</v>
      </c>
      <c r="M257" s="532">
        <f>+'q27.1'!$L$25</f>
        <v>1178.0944564942188</v>
      </c>
    </row>
    <row r="258" spans="1:13">
      <c r="A258" s="374"/>
      <c r="B258" s="374" t="str">
        <f>+'q27.1'!$A$26</f>
        <v>Grande Lisboa</v>
      </c>
      <c r="C258" s="532">
        <f>+'q27.1'!$B$26</f>
        <v>1436.7508171929078</v>
      </c>
      <c r="D258" s="532">
        <f>+'q27.1'!$C$26</f>
        <v>1427.9555868243838</v>
      </c>
      <c r="E258" s="532">
        <f>+'q27.1'!$D$26</f>
        <v>1421.2480737947819</v>
      </c>
      <c r="F258" s="532">
        <f>+'q27.1'!$E$26</f>
        <v>1420.2438087132427</v>
      </c>
      <c r="G258" s="532">
        <f>+'q27.1'!$F$26</f>
        <v>1424.2804857352442</v>
      </c>
      <c r="H258" s="532">
        <f>+'q27.1'!$G$26</f>
        <v>1447.5142165713758</v>
      </c>
      <c r="I258" s="532">
        <f>+'q27.1'!$H$26</f>
        <v>1480.7625560860886</v>
      </c>
      <c r="J258" s="532">
        <f>+'q27.1'!$I$26</f>
        <v>1518.6031180967984</v>
      </c>
      <c r="K258" s="532">
        <f>+'q27.1'!$J$26</f>
        <v>1558.3371113726521</v>
      </c>
      <c r="L258" s="532">
        <f>+'q27.1'!$K$26</f>
        <v>1609.1367002569812</v>
      </c>
      <c r="M258" s="532">
        <f>+'q27.1'!$L$26</f>
        <v>1705.138574047387</v>
      </c>
    </row>
    <row r="259" spans="1:13">
      <c r="A259" s="374"/>
      <c r="B259" s="374" t="str">
        <f>+'q27.1'!$A$27</f>
        <v>Península de Setúbal</v>
      </c>
      <c r="C259" s="532">
        <f>+'q27.1'!$B$27</f>
        <v>1150.3687443912963</v>
      </c>
      <c r="D259" s="532">
        <f>+'q27.1'!$C$27</f>
        <v>1134.6377307219154</v>
      </c>
      <c r="E259" s="532">
        <f>+'q27.1'!$D$27</f>
        <v>1132.8486378156051</v>
      </c>
      <c r="F259" s="532">
        <f>+'q27.1'!$E$27</f>
        <v>1148.8972843804058</v>
      </c>
      <c r="G259" s="532">
        <f>+'q27.1'!$F$27</f>
        <v>1180.115960411867</v>
      </c>
      <c r="H259" s="532">
        <f>+'q27.1'!$G$27</f>
        <v>1199.6640011583083</v>
      </c>
      <c r="I259" s="532">
        <f>+'q27.1'!$H$27</f>
        <v>1208.2058305256696</v>
      </c>
      <c r="J259" s="532">
        <f>+'q27.1'!$I$27</f>
        <v>1239.4294410266086</v>
      </c>
      <c r="K259" s="532">
        <f>+'q27.1'!$J$27</f>
        <v>1283.0362344878154</v>
      </c>
      <c r="L259" s="532">
        <f>+'q27.1'!$K$27</f>
        <v>1296.7175254504248</v>
      </c>
      <c r="M259" s="532">
        <f>+'q27.1'!$L$27</f>
        <v>1361.0063112502116</v>
      </c>
    </row>
    <row r="260" spans="1:13">
      <c r="A260" s="374"/>
      <c r="B260" s="374" t="str">
        <f>+'q27.1'!$A$29</f>
        <v>Alentejo Litoral</v>
      </c>
      <c r="C260" s="532">
        <f>+'q27.1'!$B$29</f>
        <v>1157.36117548331</v>
      </c>
      <c r="D260" s="532">
        <f>+'q27.1'!$C$29</f>
        <v>1182.1377994445793</v>
      </c>
      <c r="E260" s="532">
        <f>+'q27.1'!$D$29</f>
        <v>1155.5845368823113</v>
      </c>
      <c r="F260" s="532">
        <f>+'q27.1'!$E$29</f>
        <v>1137.0322937266062</v>
      </c>
      <c r="G260" s="532">
        <f>+'q27.1'!$F$29</f>
        <v>1131.09580068325</v>
      </c>
      <c r="H260" s="532">
        <f>+'q27.1'!$G$29</f>
        <v>1142.9463911106607</v>
      </c>
      <c r="I260" s="532">
        <f>+'q27.1'!$H$29</f>
        <v>1183.997285004584</v>
      </c>
      <c r="J260" s="532">
        <f>+'q27.1'!$I$29</f>
        <v>1165.4425490654194</v>
      </c>
      <c r="K260" s="532">
        <f>+'q27.1'!$J$29</f>
        <v>1206.6348659207958</v>
      </c>
      <c r="L260" s="532">
        <f>+'q27.1'!$K$29</f>
        <v>1232.3448327581082</v>
      </c>
      <c r="M260" s="532">
        <f>+'q27.1'!$L$29</f>
        <v>1283.2865372245381</v>
      </c>
    </row>
    <row r="261" spans="1:13">
      <c r="A261" s="374"/>
      <c r="B261" s="374" t="str">
        <f>+'q27.1'!$A$30</f>
        <v>Baixo Alentejo</v>
      </c>
      <c r="C261" s="532">
        <f>+'q27.1'!$B$30</f>
        <v>1011.0294545954873</v>
      </c>
      <c r="D261" s="532">
        <f>+'q27.1'!$C$30</f>
        <v>1021.5130451148626</v>
      </c>
      <c r="E261" s="532">
        <f>+'q27.1'!$D$30</f>
        <v>1016.328479449059</v>
      </c>
      <c r="F261" s="532">
        <f>+'q27.1'!$E$30</f>
        <v>1025.9058148988984</v>
      </c>
      <c r="G261" s="532">
        <f>+'q27.1'!$F$30</f>
        <v>1026.2372898772196</v>
      </c>
      <c r="H261" s="532">
        <f>+'q27.1'!$G$30</f>
        <v>1053.3307585673808</v>
      </c>
      <c r="I261" s="532">
        <f>+'q27.1'!$H$30</f>
        <v>1104.1443777976724</v>
      </c>
      <c r="J261" s="532">
        <f>+'q27.1'!$I$30</f>
        <v>1129.8131027158238</v>
      </c>
      <c r="K261" s="532">
        <f>+'q27.1'!$J$30</f>
        <v>1166.3038412632254</v>
      </c>
      <c r="L261" s="532">
        <f>+'q27.1'!$K$30</f>
        <v>1237.7912591706111</v>
      </c>
      <c r="M261" s="532">
        <f>+'q27.1'!$L$30</f>
        <v>1284.9593564356433</v>
      </c>
    </row>
    <row r="262" spans="1:13">
      <c r="A262" s="374"/>
      <c r="B262" s="374" t="str">
        <f>+'q27.1'!$A$31</f>
        <v>Alto Alentejo</v>
      </c>
      <c r="C262" s="532">
        <f>+'q27.1'!$B$31</f>
        <v>900.60397061666356</v>
      </c>
      <c r="D262" s="532">
        <f>+'q27.1'!$C$31</f>
        <v>894.31773800955273</v>
      </c>
      <c r="E262" s="532">
        <f>+'q27.1'!$D$31</f>
        <v>897.83141137428458</v>
      </c>
      <c r="F262" s="532">
        <f>+'q27.1'!$E$31</f>
        <v>901.87015678776265</v>
      </c>
      <c r="G262" s="532">
        <f>+'q27.1'!$F$31</f>
        <v>915.42442992727729</v>
      </c>
      <c r="H262" s="532">
        <f>+'q27.1'!$G$31</f>
        <v>934.82731932064553</v>
      </c>
      <c r="I262" s="532">
        <f>+'q27.1'!$H$31</f>
        <v>968.22669070904669</v>
      </c>
      <c r="J262" s="532">
        <f>+'q27.1'!$I$31</f>
        <v>989.48121989783624</v>
      </c>
      <c r="K262" s="532">
        <f>+'q27.1'!$J$31</f>
        <v>1029.4718483441284</v>
      </c>
      <c r="L262" s="532">
        <f>+'q27.1'!$K$31</f>
        <v>1078.9214928425358</v>
      </c>
      <c r="M262" s="532">
        <f>+'q27.1'!$L$31</f>
        <v>1126.5965890112573</v>
      </c>
    </row>
    <row r="263" spans="1:13">
      <c r="A263" s="374"/>
      <c r="B263" s="374" t="str">
        <f>+'q27.1'!$A$32</f>
        <v>Alentejo Central</v>
      </c>
      <c r="C263" s="532">
        <f>+'q27.1'!$B$32</f>
        <v>940.52806541698396</v>
      </c>
      <c r="D263" s="532">
        <f>+'q27.1'!$C$32</f>
        <v>955.20704335024811</v>
      </c>
      <c r="E263" s="532">
        <f>+'q27.1'!$D$32</f>
        <v>955.65423432841533</v>
      </c>
      <c r="F263" s="532">
        <f>+'q27.1'!$E$32</f>
        <v>956.12030429988999</v>
      </c>
      <c r="G263" s="532">
        <f>+'q27.1'!$F$32</f>
        <v>967.64274178335643</v>
      </c>
      <c r="H263" s="532">
        <f>+'q27.1'!$G$32</f>
        <v>992.35004829888476</v>
      </c>
      <c r="I263" s="532">
        <f>+'q27.1'!$H$32</f>
        <v>1020.6969094346125</v>
      </c>
      <c r="J263" s="532">
        <f>+'q27.1'!$I$32</f>
        <v>1045.4678829845438</v>
      </c>
      <c r="K263" s="532">
        <f>+'q27.1'!$J$32</f>
        <v>1086.7700585903265</v>
      </c>
      <c r="L263" s="532">
        <f>+'q27.1'!$K$32</f>
        <v>1127.2864444597708</v>
      </c>
      <c r="M263" s="532">
        <f>+'q27.1'!$L$32</f>
        <v>1190.5704398493797</v>
      </c>
    </row>
    <row r="264" spans="1:13">
      <c r="A264" s="374"/>
      <c r="B264" s="374" t="str">
        <f>+'q27.1'!$A$33</f>
        <v>Algarve</v>
      </c>
      <c r="C264" s="532">
        <f>+'q27.1'!$B$33</f>
        <v>943.89424917608278</v>
      </c>
      <c r="D264" s="532">
        <f>+'q27.1'!$C$33</f>
        <v>930.97374880713824</v>
      </c>
      <c r="E264" s="532">
        <f>+'q27.1'!$D$33</f>
        <v>927.57847468747889</v>
      </c>
      <c r="F264" s="532">
        <f>+'q27.1'!$E$33</f>
        <v>926.12862527071184</v>
      </c>
      <c r="G264" s="532">
        <f>+'q27.1'!$F$33</f>
        <v>942.73180680378732</v>
      </c>
      <c r="H264" s="532">
        <f>+'q27.1'!$G$33</f>
        <v>968.18550821874965</v>
      </c>
      <c r="I264" s="532">
        <f>+'q27.1'!$H$33</f>
        <v>999.04854164793812</v>
      </c>
      <c r="J264" s="532">
        <f>+'q27.1'!$I$33</f>
        <v>1029.0114269859289</v>
      </c>
      <c r="K264" s="532">
        <f>+'q27.1'!$J$33</f>
        <v>1070.9644070332188</v>
      </c>
      <c r="L264" s="532">
        <f>+'q27.1'!$K$33</f>
        <v>1106.3240281891931</v>
      </c>
      <c r="M264" s="532">
        <f>+'q27.1'!$L$33</f>
        <v>1150.8139774725996</v>
      </c>
    </row>
    <row r="265" spans="1:13">
      <c r="B265" s="374" t="s">
        <v>14</v>
      </c>
      <c r="C265" s="532">
        <f>+'q27.1'!$B$5</f>
        <v>1095.5861928185707</v>
      </c>
      <c r="D265" s="532">
        <f>+'q27.1'!$C$5</f>
        <v>1093.8178723953458</v>
      </c>
      <c r="E265" s="532">
        <f>+'q27.1'!$D$5</f>
        <v>1093.2085408910502</v>
      </c>
      <c r="F265" s="532">
        <f>+'q27.1'!$E$5</f>
        <v>1096.6573412799057</v>
      </c>
      <c r="G265" s="532">
        <f>+'q27.1'!$F$5</f>
        <v>1107.8563656187534</v>
      </c>
      <c r="H265" s="532">
        <f>+'q27.1'!$G$5</f>
        <v>1133.3428868970686</v>
      </c>
      <c r="I265" s="532">
        <f>+'q27.1'!$H$5</f>
        <v>1170.2525051678817</v>
      </c>
      <c r="J265" s="532">
        <f>+'q27.1'!$I$5</f>
        <v>1209.9390048557593</v>
      </c>
      <c r="K265" s="532">
        <f>+'q27.1'!$J$5</f>
        <v>1250.7519708444743</v>
      </c>
      <c r="L265" s="532">
        <f>+'q27.1'!$K$5</f>
        <v>1294.1089406723843</v>
      </c>
      <c r="M265" s="532">
        <f>+'q27.1'!$L$5</f>
        <v>1367.9952489883701</v>
      </c>
    </row>
  </sheetData>
  <mergeCells count="41">
    <mergeCell ref="BB36:BD36"/>
    <mergeCell ref="BE36:BG36"/>
    <mergeCell ref="BH36:BJ36"/>
    <mergeCell ref="AV82:AZ85"/>
    <mergeCell ref="AV107:AZ109"/>
    <mergeCell ref="AD13:AG19"/>
    <mergeCell ref="AD45:AG50"/>
    <mergeCell ref="AD79:AH84"/>
    <mergeCell ref="AV88:AY90"/>
    <mergeCell ref="AV100:AZ103"/>
    <mergeCell ref="AQ8:AQ15"/>
    <mergeCell ref="AQ16:AQ21"/>
    <mergeCell ref="AQ22:AQ24"/>
    <mergeCell ref="AQ27:AQ30"/>
    <mergeCell ref="AY36:BA36"/>
    <mergeCell ref="BR107:BV109"/>
    <mergeCell ref="BS92:BY95"/>
    <mergeCell ref="BR100:BX103"/>
    <mergeCell ref="CP36:CR36"/>
    <mergeCell ref="CS36:CU36"/>
    <mergeCell ref="CL82:CP85"/>
    <mergeCell ref="CL88:CO90"/>
    <mergeCell ref="CL107:CP109"/>
    <mergeCell ref="CM92:CS96"/>
    <mergeCell ref="BT36:BV36"/>
    <mergeCell ref="BR82:BV85"/>
    <mergeCell ref="BR88:BU90"/>
    <mergeCell ref="BW36:BY36"/>
    <mergeCell ref="BZ36:CB36"/>
    <mergeCell ref="CC36:CE36"/>
    <mergeCell ref="CL100:CS103"/>
    <mergeCell ref="CV36:CX36"/>
    <mergeCell ref="CY36:DA36"/>
    <mergeCell ref="BL8:BL15"/>
    <mergeCell ref="BL16:BL21"/>
    <mergeCell ref="BL22:BL24"/>
    <mergeCell ref="BL27:BL30"/>
    <mergeCell ref="CF8:CF15"/>
    <mergeCell ref="CF16:CF21"/>
    <mergeCell ref="CF22:CF24"/>
    <mergeCell ref="CF27:CF30"/>
  </mergeCells>
  <pageMargins left="0.7" right="0.7" top="0.75" bottom="0.75" header="0.3" footer="0.3"/>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286721" r:id="rId4" name="Drop Down 1">
              <controlPr defaultSize="0" autoLine="0" autoPict="0">
                <anchor moveWithCells="1">
                  <from>
                    <xdr:col>16</xdr:col>
                    <xdr:colOff>266700</xdr:colOff>
                    <xdr:row>0</xdr:row>
                    <xdr:rowOff>142875</xdr:rowOff>
                  </from>
                  <to>
                    <xdr:col>17</xdr:col>
                    <xdr:colOff>942975</xdr:colOff>
                    <xdr:row>2</xdr:row>
                    <xdr:rowOff>19050</xdr:rowOff>
                  </to>
                </anchor>
              </controlPr>
            </control>
          </mc:Choice>
        </mc:AlternateContent>
        <mc:AlternateContent xmlns:mc="http://schemas.openxmlformats.org/markup-compatibility/2006">
          <mc:Choice Requires="x14">
            <control shapeId="286722" r:id="rId5" name="Drop Down 2">
              <controlPr defaultSize="0" autoLine="0" autoPict="0">
                <anchor moveWithCells="1">
                  <from>
                    <xdr:col>43</xdr:col>
                    <xdr:colOff>9525</xdr:colOff>
                    <xdr:row>1</xdr:row>
                    <xdr:rowOff>0</xdr:rowOff>
                  </from>
                  <to>
                    <xdr:col>43</xdr:col>
                    <xdr:colOff>638175</xdr:colOff>
                    <xdr:row>2</xdr:row>
                    <xdr:rowOff>19050</xdr:rowOff>
                  </to>
                </anchor>
              </controlPr>
            </control>
          </mc:Choice>
        </mc:AlternateContent>
        <mc:AlternateContent xmlns:mc="http://schemas.openxmlformats.org/markup-compatibility/2006">
          <mc:Choice Requires="x14">
            <control shapeId="286723" r:id="rId6" name="Drop Down 3">
              <controlPr defaultSize="0" autoLine="0" autoPict="0">
                <anchor moveWithCells="1">
                  <from>
                    <xdr:col>64</xdr:col>
                    <xdr:colOff>9525</xdr:colOff>
                    <xdr:row>1</xdr:row>
                    <xdr:rowOff>0</xdr:rowOff>
                  </from>
                  <to>
                    <xdr:col>65</xdr:col>
                    <xdr:colOff>28575</xdr:colOff>
                    <xdr:row>2</xdr:row>
                    <xdr:rowOff>19050</xdr:rowOff>
                  </to>
                </anchor>
              </controlPr>
            </control>
          </mc:Choice>
        </mc:AlternateContent>
        <mc:AlternateContent xmlns:mc="http://schemas.openxmlformats.org/markup-compatibility/2006">
          <mc:Choice Requires="x14">
            <control shapeId="286724" r:id="rId7" name="Drop Down 4">
              <controlPr defaultSize="0" autoLine="0" autoPict="0">
                <anchor moveWithCells="1">
                  <from>
                    <xdr:col>84</xdr:col>
                    <xdr:colOff>9525</xdr:colOff>
                    <xdr:row>1</xdr:row>
                    <xdr:rowOff>0</xdr:rowOff>
                  </from>
                  <to>
                    <xdr:col>85</xdr:col>
                    <xdr:colOff>28575</xdr:colOff>
                    <xdr:row>2</xdr:row>
                    <xdr:rowOff>19050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806CA-9FBB-44F2-89F7-F0B92D132D87}">
  <dimension ref="A52:A65"/>
  <sheetViews>
    <sheetView topLeftCell="N1" workbookViewId="0">
      <selection activeCell="AK18" sqref="AK18"/>
    </sheetView>
  </sheetViews>
  <sheetFormatPr defaultColWidth="9.140625" defaultRowHeight="15"/>
  <cols>
    <col min="1" max="16384" width="9.140625" style="527"/>
  </cols>
  <sheetData>
    <row r="52" spans="1:1">
      <c r="A52" s="526" t="s">
        <v>679</v>
      </c>
    </row>
    <row r="54" spans="1:1">
      <c r="A54" s="528" t="s">
        <v>680</v>
      </c>
    </row>
    <row r="55" spans="1:1">
      <c r="A55" s="529"/>
    </row>
    <row r="56" spans="1:1">
      <c r="A56" s="530" t="s">
        <v>681</v>
      </c>
    </row>
    <row r="57" spans="1:1">
      <c r="A57" s="530" t="s">
        <v>682</v>
      </c>
    </row>
    <row r="58" spans="1:1">
      <c r="A58" s="528" t="s">
        <v>683</v>
      </c>
    </row>
    <row r="59" spans="1:1">
      <c r="A59" s="531" t="s">
        <v>684</v>
      </c>
    </row>
    <row r="60" spans="1:1">
      <c r="A60" s="530" t="s">
        <v>685</v>
      </c>
    </row>
    <row r="61" spans="1:1">
      <c r="A61" s="531" t="s">
        <v>686</v>
      </c>
    </row>
    <row r="62" spans="1:1">
      <c r="A62" s="529"/>
    </row>
    <row r="64" spans="1:1">
      <c r="A64" s="529"/>
    </row>
    <row r="65" spans="1:1">
      <c r="A65" s="529"/>
    </row>
  </sheetData>
  <hyperlinks>
    <hyperlink ref="A59" r:id="rId1" location="ref-publicity-rights" display="https://creativecommons.org/publicdomain/zero/1.0/deed.en - ref-publicity-rights" xr:uid="{6EF6BB01-F87D-45FA-A2F5-65848036DA03}"/>
    <hyperlink ref="A61" r:id="rId2" location="ref-endorsement" display="https://creativecommons.org/publicdomain/zero/1.0/deed.en - ref-endorsement" xr:uid="{3B499A8E-6F9C-4DEA-9DBB-9FF4D1987825}"/>
  </hyperlinks>
  <pageMargins left="0.7" right="0.7" top="0.75" bottom="0.75" header="0.3" footer="0.3"/>
  <pageSetup paperSize="9" orientation="portrait" r:id="rId3"/>
  <drawing r:id="rId4"/>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61E84-DB4C-45B7-AEA9-28705B9530F3}">
  <sheetPr codeName="Folha43"/>
  <dimension ref="A1:BA248"/>
  <sheetViews>
    <sheetView topLeftCell="T76" zoomScale="120" zoomScaleNormal="120" workbookViewId="0">
      <selection activeCell="AK18" sqref="AK18"/>
    </sheetView>
  </sheetViews>
  <sheetFormatPr defaultColWidth="8.7109375" defaultRowHeight="12"/>
  <cols>
    <col min="1" max="1" width="8.7109375" style="404"/>
    <col min="2" max="2" width="17.140625" style="404" customWidth="1"/>
    <col min="3" max="16" width="8.7109375" style="404"/>
    <col min="17" max="17" width="10.85546875" style="404" bestFit="1" customWidth="1"/>
    <col min="18" max="20" width="8.7109375" style="404"/>
    <col min="21" max="21" width="8.85546875" style="404" customWidth="1"/>
    <col min="22" max="16384" width="8.7109375" style="404"/>
  </cols>
  <sheetData>
    <row r="1" spans="1:31">
      <c r="A1" s="376" t="s">
        <v>355</v>
      </c>
      <c r="D1" s="376" t="s">
        <v>446</v>
      </c>
      <c r="Z1" s="597" t="str">
        <f>CONCATENATE(X2,Y2,CHAR(10),X3,X4,X5,X6,X7,CHAR(10),Y7,X8)</f>
        <v>2022:
Existiam 3.148.147 TCO, dos quais 50,3% tinham entre 25 e 44 anos; 
A taxa de feminização era de 47,5%</v>
      </c>
      <c r="AA1" s="597"/>
      <c r="AB1" s="597"/>
      <c r="AC1" s="597"/>
      <c r="AD1" s="597"/>
      <c r="AE1" s="597"/>
    </row>
    <row r="2" spans="1:31">
      <c r="A2" s="383">
        <f>+C16</f>
        <v>2012</v>
      </c>
      <c r="B2" s="404">
        <v>1</v>
      </c>
      <c r="D2" s="404" t="s">
        <v>352</v>
      </c>
      <c r="E2" s="404">
        <v>1</v>
      </c>
      <c r="X2" s="404">
        <f>+P14</f>
        <v>2022</v>
      </c>
      <c r="Y2" s="404" t="s">
        <v>506</v>
      </c>
      <c r="Z2" s="597"/>
      <c r="AA2" s="597"/>
      <c r="AB2" s="597"/>
      <c r="AC2" s="597"/>
      <c r="AD2" s="597"/>
      <c r="AE2" s="597"/>
    </row>
    <row r="3" spans="1:31">
      <c r="A3" s="383">
        <f>+D16</f>
        <v>2013</v>
      </c>
      <c r="B3" s="404">
        <v>2</v>
      </c>
      <c r="D3" s="404" t="s">
        <v>353</v>
      </c>
      <c r="E3" s="404">
        <v>2</v>
      </c>
      <c r="X3" s="404" t="s">
        <v>522</v>
      </c>
      <c r="Z3" s="597"/>
      <c r="AA3" s="597"/>
      <c r="AB3" s="597"/>
      <c r="AC3" s="597"/>
      <c r="AD3" s="597"/>
      <c r="AE3" s="597"/>
    </row>
    <row r="4" spans="1:31">
      <c r="A4" s="383">
        <f>+E16</f>
        <v>2014</v>
      </c>
      <c r="B4" s="404">
        <v>3</v>
      </c>
      <c r="X4" s="413" t="str">
        <f>TEXT(T23,"##.###")</f>
        <v>3.148.147</v>
      </c>
      <c r="Z4" s="597"/>
      <c r="AA4" s="597"/>
      <c r="AB4" s="597"/>
      <c r="AC4" s="597"/>
      <c r="AD4" s="597"/>
      <c r="AE4" s="597"/>
    </row>
    <row r="5" spans="1:31">
      <c r="A5" s="383">
        <f>+F16</f>
        <v>2015</v>
      </c>
      <c r="B5" s="404">
        <v>4</v>
      </c>
      <c r="O5" s="404" t="s">
        <v>445</v>
      </c>
      <c r="X5" s="404" t="s">
        <v>495</v>
      </c>
    </row>
    <row r="6" spans="1:31">
      <c r="A6" s="383">
        <f>+G16</f>
        <v>2016</v>
      </c>
      <c r="B6" s="404">
        <v>5</v>
      </c>
      <c r="X6" s="424" t="str">
        <f>TEXT(V18,"##.###,0%")</f>
        <v>50,3%</v>
      </c>
    </row>
    <row r="7" spans="1:31">
      <c r="A7" s="383">
        <f>+H16</f>
        <v>2017</v>
      </c>
      <c r="B7" s="404">
        <v>6</v>
      </c>
      <c r="X7" s="404" t="s">
        <v>573</v>
      </c>
      <c r="Y7" s="404" t="s">
        <v>523</v>
      </c>
    </row>
    <row r="8" spans="1:31">
      <c r="A8" s="383">
        <f>+I16</f>
        <v>2018</v>
      </c>
      <c r="B8" s="404">
        <v>7</v>
      </c>
      <c r="X8" s="424" t="str">
        <f>TEXT(S24,"##.###,0%")</f>
        <v>47,5%</v>
      </c>
    </row>
    <row r="9" spans="1:31">
      <c r="A9" s="383">
        <f>+J16</f>
        <v>2019</v>
      </c>
      <c r="B9" s="404">
        <v>8</v>
      </c>
      <c r="P9" s="404">
        <v>11</v>
      </c>
    </row>
    <row r="10" spans="1:31">
      <c r="A10" s="383">
        <f>+K16</f>
        <v>2020</v>
      </c>
      <c r="B10" s="404">
        <v>9</v>
      </c>
    </row>
    <row r="11" spans="1:31">
      <c r="A11" s="383">
        <f>+L16</f>
        <v>2021</v>
      </c>
      <c r="B11" s="404">
        <v>10</v>
      </c>
    </row>
    <row r="12" spans="1:31">
      <c r="A12" s="383">
        <f>+M16</f>
        <v>2022</v>
      </c>
      <c r="B12" s="404">
        <v>11</v>
      </c>
    </row>
    <row r="13" spans="1:31">
      <c r="P13" s="404" t="s">
        <v>186</v>
      </c>
    </row>
    <row r="14" spans="1:31">
      <c r="P14" s="404">
        <f>INDEX($A$2:$A$12,$P$9)</f>
        <v>2022</v>
      </c>
      <c r="Q14" s="375" t="s">
        <v>428</v>
      </c>
    </row>
    <row r="15" spans="1:31">
      <c r="A15" s="406" t="s">
        <v>428</v>
      </c>
      <c r="R15" s="375" t="s">
        <v>116</v>
      </c>
      <c r="S15" s="375" t="s">
        <v>117</v>
      </c>
      <c r="T15" s="375" t="s">
        <v>12</v>
      </c>
      <c r="U15" s="375"/>
    </row>
    <row r="16" spans="1:31">
      <c r="A16" s="405" t="s">
        <v>186</v>
      </c>
      <c r="C16" s="375">
        <f>+'q13'!$C$4</f>
        <v>2012</v>
      </c>
      <c r="D16" s="375">
        <f>+'q13'!$D$4</f>
        <v>2013</v>
      </c>
      <c r="E16" s="375">
        <f>+'q13'!$E$4</f>
        <v>2014</v>
      </c>
      <c r="F16" s="375">
        <f>+'q13'!$F$4</f>
        <v>2015</v>
      </c>
      <c r="G16" s="375">
        <f>+'q13'!$G$4</f>
        <v>2016</v>
      </c>
      <c r="H16" s="375">
        <f>+'q13'!$H$4</f>
        <v>2017</v>
      </c>
      <c r="I16" s="375">
        <f>+'q13'!$I$4</f>
        <v>2018</v>
      </c>
      <c r="J16" s="375">
        <f>+'q13'!$J$4</f>
        <v>2019</v>
      </c>
      <c r="K16" s="375">
        <f>+'q13'!$K$4</f>
        <v>2020</v>
      </c>
      <c r="L16" s="375">
        <f>+'q13'!$L$4</f>
        <v>2021</v>
      </c>
      <c r="M16" s="375">
        <f>+'q13'!$M$4</f>
        <v>2022</v>
      </c>
      <c r="Q16" s="404" t="s">
        <v>55</v>
      </c>
      <c r="R16" s="413">
        <f>INDEX($B$16:$M$24,MATCH($Q$16:$Q$23,$B$16:$B$24,0),MATCH($P$14,$B$16:$M$16,0))*-1</f>
        <v>-802</v>
      </c>
      <c r="S16" s="413">
        <f t="shared" ref="S16:S23" si="0">INDEX($B$25:$M$33,MATCH($Q$16:$Q$23,$B$25:$B$33,0),MATCH($P$14,$B$25:$M$25,0))</f>
        <v>618</v>
      </c>
      <c r="T16" s="413">
        <f>+S16-R16</f>
        <v>1420</v>
      </c>
      <c r="U16" s="410"/>
    </row>
    <row r="17" spans="1:51">
      <c r="A17" s="405" t="s">
        <v>116</v>
      </c>
      <c r="B17" s="404" t="str">
        <f>+Aux!$B$88</f>
        <v>&lt; 18 anos</v>
      </c>
      <c r="C17" s="404">
        <f>+'q13'!$C$9</f>
        <v>785</v>
      </c>
      <c r="D17" s="404">
        <f>+'q13'!$D$9</f>
        <v>504</v>
      </c>
      <c r="E17" s="404">
        <f>+'q13'!$E$9</f>
        <v>378</v>
      </c>
      <c r="F17" s="404">
        <f>+'q13'!$F$9</f>
        <v>357</v>
      </c>
      <c r="G17" s="404">
        <f>+'q13'!$G$9</f>
        <v>497</v>
      </c>
      <c r="H17" s="404">
        <f>+'q13'!$H$9</f>
        <v>714</v>
      </c>
      <c r="I17" s="404">
        <f>+'q13'!$I$9</f>
        <v>775</v>
      </c>
      <c r="J17" s="404">
        <f>+'q13'!$J$9</f>
        <v>811</v>
      </c>
      <c r="K17" s="404">
        <f>+'q13'!$K$9</f>
        <v>404</v>
      </c>
      <c r="L17" s="404">
        <f>+'q13'!$L$9</f>
        <v>568</v>
      </c>
      <c r="M17" s="404">
        <f>+'q13'!$M$9</f>
        <v>802</v>
      </c>
      <c r="Q17" s="404" t="s">
        <v>429</v>
      </c>
      <c r="R17" s="413">
        <f t="shared" ref="R17:R22" si="1">INDEX($B$16:$M$24,MATCH($Q$16:$Q$23,$B$16:$B$24,0),MATCH($P$14,$B$16:$M$16,0))*-1</f>
        <v>-146876</v>
      </c>
      <c r="S17" s="413">
        <f t="shared" si="0"/>
        <v>124121</v>
      </c>
      <c r="T17" s="413">
        <f t="shared" ref="T17:T22" si="2">+S17-R17</f>
        <v>270997</v>
      </c>
      <c r="U17" s="410"/>
    </row>
    <row r="18" spans="1:51">
      <c r="B18" s="404" t="str">
        <f>+Aux!$B$89</f>
        <v>18 - 24 anos</v>
      </c>
      <c r="C18" s="404">
        <f>+'q13'!$C$12</f>
        <v>94573</v>
      </c>
      <c r="D18" s="404">
        <f>+'q13'!$D$12</f>
        <v>90921</v>
      </c>
      <c r="E18" s="404">
        <f>+'q13'!$E$12</f>
        <v>96570</v>
      </c>
      <c r="F18" s="404">
        <f>+'q13'!$F$12</f>
        <v>103018</v>
      </c>
      <c r="G18" s="404">
        <f>+'q13'!$G$12</f>
        <v>112378</v>
      </c>
      <c r="H18" s="404">
        <f>+'q13'!$H$12</f>
        <v>126226</v>
      </c>
      <c r="I18" s="404">
        <f>+'q13'!$I$12</f>
        <v>137590</v>
      </c>
      <c r="J18" s="404">
        <f>+'q13'!$J$12</f>
        <v>143662</v>
      </c>
      <c r="K18" s="404">
        <f>+'q13'!$K$12</f>
        <v>130505</v>
      </c>
      <c r="L18" s="404">
        <f>+'q13'!$L$12</f>
        <v>131787</v>
      </c>
      <c r="M18" s="404">
        <f>+'q13'!$M$12</f>
        <v>146876</v>
      </c>
      <c r="Q18" s="404" t="s">
        <v>430</v>
      </c>
      <c r="R18" s="413">
        <f t="shared" si="1"/>
        <v>-406100</v>
      </c>
      <c r="S18" s="413">
        <f t="shared" si="0"/>
        <v>355301</v>
      </c>
      <c r="T18" s="413">
        <f t="shared" si="2"/>
        <v>761401</v>
      </c>
      <c r="U18" s="409">
        <f>+T18/$U$23</f>
        <v>0.24188584299361135</v>
      </c>
      <c r="V18" s="481">
        <f>+U18+U19</f>
        <v>0.50282676307354091</v>
      </c>
    </row>
    <row r="19" spans="1:51">
      <c r="B19" s="404" t="str">
        <f>+Aux!$B$90</f>
        <v>25 - 34 anos</v>
      </c>
      <c r="C19" s="404">
        <f>+'q13'!$C$15+'q13'!$C$18</f>
        <v>342289</v>
      </c>
      <c r="D19" s="404">
        <f>+'q13'!$D$15+'q13'!$D$18</f>
        <v>328658</v>
      </c>
      <c r="E19" s="404">
        <f>+'q13'!$E$15+'q13'!$E$18</f>
        <v>327966</v>
      </c>
      <c r="F19" s="404">
        <f>+'q13'!$F$15+'q13'!$F$18</f>
        <v>325849</v>
      </c>
      <c r="G19" s="404">
        <f>+'q13'!$G$15+'q13'!$G$18</f>
        <v>333951</v>
      </c>
      <c r="H19" s="404">
        <f>+'q13'!$H$15+'q13'!$H$18</f>
        <v>344093</v>
      </c>
      <c r="I19" s="404">
        <f>+'q13'!$I$15+'q13'!$I$18</f>
        <v>355735</v>
      </c>
      <c r="J19" s="404">
        <f>+'q13'!$J$15+'q13'!$J$18</f>
        <v>365815</v>
      </c>
      <c r="K19" s="404">
        <f>+'q13'!$K$15+'q13'!$K$18</f>
        <v>364674</v>
      </c>
      <c r="L19" s="404">
        <f>+'q13'!$L$15+'q13'!$L$18</f>
        <v>366621</v>
      </c>
      <c r="M19" s="404">
        <f>+'q13'!$M$15+'q13'!$M$18</f>
        <v>406100</v>
      </c>
      <c r="Q19" s="404" t="s">
        <v>431</v>
      </c>
      <c r="R19" s="413">
        <f t="shared" si="1"/>
        <v>-424572</v>
      </c>
      <c r="S19" s="413">
        <f t="shared" si="0"/>
        <v>396810</v>
      </c>
      <c r="T19" s="413">
        <f t="shared" si="2"/>
        <v>821382</v>
      </c>
      <c r="U19" s="409">
        <f>+T19/$U$23</f>
        <v>0.26094092007992958</v>
      </c>
    </row>
    <row r="20" spans="1:51">
      <c r="B20" s="404" t="str">
        <f>+Aux!$B$91</f>
        <v>35 - 44 anos</v>
      </c>
      <c r="C20" s="404">
        <f>+'q13'!$C$21+'q13'!$C$24</f>
        <v>385680</v>
      </c>
      <c r="D20" s="404">
        <f>+'q13'!$D$21+'q13'!$D$24</f>
        <v>386213</v>
      </c>
      <c r="E20" s="404">
        <f>+'q13'!$E$21+'q13'!$E$24</f>
        <v>395478</v>
      </c>
      <c r="F20" s="404">
        <f>+'q13'!$F$21+'q13'!$F$24</f>
        <v>401351</v>
      </c>
      <c r="G20" s="404">
        <f>+'q13'!$G$21+'q13'!$G$24</f>
        <v>408875</v>
      </c>
      <c r="H20" s="404">
        <f>+'q13'!$H$21+'q13'!$H$24</f>
        <v>417433</v>
      </c>
      <c r="I20" s="404">
        <f>+'q13'!$I$21+'q13'!$I$24</f>
        <v>424399</v>
      </c>
      <c r="J20" s="404">
        <f>+'q13'!$J$21+'q13'!$J$24</f>
        <v>424236</v>
      </c>
      <c r="K20" s="404">
        <f>+'q13'!$K$21+'q13'!$K$24</f>
        <v>418182</v>
      </c>
      <c r="L20" s="404">
        <f>+'q13'!$L$21+'q13'!$L$24</f>
        <v>405130</v>
      </c>
      <c r="M20" s="404">
        <f>+'q13'!$M$21+'q13'!$M$24</f>
        <v>424572</v>
      </c>
      <c r="Q20" s="404" t="s">
        <v>432</v>
      </c>
      <c r="R20" s="413">
        <f t="shared" si="1"/>
        <v>-402776</v>
      </c>
      <c r="S20" s="413">
        <f t="shared" si="0"/>
        <v>383284</v>
      </c>
      <c r="T20" s="413">
        <f t="shared" si="2"/>
        <v>786060</v>
      </c>
      <c r="U20" s="410"/>
      <c r="AW20" s="416"/>
      <c r="AX20" s="415"/>
      <c r="AY20" s="415"/>
    </row>
    <row r="21" spans="1:51">
      <c r="B21" s="404" t="str">
        <f>+Aux!$B$92</f>
        <v>45 - 54 anos</v>
      </c>
      <c r="C21" s="404">
        <f>+'q13'!$C$27+'q13'!$C$30</f>
        <v>283167</v>
      </c>
      <c r="D21" s="404">
        <f>+'q13'!$D$27+'q13'!$D$30</f>
        <v>285941</v>
      </c>
      <c r="E21" s="404">
        <f>+'q13'!$E$27+'q13'!$E$30</f>
        <v>296111</v>
      </c>
      <c r="F21" s="404">
        <f>+'q13'!$F$27+'q13'!$F$30</f>
        <v>306763</v>
      </c>
      <c r="G21" s="404">
        <f>+'q13'!$G$27+'q13'!$G$30</f>
        <v>324733</v>
      </c>
      <c r="H21" s="404">
        <f>+'q13'!$H$27+'q13'!$H$30</f>
        <v>342301</v>
      </c>
      <c r="I21" s="404">
        <f>+'q13'!$I$27+'q13'!$I$30</f>
        <v>359216</v>
      </c>
      <c r="J21" s="404">
        <f>+'q13'!$J$27+'q13'!$J$30</f>
        <v>364370</v>
      </c>
      <c r="K21" s="404">
        <f>+'q13'!$K$27+'q13'!$K$30</f>
        <v>373499</v>
      </c>
      <c r="L21" s="404">
        <f>+'q13'!$L$27+'q13'!$L$30</f>
        <v>377126</v>
      </c>
      <c r="M21" s="404">
        <f>+'q13'!$M$27+'q13'!$M$30</f>
        <v>402776</v>
      </c>
      <c r="Q21" s="404" t="s">
        <v>433</v>
      </c>
      <c r="R21" s="413">
        <f t="shared" si="1"/>
        <v>-240751</v>
      </c>
      <c r="S21" s="413">
        <f t="shared" si="0"/>
        <v>211925</v>
      </c>
      <c r="T21" s="413">
        <f t="shared" si="2"/>
        <v>452676</v>
      </c>
      <c r="U21" s="410"/>
      <c r="AW21" s="413"/>
      <c r="AX21" s="413"/>
      <c r="AY21" s="413"/>
    </row>
    <row r="22" spans="1:51">
      <c r="B22" s="404" t="str">
        <f>+Aux!$B$93</f>
        <v>55 - 64 anos</v>
      </c>
      <c r="C22" s="404">
        <f>+'q13'!$C$33+'q13'!$C$36</f>
        <v>131065</v>
      </c>
      <c r="D22" s="404">
        <f>+'q13'!$D$33+'q13'!$D$36</f>
        <v>137120</v>
      </c>
      <c r="E22" s="404">
        <f>+'q13'!$E$33+'q13'!$E$36</f>
        <v>148316</v>
      </c>
      <c r="F22" s="404">
        <f>+'q13'!$F$33+'q13'!$F$36</f>
        <v>158690</v>
      </c>
      <c r="G22" s="404">
        <f>+'q13'!$G$33+'q13'!$G$36</f>
        <v>169708</v>
      </c>
      <c r="H22" s="404">
        <f>+'q13'!$H$33+'q13'!$H$36</f>
        <v>186920</v>
      </c>
      <c r="I22" s="404">
        <f>+'q13'!$I$33+'q13'!$I$36</f>
        <v>199133</v>
      </c>
      <c r="J22" s="404">
        <f>+'q13'!$J$33+'q13'!$J$36</f>
        <v>205220</v>
      </c>
      <c r="K22" s="404">
        <f>+'q13'!$K$33+'q13'!$K$36</f>
        <v>213255</v>
      </c>
      <c r="L22" s="404">
        <f>+'q13'!$L$33+'q13'!$L$36</f>
        <v>221117</v>
      </c>
      <c r="M22" s="404">
        <f>+'q13'!$M$33+'q13'!$M$36</f>
        <v>240751</v>
      </c>
      <c r="Q22" s="404" t="s">
        <v>65</v>
      </c>
      <c r="R22" s="413">
        <f t="shared" si="1"/>
        <v>-31840</v>
      </c>
      <c r="S22" s="413">
        <f t="shared" si="0"/>
        <v>21994</v>
      </c>
      <c r="T22" s="413">
        <f t="shared" si="2"/>
        <v>53834</v>
      </c>
      <c r="U22" s="410"/>
      <c r="AW22" s="414"/>
      <c r="AX22" s="414"/>
      <c r="AY22" s="414"/>
    </row>
    <row r="23" spans="1:51">
      <c r="B23" s="404" t="str">
        <f>+Aux!$B$94</f>
        <v>65 e + anos</v>
      </c>
      <c r="C23" s="404">
        <f>+'q13'!$C$39</f>
        <v>11400</v>
      </c>
      <c r="D23" s="404">
        <f>+'q13'!$D$39</f>
        <v>11276</v>
      </c>
      <c r="E23" s="404">
        <f>+'q13'!$E$39</f>
        <v>12687</v>
      </c>
      <c r="F23" s="404">
        <f>+'q13'!$F$39</f>
        <v>14235</v>
      </c>
      <c r="G23" s="404">
        <f>+'q13'!$G$39</f>
        <v>15954</v>
      </c>
      <c r="H23" s="404">
        <f>+'q13'!$H$39</f>
        <v>18372</v>
      </c>
      <c r="I23" s="404">
        <f>+'q13'!$I$39</f>
        <v>21276</v>
      </c>
      <c r="J23" s="404">
        <f>+'q13'!$J$39</f>
        <v>24844</v>
      </c>
      <c r="K23" s="404">
        <f>+'q13'!$K$39</f>
        <v>25548</v>
      </c>
      <c r="L23" s="404">
        <f>+'q13'!$L$39</f>
        <v>27505</v>
      </c>
      <c r="M23" s="404">
        <f>+'q13'!$M$39</f>
        <v>31840</v>
      </c>
      <c r="Q23" s="404" t="s">
        <v>12</v>
      </c>
      <c r="R23" s="413">
        <f>INDEX($B$16:$M$24,MATCH($Q$16:$Q$23,$B$16:$B$24,0),MATCH($P$14,$B$16:$M$16,0))</f>
        <v>1653917</v>
      </c>
      <c r="S23" s="413">
        <f t="shared" si="0"/>
        <v>1494230</v>
      </c>
      <c r="T23" s="413">
        <f>+R23+S23</f>
        <v>3148147</v>
      </c>
      <c r="U23" s="413">
        <f>SUM(T16:T22)</f>
        <v>3147770</v>
      </c>
      <c r="AW23" s="414"/>
      <c r="AX23" s="414"/>
      <c r="AY23" s="414"/>
    </row>
    <row r="24" spans="1:51">
      <c r="B24" s="404" t="str">
        <f>+Aux!$B$95</f>
        <v>Total</v>
      </c>
      <c r="C24" s="404">
        <f>+'q13'!$C$6</f>
        <v>1250432</v>
      </c>
      <c r="D24" s="404">
        <f>+'q13'!$D$6</f>
        <v>1242007</v>
      </c>
      <c r="E24" s="404">
        <f>+'q13'!$E$6</f>
        <v>1278921</v>
      </c>
      <c r="F24" s="404">
        <f>+'q13'!$F$6</f>
        <v>1311721</v>
      </c>
      <c r="G24" s="404">
        <f>+'q13'!$G$6</f>
        <v>1367705</v>
      </c>
      <c r="H24" s="404">
        <f>+'q13'!$H$6</f>
        <v>1437729</v>
      </c>
      <c r="I24" s="404">
        <f>+'q13'!$I$6</f>
        <v>1499993</v>
      </c>
      <c r="J24" s="404">
        <f>+'q13'!$J$6</f>
        <v>1529276</v>
      </c>
      <c r="K24" s="404">
        <f>+'q13'!$K$6</f>
        <v>1526297</v>
      </c>
      <c r="L24" s="404">
        <f>+'q13'!$L$6</f>
        <v>1530240</v>
      </c>
      <c r="M24" s="404">
        <f>+'q13'!$M$6</f>
        <v>1653917</v>
      </c>
      <c r="R24" s="424">
        <f>+R23/T23</f>
        <v>0.52536206219086978</v>
      </c>
      <c r="S24" s="424">
        <f>+S23/T23</f>
        <v>0.47463793780913027</v>
      </c>
      <c r="T24" s="424"/>
    </row>
    <row r="25" spans="1:51">
      <c r="C25" s="375">
        <f>+'q13'!$C$4</f>
        <v>2012</v>
      </c>
      <c r="D25" s="375">
        <f>+'q13'!$D$4</f>
        <v>2013</v>
      </c>
      <c r="E25" s="375">
        <f>+'q13'!$E$4</f>
        <v>2014</v>
      </c>
      <c r="F25" s="375">
        <f>+'q13'!$F$4</f>
        <v>2015</v>
      </c>
      <c r="G25" s="375">
        <f>+'q13'!$G$4</f>
        <v>2016</v>
      </c>
      <c r="H25" s="375">
        <f>+'q13'!$H$4</f>
        <v>2017</v>
      </c>
      <c r="I25" s="375">
        <f>+'q13'!$I$4</f>
        <v>2018</v>
      </c>
      <c r="J25" s="375">
        <f>+'q13'!$J$4</f>
        <v>2019</v>
      </c>
      <c r="K25" s="375">
        <f>+'q13'!$K$4</f>
        <v>2020</v>
      </c>
      <c r="L25" s="375">
        <f>+'q13'!$L$4</f>
        <v>2021</v>
      </c>
      <c r="M25" s="375">
        <f>+'q13'!$M$4</f>
        <v>2022</v>
      </c>
    </row>
    <row r="26" spans="1:51">
      <c r="A26" s="405" t="s">
        <v>117</v>
      </c>
      <c r="B26" s="404" t="str">
        <f>+Aux!$B$88</f>
        <v>&lt; 18 anos</v>
      </c>
      <c r="C26" s="404">
        <f>+'q13'!$C$10</f>
        <v>422</v>
      </c>
      <c r="D26" s="404">
        <f>+'q13'!$D$10</f>
        <v>317</v>
      </c>
      <c r="E26" s="404">
        <f>+'q13'!$E$10</f>
        <v>309</v>
      </c>
      <c r="F26" s="404">
        <f>+'q13'!$F$10</f>
        <v>319</v>
      </c>
      <c r="G26" s="404">
        <f>+'q13'!$G$10</f>
        <v>368</v>
      </c>
      <c r="H26" s="404">
        <f>+'q13'!$H$10</f>
        <v>556</v>
      </c>
      <c r="I26" s="404">
        <f>+'q13'!$I$10</f>
        <v>691</v>
      </c>
      <c r="J26" s="404">
        <f>+'q13'!$J$10</f>
        <v>733</v>
      </c>
      <c r="K26" s="404">
        <f>+'q13'!$K$10</f>
        <v>242</v>
      </c>
      <c r="L26" s="404">
        <f>+'q13'!$L$10</f>
        <v>427</v>
      </c>
      <c r="M26" s="404">
        <f>+'q13'!$M$10</f>
        <v>618</v>
      </c>
    </row>
    <row r="27" spans="1:51">
      <c r="B27" s="404" t="str">
        <f>+Aux!$B$89</f>
        <v>18 - 24 anos</v>
      </c>
      <c r="C27" s="404">
        <f>+'q13'!$C$13</f>
        <v>85155</v>
      </c>
      <c r="D27" s="404">
        <f>+'q13'!$D$13</f>
        <v>81403</v>
      </c>
      <c r="E27" s="404">
        <f>+'q13'!$E$13</f>
        <v>85046</v>
      </c>
      <c r="F27" s="404">
        <f>+'q13'!$F$13</f>
        <v>91879</v>
      </c>
      <c r="G27" s="404">
        <f>+'q13'!$G$13</f>
        <v>98331</v>
      </c>
      <c r="H27" s="404">
        <f>+'q13'!$H$13</f>
        <v>109526</v>
      </c>
      <c r="I27" s="404">
        <f>+'q13'!$I$13</f>
        <v>116467</v>
      </c>
      <c r="J27" s="404">
        <f>+'q13'!$J$13</f>
        <v>121187</v>
      </c>
      <c r="K27" s="404">
        <f>+'q13'!$K$13</f>
        <v>106029</v>
      </c>
      <c r="L27" s="404">
        <f>+'q13'!$L$13</f>
        <v>111823</v>
      </c>
      <c r="M27" s="404">
        <f>+'q13'!$M$13</f>
        <v>124121</v>
      </c>
    </row>
    <row r="28" spans="1:51">
      <c r="B28" s="404" t="str">
        <f>+Aux!$B$90</f>
        <v>25 - 34 anos</v>
      </c>
      <c r="C28" s="404">
        <f>+'q13'!$C$16+'q13'!$C$19</f>
        <v>333560</v>
      </c>
      <c r="D28" s="404">
        <f>+'q13'!$D$16+'q13'!$D$19</f>
        <v>322461</v>
      </c>
      <c r="E28" s="404">
        <f>+'q13'!$E$16+'q13'!$E$19</f>
        <v>318964</v>
      </c>
      <c r="F28" s="404">
        <f>+'q13'!$F$16+'q13'!$F$19</f>
        <v>319955</v>
      </c>
      <c r="G28" s="404">
        <f>+'q13'!$G$16+'q13'!$G$19</f>
        <v>323339</v>
      </c>
      <c r="H28" s="404">
        <f>+'q13'!$H$16+'q13'!$H$19</f>
        <v>328494</v>
      </c>
      <c r="I28" s="404">
        <f>+'q13'!$I$16+'q13'!$I$19</f>
        <v>334537</v>
      </c>
      <c r="J28" s="404">
        <f>+'q13'!$J$16+'q13'!$J$19</f>
        <v>337779</v>
      </c>
      <c r="K28" s="404">
        <f>+'q13'!$K$16+'q13'!$K$19</f>
        <v>326462</v>
      </c>
      <c r="L28" s="404">
        <f>+'q13'!$L$16+'q13'!$L$19</f>
        <v>328267</v>
      </c>
      <c r="M28" s="404">
        <f>+'q13'!$M$16+'q13'!$M$19</f>
        <v>355301</v>
      </c>
      <c r="Q28" s="375"/>
    </row>
    <row r="29" spans="1:51">
      <c r="B29" s="404" t="str">
        <f>+Aux!$B$91</f>
        <v>35 - 44 anos</v>
      </c>
      <c r="C29" s="404">
        <f>+'q13'!$C$22+'q13'!$C$25</f>
        <v>359165</v>
      </c>
      <c r="D29" s="404">
        <f>+'q13'!$D$22+'q13'!$D$25</f>
        <v>364408</v>
      </c>
      <c r="E29" s="404">
        <f>+'q13'!$E$22+'q13'!$E$25</f>
        <v>375893</v>
      </c>
      <c r="F29" s="404">
        <f>+'q13'!$F$22+'q13'!$F$25</f>
        <v>388130</v>
      </c>
      <c r="G29" s="404">
        <f>+'q13'!$G$22+'q13'!$G$25</f>
        <v>396862</v>
      </c>
      <c r="H29" s="404">
        <f>+'q13'!$H$22+'q13'!$H$25</f>
        <v>404509</v>
      </c>
      <c r="I29" s="404">
        <f>+'q13'!$I$22+'q13'!$I$25</f>
        <v>409620</v>
      </c>
      <c r="J29" s="404">
        <f>+'q13'!$J$22+'q13'!$J$25</f>
        <v>406376</v>
      </c>
      <c r="K29" s="404">
        <f>+'q13'!$K$22+'q13'!$K$25</f>
        <v>394478</v>
      </c>
      <c r="L29" s="404">
        <f>+'q13'!$L$22+'q13'!$L$25</f>
        <v>383128</v>
      </c>
      <c r="M29" s="404">
        <f>+'q13'!$M$22+'q13'!$M$25</f>
        <v>396810</v>
      </c>
      <c r="R29" s="375"/>
      <c r="S29" s="375"/>
      <c r="T29" s="375"/>
    </row>
    <row r="30" spans="1:51">
      <c r="B30" s="404" t="str">
        <f>+Aux!$B$92</f>
        <v>45 - 54 anos</v>
      </c>
      <c r="C30" s="404">
        <f>+'q13'!$C$28+'q13'!$C$31</f>
        <v>249766</v>
      </c>
      <c r="D30" s="404">
        <f>+'q13'!$D$28+'q13'!$D$31</f>
        <v>256798</v>
      </c>
      <c r="E30" s="404">
        <f>+'q13'!$E$28+'q13'!$E$31</f>
        <v>269234</v>
      </c>
      <c r="F30" s="404">
        <f>+'q13'!$F$28+'q13'!$F$31</f>
        <v>283425</v>
      </c>
      <c r="G30" s="404">
        <f>+'q13'!$G$28+'q13'!$G$31</f>
        <v>301028</v>
      </c>
      <c r="H30" s="404">
        <f>+'q13'!$H$28+'q13'!$H$31</f>
        <v>317379</v>
      </c>
      <c r="I30" s="404">
        <f>+'q13'!$I$28+'q13'!$I$31</f>
        <v>333545</v>
      </c>
      <c r="J30" s="404">
        <f>+'q13'!$J$28+'q13'!$J$31</f>
        <v>341849</v>
      </c>
      <c r="K30" s="404">
        <f>+'q13'!$K$28+'q13'!$K$31</f>
        <v>347916</v>
      </c>
      <c r="L30" s="404">
        <f>+'q13'!$L$28+'q13'!$L$31</f>
        <v>356405</v>
      </c>
      <c r="M30" s="404">
        <f>+'q13'!$M$28+'q13'!$M$31</f>
        <v>383284</v>
      </c>
      <c r="R30" s="414"/>
      <c r="S30" s="414"/>
      <c r="T30" s="414"/>
    </row>
    <row r="31" spans="1:51">
      <c r="B31" s="404" t="str">
        <f>+Aux!$B$93</f>
        <v>55 - 64 anos</v>
      </c>
      <c r="C31" s="404">
        <f>+'q13'!$C$34+'q13'!$C$37</f>
        <v>100742</v>
      </c>
      <c r="D31" s="404">
        <f>+'q13'!$D$34+'q13'!$D$37</f>
        <v>108561</v>
      </c>
      <c r="E31" s="404">
        <f>+'q13'!$E$34+'q13'!$E$37</f>
        <v>119801</v>
      </c>
      <c r="F31" s="404">
        <f>+'q13'!$F$34+'q13'!$F$37</f>
        <v>130663</v>
      </c>
      <c r="G31" s="404">
        <f>+'q13'!$G$34+'q13'!$G$37</f>
        <v>141160</v>
      </c>
      <c r="H31" s="404">
        <f>+'q13'!$H$34+'q13'!$H$37</f>
        <v>154756</v>
      </c>
      <c r="I31" s="404">
        <f>+'q13'!$I$34+'q13'!$I$37</f>
        <v>166521</v>
      </c>
      <c r="J31" s="404">
        <f>+'q13'!$J$34+'q13'!$J$37</f>
        <v>175498</v>
      </c>
      <c r="K31" s="404">
        <f>+'q13'!$K$34+'q13'!$K$37</f>
        <v>183233</v>
      </c>
      <c r="L31" s="404">
        <f>+'q13'!$L$34+'q13'!$L$37</f>
        <v>192090</v>
      </c>
      <c r="M31" s="404">
        <f>+'q13'!$M$34+'q13'!$M$37</f>
        <v>211925</v>
      </c>
      <c r="R31" s="414"/>
      <c r="S31" s="414"/>
      <c r="T31" s="414"/>
    </row>
    <row r="32" spans="1:51">
      <c r="B32" s="404" t="str">
        <f>+Aux!$B$94</f>
        <v>65 e + anos</v>
      </c>
      <c r="C32" s="404">
        <f>+'q13'!$C$40</f>
        <v>7233</v>
      </c>
      <c r="D32" s="404">
        <f>+'q13'!$D$40</f>
        <v>7411</v>
      </c>
      <c r="E32" s="404">
        <f>+'q13'!$E$40</f>
        <v>9183</v>
      </c>
      <c r="F32" s="404">
        <f>+'q13'!$F$40</f>
        <v>10667</v>
      </c>
      <c r="G32" s="404">
        <f>+'q13'!$G$40</f>
        <v>12181</v>
      </c>
      <c r="H32" s="404">
        <f>+'q13'!$H$40</f>
        <v>13559</v>
      </c>
      <c r="I32" s="404">
        <f>+'q13'!$I$40</f>
        <v>15426</v>
      </c>
      <c r="J32" s="404">
        <f>+'q13'!$J$40</f>
        <v>17310</v>
      </c>
      <c r="K32" s="404">
        <f>+'q13'!$K$40</f>
        <v>17936</v>
      </c>
      <c r="L32" s="404">
        <f>+'q13'!$L$40</f>
        <v>19391</v>
      </c>
      <c r="M32" s="404">
        <f>+'q13'!$M$40</f>
        <v>21994</v>
      </c>
      <c r="R32" s="414"/>
      <c r="S32" s="414"/>
      <c r="T32" s="414"/>
    </row>
    <row r="33" spans="1:21">
      <c r="B33" s="404" t="str">
        <f>+Aux!$B$95</f>
        <v>Total</v>
      </c>
      <c r="C33" s="404">
        <f>+'q13'!$C$7</f>
        <v>1136954</v>
      </c>
      <c r="D33" s="404">
        <f>+'q13'!$D$7</f>
        <v>1142114</v>
      </c>
      <c r="E33" s="404">
        <f>+'q13'!$E$7</f>
        <v>1179242</v>
      </c>
      <c r="F33" s="404">
        <f>+'q13'!$F$7</f>
        <v>1225932</v>
      </c>
      <c r="G33" s="404">
        <f>+'q13'!$G$7</f>
        <v>1274214</v>
      </c>
      <c r="H33" s="404">
        <f>+'q13'!$H$7</f>
        <v>1329792</v>
      </c>
      <c r="I33" s="404">
        <f>+'q13'!$I$7</f>
        <v>1377925</v>
      </c>
      <c r="J33" s="404">
        <f>+'q13'!$J$7</f>
        <v>1401206</v>
      </c>
      <c r="K33" s="404">
        <f>+'q13'!$K$7</f>
        <v>1376528</v>
      </c>
      <c r="L33" s="404">
        <f>+'q13'!$L$7</f>
        <v>1392103</v>
      </c>
      <c r="M33" s="404">
        <f>+'q13'!$M$7</f>
        <v>1494230</v>
      </c>
      <c r="R33" s="414"/>
      <c r="S33" s="414"/>
      <c r="T33" s="414"/>
    </row>
    <row r="34" spans="1:21">
      <c r="R34" s="414"/>
      <c r="S34" s="414"/>
      <c r="T34" s="414"/>
    </row>
    <row r="35" spans="1:21">
      <c r="A35" s="412" t="s">
        <v>435</v>
      </c>
      <c r="C35" s="375">
        <f>+'q13'!$C$4</f>
        <v>2012</v>
      </c>
      <c r="D35" s="375">
        <f>+'q13'!$D$4</f>
        <v>2013</v>
      </c>
      <c r="E35" s="375">
        <f>+'q13'!$E$4</f>
        <v>2014</v>
      </c>
      <c r="F35" s="375">
        <f>+'q13'!$F$4</f>
        <v>2015</v>
      </c>
      <c r="G35" s="375">
        <f>+'q13'!$G$4</f>
        <v>2016</v>
      </c>
      <c r="H35" s="375">
        <f>+'q13'!$H$4</f>
        <v>2017</v>
      </c>
      <c r="I35" s="375">
        <f>+'q13'!$I$4</f>
        <v>2018</v>
      </c>
      <c r="J35" s="375">
        <f>+'q13'!$J$4</f>
        <v>2019</v>
      </c>
      <c r="K35" s="375">
        <f>+'q13'!$K$4</f>
        <v>2020</v>
      </c>
      <c r="L35" s="375">
        <f>+'q13'!$L$4</f>
        <v>2021</v>
      </c>
      <c r="M35" s="375">
        <f>+'q13'!$M$4</f>
        <v>2022</v>
      </c>
      <c r="R35" s="414"/>
      <c r="S35" s="414"/>
      <c r="T35" s="414"/>
    </row>
    <row r="36" spans="1:21">
      <c r="A36" s="412" t="s">
        <v>116</v>
      </c>
      <c r="B36" s="404" t="str">
        <f>+Aux!$B$88</f>
        <v>&lt; 18 anos</v>
      </c>
      <c r="C36" s="409">
        <f>+q20_Aux!$R$9</f>
        <v>517.07122969837599</v>
      </c>
      <c r="D36" s="409">
        <f>+q20_Aux!$S$9</f>
        <v>573.76116788321212</v>
      </c>
      <c r="E36" s="409">
        <f>+q20_Aux!$T$9</f>
        <v>751.18306358381494</v>
      </c>
      <c r="F36" s="409">
        <f>+q20_Aux!$U$9</f>
        <v>701.72158536585403</v>
      </c>
      <c r="G36" s="409">
        <f>+q20_Aux!$V$9</f>
        <v>744.59073298429303</v>
      </c>
      <c r="H36" s="409">
        <f>+q20_Aux!$W$9</f>
        <v>727.95527272727304</v>
      </c>
      <c r="I36" s="409">
        <f>+q20_Aux!$X$9</f>
        <v>733.3014682539681</v>
      </c>
      <c r="J36" s="409">
        <f>+q20_Aux!$Y$9</f>
        <v>1031.6593675889301</v>
      </c>
      <c r="K36" s="409">
        <f>+q20_Aux!$Z$9</f>
        <v>1255.6044736842102</v>
      </c>
      <c r="L36" s="409">
        <f>+q20_Aux!$AA$9</f>
        <v>1222.7093119266101</v>
      </c>
      <c r="M36" s="409">
        <f>+q20_Aux!$AB$9</f>
        <v>1184.3662318840602</v>
      </c>
      <c r="N36" s="409"/>
      <c r="R36" s="414"/>
      <c r="S36" s="414"/>
      <c r="T36" s="414"/>
    </row>
    <row r="37" spans="1:21">
      <c r="B37" s="404" t="str">
        <f>+Aux!$B$89</f>
        <v>18 - 24 anos</v>
      </c>
      <c r="C37" s="409">
        <f>+q20_Aux!$R$12</f>
        <v>642.96294998157703</v>
      </c>
      <c r="D37" s="409">
        <f>+q20_Aux!$S$12</f>
        <v>629.21193599529306</v>
      </c>
      <c r="E37" s="409">
        <f>+q20_Aux!$T$12</f>
        <v>629.14229378923096</v>
      </c>
      <c r="F37" s="409">
        <f>+q20_Aux!$U$12</f>
        <v>644.55126872143103</v>
      </c>
      <c r="G37" s="409">
        <f>+q20_Aux!$V$12</f>
        <v>660.61299372052213</v>
      </c>
      <c r="H37" s="409">
        <f>+q20_Aux!$W$12</f>
        <v>682.80784777397002</v>
      </c>
      <c r="I37" s="409">
        <f>+q20_Aux!$X$12</f>
        <v>713.12969075958802</v>
      </c>
      <c r="J37" s="409">
        <f>+q20_Aux!$Y$12</f>
        <v>749.73658464271807</v>
      </c>
      <c r="K37" s="409">
        <f>+q20_Aux!$Z$12</f>
        <v>781.77852721621196</v>
      </c>
      <c r="L37" s="409">
        <f>+q20_Aux!$AA$12</f>
        <v>817.961168766112</v>
      </c>
      <c r="M37" s="409">
        <f>+q20_Aux!$AB$12</f>
        <v>881.21667037140912</v>
      </c>
      <c r="N37" s="409"/>
      <c r="R37" s="414"/>
      <c r="S37" s="414"/>
      <c r="T37" s="414"/>
    </row>
    <row r="38" spans="1:21">
      <c r="B38" s="404" t="str">
        <f>+Aux!$B$90</f>
        <v>25 - 34 anos</v>
      </c>
      <c r="C38" s="409">
        <f>(q20_Aux!$R$15+q20_Aux!$R$18)/(q13a!$C$15+q13a!$C$18)</f>
        <v>832.2707268609887</v>
      </c>
      <c r="D38" s="409">
        <f>(q20_Aux!$S$15+q20_Aux!$S$18)/(q13a!$D$15+q13a!$D$18)</f>
        <v>819.84688544620928</v>
      </c>
      <c r="E38" s="409">
        <f>(q20_Aux!$T$15+q20_Aux!$T$18)/(q13a!$E$15+q13a!$E$18)</f>
        <v>811.22028727068118</v>
      </c>
      <c r="F38" s="409">
        <f>(q20_Aux!$U$15+q20_Aux!$U$18)/(q13a!$F$15+q13a!$F$18)</f>
        <v>820.68153450703937</v>
      </c>
      <c r="G38" s="409">
        <f>(q20_Aux!$V$15+q20_Aux!$V$18)/(q13a!$G$15+q13a!$G$18)</f>
        <v>834.01750973363971</v>
      </c>
      <c r="H38" s="409">
        <f>(q20_Aux!$W$15+q20_Aux!$W$18)/(q13a!$H$15+q13a!$H$18)</f>
        <v>862.04584845215436</v>
      </c>
      <c r="I38" s="409">
        <f>(q20_Aux!$X$15+q20_Aux!$X$18)/(q13a!$I$15+q13a!$I$18)</f>
        <v>900.74491570756709</v>
      </c>
      <c r="J38" s="409">
        <f>(q20_Aux!$Y$15+q20_Aux!$Y$18)/(q13a!$J$15+q13a!$J$18)</f>
        <v>944.40263814573041</v>
      </c>
      <c r="K38" s="409">
        <f>(q20_Aux!$Z$15+q20_Aux!$Z$18)/(q13a!$K$15+q13a!$K$18)</f>
        <v>980.72224070874472</v>
      </c>
      <c r="L38" s="409">
        <f>(q20_Aux!$AA$15+q20_Aux!$AA$18)/(q13a!$L$15+q13a!$L$18)</f>
        <v>1035.4474695329986</v>
      </c>
      <c r="M38" s="409">
        <f>(q20_Aux!$AB$15+q20_Aux!$AB$18)/(q13a!$M$15+q13a!$M$18)</f>
        <v>1107.3182540788919</v>
      </c>
      <c r="N38" s="409"/>
    </row>
    <row r="39" spans="1:21">
      <c r="B39" s="404" t="str">
        <f>+Aux!$B$91</f>
        <v>35 - 44 anos</v>
      </c>
      <c r="C39" s="409">
        <f>(q20_Aux!$R$21+q20_Aux!$R$24)/(q13a!$C$21+q13a!$C$24)</f>
        <v>1053.9099315137396</v>
      </c>
      <c r="D39" s="409">
        <f>(q20_Aux!$S$21+q20_Aux!$S$24)/(q13a!$D$21+q13a!$D$24)</f>
        <v>1043.7411500705148</v>
      </c>
      <c r="E39" s="409">
        <f>(q20_Aux!$T$21+q20_Aux!$T$24)/(q13a!$E$21+q13a!$E$24)</f>
        <v>1035.5365823365814</v>
      </c>
      <c r="F39" s="409">
        <f>(q20_Aux!$U$21+q20_Aux!$U$24)/(q13a!$F$21+q13a!$F$24)</f>
        <v>1034.987203580542</v>
      </c>
      <c r="G39" s="409">
        <f>(q20_Aux!$V$21+q20_Aux!$V$24)/(q13a!$G$21+q13a!$G$24)</f>
        <v>1040.6936854974499</v>
      </c>
      <c r="H39" s="409">
        <f>(q20_Aux!$W$21+q20_Aux!$W$24)/(q13a!$H$21+q13a!$H$24)</f>
        <v>1052.1245519794556</v>
      </c>
      <c r="I39" s="409">
        <f>(q20_Aux!$X$21+q20_Aux!$X$24)/(q13a!$I$21+q13a!$I$24)</f>
        <v>1077.9532719058823</v>
      </c>
      <c r="J39" s="409">
        <f>(q20_Aux!$Y$21+q20_Aux!$Y$24)/(q13a!$J$21+q13a!$J$24)</f>
        <v>1114.9884510737982</v>
      </c>
      <c r="K39" s="409">
        <f>(q20_Aux!$Z$21+q20_Aux!$Z$24)/(q13a!$K$21+q13a!$K$24)</f>
        <v>1140.54519339234</v>
      </c>
      <c r="L39" s="409">
        <f>(q20_Aux!$AA$21+q20_Aux!$AA$24)/(q13a!$L$21+q13a!$L$24)</f>
        <v>1188.9370033981177</v>
      </c>
      <c r="M39" s="409">
        <f>(q20_Aux!$AB$21+q20_Aux!$AB$24)/(q13a!$M$21+q13a!$M$24)</f>
        <v>1261.6998093210527</v>
      </c>
      <c r="N39" s="409"/>
      <c r="R39" s="414"/>
    </row>
    <row r="40" spans="1:21">
      <c r="B40" s="404" t="str">
        <f>+Aux!$B$92</f>
        <v>45 - 54 anos</v>
      </c>
      <c r="C40" s="409">
        <f>(q20_Aux!$R$27+q20_Aux!$R$30)/(q13a!$C$27+q13a!$C$30)</f>
        <v>1110.8137274412049</v>
      </c>
      <c r="D40" s="409">
        <f>(q20_Aux!$S$27+q20_Aux!$S$30)/(q13a!$D$27+q13a!$D$30)</f>
        <v>1101.5299599909063</v>
      </c>
      <c r="E40" s="409">
        <f>(q20_Aux!$T$27+q20_Aux!$T$30)/(q13a!$E$27+q13a!$E$30)</f>
        <v>1086.3484779768676</v>
      </c>
      <c r="F40" s="409">
        <f>(q20_Aux!$U$27+q20_Aux!$U$30)/(q13a!$F$27+q13a!$F$30)</f>
        <v>1089.2627426562776</v>
      </c>
      <c r="G40" s="409">
        <f>(q20_Aux!$V$27+q20_Aux!$V$30)/(q13a!$G$27+q13a!$G$30)</f>
        <v>1095.5073461288287</v>
      </c>
      <c r="H40" s="409">
        <f>(q20_Aux!$W$27+q20_Aux!$W$30)/(q13a!$H$27+q13a!$H$30)</f>
        <v>1111.2823973608033</v>
      </c>
      <c r="I40" s="409">
        <f>(q20_Aux!$X$27+q20_Aux!$X$30)/(q13a!$I$27+q13a!$I$30)</f>
        <v>1139.4367278245854</v>
      </c>
      <c r="J40" s="409">
        <f>(q20_Aux!$Y$27+q20_Aux!$Y$30)/(q13a!$J$27+q13a!$J$30)</f>
        <v>1178.5310246042284</v>
      </c>
      <c r="K40" s="409">
        <f>(q20_Aux!$Z$27+q20_Aux!$Z$30)/(q13a!$K$27+q13a!$K$30)</f>
        <v>1214.2848998676652</v>
      </c>
      <c r="L40" s="409">
        <f>(q20_Aux!$AA$27+q20_Aux!$AA$30)/(q13a!$L$27+q13a!$L$30)</f>
        <v>1255.2734352629416</v>
      </c>
      <c r="M40" s="409">
        <f>(q20_Aux!$AB$27+q20_Aux!$AB$30)/(q13a!$M$27+q13a!$M$30)</f>
        <v>1326.4486514638406</v>
      </c>
      <c r="N40" s="409"/>
    </row>
    <row r="41" spans="1:21">
      <c r="B41" s="404" t="str">
        <f>+Aux!$B$93</f>
        <v>55 - 64 anos</v>
      </c>
      <c r="C41" s="409">
        <f>(q20_Aux!$R$33+q20_Aux!$R$36)/(q13a!$C$33+q13a!$C$36)</f>
        <v>1203.6236919840778</v>
      </c>
      <c r="D41" s="409">
        <f>(q20_Aux!$S$33+q20_Aux!$S$36)/(q13a!$D$33+q13a!$D$36)</f>
        <v>1193.1401620473155</v>
      </c>
      <c r="E41" s="409">
        <f>(q20_Aux!$T$33+q20_Aux!$T$36)/(q13a!$E$33+q13a!$E$36)</f>
        <v>1164.2201729225089</v>
      </c>
      <c r="F41" s="409">
        <f>(q20_Aux!$U$33+q20_Aux!$U$36)/(q13a!$F$33+q13a!$F$36)</f>
        <v>1159.9839567193717</v>
      </c>
      <c r="G41" s="409">
        <f>(q20_Aux!$V$33+q20_Aux!$V$36)/(q13a!$G$33+q13a!$G$36)</f>
        <v>1151.0469928137475</v>
      </c>
      <c r="H41" s="409">
        <f>(q20_Aux!$W$33+q20_Aux!$W$36)/(q13a!$H$33+q13a!$H$36)</f>
        <v>1140.1277897807549</v>
      </c>
      <c r="I41" s="409">
        <f>(q20_Aux!$X$33+q20_Aux!$X$36)/(q13a!$I$33+q13a!$I$36)</f>
        <v>1150.4873964982405</v>
      </c>
      <c r="J41" s="409">
        <f>(q20_Aux!$Y$33+q20_Aux!$Y$36)/(q13a!$J$33+q13a!$J$36)</f>
        <v>1162.1983213032022</v>
      </c>
      <c r="K41" s="409">
        <f>(q20_Aux!$Z$33+q20_Aux!$Z$36)/(q13a!$K$33+q13a!$K$36)</f>
        <v>1192.4575469856989</v>
      </c>
      <c r="L41" s="409">
        <f>(q20_Aux!$AA$33+q20_Aux!$AA$36)/(q13a!$L$33+q13a!$L$36)</f>
        <v>1211.6724095612651</v>
      </c>
      <c r="M41" s="409">
        <f>(q20_Aux!$AB$33+q20_Aux!$AB$36)/(q13a!$M$33+q13a!$M$36)</f>
        <v>1263.3900990160193</v>
      </c>
      <c r="N41" s="409"/>
    </row>
    <row r="42" spans="1:21">
      <c r="B42" s="404" t="str">
        <f>+Aux!$B$94</f>
        <v>65 e + anos</v>
      </c>
      <c r="C42" s="409">
        <f>+q20_Aux!$R$39</f>
        <v>1387.1417493599902</v>
      </c>
      <c r="D42" s="409">
        <f>+q20_Aux!$S$39</f>
        <v>1379.78553602593</v>
      </c>
      <c r="E42" s="409">
        <f>+q20_Aux!$T$39</f>
        <v>1342.7108091218101</v>
      </c>
      <c r="F42" s="409">
        <f>+q20_Aux!$U$39</f>
        <v>1365.2170270270301</v>
      </c>
      <c r="G42" s="409">
        <f>+q20_Aux!$V$39</f>
        <v>1356.00896940133</v>
      </c>
      <c r="H42" s="409">
        <f>+q20_Aux!$W$39</f>
        <v>1353.7296364756601</v>
      </c>
      <c r="I42" s="409">
        <f>+q20_Aux!$X$39</f>
        <v>1329.7835700922099</v>
      </c>
      <c r="J42" s="409">
        <f>+q20_Aux!$Y$39</f>
        <v>1356.3880227677801</v>
      </c>
      <c r="K42" s="409">
        <f>+q20_Aux!$Z$39</f>
        <v>1428.2856375838901</v>
      </c>
      <c r="L42" s="409">
        <f>+q20_Aux!$AA$39</f>
        <v>1426.2362800701001</v>
      </c>
      <c r="M42" s="409">
        <f>+q20_Aux!$AB$39</f>
        <v>1419.42393265128</v>
      </c>
      <c r="N42" s="409"/>
      <c r="P42" s="404" t="s">
        <v>186</v>
      </c>
    </row>
    <row r="43" spans="1:21">
      <c r="B43" s="404" t="str">
        <f>+Aux!$B$95</f>
        <v>Total</v>
      </c>
      <c r="C43" s="409">
        <f>+q20_Aux!$C$6</f>
        <v>999.85354294571812</v>
      </c>
      <c r="D43" s="409">
        <f>+q20_Aux!$D$6</f>
        <v>993.79266174939096</v>
      </c>
      <c r="E43" s="409">
        <f>+q20_Aux!$E$6</f>
        <v>985.0215081163841</v>
      </c>
      <c r="F43" s="409">
        <f>+q20_Aux!$F$6</f>
        <v>990.04668016967901</v>
      </c>
      <c r="G43" s="409">
        <f>+q20_Aux!$G$6</f>
        <v>997.37861815735698</v>
      </c>
      <c r="H43" s="409">
        <f>+q20_Aux!$H$6</f>
        <v>1012.2476626665</v>
      </c>
      <c r="I43" s="409">
        <f>+q20_Aux!$I$6</f>
        <v>1039.08171517903</v>
      </c>
      <c r="J43" s="409">
        <f>+q20_Aux!$J$6</f>
        <v>1073.8189900697198</v>
      </c>
      <c r="K43" s="409">
        <f>+q20_Aux!$K$6</f>
        <v>1109.2123384778902</v>
      </c>
      <c r="L43" s="409">
        <f>+q20_Aux!$L$6</f>
        <v>1152.2390834169501</v>
      </c>
      <c r="M43" s="409">
        <f>+q20_Aux!$M$6</f>
        <v>1217.3282728682302</v>
      </c>
      <c r="N43" s="409"/>
      <c r="P43" s="404">
        <f>INDEX($A$2:$A$12,$P$9)</f>
        <v>2022</v>
      </c>
      <c r="Q43" s="375" t="s">
        <v>441</v>
      </c>
    </row>
    <row r="44" spans="1:21">
      <c r="C44" s="375">
        <f>+'q13'!$C$4</f>
        <v>2012</v>
      </c>
      <c r="D44" s="375">
        <f>+'q13'!$D$4</f>
        <v>2013</v>
      </c>
      <c r="E44" s="375">
        <f>+'q13'!$E$4</f>
        <v>2014</v>
      </c>
      <c r="F44" s="375">
        <f>+'q13'!$F$4</f>
        <v>2015</v>
      </c>
      <c r="G44" s="375">
        <f>+'q13'!$G$4</f>
        <v>2016</v>
      </c>
      <c r="H44" s="375">
        <f>+'q13'!$H$4</f>
        <v>2017</v>
      </c>
      <c r="I44" s="375">
        <f>+'q13'!$I$4</f>
        <v>2018</v>
      </c>
      <c r="J44" s="375">
        <f>+'q13'!$J$4</f>
        <v>2019</v>
      </c>
      <c r="K44" s="375">
        <f>+'q13'!$K$4</f>
        <v>2020</v>
      </c>
      <c r="L44" s="375">
        <f>+'q13'!$L$4</f>
        <v>2021</v>
      </c>
      <c r="M44" s="375">
        <f>+'q13'!$M$4</f>
        <v>2022</v>
      </c>
      <c r="R44" s="375" t="s">
        <v>116</v>
      </c>
      <c r="S44" s="375" t="s">
        <v>117</v>
      </c>
      <c r="T44" s="375" t="s">
        <v>12</v>
      </c>
      <c r="U44" s="375"/>
    </row>
    <row r="45" spans="1:21">
      <c r="A45" s="412" t="s">
        <v>117</v>
      </c>
      <c r="B45" s="404" t="str">
        <f>+Aux!$B$88</f>
        <v>&lt; 18 anos</v>
      </c>
      <c r="C45" s="409">
        <f>+q20_Aux!$R$10</f>
        <v>489.38658536585405</v>
      </c>
      <c r="D45" s="409">
        <f>+q20_Aux!$S$10</f>
        <v>511.82132352941204</v>
      </c>
      <c r="E45" s="409">
        <f>+q20_Aux!$T$10</f>
        <v>523.84922222222201</v>
      </c>
      <c r="F45" s="409">
        <f>+q20_Aux!$U$10</f>
        <v>525.65671052631603</v>
      </c>
      <c r="G45" s="409">
        <f>+q20_Aux!$V$10</f>
        <v>546.78302631578902</v>
      </c>
      <c r="H45" s="409">
        <f>+q20_Aux!$W$10</f>
        <v>564.60733333333303</v>
      </c>
      <c r="I45" s="409">
        <f>+q20_Aux!$X$10</f>
        <v>609.04933333333304</v>
      </c>
      <c r="J45" s="409">
        <f>+q20_Aux!$Y$10</f>
        <v>697.99822916666699</v>
      </c>
      <c r="K45" s="409">
        <f>+q20_Aux!$Z$10</f>
        <v>662.48951219512207</v>
      </c>
      <c r="L45" s="409">
        <f>+q20_Aux!$AA$10</f>
        <v>686.47531249999997</v>
      </c>
      <c r="M45" s="409">
        <f>+q20_Aux!$AB$10</f>
        <v>743.66128712871307</v>
      </c>
      <c r="P45" s="409">
        <f>+S45/T45</f>
        <v>0.47937631502880457</v>
      </c>
      <c r="Q45" s="404" t="s">
        <v>48</v>
      </c>
      <c r="R45" s="413">
        <f>INDEX($B$98:$M$107,MATCH($Q$45:$Q$52,$B$98:$B$107,0),MATCH($P$43,$B$98:$M$98,0))*-1</f>
        <v>-154897</v>
      </c>
      <c r="S45" s="413">
        <f>INDEX($B$109:$M$118,MATCH($Q$45:$Q$53,$B$109:$B$118,0),MATCH($P$43,$B$109:$M$109,0))</f>
        <v>142625</v>
      </c>
      <c r="T45" s="413">
        <f>+S45-R45</f>
        <v>297522</v>
      </c>
      <c r="U45" s="483">
        <f t="shared" ref="U45:U52" si="3">+T45/$T$53</f>
        <v>9.4507022702561228E-2</v>
      </c>
    </row>
    <row r="46" spans="1:21">
      <c r="B46" s="404" t="str">
        <f>+Aux!$B$89</f>
        <v>18 - 24 anos</v>
      </c>
      <c r="C46" s="409">
        <f>+q20_Aux!$R$13</f>
        <v>572.04559839623209</v>
      </c>
      <c r="D46" s="409">
        <f>+q20_Aux!$S$13</f>
        <v>567.96597138618108</v>
      </c>
      <c r="E46" s="409">
        <f>+q20_Aux!$T$13</f>
        <v>579.35358747644602</v>
      </c>
      <c r="F46" s="409">
        <f>+q20_Aux!$U$13</f>
        <v>590.60351590610503</v>
      </c>
      <c r="G46" s="409">
        <f>+q20_Aux!$V$13</f>
        <v>612.12778888849402</v>
      </c>
      <c r="H46" s="409">
        <f>+q20_Aux!$W$13</f>
        <v>640.242708594909</v>
      </c>
      <c r="I46" s="409">
        <f>+q20_Aux!$X$13</f>
        <v>667.73054529288197</v>
      </c>
      <c r="J46" s="409">
        <f>+q20_Aux!$Y$13</f>
        <v>698.92137134257007</v>
      </c>
      <c r="K46" s="409">
        <f>+q20_Aux!$Z$13</f>
        <v>734.64878603508214</v>
      </c>
      <c r="L46" s="409">
        <f>+q20_Aux!$AA$13</f>
        <v>774.36741655943115</v>
      </c>
      <c r="M46" s="409">
        <f>+q20_Aux!$AB$13</f>
        <v>827.20346505859197</v>
      </c>
      <c r="P46" s="409">
        <f t="shared" ref="P46:P52" si="4">+S46/T46</f>
        <v>0.49218660650232376</v>
      </c>
      <c r="Q46" s="404" t="s">
        <v>49</v>
      </c>
      <c r="R46" s="413">
        <f t="shared" ref="R46:R51" si="5">INDEX($B$98:$M$107,MATCH($Q$45:$Q$52,$B$98:$B$107,0),MATCH($P$43,$B$98:$M$98,0))*-1</f>
        <v>-97684</v>
      </c>
      <c r="S46" s="413">
        <f t="shared" ref="S46:S53" si="6">INDEX($B$109:$M$118,MATCH($Q$45:$Q$53,$B$109:$B$118,0),MATCH($P$43,$B$109:$M$109,0))</f>
        <v>94678</v>
      </c>
      <c r="T46" s="413">
        <f t="shared" ref="T46:T51" si="7">+S46-R46</f>
        <v>192362</v>
      </c>
      <c r="U46" s="483">
        <f t="shared" si="3"/>
        <v>6.1103245814124942E-2</v>
      </c>
    </row>
    <row r="47" spans="1:21">
      <c r="B47" s="404" t="str">
        <f>+Aux!$B$90</f>
        <v>25 - 34 anos</v>
      </c>
      <c r="C47" s="409">
        <f>(q20_Aux!$R$16+q20_Aux!$R$19)/(q13a!$C$16+q13a!$C$19)</f>
        <v>767.75291560033224</v>
      </c>
      <c r="D47" s="409">
        <f>(q20_Aux!$S$16+q20_Aux!$S$19)/(q13a!$D$16+q13a!$D$19)</f>
        <v>758.48904969857495</v>
      </c>
      <c r="E47" s="409">
        <f>(q20_Aux!$T$16+q20_Aux!$T$19)/(q13a!$E$16+q13a!$E$19)</f>
        <v>757.73114900946746</v>
      </c>
      <c r="F47" s="409">
        <f>(q20_Aux!$U$16+q20_Aux!$U$19)/(q13a!$F$16+q13a!$F$19)</f>
        <v>758.78607030082185</v>
      </c>
      <c r="G47" s="409">
        <f>(q20_Aux!$V$16+q20_Aux!$V$19)/(q13a!$G$16+q13a!$G$19)</f>
        <v>773.9199522206078</v>
      </c>
      <c r="H47" s="409">
        <f>(q20_Aux!$W$16+q20_Aux!$W$19)/(q13a!$H$16+q13a!$H$19)</f>
        <v>796.10523273855677</v>
      </c>
      <c r="I47" s="409">
        <f>(q20_Aux!$X$16+q20_Aux!$X$19)/(q13a!$I$16+q13a!$I$19)</f>
        <v>823.3239487944486</v>
      </c>
      <c r="J47" s="409">
        <f>(q20_Aux!$Y$16+q20_Aux!$Y$19)/(q13a!$J$16+q13a!$J$19)</f>
        <v>864.16556480745805</v>
      </c>
      <c r="K47" s="409">
        <f>(q20_Aux!$Z$16+q20_Aux!$Z$19)/(q13a!$K$16+q13a!$K$19)</f>
        <v>904.68780137568501</v>
      </c>
      <c r="L47" s="409">
        <f>(q20_Aux!$AA$16+q20_Aux!$AA$19)/(q13a!$L$16+q13a!$L$19)</f>
        <v>951.62584045462313</v>
      </c>
      <c r="M47" s="409">
        <f>(q20_Aux!$AB$16+q20_Aux!$AB$19)/(q13a!$M$16+q13a!$M$19)</f>
        <v>1018.4876613687603</v>
      </c>
      <c r="P47" s="409">
        <f t="shared" si="4"/>
        <v>0.39569192941116205</v>
      </c>
      <c r="Q47" s="404" t="s">
        <v>444</v>
      </c>
      <c r="R47" s="413">
        <f t="shared" si="5"/>
        <v>-94376</v>
      </c>
      <c r="S47" s="413">
        <f t="shared" si="6"/>
        <v>61796</v>
      </c>
      <c r="T47" s="413">
        <f t="shared" si="7"/>
        <v>156172</v>
      </c>
      <c r="U47" s="483">
        <f t="shared" si="3"/>
        <v>4.960759456276978E-2</v>
      </c>
    </row>
    <row r="48" spans="1:21">
      <c r="B48" s="404" t="str">
        <f>+Aux!$B$91</f>
        <v>35 - 44 anos</v>
      </c>
      <c r="C48" s="409">
        <f>(q20_Aux!$R$22+q20_Aux!$R$25)/(q13a!$C$22+q13a!$C$25)</f>
        <v>880.15145130256633</v>
      </c>
      <c r="D48" s="409">
        <f>(q20_Aux!$S$22+q20_Aux!$S$25)/(q13a!$D$22+q13a!$D$25)</f>
        <v>884.24038849924079</v>
      </c>
      <c r="E48" s="409">
        <f>(q20_Aux!$T$22+q20_Aux!$T$25)/(q13a!$E$22+q13a!$E$25)</f>
        <v>888.75943019654721</v>
      </c>
      <c r="F48" s="409">
        <f>(q20_Aux!$U$22+q20_Aux!$U$25)/(q13a!$F$22+q13a!$F$25)</f>
        <v>892.22211970539547</v>
      </c>
      <c r="G48" s="409">
        <f>(q20_Aux!$V$22+q20_Aux!$V$25)/(q13a!$G$22+q13a!$G$25)</f>
        <v>906.23964735971299</v>
      </c>
      <c r="H48" s="409">
        <f>(q20_Aux!$W$22+q20_Aux!$W$25)/(q13a!$H$22+q13a!$H$25)</f>
        <v>925.70061057348562</v>
      </c>
      <c r="I48" s="409">
        <f>(q20_Aux!$X$22+q20_Aux!$X$25)/(q13a!$I$22+q13a!$I$25)</f>
        <v>950.58456267850681</v>
      </c>
      <c r="J48" s="409">
        <f>(q20_Aux!$Y$22+q20_Aux!$Y$25)/(q13a!$J$22+q13a!$J$25)</f>
        <v>983.94656233813305</v>
      </c>
      <c r="K48" s="409">
        <f>(q20_Aux!$Z$22+q20_Aux!$Z$25)/(q13a!$K$22+q13a!$K$25)</f>
        <v>1015.7456350921263</v>
      </c>
      <c r="L48" s="409">
        <f>(q20_Aux!$AA$22+q20_Aux!$AA$25)/(q13a!$L$22+q13a!$L$25)</f>
        <v>1050.7667570476851</v>
      </c>
      <c r="M48" s="409">
        <f>(q20_Aux!$AB$22+q20_Aux!$AB$25)/(q13a!$M$22+q13a!$M$25)</f>
        <v>1104.2718933596959</v>
      </c>
      <c r="P48" s="409">
        <f t="shared" si="4"/>
        <v>0.50229817655754572</v>
      </c>
      <c r="Q48" s="404" t="s">
        <v>442</v>
      </c>
      <c r="R48" s="413">
        <f t="shared" si="5"/>
        <v>-141741</v>
      </c>
      <c r="S48" s="413">
        <f t="shared" si="6"/>
        <v>143050</v>
      </c>
      <c r="T48" s="413">
        <f t="shared" si="7"/>
        <v>284791</v>
      </c>
      <c r="U48" s="483">
        <f t="shared" si="3"/>
        <v>9.0463056521820615E-2</v>
      </c>
    </row>
    <row r="49" spans="1:30">
      <c r="B49" s="404" t="str">
        <f>+Aux!$B$92</f>
        <v>45 - 54 anos</v>
      </c>
      <c r="C49" s="409">
        <f>(q20_Aux!$R$28+q20_Aux!$R$31)/(q13a!$C$28+q13a!$C$31)</f>
        <v>832.93050939212412</v>
      </c>
      <c r="D49" s="409">
        <f>(q20_Aux!$S$28+q20_Aux!$S$31)/(q13a!$D$28+q13a!$D$31)</f>
        <v>837.34680311072464</v>
      </c>
      <c r="E49" s="409">
        <f>(q20_Aux!$T$28+q20_Aux!$T$31)/(q13a!$E$28+q13a!$E$31)</f>
        <v>841.08641477193612</v>
      </c>
      <c r="F49" s="409">
        <f>(q20_Aux!$U$28+q20_Aux!$U$31)/(q13a!$F$28+q13a!$F$31)</f>
        <v>849.03526154659176</v>
      </c>
      <c r="G49" s="409">
        <f>(q20_Aux!$V$28+q20_Aux!$V$31)/(q13a!$G$28+q13a!$G$31)</f>
        <v>868.74809437511578</v>
      </c>
      <c r="H49" s="409">
        <f>(q20_Aux!$W$28+q20_Aux!$W$31)/(q13a!$H$28+q13a!$H$31)</f>
        <v>894.33267182487873</v>
      </c>
      <c r="I49" s="409">
        <f>(q20_Aux!$X$28+q20_Aux!$X$31)/(q13a!$I$28+q13a!$I$31)</f>
        <v>929.1174681084135</v>
      </c>
      <c r="J49" s="409">
        <f>(q20_Aux!$Y$28+q20_Aux!$Y$31)/(q13a!$J$28+q13a!$J$31)</f>
        <v>967.89053297868224</v>
      </c>
      <c r="K49" s="409">
        <f>(q20_Aux!$Z$28+q20_Aux!$Z$31)/(q13a!$K$28+q13a!$K$31)</f>
        <v>1005.6611570442371</v>
      </c>
      <c r="L49" s="409">
        <f>(q20_Aux!$AA$28+q20_Aux!$AA$31)/(q13a!$L$28+q13a!$L$31)</f>
        <v>1047.6397373104514</v>
      </c>
      <c r="M49" s="409">
        <f>(q20_Aux!$AB$28+q20_Aux!$AB$31)/(q13a!$M$28+q13a!$M$31)</f>
        <v>1107.7790906187129</v>
      </c>
      <c r="P49" s="409">
        <f t="shared" si="4"/>
        <v>0.42119165135942344</v>
      </c>
      <c r="Q49" s="404" t="s">
        <v>50</v>
      </c>
      <c r="R49" s="413">
        <f t="shared" si="5"/>
        <v>-660462</v>
      </c>
      <c r="S49" s="413">
        <f t="shared" si="6"/>
        <v>480610</v>
      </c>
      <c r="T49" s="413">
        <f t="shared" si="7"/>
        <v>1141072</v>
      </c>
      <c r="U49" s="483">
        <f t="shared" si="3"/>
        <v>0.36245829689655534</v>
      </c>
      <c r="V49" s="424">
        <f>+U49+U50</f>
        <v>0.55379751962027191</v>
      </c>
    </row>
    <row r="50" spans="1:30">
      <c r="B50" s="404" t="str">
        <f>+Aux!$B$93</f>
        <v>55 - 64 anos</v>
      </c>
      <c r="C50" s="409">
        <f>(q20_Aux!$R$34+q20_Aux!$R$37)/(q13a!$C$34+q13a!$C$37)</f>
        <v>835.65416517731205</v>
      </c>
      <c r="D50" s="409">
        <f>(q20_Aux!$S$34+q20_Aux!$S$37)/(q13a!$D$34+q13a!$D$37)</f>
        <v>833.79425834853123</v>
      </c>
      <c r="E50" s="409">
        <f>(q20_Aux!$T$34+q20_Aux!$T$37)/(q13a!$E$34+q13a!$E$37)</f>
        <v>836.76678633845449</v>
      </c>
      <c r="F50" s="409">
        <f>(q20_Aux!$U$34+q20_Aux!$U$37)/(q13a!$F$34+q13a!$F$37)</f>
        <v>842.50762270405244</v>
      </c>
      <c r="G50" s="409">
        <f>(q20_Aux!$V$34+q20_Aux!$V$37)/(q13a!$G$34+q13a!$G$37)</f>
        <v>849.59037501459215</v>
      </c>
      <c r="H50" s="409">
        <f>(q20_Aux!$W$34+q20_Aux!$W$37)/(q13a!$H$34+q13a!$H$37)</f>
        <v>865.19326272213766</v>
      </c>
      <c r="I50" s="409">
        <f>(q20_Aux!$X$34+q20_Aux!$X$37)/(q13a!$I$34+q13a!$I$37)</f>
        <v>887.78890425897828</v>
      </c>
      <c r="J50" s="409">
        <f>(q20_Aux!$Y$34+q20_Aux!$Y$37)/(q13a!$J$34+q13a!$J$37)</f>
        <v>907.92289727223681</v>
      </c>
      <c r="K50" s="409">
        <f>(q20_Aux!$Z$34+q20_Aux!$Z$37)/(q13a!$K$34+q13a!$K$37)</f>
        <v>940.88182685293827</v>
      </c>
      <c r="L50" s="409">
        <f>(q20_Aux!$AA$34+q20_Aux!$AA$37)/(q13a!$L$34+q13a!$L$37)</f>
        <v>973.20213830171542</v>
      </c>
      <c r="M50" s="409">
        <f>(q20_Aux!$AB$34+q20_Aux!$AB$37)/(q13a!$M$34+q13a!$M$37)</f>
        <v>1015.1738983834637</v>
      </c>
      <c r="P50" s="409">
        <f t="shared" si="4"/>
        <v>0.56688148694145069</v>
      </c>
      <c r="Q50" s="404" t="s">
        <v>443</v>
      </c>
      <c r="R50" s="413">
        <f t="shared" si="5"/>
        <v>-260895</v>
      </c>
      <c r="S50" s="413">
        <f t="shared" si="6"/>
        <v>341469</v>
      </c>
      <c r="T50" s="413">
        <f t="shared" si="7"/>
        <v>602364</v>
      </c>
      <c r="U50" s="483">
        <f t="shared" si="3"/>
        <v>0.19133922272371653</v>
      </c>
    </row>
    <row r="51" spans="1:30">
      <c r="B51" s="404" t="str">
        <f>+Aux!$B$94</f>
        <v>65 e + anos</v>
      </c>
      <c r="C51" s="409">
        <f>+q20_Aux!$R$40</f>
        <v>915.76493540669901</v>
      </c>
      <c r="D51" s="409">
        <f>+q20_Aux!$S$40</f>
        <v>915.47674856870208</v>
      </c>
      <c r="E51" s="409">
        <f>+q20_Aux!$T$40</f>
        <v>875.04073970037507</v>
      </c>
      <c r="F51" s="409">
        <f>+q20_Aux!$U$40</f>
        <v>894.55200570342197</v>
      </c>
      <c r="G51" s="409">
        <f>+q20_Aux!$V$40</f>
        <v>909.94669345898001</v>
      </c>
      <c r="H51" s="409">
        <f>+q20_Aux!$W$40</f>
        <v>899.84852052379813</v>
      </c>
      <c r="I51" s="409">
        <f>+q20_Aux!$X$40</f>
        <v>929.87425149700607</v>
      </c>
      <c r="J51" s="409">
        <f>+q20_Aux!$Y$40</f>
        <v>982.74022133599203</v>
      </c>
      <c r="K51" s="409">
        <f>+q20_Aux!$Z$40</f>
        <v>1024.3367136103</v>
      </c>
      <c r="L51" s="409">
        <f>+q20_Aux!$AA$40</f>
        <v>1065.12970698254</v>
      </c>
      <c r="M51" s="409">
        <f>+q20_Aux!$AB$40</f>
        <v>1093.9260686198902</v>
      </c>
      <c r="P51" s="409">
        <f t="shared" si="4"/>
        <v>0.49066120202050756</v>
      </c>
      <c r="Q51" s="404" t="s">
        <v>51</v>
      </c>
      <c r="R51" s="413">
        <f t="shared" si="5"/>
        <v>-202071</v>
      </c>
      <c r="S51" s="413">
        <f t="shared" si="6"/>
        <v>194661</v>
      </c>
      <c r="T51" s="413">
        <f t="shared" si="7"/>
        <v>396732</v>
      </c>
      <c r="U51" s="483">
        <f t="shared" si="3"/>
        <v>0.12602079890170312</v>
      </c>
    </row>
    <row r="52" spans="1:30">
      <c r="B52" s="404" t="str">
        <f>+Aux!$B$95</f>
        <v>Total</v>
      </c>
      <c r="C52" s="409">
        <f>+q20_Aux!$C$7</f>
        <v>814.53727639534998</v>
      </c>
      <c r="D52" s="409">
        <f>+q20_Aux!$D$7</f>
        <v>816.21122210111105</v>
      </c>
      <c r="E52" s="409">
        <f>+q20_Aux!$E$7</f>
        <v>820.25300466774809</v>
      </c>
      <c r="F52" s="409">
        <f>+q20_Aux!$F$7</f>
        <v>824.99170229471508</v>
      </c>
      <c r="G52" s="409">
        <f>+q20_Aux!$G$7</f>
        <v>840.26183463405107</v>
      </c>
      <c r="H52" s="409">
        <f>+q20_Aux!$H$7</f>
        <v>861.16674363485106</v>
      </c>
      <c r="I52" s="409">
        <f>+q20_Aux!$I$7</f>
        <v>888.55773746998204</v>
      </c>
      <c r="J52" s="409">
        <f>+q20_Aux!$J$7</f>
        <v>922.62610151052809</v>
      </c>
      <c r="K52" s="409">
        <f>+q20_Aux!$K$7</f>
        <v>960.26781704583709</v>
      </c>
      <c r="L52" s="409">
        <f>+q20_Aux!$L$7</f>
        <v>999.32524311817906</v>
      </c>
      <c r="M52" s="409">
        <f>+q20_Aux!$M$7</f>
        <v>1054.3618671065601</v>
      </c>
      <c r="P52" s="409">
        <f t="shared" si="4"/>
        <v>0.45818855987138929</v>
      </c>
      <c r="Q52" s="404" t="s">
        <v>52</v>
      </c>
      <c r="R52" s="413">
        <f>INDEX($B$98:$M$107,MATCH($Q$45:$Q$53,$B$98:$B$107,0),MATCH($P$43,$B$98:$M$98,0))*-1</f>
        <v>-41791</v>
      </c>
      <c r="S52" s="413">
        <f t="shared" si="6"/>
        <v>35341</v>
      </c>
      <c r="T52" s="413">
        <f>+S52-R52</f>
        <v>77132</v>
      </c>
      <c r="U52" s="483">
        <f t="shared" si="3"/>
        <v>2.4500761876748448E-2</v>
      </c>
    </row>
    <row r="53" spans="1:30">
      <c r="C53" s="375">
        <f>+'q13'!$C$4</f>
        <v>2012</v>
      </c>
      <c r="D53" s="375">
        <f>+'q13'!$D$4</f>
        <v>2013</v>
      </c>
      <c r="E53" s="375">
        <f>+'q13'!$E$4</f>
        <v>2014</v>
      </c>
      <c r="F53" s="375">
        <f>+'q13'!$F$4</f>
        <v>2015</v>
      </c>
      <c r="G53" s="375">
        <f>+'q13'!$G$4</f>
        <v>2016</v>
      </c>
      <c r="H53" s="375">
        <f>+'q13'!$H$4</f>
        <v>2017</v>
      </c>
      <c r="I53" s="375">
        <f>+'q13'!$I$4</f>
        <v>2018</v>
      </c>
      <c r="J53" s="375">
        <f>+'q13'!$J$4</f>
        <v>2019</v>
      </c>
      <c r="K53" s="375">
        <f>+'q13'!$K$4</f>
        <v>2020</v>
      </c>
      <c r="L53" s="375">
        <f>+'q13'!$L$4</f>
        <v>2021</v>
      </c>
      <c r="M53" s="375">
        <f>+'q13'!$M$4</f>
        <v>2022</v>
      </c>
      <c r="Q53" s="404" t="s">
        <v>12</v>
      </c>
      <c r="R53" s="413">
        <f>INDEX($B$98:$M$107,MATCH($Q$45:$Q$53,$B$98:$B$107,0),MATCH($P$43,$B$98:$M$98,0))</f>
        <v>1653917</v>
      </c>
      <c r="S53" s="413">
        <f t="shared" si="6"/>
        <v>1494230</v>
      </c>
      <c r="T53" s="413">
        <f>+R53+S53</f>
        <v>3148147</v>
      </c>
      <c r="U53" s="410"/>
    </row>
    <row r="54" spans="1:30">
      <c r="A54" s="412" t="s">
        <v>12</v>
      </c>
      <c r="B54" s="404" t="str">
        <f>+Aux!$B$88</f>
        <v>&lt; 18 anos</v>
      </c>
      <c r="C54" s="409">
        <f>+q20_Aux!$R$8</f>
        <v>509.44050420168105</v>
      </c>
      <c r="D54" s="409">
        <f>+q20_Aux!$S$8</f>
        <v>553.21526829268305</v>
      </c>
      <c r="E54" s="409">
        <f>+q20_Aux!$T$8</f>
        <v>673.38821292775697</v>
      </c>
      <c r="F54" s="409">
        <f>+q20_Aux!$U$8</f>
        <v>645.96770833333301</v>
      </c>
      <c r="G54" s="409">
        <f>+q20_Aux!$V$8</f>
        <v>688.28591760299605</v>
      </c>
      <c r="H54" s="409">
        <f>+q20_Aux!$W$8</f>
        <v>682.81965789473702</v>
      </c>
      <c r="I54" s="409">
        <f>+q20_Aux!$X$8</f>
        <v>693.22013440860201</v>
      </c>
      <c r="J54" s="409">
        <f>+q20_Aux!$Y$8</f>
        <v>939.87865329512908</v>
      </c>
      <c r="K54" s="409">
        <f>+q20_Aux!$Z$8</f>
        <v>1150.3329870129901</v>
      </c>
      <c r="L54" s="409">
        <f>+q20_Aux!$AA$8</f>
        <v>1101.01081560284</v>
      </c>
      <c r="M54" s="409">
        <f>+q20_Aux!$AB$8</f>
        <v>1066.29938992042</v>
      </c>
    </row>
    <row r="55" spans="1:30">
      <c r="B55" s="404" t="str">
        <f>+Aux!$B$89</f>
        <v>18 - 24 anos</v>
      </c>
      <c r="C55" s="409">
        <f>+q20_Aux!$R$11</f>
        <v>611.69090254473713</v>
      </c>
      <c r="D55" s="409">
        <f>+q20_Aux!$S$11</f>
        <v>602.54614960826098</v>
      </c>
      <c r="E55" s="409">
        <f>+q20_Aux!$T$11</f>
        <v>607.61617454050611</v>
      </c>
      <c r="F55" s="409">
        <f>+q20_Aux!$U$11</f>
        <v>621.0474565376071</v>
      </c>
      <c r="G55" s="409">
        <f>+q20_Aux!$V$11</f>
        <v>639.49061483464607</v>
      </c>
      <c r="H55" s="409">
        <f>+q20_Aux!$W$11</f>
        <v>664.29416466900204</v>
      </c>
      <c r="I55" s="409">
        <f>+q20_Aux!$X$11</f>
        <v>693.67039977396098</v>
      </c>
      <c r="J55" s="409">
        <f>+q20_Aux!$Y$11</f>
        <v>727.91599861875011</v>
      </c>
      <c r="K55" s="409">
        <f>+q20_Aux!$Z$11</f>
        <v>762.01679742184899</v>
      </c>
      <c r="L55" s="409">
        <f>+q20_Aux!$AA$11</f>
        <v>799.27713211577907</v>
      </c>
      <c r="M55" s="409">
        <f>+q20_Aux!$AB$11</f>
        <v>857.94673854563302</v>
      </c>
    </row>
    <row r="56" spans="1:30">
      <c r="B56" s="404" t="str">
        <f>+Aux!$B$90</f>
        <v>25 - 34 anos</v>
      </c>
      <c r="C56" s="409">
        <f>(q20_Aux!$R$14+q20_Aux!$R$17)/(q13a!$C$14+q13a!$C$17)</f>
        <v>801.36392306170364</v>
      </c>
      <c r="D56" s="409">
        <f>(q20_Aux!$S$14+q20_Aux!$S$17)/(q13a!$D$14+q13a!$D$17)</f>
        <v>790.44919910079136</v>
      </c>
      <c r="E56" s="409">
        <f>(q20_Aux!$T$14+q20_Aux!$T$17)/(q13a!$E$14+q13a!$E$17)</f>
        <v>785.84439287926364</v>
      </c>
      <c r="F56" s="409">
        <f>(q20_Aux!$U$14+q20_Aux!$U$17)/(q13a!$F$14+q13a!$F$17)</f>
        <v>791.21081570755393</v>
      </c>
      <c r="G56" s="409">
        <f>(q20_Aux!$V$14+q20_Aux!$V$17)/(q13a!$G$14+q13a!$G$17)</f>
        <v>805.58839712410247</v>
      </c>
      <c r="H56" s="409">
        <f>(q20_Aux!$W$14+q20_Aux!$W$17)/(q13a!$H$14+q13a!$H$17)</f>
        <v>831.12710522661723</v>
      </c>
      <c r="I56" s="409">
        <f>(q20_Aux!$X$14+q20_Aux!$X$17)/(q13a!$I$14+q13a!$I$17)</f>
        <v>864.80182605518246</v>
      </c>
      <c r="J56" s="409">
        <f>(q20_Aux!$Y$14+q20_Aux!$Y$17)/(q13a!$J$14+q13a!$J$17)</f>
        <v>907.4205939719327</v>
      </c>
      <c r="K56" s="409">
        <f>(q20_Aux!$Z$14+q20_Aux!$Z$17)/(q13a!$K$14+q13a!$K$17)</f>
        <v>946.15886979185143</v>
      </c>
      <c r="L56" s="409">
        <f>(q20_Aux!$AA$14+q20_Aux!$AA$17)/(q13a!$L$14+q13a!$L$17)</f>
        <v>997.2759295277782</v>
      </c>
      <c r="M56" s="409">
        <f>(q20_Aux!$AB$14+q20_Aux!$AB$17)/(q13a!$M$14+q13a!$M$17)</f>
        <v>1067.397850299739</v>
      </c>
    </row>
    <row r="57" spans="1:30" ht="12" customHeight="1">
      <c r="B57" s="404" t="str">
        <f>+Aux!$B$91</f>
        <v>35 - 44 anos</v>
      </c>
      <c r="C57" s="409">
        <f>(q20_Aux!$R$20+q20_Aux!$R$23)/(q13a!$C$20+q13a!$C$23)</f>
        <v>972.53956818023437</v>
      </c>
      <c r="D57" s="409">
        <f>(q20_Aux!$S$20+q20_Aux!$S$23)/(q13a!$D$20+q13a!$D$23)</f>
        <v>968.60348282228153</v>
      </c>
      <c r="E57" s="409">
        <f>(q20_Aux!$T$20+q20_Aux!$T$23)/(q13a!$E$20+q13a!$E$23)</f>
        <v>966.44992763806624</v>
      </c>
      <c r="F57" s="409">
        <f>(q20_Aux!$U$20+q20_Aux!$U$23)/(q13a!$F$20+q13a!$F$23)</f>
        <v>967.27408528643855</v>
      </c>
      <c r="G57" s="409">
        <f>(q20_Aux!$V$20+q20_Aux!$V$23)/(q13a!$G$20+q13a!$G$23)</f>
        <v>976.82997411072495</v>
      </c>
      <c r="H57" s="409">
        <f>(q20_Aux!$W$20+q20_Aux!$W$23)/(q13a!$H$20+q13a!$H$23)</f>
        <v>992.24419446762579</v>
      </c>
      <c r="I57" s="409">
        <f>(q20_Aux!$X$20+q20_Aux!$X$23)/(q13a!$I$20+q13a!$I$23)</f>
        <v>1017.8962459808527</v>
      </c>
      <c r="J57" s="409">
        <f>(q20_Aux!$Y$20+q20_Aux!$Y$23)/(q13a!$J$20+q13a!$J$23)</f>
        <v>1053.6478186951231</v>
      </c>
      <c r="K57" s="409">
        <f>(q20_Aux!$Z$20+q20_Aux!$Z$23)/(q13a!$K$20+q13a!$K$23)</f>
        <v>1082.5948820912838</v>
      </c>
      <c r="L57" s="409">
        <f>(q20_Aux!$AA$20+q20_Aux!$AA$23)/(q13a!$L$20+q13a!$L$23)</f>
        <v>1124.7791243491604</v>
      </c>
      <c r="M57" s="409">
        <f>(q20_Aux!$AB$20+q20_Aux!$AB$23)/(q13a!$M$20+q13a!$M$23)</f>
        <v>1189.0093438068691</v>
      </c>
      <c r="Y57" s="597" t="str">
        <f>CONCATENATE(W58,X58,CHAR(10),W59,W60,W61," ",W62,W63," ",W64,W65)</f>
        <v>2022:
55,4% dos TCO eram profissionais qualificados e semi-qualificados, onde a taxa de feminização era de  42,1% e de 56,7%, respetivamente.</v>
      </c>
      <c r="Z57" s="597"/>
      <c r="AA57" s="597"/>
      <c r="AB57" s="597"/>
      <c r="AC57" s="597"/>
      <c r="AD57" s="597"/>
    </row>
    <row r="58" spans="1:30">
      <c r="B58" s="404" t="str">
        <f>+Aux!$B$92</f>
        <v>45 - 54 anos</v>
      </c>
      <c r="C58" s="409">
        <f>(q20_Aux!$R$26+q20_Aux!$R$29)/(q13a!$C$26+q13a!$C$29)</f>
        <v>986.17613638546084</v>
      </c>
      <c r="D58" s="409">
        <f>(q20_Aux!$S$26+q20_Aux!$S$29)/(q13a!$D$26+q13a!$D$29)</f>
        <v>981.94836340314055</v>
      </c>
      <c r="E58" s="409">
        <f>(q20_Aux!$T$26+q20_Aux!$T$29)/(q13a!$E$26+q13a!$E$29)</f>
        <v>974.93762186959032</v>
      </c>
      <c r="F58" s="409">
        <f>(q20_Aux!$U$26+q20_Aux!$U$29)/(q13a!$F$26+q13a!$F$29)</f>
        <v>979.29775150150158</v>
      </c>
      <c r="G58" s="409">
        <f>(q20_Aux!$V$26+q20_Aux!$V$29)/(q13a!$G$26+q13a!$G$29)</f>
        <v>991.38978098409927</v>
      </c>
      <c r="H58" s="409">
        <f>(q20_Aux!$W$26+q20_Aux!$W$29)/(q13a!$H$26+q13a!$H$29)</f>
        <v>1011.9424687147056</v>
      </c>
      <c r="I58" s="409">
        <f>(q20_Aux!$X$26+q20_Aux!$X$29)/(q13a!$I$26+q13a!$I$29)</f>
        <v>1043.1203990283209</v>
      </c>
      <c r="J58" s="409">
        <f>(q20_Aux!$Y$26+q20_Aux!$Y$29)/(q13a!$J$26+q13a!$J$29)</f>
        <v>1081.8760443844601</v>
      </c>
      <c r="K58" s="409">
        <f>(q20_Aux!$Z$26+q20_Aux!$Z$29)/(q13a!$K$26+q13a!$K$29)</f>
        <v>1118.5999515154708</v>
      </c>
      <c r="L58" s="409">
        <f>(q20_Aux!$AA$26+q20_Aux!$AA$29)/(q13a!$L$26+q13a!$L$29)</f>
        <v>1158.7723398775652</v>
      </c>
      <c r="M58" s="409">
        <f>(q20_Aux!$AB$26+q20_Aux!$AB$29)/(q13a!$M$26+q13a!$M$29)</f>
        <v>1224.3053251589229</v>
      </c>
      <c r="W58" s="404">
        <f>+P43</f>
        <v>2022</v>
      </c>
      <c r="X58" s="404" t="s">
        <v>506</v>
      </c>
      <c r="Y58" s="597"/>
      <c r="Z58" s="597"/>
      <c r="AA58" s="597"/>
      <c r="AB58" s="597"/>
      <c r="AC58" s="597"/>
      <c r="AD58" s="597"/>
    </row>
    <row r="59" spans="1:30">
      <c r="B59" s="404" t="str">
        <f>+Aux!$B$93</f>
        <v>55 - 64 anos</v>
      </c>
      <c r="C59" s="409">
        <f>(q20_Aux!$R$32+q20_Aux!$R$35)/(q13a!$C$32+q13a!$C$35)</f>
        <v>1055.3740667532909</v>
      </c>
      <c r="D59" s="409">
        <f>(q20_Aux!$S$32+q20_Aux!$S$35)/(q13a!$D$32+q13a!$D$35)</f>
        <v>1046.1368686068313</v>
      </c>
      <c r="E59" s="409">
        <f>(q20_Aux!$T$32+q20_Aux!$T$35)/(q13a!$E$32+q13a!$E$35)</f>
        <v>1028.7362549092791</v>
      </c>
      <c r="F59" s="409">
        <f>(q20_Aux!$U$32+q20_Aux!$U$35)/(q13a!$F$32+q13a!$F$35)</f>
        <v>1027.1066275041828</v>
      </c>
      <c r="G59" s="409">
        <f>(q20_Aux!$V$32+q20_Aux!$V$35)/(q13a!$G$32+q13a!$G$35)</f>
        <v>1023.6286037178791</v>
      </c>
      <c r="H59" s="409">
        <f>(q20_Aux!$W$32+q20_Aux!$W$35)/(q13a!$H$32+q13a!$H$35)</f>
        <v>1024.5632194810814</v>
      </c>
      <c r="I59" s="409">
        <f>(q20_Aux!$X$32+q20_Aux!$X$35)/(q13a!$I$32+q13a!$I$35)</f>
        <v>1039.1845567861146</v>
      </c>
      <c r="J59" s="409">
        <f>(q20_Aux!$Y$32+q20_Aux!$Y$35)/(q13a!$J$32+q13a!$J$35)</f>
        <v>1053.8080346188185</v>
      </c>
      <c r="K59" s="409">
        <f>(q20_Aux!$Z$32+q20_Aux!$Z$35)/(q13a!$K$32+q13a!$K$35)</f>
        <v>1084.9785446009387</v>
      </c>
      <c r="L59" s="409">
        <f>(q20_Aux!$AA$32+q20_Aux!$AA$35)/(q13a!$L$32+q13a!$L$35)</f>
        <v>1108.4518325631545</v>
      </c>
      <c r="M59" s="409">
        <f>(q20_Aux!$AB$32+q20_Aux!$AB$35)/(q13a!$M$32+q13a!$M$35)</f>
        <v>1154.6344411736627</v>
      </c>
      <c r="Q59" s="375"/>
      <c r="W59" s="424" t="str">
        <f>TEXT(V49,"##.###,0%")</f>
        <v>55,4%</v>
      </c>
      <c r="Y59" s="597"/>
      <c r="Z59" s="597"/>
      <c r="AA59" s="597"/>
      <c r="AB59" s="597"/>
      <c r="AC59" s="597"/>
      <c r="AD59" s="597"/>
    </row>
    <row r="60" spans="1:30">
      <c r="B60" s="404" t="str">
        <f>+Aux!$B$94</f>
        <v>65 e + anos</v>
      </c>
      <c r="C60" s="409">
        <f>+q20_Aux!$R$38</f>
        <v>1228.0240006460501</v>
      </c>
      <c r="D60" s="409">
        <f>+q20_Aux!$S$38</f>
        <v>1220.4288603242203</v>
      </c>
      <c r="E60" s="409">
        <f>+q20_Aux!$T$38</f>
        <v>1170.0147182075898</v>
      </c>
      <c r="F60" s="409">
        <f>+q20_Aux!$U$38</f>
        <v>1185.02429247286</v>
      </c>
      <c r="G60" s="409">
        <f>+q20_Aux!$V$38</f>
        <v>1181.9358861067499</v>
      </c>
      <c r="H60" s="409">
        <f>+q20_Aux!$W$38</f>
        <v>1181.46910780847</v>
      </c>
      <c r="I60" s="409">
        <f>+q20_Aux!$X$38</f>
        <v>1177.6918516831602</v>
      </c>
      <c r="J60" s="409">
        <f>+q20_Aux!$Y$38</f>
        <v>1219.7258250373802</v>
      </c>
      <c r="K60" s="409">
        <f>+q20_Aux!$Z$38</f>
        <v>1280.7867853076202</v>
      </c>
      <c r="L60" s="409">
        <f>+q20_Aux!$AA$38</f>
        <v>1291.35140024618</v>
      </c>
      <c r="M60" s="409">
        <f>+q20_Aux!$AB$38</f>
        <v>1297.99535680387</v>
      </c>
      <c r="R60" s="375"/>
      <c r="S60" s="375"/>
      <c r="T60" s="375"/>
      <c r="W60" s="404" t="s">
        <v>581</v>
      </c>
      <c r="Y60" s="597"/>
      <c r="Z60" s="597"/>
      <c r="AA60" s="597"/>
      <c r="AB60" s="597"/>
      <c r="AC60" s="597"/>
      <c r="AD60" s="597"/>
    </row>
    <row r="61" spans="1:30">
      <c r="B61" s="404" t="str">
        <f>+Aux!$B$95</f>
        <v>Total</v>
      </c>
      <c r="C61" s="409">
        <f>+q20_Aux!$C$5</f>
        <v>915.01247006081212</v>
      </c>
      <c r="D61" s="409">
        <f>+q20_Aux!$D$5</f>
        <v>912.18298170177309</v>
      </c>
      <c r="E61" s="409">
        <f>+q20_Aux!$E$5</f>
        <v>909.49144915721399</v>
      </c>
      <c r="F61" s="409">
        <f>+q20_Aux!$F$5</f>
        <v>913.92544791377406</v>
      </c>
      <c r="G61" s="409">
        <f>+q20_Aux!$G$5</f>
        <v>924.9392153090821</v>
      </c>
      <c r="H61" s="409">
        <f>+q20_Aux!$H$5</f>
        <v>943.00107511786211</v>
      </c>
      <c r="I61" s="409">
        <f>+q20_Aux!$I$5</f>
        <v>970.41689676342503</v>
      </c>
      <c r="J61" s="409">
        <f>+q20_Aux!$J$5</f>
        <v>1005.08927925103</v>
      </c>
      <c r="K61" s="409">
        <f>+q20_Aux!$K$5</f>
        <v>1041.9948771786001</v>
      </c>
      <c r="L61" s="409">
        <f>+q20_Aux!$L$5</f>
        <v>1082.7724697513502</v>
      </c>
      <c r="M61" s="409">
        <f>+q20_Aux!$M$5</f>
        <v>1143.44558285689</v>
      </c>
      <c r="R61" s="414"/>
      <c r="S61" s="414"/>
      <c r="T61" s="414"/>
      <c r="W61" s="404" t="s">
        <v>496</v>
      </c>
    </row>
    <row r="62" spans="1:30">
      <c r="R62" s="414"/>
      <c r="S62" s="414"/>
      <c r="T62" s="414"/>
      <c r="W62" s="424" t="str">
        <f>TEXT(P49,"##.###,0%")</f>
        <v>42,1%</v>
      </c>
    </row>
    <row r="63" spans="1:30">
      <c r="A63" s="411" t="s">
        <v>440</v>
      </c>
      <c r="C63" s="375">
        <f>+'q13'!$C$4</f>
        <v>2012</v>
      </c>
      <c r="D63" s="375">
        <f>+'q13'!$D$4</f>
        <v>2013</v>
      </c>
      <c r="E63" s="375">
        <f>+'q13'!$E$4</f>
        <v>2014</v>
      </c>
      <c r="F63" s="375">
        <f>+'q13'!$F$4</f>
        <v>2015</v>
      </c>
      <c r="G63" s="375">
        <f>+'q13'!$G$4</f>
        <v>2016</v>
      </c>
      <c r="H63" s="375">
        <f>+'q13'!$H$4</f>
        <v>2017</v>
      </c>
      <c r="I63" s="375">
        <f>+'q13'!$I$4</f>
        <v>2018</v>
      </c>
      <c r="J63" s="375">
        <f>+'q13'!$J$4</f>
        <v>2019</v>
      </c>
      <c r="K63" s="375">
        <f>+'q13'!$K$4</f>
        <v>2020</v>
      </c>
      <c r="L63" s="375">
        <f>+'q13'!$L$4</f>
        <v>2021</v>
      </c>
      <c r="M63" s="375">
        <f>+'q13'!$M$4</f>
        <v>2022</v>
      </c>
      <c r="R63" s="414"/>
      <c r="S63" s="414"/>
      <c r="T63" s="414"/>
      <c r="W63" s="404" t="s">
        <v>582</v>
      </c>
    </row>
    <row r="64" spans="1:30">
      <c r="A64" s="411" t="s">
        <v>116</v>
      </c>
      <c r="B64" s="404" t="str">
        <f>+Aux!$B$88</f>
        <v>&lt; 18 anos</v>
      </c>
      <c r="C64" s="409">
        <f>+q28_Aux!$R$9</f>
        <v>592.12341067285411</v>
      </c>
      <c r="D64" s="409">
        <f>+q28_Aux!$S$9</f>
        <v>652.37886861313905</v>
      </c>
      <c r="E64" s="409">
        <f>+q28_Aux!$T$9</f>
        <v>837.33664739884409</v>
      </c>
      <c r="F64" s="409">
        <f>+q28_Aux!$U$9</f>
        <v>767.93542682926807</v>
      </c>
      <c r="G64" s="409">
        <f>+q28_Aux!$V$9</f>
        <v>814.53664921466009</v>
      </c>
      <c r="H64" s="409">
        <f>+q28_Aux!$W$9</f>
        <v>805.09781818181796</v>
      </c>
      <c r="I64" s="409">
        <f>+q28_Aux!$X$9</f>
        <v>813.30253968253999</v>
      </c>
      <c r="J64" s="409">
        <f>+q28_Aux!$Y$9</f>
        <v>1105.51102766798</v>
      </c>
      <c r="K64" s="409">
        <f>+q28_Aux!$Z$9</f>
        <v>1339.0742631578898</v>
      </c>
      <c r="L64" s="409">
        <f>+q28_Aux!$AA$9</f>
        <v>1291.67564220183</v>
      </c>
      <c r="M64" s="409">
        <f>+q28_Aux!$AB$9</f>
        <v>1255.1913043478301</v>
      </c>
      <c r="R64" s="414"/>
      <c r="S64" s="414"/>
      <c r="T64" s="414"/>
      <c r="W64" s="424" t="str">
        <f>TEXT(P50,"##.###,0%")</f>
        <v>56,7%</v>
      </c>
    </row>
    <row r="65" spans="1:23">
      <c r="B65" s="404" t="str">
        <f>+Aux!$B$89</f>
        <v>18 - 24 anos</v>
      </c>
      <c r="C65" s="409">
        <f>+q28_Aux!$R$12</f>
        <v>766.451616617539</v>
      </c>
      <c r="D65" s="409">
        <f>+q28_Aux!$S$12</f>
        <v>753.12304447313807</v>
      </c>
      <c r="E65" s="409">
        <f>+q28_Aux!$T$12</f>
        <v>752.86332712992498</v>
      </c>
      <c r="F65" s="409">
        <f>+q28_Aux!$U$12</f>
        <v>768.955694107618</v>
      </c>
      <c r="G65" s="409">
        <f>+q28_Aux!$V$12</f>
        <v>785.58874369310104</v>
      </c>
      <c r="H65" s="409">
        <f>+q28_Aux!$W$12</f>
        <v>818.24742516097513</v>
      </c>
      <c r="I65" s="409">
        <f>+q28_Aux!$X$12</f>
        <v>858.87286539014406</v>
      </c>
      <c r="J65" s="409">
        <f>+q28_Aux!$Y$12</f>
        <v>904.01852112597908</v>
      </c>
      <c r="K65" s="409">
        <f>+q28_Aux!$Z$12</f>
        <v>939.88988105144608</v>
      </c>
      <c r="L65" s="409">
        <f>+q28_Aux!$AA$12</f>
        <v>975.74688528596005</v>
      </c>
      <c r="M65" s="409">
        <f>+q28_Aux!$AB$12</f>
        <v>1047.1973240606901</v>
      </c>
      <c r="R65" s="414"/>
      <c r="S65" s="414"/>
      <c r="T65" s="414"/>
      <c r="W65" s="404" t="s">
        <v>583</v>
      </c>
    </row>
    <row r="66" spans="1:23">
      <c r="B66" s="404" t="str">
        <f>+Aux!$B$90</f>
        <v>25 - 34 anos</v>
      </c>
      <c r="C66" s="409">
        <f>(q28_Aux!$R$15+q28_Aux!$R$18)/(q13a!$C$15+q13a!$C$18)</f>
        <v>1004.1918322377311</v>
      </c>
      <c r="D66" s="409">
        <f>(q28_Aux!$S$15+q28_Aux!$S$18)/(q13a!$D$15+q13a!$D$18)</f>
        <v>990.32585163346437</v>
      </c>
      <c r="E66" s="409">
        <f>(q28_Aux!$T$15+q28_Aux!$T$18)/(q13a!$E$15+q13a!$E$18)</f>
        <v>979.42177775581695</v>
      </c>
      <c r="F66" s="409">
        <f>(q28_Aux!$U$15+q28_Aux!$U$18)/(q13a!$F$15+q13a!$F$18)</f>
        <v>988.94821604539925</v>
      </c>
      <c r="G66" s="409">
        <f>(q28_Aux!$V$15+q28_Aux!$V$18)/(q13a!$G$15+q13a!$G$18)</f>
        <v>1002.7513800472635</v>
      </c>
      <c r="H66" s="409">
        <f>(q28_Aux!$W$15+q28_Aux!$W$18)/(q13a!$H$15+q13a!$H$18)</f>
        <v>1040.4077799544109</v>
      </c>
      <c r="I66" s="409">
        <f>(q28_Aux!$X$15+q28_Aux!$X$18)/(q13a!$I$15+q13a!$I$18)</f>
        <v>1090.5075003303152</v>
      </c>
      <c r="J66" s="409">
        <f>(q28_Aux!$Y$15+q28_Aux!$Y$18)/(q13a!$J$15+q13a!$J$18)</f>
        <v>1141.2380094058171</v>
      </c>
      <c r="K66" s="409">
        <f>(q28_Aux!$Z$15+q28_Aux!$Z$18)/(q13a!$K$15+q13a!$K$18)</f>
        <v>1179.0528887290477</v>
      </c>
      <c r="L66" s="409">
        <f>(q28_Aux!$AA$15+q28_Aux!$AA$18)/(q13a!$L$15+q13a!$L$18)</f>
        <v>1237.7912109984873</v>
      </c>
      <c r="M66" s="409">
        <f>(q28_Aux!$AB$15+q28_Aux!$AB$18)/(q13a!$M$15+q13a!$M$18)</f>
        <v>1322.1748604011782</v>
      </c>
      <c r="R66" s="414"/>
      <c r="S66" s="414"/>
      <c r="T66" s="414"/>
    </row>
    <row r="67" spans="1:23">
      <c r="B67" s="404" t="str">
        <f>+Aux!$B$91</f>
        <v>35 - 44 anos</v>
      </c>
      <c r="C67" s="409">
        <f>(q28_Aux!$R$21+q28_Aux!$R$24)/(q13a!$C$21+q13a!$C$24)</f>
        <v>1279.5818198387626</v>
      </c>
      <c r="D67" s="409">
        <f>(q28_Aux!$S$21+q28_Aux!$S$24)/(q13a!$D$21+q13a!$D$24)</f>
        <v>1270.100785700517</v>
      </c>
      <c r="E67" s="409">
        <f>(q28_Aux!$T$21+q28_Aux!$T$24)/(q13a!$E$21+q13a!$E$24)</f>
        <v>1263.3233075633048</v>
      </c>
      <c r="F67" s="409">
        <f>(q28_Aux!$U$21+q28_Aux!$U$24)/(q13a!$F$21+q13a!$F$24)</f>
        <v>1261.0289284334378</v>
      </c>
      <c r="G67" s="409">
        <f>(q28_Aux!$V$21+q28_Aux!$V$24)/(q13a!$G$21+q13a!$G$24)</f>
        <v>1266.9297946422598</v>
      </c>
      <c r="H67" s="409">
        <f>(q28_Aux!$W$21+q28_Aux!$W$24)/(q13a!$H$21+q13a!$H$24)</f>
        <v>1285.2325832624874</v>
      </c>
      <c r="I67" s="409">
        <f>(q28_Aux!$X$21+q28_Aux!$X$24)/(q13a!$I$21+q13a!$I$24)</f>
        <v>1322.5122664120247</v>
      </c>
      <c r="J67" s="409">
        <f>(q28_Aux!$Y$21+q28_Aux!$Y$24)/(q13a!$J$21+q13a!$J$24)</f>
        <v>1364.2457023686727</v>
      </c>
      <c r="K67" s="409">
        <f>(q28_Aux!$Z$21+q28_Aux!$Z$24)/(q13a!$K$21+q13a!$K$24)</f>
        <v>1387.9229470441862</v>
      </c>
      <c r="L67" s="409">
        <f>(q28_Aux!$AA$21+q28_Aux!$AA$24)/(q13a!$L$21+q13a!$L$24)</f>
        <v>1440.6787816331628</v>
      </c>
      <c r="M67" s="409">
        <f>(q28_Aux!$AB$21+q28_Aux!$AB$24)/(q13a!$M$21+q13a!$M$24)</f>
        <v>1529.7378727606485</v>
      </c>
      <c r="R67" s="414"/>
      <c r="S67" s="414"/>
      <c r="T67" s="414"/>
    </row>
    <row r="68" spans="1:23">
      <c r="B68" s="404" t="str">
        <f>+Aux!$B$92</f>
        <v>45 - 54 anos</v>
      </c>
      <c r="C68" s="409">
        <f>(q28_Aux!$R$27+q28_Aux!$R$30)/(q13a!$C$27+q13a!$C$30)</f>
        <v>1362.7224690820597</v>
      </c>
      <c r="D68" s="409">
        <f>(q28_Aux!$S$27+q28_Aux!$S$30)/(q13a!$D$27+q13a!$D$30)</f>
        <v>1357.0869235570074</v>
      </c>
      <c r="E68" s="409">
        <f>(q28_Aux!$T$27+q28_Aux!$T$30)/(q13a!$E$27+q13a!$E$30)</f>
        <v>1345.8131291024959</v>
      </c>
      <c r="F68" s="409">
        <f>(q28_Aux!$U$27+q28_Aux!$U$30)/(q13a!$F$27+q13a!$F$30)</f>
        <v>1348.1365353167885</v>
      </c>
      <c r="G68" s="409">
        <f>(q28_Aux!$V$27+q28_Aux!$V$30)/(q13a!$G$27+q13a!$G$30)</f>
        <v>1354.9788014822498</v>
      </c>
      <c r="H68" s="409">
        <f>(q28_Aux!$W$27+q28_Aux!$W$30)/(q13a!$H$27+q13a!$H$30)</f>
        <v>1376.3728454464524</v>
      </c>
      <c r="I68" s="409">
        <f>(q28_Aux!$X$27+q28_Aux!$X$30)/(q13a!$I$27+q13a!$I$30)</f>
        <v>1414.8429803622348</v>
      </c>
      <c r="J68" s="409">
        <f>(q28_Aux!$Y$27+q28_Aux!$Y$30)/(q13a!$J$27+q13a!$J$30)</f>
        <v>1457.0140777581303</v>
      </c>
      <c r="K68" s="409">
        <f>(q28_Aux!$Z$27+q28_Aux!$Z$30)/(q13a!$K$27+q13a!$K$30)</f>
        <v>1494.2205035860736</v>
      </c>
      <c r="L68" s="409">
        <f>(q28_Aux!$AA$27+q28_Aux!$AA$30)/(q13a!$L$27+q13a!$L$30)</f>
        <v>1539.2037285353927</v>
      </c>
      <c r="M68" s="409">
        <f>(q28_Aux!$AB$27+q28_Aux!$AB$30)/(q13a!$M$27+q13a!$M$30)</f>
        <v>1630.4902569051619</v>
      </c>
      <c r="R68" s="414"/>
      <c r="S68" s="414"/>
      <c r="T68" s="414"/>
    </row>
    <row r="69" spans="1:23">
      <c r="B69" s="404" t="str">
        <f>+Aux!$B$93</f>
        <v>55 - 64 anos</v>
      </c>
      <c r="C69" s="409">
        <f>(q28_Aux!$R$33+q28_Aux!$R$36)/(q13a!$C$33+q13a!$C$36)</f>
        <v>1456.9017214147759</v>
      </c>
      <c r="D69" s="409">
        <f>(q28_Aux!$S$33+q28_Aux!$S$36)/(q13a!$D$33+q13a!$D$36)</f>
        <v>1450.4424856543249</v>
      </c>
      <c r="E69" s="409">
        <f>(q28_Aux!$T$33+q28_Aux!$T$36)/(q13a!$E$33+q13a!$E$36)</f>
        <v>1431.8987694688983</v>
      </c>
      <c r="F69" s="409">
        <f>(q28_Aux!$U$33+q28_Aux!$U$36)/(q13a!$F$33+q13a!$F$36)</f>
        <v>1425.1249614914141</v>
      </c>
      <c r="G69" s="409">
        <f>(q28_Aux!$V$33+q28_Aux!$V$36)/(q13a!$G$33+q13a!$G$36)</f>
        <v>1411.3163907070161</v>
      </c>
      <c r="H69" s="409">
        <f>(q28_Aux!$W$33+q28_Aux!$W$36)/(q13a!$H$33+q13a!$H$36)</f>
        <v>1401.2854628743373</v>
      </c>
      <c r="I69" s="409">
        <f>(q28_Aux!$X$33+q28_Aux!$X$36)/(q13a!$I$33+q13a!$I$36)</f>
        <v>1418.7610444226523</v>
      </c>
      <c r="J69" s="409">
        <f>(q28_Aux!$Y$33+q28_Aux!$Y$36)/(q13a!$J$33+q13a!$J$36)</f>
        <v>1426.1816510683618</v>
      </c>
      <c r="K69" s="409">
        <f>(q28_Aux!$Z$33+q28_Aux!$Z$36)/(q13a!$K$33+q13a!$K$36)</f>
        <v>1457.4482412740854</v>
      </c>
      <c r="L69" s="409">
        <f>(q28_Aux!$AA$33+q28_Aux!$AA$36)/(q13a!$L$33+q13a!$L$36)</f>
        <v>1476.998339494816</v>
      </c>
      <c r="M69" s="409">
        <f>(q28_Aux!$AB$33+q28_Aux!$AB$36)/(q13a!$M$33+q13a!$M$36)</f>
        <v>1547.5622975632375</v>
      </c>
      <c r="R69" s="414"/>
      <c r="S69" s="414"/>
      <c r="T69" s="414"/>
    </row>
    <row r="70" spans="1:23">
      <c r="B70" s="404" t="str">
        <f>+Aux!$B$94</f>
        <v>65 e + anos</v>
      </c>
      <c r="C70" s="409">
        <f>+q28_Aux!$R$39</f>
        <v>1568.8957003535299</v>
      </c>
      <c r="D70" s="409">
        <f>+q28_Aux!$S$39</f>
        <v>1552.8663450511101</v>
      </c>
      <c r="E70" s="409">
        <f>+q28_Aux!$T$39</f>
        <v>1528.6631959214999</v>
      </c>
      <c r="F70" s="409">
        <f>+q28_Aux!$U$39</f>
        <v>1547.1708255528301</v>
      </c>
      <c r="G70" s="409">
        <f>+q28_Aux!$V$39</f>
        <v>1537.8553152993302</v>
      </c>
      <c r="H70" s="409">
        <f>+q28_Aux!$W$39</f>
        <v>1547.8221634319202</v>
      </c>
      <c r="I70" s="409">
        <f>+q28_Aux!$X$39</f>
        <v>1534.45845917413</v>
      </c>
      <c r="J70" s="409">
        <f>+q28_Aux!$Y$39</f>
        <v>1560.3654636922902</v>
      </c>
      <c r="K70" s="409">
        <f>+q28_Aux!$Z$39</f>
        <v>1639.1636357324701</v>
      </c>
      <c r="L70" s="409">
        <f>+q28_Aux!$AA$39</f>
        <v>1631.3487594923301</v>
      </c>
      <c r="M70" s="409">
        <f>+q28_Aux!$AB$39</f>
        <v>1636.3038519062302</v>
      </c>
    </row>
    <row r="71" spans="1:23">
      <c r="B71" s="404" t="str">
        <f>+Aux!$B$95</f>
        <v>Total</v>
      </c>
      <c r="C71" s="409">
        <f>+q28_Aux!$C$6</f>
        <v>1213.0207353340002</v>
      </c>
      <c r="D71" s="409">
        <f>+q28_Aux!$D$6</f>
        <v>1209.2112926836</v>
      </c>
      <c r="E71" s="409">
        <f>+q28_Aux!$E$6</f>
        <v>1203.3163954215399</v>
      </c>
      <c r="F71" s="409">
        <f>+q28_Aux!$F$6</f>
        <v>1207.7620848918802</v>
      </c>
      <c r="G71" s="409">
        <f>+q28_Aux!$G$6</f>
        <v>1215.1073571470499</v>
      </c>
      <c r="H71" s="409">
        <f>+q28_Aux!$H$6</f>
        <v>1236.8510439336801</v>
      </c>
      <c r="I71" s="409">
        <f>+q28_Aux!$I$6</f>
        <v>1273.9856646448</v>
      </c>
      <c r="J71" s="409">
        <f>+q28_Aux!$J$6</f>
        <v>1312.4262476007902</v>
      </c>
      <c r="K71" s="409">
        <f>+q28_Aux!$K$6</f>
        <v>1349.3525335819299</v>
      </c>
      <c r="L71" s="409">
        <f>+q28_Aux!$L$6</f>
        <v>1395.6950744819503</v>
      </c>
      <c r="M71" s="409">
        <f>+q28_Aux!$M$6</f>
        <v>1476.20345437132</v>
      </c>
    </row>
    <row r="72" spans="1:23">
      <c r="C72" s="375">
        <f>+'q13'!$C$4</f>
        <v>2012</v>
      </c>
      <c r="D72" s="375">
        <f>+'q13'!$D$4</f>
        <v>2013</v>
      </c>
      <c r="E72" s="375">
        <f>+'q13'!$E$4</f>
        <v>2014</v>
      </c>
      <c r="F72" s="375">
        <f>+'q13'!$F$4</f>
        <v>2015</v>
      </c>
      <c r="G72" s="375">
        <f>+'q13'!$G$4</f>
        <v>2016</v>
      </c>
      <c r="H72" s="375">
        <f>+'q13'!$H$4</f>
        <v>2017</v>
      </c>
      <c r="I72" s="375">
        <f>+'q13'!$I$4</f>
        <v>2018</v>
      </c>
      <c r="J72" s="375">
        <f>+'q13'!$J$4</f>
        <v>2019</v>
      </c>
      <c r="K72" s="375">
        <f>+'q13'!$K$4</f>
        <v>2020</v>
      </c>
      <c r="L72" s="375">
        <f>+'q13'!$L$4</f>
        <v>2021</v>
      </c>
      <c r="M72" s="375">
        <f>+'q13'!$M$4</f>
        <v>2022</v>
      </c>
      <c r="S72" s="405"/>
    </row>
    <row r="73" spans="1:23">
      <c r="A73" s="411" t="s">
        <v>117</v>
      </c>
      <c r="B73" s="404" t="str">
        <f>+Aux!$B$88</f>
        <v>&lt; 18 anos</v>
      </c>
      <c r="C73" s="409">
        <f>+q28_Aux!$R$10</f>
        <v>546.41823170731709</v>
      </c>
      <c r="D73" s="409">
        <f>+q28_Aux!$S$10</f>
        <v>574.46080882352908</v>
      </c>
      <c r="E73" s="409">
        <f>+q28_Aux!$T$10</f>
        <v>590.634111111111</v>
      </c>
      <c r="F73" s="409">
        <f>+q28_Aux!$U$10</f>
        <v>590.92171052631602</v>
      </c>
      <c r="G73" s="409">
        <f>+q28_Aux!$V$10</f>
        <v>620.16355263157902</v>
      </c>
      <c r="H73" s="409">
        <f>+q28_Aux!$W$10</f>
        <v>647.80590476190514</v>
      </c>
      <c r="I73" s="409">
        <f>+q28_Aux!$X$10</f>
        <v>696.86358333333305</v>
      </c>
      <c r="J73" s="409">
        <f>+q28_Aux!$Y$10</f>
        <v>782.86135416666707</v>
      </c>
      <c r="K73" s="409">
        <f>+q28_Aux!$Z$10</f>
        <v>744.23609756097596</v>
      </c>
      <c r="L73" s="409">
        <f>+q28_Aux!$AA$10</f>
        <v>762.77812500000005</v>
      </c>
      <c r="M73" s="409">
        <f>+q28_Aux!$AB$10</f>
        <v>833.0704950495051</v>
      </c>
    </row>
    <row r="74" spans="1:23">
      <c r="B74" s="404" t="str">
        <f>+Aux!$B$89</f>
        <v>18 - 24 anos</v>
      </c>
      <c r="C74" s="409">
        <f>+q28_Aux!$R$13</f>
        <v>673.27407034002204</v>
      </c>
      <c r="D74" s="409">
        <f>+q28_Aux!$S$13</f>
        <v>666.16011360746108</v>
      </c>
      <c r="E74" s="409">
        <f>+q28_Aux!$T$13</f>
        <v>675.00063031909406</v>
      </c>
      <c r="F74" s="409">
        <f>+q28_Aux!$U$13</f>
        <v>688.00695413787207</v>
      </c>
      <c r="G74" s="409">
        <f>+q28_Aux!$V$13</f>
        <v>711.72341053603816</v>
      </c>
      <c r="H74" s="409">
        <f>+q28_Aux!$W$13</f>
        <v>749.37493306374006</v>
      </c>
      <c r="I74" s="409">
        <f>+q28_Aux!$X$13</f>
        <v>786.475637503641</v>
      </c>
      <c r="J74" s="409">
        <f>+q28_Aux!$Y$13</f>
        <v>827.94539329821612</v>
      </c>
      <c r="K74" s="409">
        <f>+q28_Aux!$Z$13</f>
        <v>870.50197118888207</v>
      </c>
      <c r="L74" s="409">
        <f>+q28_Aux!$AA$13</f>
        <v>912.90465345083214</v>
      </c>
      <c r="M74" s="409">
        <f>+q28_Aux!$AB$13</f>
        <v>974.41249779032307</v>
      </c>
      <c r="P74" s="375" t="s">
        <v>450</v>
      </c>
    </row>
    <row r="75" spans="1:23">
      <c r="B75" s="404" t="str">
        <f>+Aux!$B$90</f>
        <v>25 - 34 anos</v>
      </c>
      <c r="C75" s="409">
        <f>(q28_Aux!$R$16+q28_Aux!$R$19)/(q13a!$C$16+q13a!$C$19)</f>
        <v>900.37618014783914</v>
      </c>
      <c r="D75" s="409">
        <f>(q28_Aux!$S$16+q28_Aux!$S$19)/(q13a!$D$16+q13a!$D$19)</f>
        <v>887.73907947547161</v>
      </c>
      <c r="E75" s="409">
        <f>(q28_Aux!$T$16+q28_Aux!$T$19)/(q13a!$E$16+q13a!$E$19)</f>
        <v>884.35797265085398</v>
      </c>
      <c r="F75" s="409">
        <f>(q28_Aux!$U$16+q28_Aux!$U$19)/(q13a!$F$16+q13a!$F$19)</f>
        <v>884.39423068847907</v>
      </c>
      <c r="G75" s="409">
        <f>(q28_Aux!$V$16+q28_Aux!$V$19)/(q13a!$G$16+q13a!$G$19)</f>
        <v>900.34724836047008</v>
      </c>
      <c r="H75" s="409">
        <f>(q28_Aux!$W$16+q28_Aux!$W$19)/(q13a!$H$16+q13a!$H$19)</f>
        <v>931.11161765809993</v>
      </c>
      <c r="I75" s="409">
        <f>(q28_Aux!$X$16+q28_Aux!$X$19)/(q13a!$I$16+q13a!$I$19)</f>
        <v>967.41410855939716</v>
      </c>
      <c r="J75" s="409">
        <f>(q28_Aux!$Y$16+q28_Aux!$Y$19)/(q13a!$J$16+q13a!$J$19)</f>
        <v>1018.662085036494</v>
      </c>
      <c r="K75" s="409">
        <f>(q28_Aux!$Z$16+q28_Aux!$Z$19)/(q13a!$K$16+q13a!$K$19)</f>
        <v>1065.0134823658991</v>
      </c>
      <c r="L75" s="409">
        <f>(q28_Aux!$AA$16+q28_Aux!$AA$19)/(q13a!$L$16+q13a!$L$19)</f>
        <v>1116.2673219962378</v>
      </c>
      <c r="M75" s="409">
        <f>(q28_Aux!$AB$16+q28_Aux!$AB$19)/(q13a!$M$16+q13a!$M$19)</f>
        <v>1193.84189463488</v>
      </c>
      <c r="P75" s="404">
        <f>INDEX($A$2:$A$12,$P$9)</f>
        <v>2022</v>
      </c>
      <c r="Q75" s="375" t="s">
        <v>447</v>
      </c>
    </row>
    <row r="76" spans="1:23">
      <c r="B76" s="404" t="str">
        <f>+Aux!$B$91</f>
        <v>35 - 44 anos</v>
      </c>
      <c r="C76" s="409">
        <f>(q28_Aux!$R$22+q28_Aux!$R$25)/(q13a!$C$22+q13a!$C$25)</f>
        <v>1035.6782544780067</v>
      </c>
      <c r="D76" s="409">
        <f>(q28_Aux!$S$22+q28_Aux!$S$25)/(q13a!$D$22+q13a!$D$25)</f>
        <v>1040.2402009301179</v>
      </c>
      <c r="E76" s="409">
        <f>(q28_Aux!$T$22+q28_Aux!$T$25)/(q13a!$E$22+q13a!$E$25)</f>
        <v>1046.0360818168976</v>
      </c>
      <c r="F76" s="409">
        <f>(q28_Aux!$U$22+q28_Aux!$U$25)/(q13a!$F$22+q13a!$F$25)</f>
        <v>1047.7719803465825</v>
      </c>
      <c r="G76" s="409">
        <f>(q28_Aux!$V$22+q28_Aux!$V$25)/(q13a!$G$22+q13a!$G$25)</f>
        <v>1060.7406407771398</v>
      </c>
      <c r="H76" s="409">
        <f>(q28_Aux!$W$22+q28_Aux!$W$25)/(q13a!$H$22+q13a!$H$25)</f>
        <v>1087.819603398533</v>
      </c>
      <c r="I76" s="409">
        <f>(q28_Aux!$X$22+q28_Aux!$X$25)/(q13a!$I$22+q13a!$I$25)</f>
        <v>1119.9351447136605</v>
      </c>
      <c r="J76" s="409">
        <f>(q28_Aux!$Y$22+q28_Aux!$Y$25)/(q13a!$J$22+q13a!$J$25)</f>
        <v>1158.2252922342768</v>
      </c>
      <c r="K76" s="409">
        <f>(q28_Aux!$Z$22+q28_Aux!$Z$25)/(q13a!$K$22+q13a!$K$25)</f>
        <v>1194.566574302728</v>
      </c>
      <c r="L76" s="409">
        <f>(q28_Aux!$AA$22+q28_Aux!$AA$25)/(q13a!$L$22+q13a!$L$25)</f>
        <v>1230.2904252805076</v>
      </c>
      <c r="M76" s="409">
        <f>(q28_Aux!$AB$22+q28_Aux!$AB$25)/(q13a!$M$22+q13a!$M$25)</f>
        <v>1293.6479865785413</v>
      </c>
      <c r="R76" s="375" t="s">
        <v>186</v>
      </c>
      <c r="S76" s="375" t="s">
        <v>451</v>
      </c>
      <c r="T76" s="375"/>
    </row>
    <row r="77" spans="1:23">
      <c r="B77" s="404" t="str">
        <f>+Aux!$B$92</f>
        <v>45 - 54 anos</v>
      </c>
      <c r="C77" s="409">
        <f>(q28_Aux!$R$28+q28_Aux!$R$31)/(q13a!$C$28+q13a!$C$31)</f>
        <v>979.53871522874977</v>
      </c>
      <c r="D77" s="409">
        <f>(q28_Aux!$S$28+q28_Aux!$S$31)/(q13a!$D$28+q13a!$D$31)</f>
        <v>985.59455928069474</v>
      </c>
      <c r="E77" s="409">
        <f>(q28_Aux!$T$28+q28_Aux!$T$31)/(q13a!$E$28+q13a!$E$31)</f>
        <v>992.19193965661907</v>
      </c>
      <c r="F77" s="409">
        <f>(q28_Aux!$U$28+q28_Aux!$U$31)/(q13a!$F$28+q13a!$F$31)</f>
        <v>999.77661697843178</v>
      </c>
      <c r="G77" s="409">
        <f>(q28_Aux!$V$28+q28_Aux!$V$31)/(q13a!$G$28+q13a!$G$31)</f>
        <v>1022.0796083630695</v>
      </c>
      <c r="H77" s="409">
        <f>(q28_Aux!$W$28+q28_Aux!$W$31)/(q13a!$H$28+q13a!$H$31)</f>
        <v>1056.2995052481174</v>
      </c>
      <c r="I77" s="409">
        <f>(q28_Aux!$X$28+q28_Aux!$X$31)/(q13a!$I$28+q13a!$I$31)</f>
        <v>1100.567251100352</v>
      </c>
      <c r="J77" s="409">
        <f>(q28_Aux!$Y$28+q28_Aux!$Y$31)/(q13a!$J$28+q13a!$J$31)</f>
        <v>1145.9967337805012</v>
      </c>
      <c r="K77" s="409">
        <f>(q28_Aux!$Z$28+q28_Aux!$Z$31)/(q13a!$K$28+q13a!$K$31)</f>
        <v>1191.6015284044918</v>
      </c>
      <c r="L77" s="409">
        <f>(q28_Aux!$AA$28+q28_Aux!$AA$31)/(q13a!$L$28+q13a!$L$31)</f>
        <v>1236.4014787686237</v>
      </c>
      <c r="M77" s="409">
        <f>(q28_Aux!$AB$28+q28_Aux!$AB$31)/(q13a!$M$28+q13a!$M$31)</f>
        <v>1309.6343644321175</v>
      </c>
      <c r="Q77" s="404" t="s">
        <v>448</v>
      </c>
      <c r="R77" s="413">
        <f t="shared" ref="R77:R82" si="8">INDEX($B$202:$M$208,MATCH($Q$71:$Q$82,$B$202:$B$208,0),MATCH($P$75,$B$202:$M$202,0))</f>
        <v>5907</v>
      </c>
      <c r="S77" s="414">
        <f t="shared" ref="S77:S82" si="9">IF($S$74=1,INDEX($B$212:$M$218,MATCH($Q$77:$Q$82,$B$212:$B$218,0),MATCH($P$75,$B$212:$M$212,0)),INDEX($B$222:$M$228,MATCH($Q$77:$Q$82,$B$222:$B$228,0),MATCH($P$75,$B$222:$M$222,0)))</f>
        <v>892.87459454884197</v>
      </c>
      <c r="T77" s="481">
        <f>+R77/$R$82</f>
        <v>2.4859907874829291E-3</v>
      </c>
    </row>
    <row r="78" spans="1:23">
      <c r="B78" s="404" t="str">
        <f>+Aux!$B$93</f>
        <v>55 - 64 anos</v>
      </c>
      <c r="C78" s="409">
        <f>(q28_Aux!$R$34+q28_Aux!$R$37)/(q13a!$C$34+q13a!$C$37)</f>
        <v>976.00123130467489</v>
      </c>
      <c r="D78" s="409">
        <f>(q28_Aux!$S$34+q28_Aux!$S$37)/(q13a!$D$34+q13a!$D$37)</f>
        <v>975.19094107288879</v>
      </c>
      <c r="E78" s="409">
        <f>(q28_Aux!$T$34+q28_Aux!$T$37)/(q13a!$E$34+q13a!$E$37)</f>
        <v>983.54228556742282</v>
      </c>
      <c r="F78" s="409">
        <f>(q28_Aux!$U$34+q28_Aux!$U$37)/(q13a!$F$34+q13a!$F$37)</f>
        <v>987.11883930725605</v>
      </c>
      <c r="G78" s="409">
        <f>(q28_Aux!$V$34+q28_Aux!$V$37)/(q13a!$G$34+q13a!$G$37)</f>
        <v>991.87312142496046</v>
      </c>
      <c r="H78" s="409">
        <f>(q28_Aux!$W$34+q28_Aux!$W$37)/(q13a!$H$34+q13a!$H$37)</f>
        <v>1011.0057686263597</v>
      </c>
      <c r="I78" s="409">
        <f>(q28_Aux!$X$34+q28_Aux!$X$37)/(q13a!$I$34+q13a!$I$37)</f>
        <v>1039.8274232217896</v>
      </c>
      <c r="J78" s="409">
        <f>(q28_Aux!$Y$34+q28_Aux!$Y$37)/(q13a!$J$34+q13a!$J$37)</f>
        <v>1060.3695461240666</v>
      </c>
      <c r="K78" s="409">
        <f>(q28_Aux!$Z$34+q28_Aux!$Z$37)/(q13a!$K$34+q13a!$K$37)</f>
        <v>1099.1100412292694</v>
      </c>
      <c r="L78" s="409">
        <f>(q28_Aux!$AA$34+q28_Aux!$AA$37)/(q13a!$L$34+q13a!$L$37)</f>
        <v>1132.1173258325896</v>
      </c>
      <c r="M78" s="409">
        <f>(q28_Aux!$AB$34+q28_Aux!$AB$37)/(q13a!$M$34+q13a!$M$37)</f>
        <v>1182.826181419405</v>
      </c>
      <c r="Q78" s="404" t="s">
        <v>192</v>
      </c>
      <c r="R78" s="413">
        <f t="shared" si="8"/>
        <v>953672</v>
      </c>
      <c r="S78" s="414">
        <f t="shared" si="9"/>
        <v>1044.0300886364023</v>
      </c>
      <c r="T78" s="481">
        <f t="shared" ref="T78:T81" si="10">+R78/$R$82</f>
        <v>0.40135767839519554</v>
      </c>
    </row>
    <row r="79" spans="1:23">
      <c r="B79" s="404" t="str">
        <f>+Aux!$B$94</f>
        <v>65 e + anos</v>
      </c>
      <c r="C79" s="409">
        <f>+q28_Aux!$R$40</f>
        <v>1023.8968062201001</v>
      </c>
      <c r="D79" s="409">
        <f>+q28_Aux!$S$40</f>
        <v>1027.8347399809202</v>
      </c>
      <c r="E79" s="409">
        <f>+q28_Aux!$T$40</f>
        <v>986.89783520599315</v>
      </c>
      <c r="F79" s="409">
        <f>+q28_Aux!$U$40</f>
        <v>1010.3077693282601</v>
      </c>
      <c r="G79" s="409">
        <f>+q28_Aux!$V$40</f>
        <v>1024.6064800443501</v>
      </c>
      <c r="H79" s="409">
        <f>+q28_Aux!$W$40</f>
        <v>1018.2325988416001</v>
      </c>
      <c r="I79" s="409">
        <f>+q28_Aux!$X$40</f>
        <v>1057.3807316276502</v>
      </c>
      <c r="J79" s="409">
        <f>+q28_Aux!$Y$40</f>
        <v>1112.47286440678</v>
      </c>
      <c r="K79" s="409">
        <f>+q28_Aux!$Z$40</f>
        <v>1155.69968313047</v>
      </c>
      <c r="L79" s="409">
        <f>+q28_Aux!$AA$40</f>
        <v>1201.99739045244</v>
      </c>
      <c r="M79" s="409">
        <f>+q28_Aux!$AB$40</f>
        <v>1240.21208712413</v>
      </c>
      <c r="Q79" s="404" t="s">
        <v>237</v>
      </c>
      <c r="R79" s="413">
        <f t="shared" si="8"/>
        <v>796744</v>
      </c>
      <c r="S79" s="414">
        <f t="shared" si="9"/>
        <v>1217.5678494347055</v>
      </c>
      <c r="T79" s="481">
        <f t="shared" si="10"/>
        <v>0.33531373691929894</v>
      </c>
      <c r="U79" s="409">
        <f>+T79+T80</f>
        <v>0.59331934691713162</v>
      </c>
    </row>
    <row r="80" spans="1:23">
      <c r="B80" s="404" t="str">
        <f>+Aux!$B$95</f>
        <v>Total</v>
      </c>
      <c r="C80" s="409">
        <f>+q28_Aux!$C$7</f>
        <v>956.51135558425801</v>
      </c>
      <c r="D80" s="409">
        <f>+q28_Aux!$D$7</f>
        <v>958.1169410237261</v>
      </c>
      <c r="E80" s="409">
        <f>+q28_Aux!$E$7</f>
        <v>963.11657750883012</v>
      </c>
      <c r="F80" s="409">
        <f>+q28_Aux!$F$7</f>
        <v>966.85175731037509</v>
      </c>
      <c r="G80" s="409">
        <f>+q28_Aux!$G$7</f>
        <v>982.48629518294808</v>
      </c>
      <c r="H80" s="409">
        <f>+q28_Aux!$H$7</f>
        <v>1011.0188687181301</v>
      </c>
      <c r="I80" s="409">
        <f>+q28_Aux!$I$7</f>
        <v>1046.5864208241201</v>
      </c>
      <c r="J80" s="409">
        <f>+q28_Aux!$J$7</f>
        <v>1086.9729161883299</v>
      </c>
      <c r="K80" s="409">
        <f>+q28_Aux!$K$7</f>
        <v>1130.8674354246</v>
      </c>
      <c r="L80" s="409">
        <f>+q28_Aux!$L$7</f>
        <v>1172.0779291766798</v>
      </c>
      <c r="M80" s="409">
        <f>+q28_Aux!$M$7</f>
        <v>1237.52369998673</v>
      </c>
      <c r="Q80" s="404" t="s">
        <v>452</v>
      </c>
      <c r="R80" s="413">
        <f t="shared" si="8"/>
        <v>613051</v>
      </c>
      <c r="S80" s="414">
        <f t="shared" si="9"/>
        <v>2072.8573535318387</v>
      </c>
      <c r="T80" s="481">
        <f t="shared" si="10"/>
        <v>0.25800560999783262</v>
      </c>
    </row>
    <row r="81" spans="1:53">
      <c r="C81" s="375">
        <f>+'q13'!$C$4</f>
        <v>2012</v>
      </c>
      <c r="D81" s="375">
        <f>+'q13'!$D$4</f>
        <v>2013</v>
      </c>
      <c r="E81" s="375">
        <f>+'q13'!$E$4</f>
        <v>2014</v>
      </c>
      <c r="F81" s="375">
        <f>+'q13'!$F$4</f>
        <v>2015</v>
      </c>
      <c r="G81" s="375">
        <f>+'q13'!$G$4</f>
        <v>2016</v>
      </c>
      <c r="H81" s="375">
        <f>+'q13'!$H$4</f>
        <v>2017</v>
      </c>
      <c r="I81" s="375">
        <f>+'q13'!$I$4</f>
        <v>2018</v>
      </c>
      <c r="J81" s="375">
        <f>+'q13'!$J$4</f>
        <v>2019</v>
      </c>
      <c r="K81" s="375">
        <f>+'q13'!$K$4</f>
        <v>2020</v>
      </c>
      <c r="L81" s="375">
        <f>+'q13'!$L$4</f>
        <v>2021</v>
      </c>
      <c r="M81" s="375">
        <f>+'q13'!$M$4</f>
        <v>2022</v>
      </c>
      <c r="Q81" s="404" t="s">
        <v>13</v>
      </c>
      <c r="R81" s="413">
        <f t="shared" si="8"/>
        <v>6741</v>
      </c>
      <c r="S81" s="414">
        <f t="shared" si="9"/>
        <v>1293.6368580329358</v>
      </c>
      <c r="T81" s="481">
        <f t="shared" si="10"/>
        <v>2.8369839001900162E-3</v>
      </c>
    </row>
    <row r="82" spans="1:53">
      <c r="A82" s="411" t="s">
        <v>12</v>
      </c>
      <c r="B82" s="404" t="str">
        <f>+Aux!$B$88</f>
        <v>&lt; 18 anos</v>
      </c>
      <c r="C82" s="409">
        <f>+q28_Aux!$R$8</f>
        <v>579.52568067226912</v>
      </c>
      <c r="D82" s="409">
        <f>+q28_Aux!$S$8</f>
        <v>626.53287804878005</v>
      </c>
      <c r="E82" s="409">
        <f>+q28_Aux!$T$8</f>
        <v>752.91372623574102</v>
      </c>
      <c r="F82" s="409">
        <f>+q28_Aux!$U$8</f>
        <v>711.88108333333309</v>
      </c>
      <c r="G82" s="409">
        <f>+q28_Aux!$V$8</f>
        <v>759.20947565543111</v>
      </c>
      <c r="H82" s="409">
        <f>+q28_Aux!$W$8</f>
        <v>761.63557894736812</v>
      </c>
      <c r="I82" s="409">
        <f>+q28_Aux!$X$8</f>
        <v>775.7415860215051</v>
      </c>
      <c r="J82" s="409">
        <f>+q28_Aux!$Y$8</f>
        <v>1016.7592550143301</v>
      </c>
      <c r="K82" s="409">
        <f>+q28_Aux!$Z$8</f>
        <v>1233.4969264069302</v>
      </c>
      <c r="L82" s="409">
        <f>+q28_Aux!$AA$8</f>
        <v>1171.6421631205699</v>
      </c>
      <c r="M82" s="409">
        <f>+q28_Aux!$AB$8</f>
        <v>1142.1032360742699</v>
      </c>
      <c r="Q82" s="404" t="s">
        <v>12</v>
      </c>
      <c r="R82" s="413">
        <f t="shared" si="8"/>
        <v>2376115</v>
      </c>
      <c r="S82" s="414">
        <f t="shared" si="9"/>
        <v>1367.995248988339</v>
      </c>
      <c r="T82" s="421"/>
    </row>
    <row r="83" spans="1:53">
      <c r="B83" s="404" t="str">
        <f>+Aux!$B$89</f>
        <v>18 - 24 anos</v>
      </c>
      <c r="C83" s="409">
        <f>+q28_Aux!$R$11</f>
        <v>725.36360949234006</v>
      </c>
      <c r="D83" s="409">
        <f>+q28_Aux!$S$11</f>
        <v>715.26038767845102</v>
      </c>
      <c r="E83" s="409">
        <f>+q28_Aux!$T$11</f>
        <v>719.19943383557609</v>
      </c>
      <c r="F83" s="409">
        <f>+q28_Aux!$U$11</f>
        <v>733.68816429448304</v>
      </c>
      <c r="G83" s="409">
        <f>+q28_Aux!$V$11</f>
        <v>753.40961690834013</v>
      </c>
      <c r="H83" s="409">
        <f>+q28_Aux!$W$11</f>
        <v>788.29137384927412</v>
      </c>
      <c r="I83" s="409">
        <f>+q28_Aux!$X$11</f>
        <v>827.84147240876302</v>
      </c>
      <c r="J83" s="409">
        <f>+q28_Aux!$Y$11</f>
        <v>871.35192145880296</v>
      </c>
      <c r="K83" s="409">
        <f>+q28_Aux!$Z$11</f>
        <v>910.79519282836304</v>
      </c>
      <c r="L83" s="409">
        <f>+q28_Aux!$AA$11</f>
        <v>948.81305868554409</v>
      </c>
      <c r="M83" s="409">
        <f>+q28_Aux!$AB$11</f>
        <v>1015.84021545265</v>
      </c>
      <c r="R83" s="413"/>
    </row>
    <row r="84" spans="1:53">
      <c r="B84" s="404" t="str">
        <f>+Aux!$B$90</f>
        <v>25 - 34 anos</v>
      </c>
      <c r="C84" s="409">
        <f>(q28_Aux!$R$14+q28_Aux!$R$17)/(q13a!$C$14+q13a!$C$17)</f>
        <v>954.45967412910716</v>
      </c>
      <c r="D84" s="409">
        <f>(q28_Aux!$S$14+q28_Aux!$S$17)/(q13a!$D$14+q13a!$D$17)</f>
        <v>941.17461097540763</v>
      </c>
      <c r="E84" s="409">
        <f>(q28_Aux!$T$14+q28_Aux!$T$17)/(q13a!$E$14+q13a!$E$17)</f>
        <v>934.32235837445819</v>
      </c>
      <c r="F84" s="409">
        <f>(q28_Aux!$U$14+q28_Aux!$U$17)/(q13a!$F$14+q13a!$F$17)</f>
        <v>939.16619822979112</v>
      </c>
      <c r="G84" s="409">
        <f>(q28_Aux!$V$14+q28_Aux!$V$17)/(q13a!$G$14+q13a!$G$17)</f>
        <v>954.30916855182545</v>
      </c>
      <c r="H84" s="409">
        <f>(q28_Aux!$W$14+q28_Aux!$W$17)/(q13a!$H$14+q13a!$H$17)</f>
        <v>989.16015448100336</v>
      </c>
      <c r="I84" s="409">
        <f>(q28_Aux!$X$14+q28_Aux!$X$17)/(q13a!$I$14+q13a!$I$17)</f>
        <v>1033.3607480687047</v>
      </c>
      <c r="J84" s="409">
        <f>(q28_Aux!$Y$14+q28_Aux!$Y$17)/(q13a!$J$14+q13a!$J$17)</f>
        <v>1084.7415787526247</v>
      </c>
      <c r="K84" s="409">
        <f>(q28_Aux!$Z$14+q28_Aux!$Z$17)/(q13a!$K$14+q13a!$K$17)</f>
        <v>1127.2134020984402</v>
      </c>
      <c r="L84" s="409">
        <f>(q28_Aux!$AA$14+q28_Aux!$AA$17)/(q13a!$L$14+q13a!$L$17)</f>
        <v>1182.4504350956249</v>
      </c>
      <c r="M84" s="409">
        <f>(q28_Aux!$AB$14+q28_Aux!$AB$17)/(q13a!$M$14+q13a!$M$17)</f>
        <v>1264.5021188910073</v>
      </c>
      <c r="R84" s="413"/>
    </row>
    <row r="85" spans="1:53" ht="12" customHeight="1">
      <c r="B85" s="404" t="str">
        <f>+Aux!$B$91</f>
        <v>35 - 44 anos</v>
      </c>
      <c r="C85" s="409">
        <f>(q28_Aux!$R$20+q28_Aux!$R$23)/(q13a!$C$20+q13a!$C$23)</f>
        <v>1165.3628090162615</v>
      </c>
      <c r="D85" s="409">
        <f>(q28_Aux!$S$20+q28_Aux!$S$23)/(q13a!$D$20+q13a!$D$23)</f>
        <v>1161.8179915506955</v>
      </c>
      <c r="E85" s="409">
        <f>(q28_Aux!$T$20+q28_Aux!$T$23)/(q13a!$E$20+q13a!$E$23)</f>
        <v>1161.0482101338482</v>
      </c>
      <c r="F85" s="409">
        <f>(q28_Aux!$U$20+q28_Aux!$U$23)/(q13a!$F$20+q13a!$F$23)</f>
        <v>1159.8816971855431</v>
      </c>
      <c r="G85" s="409">
        <f>(q28_Aux!$V$20+q28_Aux!$V$23)/(q13a!$G$20+q13a!$G$23)</f>
        <v>1168.9929472563499</v>
      </c>
      <c r="H85" s="409">
        <f>(q28_Aux!$W$20+q28_Aux!$W$23)/(q13a!$H$20+q13a!$H$23)</f>
        <v>1191.7284599115919</v>
      </c>
      <c r="I85" s="409">
        <f>(q28_Aux!$X$20+q28_Aux!$X$23)/(q13a!$I$20+q13a!$I$23)</f>
        <v>1226.9928918069375</v>
      </c>
      <c r="J85" s="409">
        <f>(q28_Aux!$Y$20+q28_Aux!$Y$23)/(q13a!$J$20+q13a!$J$23)</f>
        <v>1267.8076674587162</v>
      </c>
      <c r="K85" s="409">
        <f>(q28_Aux!$Z$20+q28_Aux!$Z$23)/(q13a!$K$20+q13a!$K$23)</f>
        <v>1298.1384786932958</v>
      </c>
      <c r="L85" s="409">
        <f>(q28_Aux!$AA$20+q28_Aux!$AA$23)/(q13a!$L$20+q13a!$L$23)</f>
        <v>1342.9871940684397</v>
      </c>
      <c r="M85" s="409">
        <f>(q28_Aux!$AB$20+q28_Aux!$AB$23)/(q13a!$M$20+q13a!$M$23)</f>
        <v>1420.7261792184404</v>
      </c>
      <c r="X85" s="422"/>
      <c r="Y85" s="422"/>
      <c r="Z85" s="422"/>
      <c r="AA85" s="445"/>
      <c r="AB85" s="445"/>
      <c r="AM85" s="404">
        <f>+P95</f>
        <v>2022</v>
      </c>
      <c r="AN85" s="404" t="s">
        <v>524</v>
      </c>
    </row>
    <row r="86" spans="1:53" ht="15.75" customHeight="1">
      <c r="B86" s="404" t="str">
        <f>+Aux!$B$92</f>
        <v>45 - 54 anos</v>
      </c>
      <c r="C86" s="409">
        <f>(q28_Aux!$R$26+q28_Aux!$R$29)/(q13a!$C$26+q13a!$C$29)</f>
        <v>1190.8549473681821</v>
      </c>
      <c r="D86" s="409">
        <f>(q28_Aux!$S$26+q28_Aux!$S$29)/(q13a!$D$26+q13a!$D$29)</f>
        <v>1188.9321836222673</v>
      </c>
      <c r="E86" s="409">
        <f>(q28_Aux!$T$26+q28_Aux!$T$29)/(q13a!$E$26+q13a!$E$29)</f>
        <v>1185.179890765424</v>
      </c>
      <c r="F86" s="409">
        <f>(q28_Aux!$U$26+q28_Aux!$U$29)/(q13a!$F$26+q13a!$F$29)</f>
        <v>1188.6735331581597</v>
      </c>
      <c r="G86" s="409">
        <f>(q28_Aux!$V$26+q28_Aux!$V$29)/(q13a!$G$26+q13a!$G$29)</f>
        <v>1202.1265885817641</v>
      </c>
      <c r="H86" s="409">
        <f>(q28_Aux!$W$26+q28_Aux!$W$29)/(q13a!$H$26+q13a!$H$29)</f>
        <v>1229.8132556692515</v>
      </c>
      <c r="I86" s="409">
        <f>(q28_Aux!$X$26+q28_Aux!$X$29)/(q13a!$I$26+q13a!$I$29)</f>
        <v>1270.9194780014782</v>
      </c>
      <c r="J86" s="409">
        <f>(q28_Aux!$Y$26+q28_Aux!$Y$29)/(q13a!$J$26+q13a!$J$29)</f>
        <v>1314.2999443160013</v>
      </c>
      <c r="K86" s="409">
        <f>(q28_Aux!$Z$26+q28_Aux!$Z$29)/(q13a!$K$26+q13a!$K$29)</f>
        <v>1355.4247911769128</v>
      </c>
      <c r="L86" s="409">
        <f>(q28_Aux!$AA$26+q28_Aux!$AA$29)/(q13a!$L$26+q13a!$L$29)</f>
        <v>1398.4715204410531</v>
      </c>
      <c r="M86" s="409">
        <f>(q28_Aux!$AB$26+q28_Aux!$AB$29)/(q13a!$M$26+q13a!$M$29)</f>
        <v>1480.6143985778126</v>
      </c>
      <c r="U86" s="404">
        <f>+P75</f>
        <v>2022</v>
      </c>
      <c r="V86" s="404" t="s">
        <v>506</v>
      </c>
      <c r="W86" s="422" t="str">
        <f>CONCATENATE(U86,V86,CHAR(10),U87,U88)</f>
        <v>2022:
59,3% dos TCO tinham os Ensinos Secundário e Superior completos.</v>
      </c>
      <c r="X86" s="422"/>
      <c r="Y86" s="422"/>
      <c r="Z86" s="422"/>
      <c r="AA86" s="445"/>
      <c r="AB86" s="445"/>
      <c r="AM86" s="404" t="s">
        <v>525</v>
      </c>
      <c r="AP86" s="404" t="s">
        <v>528</v>
      </c>
      <c r="AR86" s="404" t="s">
        <v>510</v>
      </c>
      <c r="AT86" s="404" t="s">
        <v>511</v>
      </c>
      <c r="AX86" s="597" t="str">
        <f>CONCATENATE(AM85," - ",AN85,CHAR(10),AM86," ",AM87,AM88," ",AN89,AM90,AM91,AM92," ",AN93,AM94,AM95,AN95,CHAR(10),AP86," ",AP87," ",AQ88," ",AP89," ",AP90," ",AQ91,AP92)</f>
        <v>2022 - Continente:
Base: 83,6% do Ganho, entre 858 € (18 - 24 anos) e  1.298 €  (65 e + anos).
Ganho: Entre 1.016 €  e 1.489 €, nos mesmos grupos etários, respetivamente.</v>
      </c>
      <c r="AY86" s="597"/>
      <c r="AZ86" s="597"/>
      <c r="BA86" s="597"/>
    </row>
    <row r="87" spans="1:53">
      <c r="B87" s="404" t="str">
        <f>+Aux!$B$93</f>
        <v>55 - 64 anos</v>
      </c>
      <c r="C87" s="409">
        <f>(q28_Aux!$R$32+q28_Aux!$R$35)/(q13a!$C$32+q13a!$C$35)</f>
        <v>1263.1538367711537</v>
      </c>
      <c r="D87" s="409">
        <f>(q28_Aux!$S$32+q28_Aux!$S$35)/(q13a!$D$32+q13a!$D$35)</f>
        <v>1256.0238445983448</v>
      </c>
      <c r="E87" s="409">
        <f>(q28_Aux!$T$32+q28_Aux!$T$35)/(q13a!$E$32+q13a!$E$35)</f>
        <v>1246.3911656560617</v>
      </c>
      <c r="F87" s="409">
        <f>(q28_Aux!$U$32+q28_Aux!$U$35)/(q13a!$F$32+q13a!$F$35)</f>
        <v>1241.8007969477826</v>
      </c>
      <c r="G87" s="409">
        <f>(q28_Aux!$V$32+q28_Aux!$V$35)/(q13a!$G$32+q13a!$G$35)</f>
        <v>1234.0279102642642</v>
      </c>
      <c r="H87" s="409">
        <f>(q28_Aux!$W$32+q28_Aux!$W$35)/(q13a!$H$32+q13a!$H$35)</f>
        <v>1237.2372960435464</v>
      </c>
      <c r="I87" s="409">
        <f>(q28_Aux!$X$32+q28_Aux!$X$35)/(q13a!$I$32+q13a!$I$35)</f>
        <v>1258.2104918003624</v>
      </c>
      <c r="J87" s="409">
        <f>(q28_Aux!$Y$32+q28_Aux!$Y$35)/(q13a!$J$32+q13a!$J$35)</f>
        <v>1270.2464910793913</v>
      </c>
      <c r="K87" s="409">
        <f>(q28_Aux!$Z$32+q28_Aux!$Z$35)/(q13a!$K$32+q13a!$K$35)</f>
        <v>1304.3578228631013</v>
      </c>
      <c r="L87" s="409">
        <f>(q28_Aux!$AA$32+q28_Aux!$AA$35)/(q13a!$L$32+q13a!$L$35)</f>
        <v>1327.718443774975</v>
      </c>
      <c r="M87" s="409">
        <f>(q28_Aux!$AB$32+q28_Aux!$AB$35)/(q13a!$M$32+q13a!$M$35)</f>
        <v>1387.7535657036681</v>
      </c>
      <c r="U87" s="424" t="str">
        <f>TEXT(U79,"##.###,0%")</f>
        <v>59,3%</v>
      </c>
      <c r="AK87" s="404">
        <f>+COLUMN(AC96)</f>
        <v>29</v>
      </c>
      <c r="AM87" s="435" t="str">
        <f>+TEXT(Y104,"##.###,0%")</f>
        <v>83,6%</v>
      </c>
      <c r="AP87" s="435" t="s">
        <v>529</v>
      </c>
      <c r="AR87" s="435" t="str">
        <f>TEXT($AA$104,"##.###,0%")</f>
        <v>86,6%</v>
      </c>
      <c r="AS87" s="404" t="s">
        <v>578</v>
      </c>
      <c r="AT87" s="435" t="str">
        <f>TEXT($AB$104,"##.###,0%")</f>
        <v>83,8%</v>
      </c>
      <c r="AU87" s="404" t="s">
        <v>579</v>
      </c>
      <c r="AX87" s="597"/>
      <c r="AY87" s="597"/>
      <c r="AZ87" s="597"/>
      <c r="BA87" s="597"/>
    </row>
    <row r="88" spans="1:53">
      <c r="B88" s="404" t="str">
        <f>+Aux!$B$94</f>
        <v>65 e + anos</v>
      </c>
      <c r="C88" s="409">
        <f>+q28_Aux!$R$38</f>
        <v>1384.9261148348501</v>
      </c>
      <c r="D88" s="409">
        <f>+q28_Aux!$S$38</f>
        <v>1372.6688267561801</v>
      </c>
      <c r="E88" s="409">
        <f>+q28_Aux!$T$38</f>
        <v>1328.6060058087301</v>
      </c>
      <c r="F88" s="409">
        <f>+q28_Aux!$U$38</f>
        <v>1341.6343658640101</v>
      </c>
      <c r="G88" s="409">
        <f>+q28_Aux!$V$38</f>
        <v>1337.5630869071399</v>
      </c>
      <c r="H88" s="409">
        <f>+q28_Aux!$W$38</f>
        <v>1346.8281692631201</v>
      </c>
      <c r="I88" s="409">
        <f>+q28_Aux!$X$38</f>
        <v>1353.01839758188</v>
      </c>
      <c r="J88" s="409">
        <f>+q28_Aux!$Y$38</f>
        <v>1396.5481289428601</v>
      </c>
      <c r="K88" s="409">
        <f>+q28_Aux!$Z$38</f>
        <v>1462.63048044077</v>
      </c>
      <c r="L88" s="409">
        <f>+q28_Aux!$AA$38</f>
        <v>1470.9722608869201</v>
      </c>
      <c r="M88" s="409">
        <f>+q28_Aux!$AB$38</f>
        <v>1488.53987488135</v>
      </c>
      <c r="U88" s="404" t="s">
        <v>585</v>
      </c>
      <c r="AK88" s="404">
        <f>+COLUMN(Z96)</f>
        <v>26</v>
      </c>
      <c r="AM88" s="404" t="s">
        <v>574</v>
      </c>
      <c r="AP88" s="435">
        <f>+SMALL(X97:X103,1)</f>
        <v>1015.84021545265</v>
      </c>
      <c r="AQ88" s="404" t="str">
        <f>+TEXT(AP88,"##.### €")</f>
        <v>1.016 €</v>
      </c>
      <c r="AR88" s="404">
        <f>+SMALL($AA$97:$AA$103,1)</f>
        <v>0.6278980834717951</v>
      </c>
      <c r="AS88" s="404" t="str">
        <f>+TEXT(AR88,"##.###,#%")</f>
        <v>62,8%</v>
      </c>
      <c r="AT88" s="404">
        <f>+SMALL($AB$97:$AB$103,1)</f>
        <v>0.66370002099588343</v>
      </c>
      <c r="AU88" s="404" t="str">
        <f>+TEXT(AT88,"##.###,#%")</f>
        <v>66,4%</v>
      </c>
      <c r="AX88" s="597"/>
      <c r="AY88" s="597"/>
      <c r="AZ88" s="597"/>
      <c r="BA88" s="597"/>
    </row>
    <row r="89" spans="1:53">
      <c r="B89" s="404" t="str">
        <f>+Aux!$B$95</f>
        <v>Total</v>
      </c>
      <c r="C89" s="409">
        <f>+q28_Aux!$C$5</f>
        <v>1095.58619281857</v>
      </c>
      <c r="D89" s="409">
        <f>+q28_Aux!$D$5</f>
        <v>1093.8178723953499</v>
      </c>
      <c r="E89" s="409">
        <f>+q28_Aux!$E$5</f>
        <v>1093.20854089105</v>
      </c>
      <c r="F89" s="409">
        <f>+q28_Aux!$F$5</f>
        <v>1096.65734127991</v>
      </c>
      <c r="G89" s="409">
        <f>+q28_Aux!$G$5</f>
        <v>1107.85636561875</v>
      </c>
      <c r="H89" s="409">
        <f>+q28_Aux!$H$5</f>
        <v>1133.34288689707</v>
      </c>
      <c r="I89" s="409">
        <f>+q28_Aux!$I$5</f>
        <v>1170.2525051678801</v>
      </c>
      <c r="J89" s="409">
        <f>+q28_Aux!$J$5</f>
        <v>1209.93900485576</v>
      </c>
      <c r="K89" s="409">
        <f>+q28_Aux!$K$5</f>
        <v>1250.75197084447</v>
      </c>
      <c r="L89" s="409">
        <f>+q28_Aux!$L$5</f>
        <v>1294.10894067238</v>
      </c>
      <c r="M89" s="409">
        <f>+q28_Aux!$M$5</f>
        <v>1367.9952489883699</v>
      </c>
      <c r="AK89" s="404">
        <f>+COLUMN(Z96)</f>
        <v>26</v>
      </c>
      <c r="AM89" s="404">
        <f>+SMALL(W97:W103,1)</f>
        <v>857.94673854563302</v>
      </c>
      <c r="AN89" s="404" t="str">
        <f>+TEXT(AM89,"##.### €")</f>
        <v>858 €</v>
      </c>
      <c r="AR89" s="404" t="s">
        <v>580</v>
      </c>
      <c r="AT89" s="404" t="s">
        <v>580</v>
      </c>
      <c r="AX89" s="597"/>
      <c r="AY89" s="597"/>
      <c r="AZ89" s="597"/>
      <c r="BA89" s="597"/>
    </row>
    <row r="90" spans="1:53" ht="12" customHeight="1">
      <c r="AM90" s="404" t="s">
        <v>575</v>
      </c>
      <c r="AP90" s="404" t="s">
        <v>530</v>
      </c>
      <c r="AQ90" s="452"/>
      <c r="AR90" s="435" t="str">
        <f>+VLOOKUP($AR$88,$AA$96:$AC$103,COLUMN($AC$96)-26,0)</f>
        <v>&lt; 18 anos</v>
      </c>
      <c r="AS90" s="452" t="s">
        <v>504</v>
      </c>
      <c r="AT90" s="435" t="str">
        <f>+VLOOKUP($AT$88,$AB$96:$AC$103,COLUMN($AC$96)-27,0)</f>
        <v>&lt; 18 anos</v>
      </c>
      <c r="AU90" s="452" t="s">
        <v>504</v>
      </c>
      <c r="AX90" s="597"/>
      <c r="AY90" s="597"/>
      <c r="AZ90" s="597"/>
      <c r="BA90" s="597"/>
    </row>
    <row r="91" spans="1:53">
      <c r="AM91" s="435" t="str">
        <f>+VLOOKUP($AM$89,$W$96:$AC$103,COLUMN($AC$96)-22,0)</f>
        <v>18 - 24 anos</v>
      </c>
      <c r="AP91" s="435">
        <f>+LARGE(X97:X103,1)</f>
        <v>1488.53987488135</v>
      </c>
      <c r="AQ91" s="404" t="str">
        <f>+TEXT(AP91,"##.### €")</f>
        <v>1.489 €</v>
      </c>
      <c r="AR91" s="452">
        <f>+LARGE(AA97:AA103,1)</f>
        <v>0.93870610131552323</v>
      </c>
      <c r="AS91" s="404" t="str">
        <f>+TEXT(AR91,"##.###,#%")</f>
        <v>93,9%</v>
      </c>
      <c r="AT91" s="452">
        <f>+LARGE($AB$97:$AB$103,1)</f>
        <v>0.93049559562649453</v>
      </c>
      <c r="AU91" s="404" t="str">
        <f>+TEXT(AT91,"##.###,#%")</f>
        <v>93,%</v>
      </c>
      <c r="AV91" s="452"/>
    </row>
    <row r="92" spans="1:53">
      <c r="AM92" s="404" t="s">
        <v>527</v>
      </c>
      <c r="AP92" s="404" t="s">
        <v>577</v>
      </c>
      <c r="AQ92" s="452"/>
      <c r="AR92" s="452" t="s">
        <v>575</v>
      </c>
      <c r="AT92" s="452" t="s">
        <v>575</v>
      </c>
      <c r="AV92" s="452"/>
      <c r="AX92" s="596" t="str">
        <f>CONCATENATE(AM85,":",CHAR(10),AR86," ",AR87,AS87," ",AS88,AR89,AR90,AS90," ",AS91,AR92,AR93,AS93,CHAR(10),AT86," ",AT87,AU87," ",AU88,AT89,AT90,AU90," ",AU91,AT92,AT93,AU93)</f>
        <v>2022:
Base Mulheres = 86,6% da dos Homens (H), entre  62,8% da dos H (&lt; 18 anos) e 93,9% (18 - 24 anos).
Ganho Mulheres = 83,8% da dos H, entre  66,4% da dos H (&lt; 18 anos) e 93,% (18 - 24 anos).</v>
      </c>
      <c r="AY92" s="596"/>
      <c r="AZ92" s="596"/>
      <c r="BA92" s="596"/>
    </row>
    <row r="93" spans="1:53">
      <c r="P93" s="404" t="s">
        <v>453</v>
      </c>
      <c r="AM93" s="404">
        <f>+LARGE(W97:W103,1)</f>
        <v>1297.99535680387</v>
      </c>
      <c r="AN93" s="404" t="str">
        <f>+TEXT(AM93,"##.### €")</f>
        <v>1.298 €</v>
      </c>
      <c r="AQ93" s="452"/>
      <c r="AR93" s="435" t="str">
        <f>+VLOOKUP($AR$91,$AA$96:$AC$103,COLUMN($AC$96)-26,0)</f>
        <v>18 - 24 anos</v>
      </c>
      <c r="AS93" s="452" t="s">
        <v>505</v>
      </c>
      <c r="AT93" s="435" t="str">
        <f>+VLOOKUP($AT$91,$AB$96:$AC$103,COLUMN($AC$96)-27,0)</f>
        <v>18 - 24 anos</v>
      </c>
      <c r="AU93" s="452" t="s">
        <v>505</v>
      </c>
      <c r="AV93" s="452"/>
      <c r="AX93" s="596"/>
      <c r="AY93" s="596"/>
      <c r="AZ93" s="596"/>
      <c r="BA93" s="596"/>
    </row>
    <row r="94" spans="1:53">
      <c r="AM94" s="404" t="s">
        <v>576</v>
      </c>
      <c r="AO94" s="435"/>
      <c r="AQ94" s="452"/>
      <c r="AR94" s="452"/>
      <c r="AS94" s="452"/>
      <c r="AT94" s="452"/>
      <c r="AU94" s="452"/>
      <c r="AV94" s="452"/>
      <c r="AX94" s="596"/>
      <c r="AY94" s="596"/>
      <c r="AZ94" s="596"/>
      <c r="BA94" s="596"/>
    </row>
    <row r="95" spans="1:53">
      <c r="P95" s="404">
        <f>INDEX($A$2:$A$12,$P$9)</f>
        <v>2022</v>
      </c>
      <c r="Q95" s="375" t="s">
        <v>428</v>
      </c>
      <c r="AM95" s="435" t="str">
        <f>+VLOOKUP($AM$93,$W$96:$AC$103,COLUMN($AC$96)-22,0)</f>
        <v>65 e + anos</v>
      </c>
      <c r="AN95" s="404" t="s">
        <v>505</v>
      </c>
      <c r="AX95" s="596"/>
      <c r="AY95" s="596"/>
      <c r="AZ95" s="596"/>
      <c r="BA95" s="596"/>
    </row>
    <row r="96" spans="1:53">
      <c r="S96" s="375" t="s">
        <v>456</v>
      </c>
      <c r="T96" s="375" t="s">
        <v>460</v>
      </c>
      <c r="U96" s="375" t="s">
        <v>457</v>
      </c>
      <c r="V96" s="375" t="s">
        <v>461</v>
      </c>
      <c r="W96" s="375" t="s">
        <v>458</v>
      </c>
      <c r="X96" s="375" t="s">
        <v>459</v>
      </c>
      <c r="Y96" s="451" t="s">
        <v>526</v>
      </c>
      <c r="Z96" s="404" t="s">
        <v>353</v>
      </c>
      <c r="AA96" s="404" t="s">
        <v>531</v>
      </c>
      <c r="AB96" s="404" t="s">
        <v>532</v>
      </c>
      <c r="AX96" s="596"/>
      <c r="AY96" s="596"/>
      <c r="AZ96" s="596"/>
      <c r="BA96" s="596"/>
    </row>
    <row r="97" spans="1:50">
      <c r="A97" s="406" t="s">
        <v>441</v>
      </c>
      <c r="Q97" s="422"/>
      <c r="R97" s="404" t="s">
        <v>55</v>
      </c>
      <c r="S97" s="414">
        <f>INDEX($B$35:$M$43,MATCH($R$97,$B$35:$B$43,0),MATCH($P$95,$B$35:$M$35,0))*-1</f>
        <v>-1184.3662318840602</v>
      </c>
      <c r="T97" s="414">
        <f>INDEX($B$63:$M$71,MATCH($R$97,$B$63:$B$71,0),MATCH($P$95,$B$63:$M$63,0))*-1</f>
        <v>-1255.1913043478301</v>
      </c>
      <c r="U97" s="414">
        <f>INDEX($B$44:$M$52,MATCH($R$97,$B$44:$B$52,0),MATCH($P$95,$B$44:$M$44,0))</f>
        <v>743.66128712871307</v>
      </c>
      <c r="V97" s="414">
        <f>INDEX($B$72:$M$80,MATCH($R$97,$B$72:$B$80,0),MATCH($P$95,$B$72:$M$72,0))</f>
        <v>833.0704950495051</v>
      </c>
      <c r="W97" s="414">
        <f>INDEX($B$53:$M$61,MATCH($R$97,$B$53:$B$61,0),MATCH($P$95,$B$53:$M$53,0))</f>
        <v>1066.29938992042</v>
      </c>
      <c r="X97" s="414">
        <f>INDEX($B$81:$M$89,MATCH($R$97,$B$81:$B$89,0),MATCH($P$95,$B$81:$M$81,0))</f>
        <v>1142.1032360742699</v>
      </c>
      <c r="Y97" s="482">
        <f t="shared" ref="Y97:Y104" si="11">W97/X97</f>
        <v>0.93362785100372447</v>
      </c>
      <c r="Z97" s="414">
        <f>+X97</f>
        <v>1142.1032360742699</v>
      </c>
      <c r="AA97" s="482">
        <f t="shared" ref="AA97:AB104" si="12">+(U97/(S97*-1))</f>
        <v>0.6278980834717951</v>
      </c>
      <c r="AB97" s="482">
        <f t="shared" si="12"/>
        <v>0.66370002099588343</v>
      </c>
      <c r="AC97" s="404" t="str">
        <f t="shared" ref="AC97:AC104" si="13">+R97</f>
        <v>&lt; 18 anos</v>
      </c>
    </row>
    <row r="98" spans="1:50">
      <c r="A98" s="405" t="s">
        <v>186</v>
      </c>
      <c r="C98" s="375">
        <f>+'q13'!$C$4</f>
        <v>2012</v>
      </c>
      <c r="D98" s="375">
        <f>+'q13'!$D$4</f>
        <v>2013</v>
      </c>
      <c r="E98" s="375">
        <f>+'q13'!$E$4</f>
        <v>2014</v>
      </c>
      <c r="F98" s="375">
        <f>+'q13'!$F$4</f>
        <v>2015</v>
      </c>
      <c r="G98" s="375">
        <f>+'q13'!$G$4</f>
        <v>2016</v>
      </c>
      <c r="H98" s="375">
        <f>+'q13'!$H$4</f>
        <v>2017</v>
      </c>
      <c r="I98" s="375">
        <f>+'q13'!$I$4</f>
        <v>2018</v>
      </c>
      <c r="J98" s="375">
        <f>+'q13'!$J$4</f>
        <v>2019</v>
      </c>
      <c r="K98" s="375">
        <f>+'q13'!$K$4</f>
        <v>2020</v>
      </c>
      <c r="L98" s="375">
        <f>+'q13'!$L$4</f>
        <v>2021</v>
      </c>
      <c r="M98" s="375">
        <f>+'q13'!$M$4</f>
        <v>2022</v>
      </c>
      <c r="Q98" s="422"/>
      <c r="R98" s="404" t="s">
        <v>429</v>
      </c>
      <c r="S98" s="414">
        <f>INDEX($B$35:$M$43,MATCH($R$98,$B$35:$B$43,0),MATCH($P$95,$B$35:$M$35,0))*-1</f>
        <v>-881.21667037140912</v>
      </c>
      <c r="T98" s="414">
        <f>INDEX($B$63:$M$71,MATCH($R$98,$B$63:$B$71,0),MATCH($P$95,$B$63:$M$63,0))*-1</f>
        <v>-1047.1973240606901</v>
      </c>
      <c r="U98" s="414">
        <f>INDEX($B$44:$M$52,MATCH($R$98,$B$44:$B$52,0),MATCH($P$95,$B$44:$M$44,0))</f>
        <v>827.20346505859197</v>
      </c>
      <c r="V98" s="414">
        <f>INDEX($B$72:$M$80,MATCH($R$98,$B$72:$B$80,0),MATCH($P$95,$B$72:$M$72,0))</f>
        <v>974.41249779032307</v>
      </c>
      <c r="W98" s="414">
        <f>INDEX($B$53:$M$61,MATCH($R$98,$B$53:$B$61,0),MATCH($P$95,$B$53:$M$53,0))</f>
        <v>857.94673854563302</v>
      </c>
      <c r="X98" s="414">
        <f>INDEX($B$81:$M$89,MATCH($R$98,$B$81:$B$89,0),MATCH($P$95,$B$81:$M$81,0))</f>
        <v>1015.84021545265</v>
      </c>
      <c r="Y98" s="482">
        <f t="shared" si="11"/>
        <v>0.84456859011369134</v>
      </c>
      <c r="Z98" s="414">
        <f t="shared" ref="Z98:Z104" si="14">+X98</f>
        <v>1015.84021545265</v>
      </c>
      <c r="AA98" s="482">
        <f t="shared" si="12"/>
        <v>0.93870610131552323</v>
      </c>
      <c r="AB98" s="482">
        <f t="shared" si="12"/>
        <v>0.93049559562649453</v>
      </c>
      <c r="AC98" s="404" t="str">
        <f t="shared" si="13"/>
        <v>18 - 24 anos</v>
      </c>
      <c r="AM98" s="375"/>
    </row>
    <row r="99" spans="1:50">
      <c r="A99" s="405" t="s">
        <v>116</v>
      </c>
      <c r="B99" s="404" t="str">
        <f>+Aux!$B$107</f>
        <v>Quadros superiores</v>
      </c>
      <c r="C99" s="404">
        <f>+'q14'!$C$9</f>
        <v>108361</v>
      </c>
      <c r="D99" s="404">
        <f>+'q14'!$D$9</f>
        <v>108560</v>
      </c>
      <c r="E99" s="404">
        <f>+'q14'!$E$9</f>
        <v>107935</v>
      </c>
      <c r="F99" s="404">
        <f>+'q14'!$F$9</f>
        <v>110245</v>
      </c>
      <c r="G99" s="404">
        <f>+'q14'!$G$9</f>
        <v>112923</v>
      </c>
      <c r="H99" s="404">
        <f>+'q14'!$H$9</f>
        <v>116590</v>
      </c>
      <c r="I99" s="404">
        <f>+'q14'!$I$9</f>
        <v>122652</v>
      </c>
      <c r="J99" s="404">
        <f>+'q14'!$J$9</f>
        <v>129834</v>
      </c>
      <c r="K99" s="404">
        <f>+'q14'!$K$9</f>
        <v>136643</v>
      </c>
      <c r="L99" s="404">
        <f>+'q14'!$L$9</f>
        <v>142391</v>
      </c>
      <c r="M99" s="404">
        <f>+'q14'!$M$9</f>
        <v>154897</v>
      </c>
      <c r="Q99" s="422"/>
      <c r="R99" s="404" t="s">
        <v>430</v>
      </c>
      <c r="S99" s="414">
        <f>INDEX($B$35:$M$43,MATCH($R$99,$B$35:$B$43,0),MATCH($P$95,$B$35:$M$35,0))*-1</f>
        <v>-1107.3182540788919</v>
      </c>
      <c r="T99" s="414">
        <f>INDEX($B$63:$M$71,MATCH($R$99,$B$63:$B$71,0),MATCH($P$95,$B$63:$M$63,0))*-1</f>
        <v>-1322.1748604011782</v>
      </c>
      <c r="U99" s="414">
        <f>INDEX($B$44:$M$52,MATCH($R$99,$B$44:$B$52,0),MATCH($P$95,$B$44:$M$44,0))</f>
        <v>1018.4876613687603</v>
      </c>
      <c r="V99" s="414">
        <f>INDEX($B$72:$M$80,MATCH($R$99,$B$72:$B$80,0),MATCH($P$95,$B$72:$M$72,0))</f>
        <v>1193.84189463488</v>
      </c>
      <c r="W99" s="414">
        <f>INDEX($B$53:$M$61,MATCH($R$99,$B$53:$B$61,0),MATCH($P$95,$B$53:$M$53,0))</f>
        <v>1067.397850299739</v>
      </c>
      <c r="X99" s="414">
        <f>INDEX($B$81:$M$89,MATCH($R$99,$B$81:$B$89,0),MATCH($P$95,$B$81:$M$81,0))</f>
        <v>1264.5021188910073</v>
      </c>
      <c r="Y99" s="482">
        <f t="shared" si="11"/>
        <v>0.84412499936011776</v>
      </c>
      <c r="Z99" s="414">
        <f t="shared" si="14"/>
        <v>1264.5021188910073</v>
      </c>
      <c r="AA99" s="482">
        <f t="shared" si="12"/>
        <v>0.91977862517580899</v>
      </c>
      <c r="AB99" s="482">
        <f t="shared" si="12"/>
        <v>0.90293797771396211</v>
      </c>
      <c r="AC99" s="404" t="str">
        <f t="shared" si="13"/>
        <v>25 - 34 anos</v>
      </c>
      <c r="AM99" s="375"/>
      <c r="AN99" s="375"/>
      <c r="AO99" s="375"/>
      <c r="AP99" s="375"/>
      <c r="AQ99" s="375"/>
      <c r="AR99" s="375"/>
      <c r="AS99" s="375"/>
      <c r="AT99" s="375"/>
      <c r="AU99" s="375"/>
      <c r="AV99" s="375"/>
      <c r="AW99" s="375"/>
      <c r="AX99" s="375"/>
    </row>
    <row r="100" spans="1:50">
      <c r="B100" s="404" t="str">
        <f>+Aux!$B$108</f>
        <v>Quadros médios</v>
      </c>
      <c r="C100" s="404">
        <f>+'q14'!$C$12</f>
        <v>74164</v>
      </c>
      <c r="D100" s="404">
        <f>+'q14'!$D$12</f>
        <v>71920</v>
      </c>
      <c r="E100" s="404">
        <f>+'q14'!$E$12</f>
        <v>72941</v>
      </c>
      <c r="F100" s="404">
        <f>+'q14'!$F$12</f>
        <v>74247</v>
      </c>
      <c r="G100" s="404">
        <f>+'q14'!$G$12</f>
        <v>76819</v>
      </c>
      <c r="H100" s="404">
        <f>+'q14'!$H$12</f>
        <v>81167</v>
      </c>
      <c r="I100" s="404">
        <f>+'q14'!$I$12</f>
        <v>84803</v>
      </c>
      <c r="J100" s="404">
        <f>+'q14'!$J$12</f>
        <v>83836</v>
      </c>
      <c r="K100" s="404">
        <f>+'q14'!$K$12</f>
        <v>87718</v>
      </c>
      <c r="L100" s="404">
        <f>+'q14'!$L$12</f>
        <v>89330</v>
      </c>
      <c r="M100" s="404">
        <f>+'q14'!$M$12</f>
        <v>97684</v>
      </c>
      <c r="Q100" s="422"/>
      <c r="R100" s="404" t="s">
        <v>431</v>
      </c>
      <c r="S100" s="414">
        <f>INDEX($B$35:$M$43,MATCH($R$100,$B$35:$B$43,0),MATCH($P$95,$B$35:$M$35,0))*-1</f>
        <v>-1261.6998093210527</v>
      </c>
      <c r="T100" s="414">
        <f>INDEX($B$63:$M$71,MATCH($R$100,$B$63:$B$71,0),MATCH($P$95,$B$63:$M$63,0))*-1</f>
        <v>-1529.7378727606485</v>
      </c>
      <c r="U100" s="414">
        <f>INDEX($B$44:$M$52,MATCH($R$100,$B$44:$B$52,0),MATCH($P$95,$B$44:$M$44,0))</f>
        <v>1104.2718933596959</v>
      </c>
      <c r="V100" s="414">
        <f>INDEX($B$72:$M$80,MATCH($R$100,$B$72:$B$80,0),MATCH($P$95,$B$72:$M$72,0))</f>
        <v>1293.6479865785413</v>
      </c>
      <c r="W100" s="414">
        <f>INDEX($B$53:$M$61,MATCH($R$100,$B$53:$B$61,0),MATCH($P$95,$B$53:$M$53,0))</f>
        <v>1189.0093438068691</v>
      </c>
      <c r="X100" s="414">
        <f>INDEX($B$81:$M$89,MATCH($R$100,$B$81:$B$89,0),MATCH($P$95,$B$81:$M$81,0))</f>
        <v>1420.7261792184404</v>
      </c>
      <c r="Y100" s="482">
        <f t="shared" si="11"/>
        <v>0.83690253702578943</v>
      </c>
      <c r="Z100" s="414">
        <f t="shared" si="14"/>
        <v>1420.7261792184404</v>
      </c>
      <c r="AA100" s="482">
        <f t="shared" si="12"/>
        <v>0.87522553716951734</v>
      </c>
      <c r="AB100" s="482">
        <f t="shared" si="12"/>
        <v>0.84566644365282895</v>
      </c>
      <c r="AC100" s="404" t="str">
        <f t="shared" si="13"/>
        <v>35 - 44 anos</v>
      </c>
      <c r="AM100" s="375"/>
      <c r="AN100" s="409"/>
      <c r="AO100" s="409"/>
      <c r="AP100" s="409"/>
      <c r="AQ100" s="409"/>
      <c r="AR100" s="409"/>
      <c r="AS100" s="409"/>
      <c r="AT100" s="409"/>
      <c r="AU100" s="409"/>
      <c r="AV100" s="409"/>
      <c r="AW100" s="409"/>
      <c r="AX100" s="409"/>
    </row>
    <row r="101" spans="1:50">
      <c r="B101" s="404" t="str">
        <f>+Aux!$B$109</f>
        <v>Encarregados, contramestres e chefes de equipa</v>
      </c>
      <c r="C101" s="404">
        <f>+'q14'!$C$15</f>
        <v>78583</v>
      </c>
      <c r="D101" s="404">
        <f>+'q14'!$D$15</f>
        <v>76740</v>
      </c>
      <c r="E101" s="404">
        <f>+'q14'!$E$15</f>
        <v>77240</v>
      </c>
      <c r="F101" s="404">
        <f>+'q14'!$F$15</f>
        <v>77620</v>
      </c>
      <c r="G101" s="404">
        <f>+'q14'!$G$15</f>
        <v>80653</v>
      </c>
      <c r="H101" s="404">
        <f>+'q14'!$H$15</f>
        <v>83817</v>
      </c>
      <c r="I101" s="404">
        <f>+'q14'!$I$15</f>
        <v>87877</v>
      </c>
      <c r="J101" s="404">
        <f>+'q14'!$J$15</f>
        <v>85329</v>
      </c>
      <c r="K101" s="404">
        <f>+'q14'!$K$15</f>
        <v>83980</v>
      </c>
      <c r="L101" s="404">
        <f>+'q14'!$L$15</f>
        <v>86890</v>
      </c>
      <c r="M101" s="404">
        <f>+'q14'!$M$15</f>
        <v>94376</v>
      </c>
      <c r="Q101" s="422"/>
      <c r="R101" s="404" t="s">
        <v>432</v>
      </c>
      <c r="S101" s="414">
        <f>INDEX($B$35:$M$43,MATCH($R$101,$B$35:$B$43,0),MATCH($P$95,$B$35:$M$35,0))*-1</f>
        <v>-1326.4486514638406</v>
      </c>
      <c r="T101" s="414">
        <f>INDEX($B$63:$M$71,MATCH($R$101,$B$63:$B$71,0),MATCH($P$95,$B$63:$M$63,0))*-1</f>
        <v>-1630.4902569051619</v>
      </c>
      <c r="U101" s="414">
        <f>INDEX($B$44:$M$52,MATCH($R$101,$B$44:$B$52,0),MATCH($P$95,$B$44:$M$44,0))</f>
        <v>1107.7790906187129</v>
      </c>
      <c r="V101" s="414">
        <f>INDEX($B$72:$M$80,MATCH($R$101,$B$72:$B$80,0),MATCH($P$95,$B$72:$M$72,0))</f>
        <v>1309.6343644321175</v>
      </c>
      <c r="W101" s="414">
        <f>INDEX($B$53:$M$61,MATCH($R$101,$B$53:$B$61,0),MATCH($P$95,$B$53:$M$53,0))</f>
        <v>1224.3053251589229</v>
      </c>
      <c r="X101" s="414">
        <f>INDEX($B$81:$M$89,MATCH($R$101,$B$81:$B$89,0),MATCH($P$95,$B$81:$M$81,0))</f>
        <v>1480.6143985778126</v>
      </c>
      <c r="Y101" s="482">
        <f t="shared" si="11"/>
        <v>0.82689005748891509</v>
      </c>
      <c r="Z101" s="414">
        <f t="shared" si="14"/>
        <v>1480.6143985778126</v>
      </c>
      <c r="AA101" s="482">
        <f t="shared" si="12"/>
        <v>0.83514660699167764</v>
      </c>
      <c r="AB101" s="482">
        <f t="shared" si="12"/>
        <v>0.80321508140621345</v>
      </c>
      <c r="AC101" s="404" t="str">
        <f t="shared" si="13"/>
        <v>45 - 54 anos</v>
      </c>
      <c r="AM101" s="375"/>
      <c r="AN101" s="409"/>
      <c r="AO101" s="409"/>
      <c r="AP101" s="409"/>
      <c r="AQ101" s="409"/>
      <c r="AR101" s="409"/>
      <c r="AS101" s="409"/>
      <c r="AT101" s="409"/>
      <c r="AU101" s="409"/>
      <c r="AV101" s="409"/>
      <c r="AW101" s="409"/>
      <c r="AX101" s="409"/>
    </row>
    <row r="102" spans="1:50">
      <c r="B102" s="404" t="str">
        <f>+Aux!$B$110</f>
        <v>Profissionais altamente qualificados</v>
      </c>
      <c r="C102" s="404">
        <f>+'q14'!$C$18</f>
        <v>91983</v>
      </c>
      <c r="D102" s="404">
        <f>+'q14'!$D$18</f>
        <v>89419</v>
      </c>
      <c r="E102" s="404">
        <f>+'q14'!$E$18</f>
        <v>91459</v>
      </c>
      <c r="F102" s="404">
        <f>+'q14'!$F$18</f>
        <v>93730</v>
      </c>
      <c r="G102" s="404">
        <f>+'q14'!$G$18</f>
        <v>99603</v>
      </c>
      <c r="H102" s="404">
        <f>+'q14'!$H$18</f>
        <v>106415</v>
      </c>
      <c r="I102" s="404">
        <f>+'q14'!$I$18</f>
        <v>110781</v>
      </c>
      <c r="J102" s="404">
        <f>+'q14'!$J$18</f>
        <v>121613</v>
      </c>
      <c r="K102" s="404">
        <f>+'q14'!$K$18</f>
        <v>125955</v>
      </c>
      <c r="L102" s="404">
        <f>+'q14'!$L$18</f>
        <v>129812</v>
      </c>
      <c r="M102" s="404">
        <f>+'q14'!$M$18</f>
        <v>141741</v>
      </c>
      <c r="Q102" s="422"/>
      <c r="R102" s="404" t="s">
        <v>433</v>
      </c>
      <c r="S102" s="414">
        <f>INDEX($B$35:$M$43,MATCH($R$102,$B$35:$B$43,0),MATCH($P$95,$B$35:$M$35,0))*-1</f>
        <v>-1263.3900990160193</v>
      </c>
      <c r="T102" s="414">
        <f>INDEX($B$63:$M$71,MATCH($R$102,$B$63:$B$71,0),MATCH($P$95,$B$63:$M$63,0))*-1</f>
        <v>-1547.5622975632375</v>
      </c>
      <c r="U102" s="414">
        <f>INDEX($B$44:$M$52,MATCH($R$102,$B$44:$B$52,0),MATCH($P$95,$B$44:$M$44,0))</f>
        <v>1015.1738983834637</v>
      </c>
      <c r="V102" s="414">
        <f>INDEX($B$72:$M$80,MATCH($R$102,$B$72:$B$80,0),MATCH($P$95,$B$72:$M$72,0))</f>
        <v>1182.826181419405</v>
      </c>
      <c r="W102" s="414">
        <f>INDEX($B$53:$M$61,MATCH($R$102,$B$53:$B$61,0),MATCH($P$95,$B$53:$M$53,0))</f>
        <v>1154.6344411736627</v>
      </c>
      <c r="X102" s="414">
        <f>INDEX($B$81:$M$89,MATCH($R$102,$B$81:$B$89,0),MATCH($P$95,$B$81:$M$81,0))</f>
        <v>1387.7535657036681</v>
      </c>
      <c r="Y102" s="482">
        <f t="shared" si="11"/>
        <v>0.83201691547317258</v>
      </c>
      <c r="Z102" s="414">
        <f t="shared" si="14"/>
        <v>1387.7535657036681</v>
      </c>
      <c r="AA102" s="482">
        <f t="shared" si="12"/>
        <v>0.80353162429729597</v>
      </c>
      <c r="AB102" s="482">
        <f t="shared" si="12"/>
        <v>0.76431571335245163</v>
      </c>
      <c r="AC102" s="404" t="str">
        <f t="shared" si="13"/>
        <v>55 - 64 anos</v>
      </c>
      <c r="AM102" s="375"/>
      <c r="AN102" s="409"/>
      <c r="AO102" s="409"/>
      <c r="AP102" s="409"/>
      <c r="AQ102" s="409"/>
      <c r="AR102" s="409"/>
      <c r="AS102" s="409"/>
      <c r="AT102" s="409"/>
      <c r="AU102" s="409"/>
      <c r="AV102" s="409"/>
      <c r="AW102" s="409"/>
      <c r="AX102" s="409"/>
    </row>
    <row r="103" spans="1:50">
      <c r="B103" s="404" t="str">
        <f>+Aux!$B$111</f>
        <v>Profissionais qualificados</v>
      </c>
      <c r="C103" s="404">
        <f>+'q14'!$C$21</f>
        <v>540359</v>
      </c>
      <c r="D103" s="404">
        <f>+'q14'!$D$21</f>
        <v>527897</v>
      </c>
      <c r="E103" s="404">
        <f>+'q14'!$E$21</f>
        <v>541440</v>
      </c>
      <c r="F103" s="404">
        <f>+'q14'!$F$21</f>
        <v>558904</v>
      </c>
      <c r="G103" s="404">
        <f>+'q14'!$G$21</f>
        <v>577377</v>
      </c>
      <c r="H103" s="404">
        <f>+'q14'!$H$21</f>
        <v>623424</v>
      </c>
      <c r="I103" s="404">
        <f>+'q14'!$I$21</f>
        <v>656464</v>
      </c>
      <c r="J103" s="404">
        <f>+'q14'!$J$21</f>
        <v>631996</v>
      </c>
      <c r="K103" s="404">
        <f>+'q14'!$K$21</f>
        <v>627429</v>
      </c>
      <c r="L103" s="404">
        <f>+'q14'!$L$21</f>
        <v>617966</v>
      </c>
      <c r="M103" s="404">
        <f>+'q14'!$M$21</f>
        <v>660462</v>
      </c>
      <c r="Q103" s="422"/>
      <c r="R103" s="404" t="s">
        <v>65</v>
      </c>
      <c r="S103" s="414">
        <f>INDEX($B$35:$M$43,MATCH($R$103,$B$35:$B$43,0),MATCH($P$95,$B$35:$M$35,0))*-1</f>
        <v>-1419.42393265128</v>
      </c>
      <c r="T103" s="414">
        <f>INDEX($B$63:$M$71,MATCH($R$103,$B$63:$B$71,0),MATCH($P$95,$B$63:$M$63,0))*-1</f>
        <v>-1636.3038519062302</v>
      </c>
      <c r="U103" s="414">
        <f>INDEX($B$44:$M$52,MATCH($R$103,$B$44:$B$52,0),MATCH($P$95,$B$44:$M$44,0))</f>
        <v>1093.9260686198902</v>
      </c>
      <c r="V103" s="414">
        <f>INDEX($B$72:$M$80,MATCH($R$103,$B$72:$B$80,0),MATCH($P$95,$B$72:$M$72,0))</f>
        <v>1240.21208712413</v>
      </c>
      <c r="W103" s="414">
        <f>INDEX($B$53:$M$61,MATCH($R$103,$B$53:$B$61,0),MATCH($P$95,$B$53:$M$53,0))</f>
        <v>1297.99535680387</v>
      </c>
      <c r="X103" s="414">
        <f>INDEX($B$81:$M$89,MATCH($R$103,$B$81:$B$89,0),MATCH($P$95,$B$81:$M$81,0))</f>
        <v>1488.53987488135</v>
      </c>
      <c r="Y103" s="482">
        <f t="shared" si="11"/>
        <v>0.87199233202088855</v>
      </c>
      <c r="Z103" s="414">
        <f t="shared" si="14"/>
        <v>1488.53987488135</v>
      </c>
      <c r="AA103" s="482">
        <f t="shared" si="12"/>
        <v>0.77068312253731941</v>
      </c>
      <c r="AB103" s="482">
        <f t="shared" si="12"/>
        <v>0.75793507769313828</v>
      </c>
      <c r="AC103" s="404" t="str">
        <f t="shared" si="13"/>
        <v>65 e + anos</v>
      </c>
      <c r="AM103" s="375"/>
      <c r="AN103" s="409"/>
      <c r="AO103" s="409"/>
      <c r="AP103" s="409"/>
      <c r="AQ103" s="409"/>
      <c r="AR103" s="409"/>
      <c r="AS103" s="409"/>
      <c r="AT103" s="409"/>
      <c r="AU103" s="409"/>
      <c r="AV103" s="409"/>
      <c r="AW103" s="409"/>
      <c r="AX103" s="409"/>
    </row>
    <row r="104" spans="1:50">
      <c r="B104" s="404" t="str">
        <f>+Aux!$B$112</f>
        <v>Profissionais semi-qualificados</v>
      </c>
      <c r="C104" s="404">
        <f>+'q14'!$C$24</f>
        <v>209626</v>
      </c>
      <c r="D104" s="404">
        <f>+'q14'!$D$24</f>
        <v>222139</v>
      </c>
      <c r="E104" s="404">
        <f>+'q14'!$E$24</f>
        <v>233306</v>
      </c>
      <c r="F104" s="404">
        <f>+'q14'!$F$24</f>
        <v>237914</v>
      </c>
      <c r="G104" s="404">
        <f>+'q14'!$G$24</f>
        <v>254447</v>
      </c>
      <c r="H104" s="404">
        <f>+'q14'!$H$24</f>
        <v>248727</v>
      </c>
      <c r="I104" s="404">
        <f>+'q14'!$I$24</f>
        <v>255362</v>
      </c>
      <c r="J104" s="404">
        <f>+'q14'!$J$24</f>
        <v>257099</v>
      </c>
      <c r="K104" s="404">
        <f>+'q14'!$K$24</f>
        <v>251110</v>
      </c>
      <c r="L104" s="404">
        <f>+'q14'!$L$24</f>
        <v>240263</v>
      </c>
      <c r="M104" s="404">
        <f>+'q14'!$M$24</f>
        <v>260895</v>
      </c>
      <c r="Q104" s="422"/>
      <c r="R104" s="404" t="s">
        <v>12</v>
      </c>
      <c r="S104" s="414">
        <f>INDEX($B$35:$M$43,MATCH($R$104,$B$35:$B$43,0),MATCH($P$95,$B$35:$M$35,0))*-1</f>
        <v>-1217.3282728682302</v>
      </c>
      <c r="T104" s="414">
        <f>INDEX($B$63:$M$71,MATCH($R$104,$B$63:$B$71,0),MATCH($P$95,$B$63:$M$63,0))*-1</f>
        <v>-1476.20345437132</v>
      </c>
      <c r="U104" s="414">
        <f>INDEX($B$44:$M$52,MATCH($R$104,$B$44:$B$52,0),MATCH($P$95,$B$44:$M$44,0))</f>
        <v>1054.3618671065601</v>
      </c>
      <c r="V104" s="414">
        <f>INDEX($B$72:$M$80,MATCH($R$104,$B$72:$B$80,0),MATCH($P$95,$B$72:$M$72,0))</f>
        <v>1237.52369998673</v>
      </c>
      <c r="W104" s="414">
        <f>INDEX($B$53:$M$61,MATCH($R$104,$B$53:$B$61,0),MATCH($P$95,$B$53:$M$53,0))</f>
        <v>1143.44558285689</v>
      </c>
      <c r="X104" s="414">
        <f>INDEX($B$81:$M$89,MATCH($R$104,$B$81:$B$89,0),MATCH($P$95,$B$81:$M$81,0))</f>
        <v>1367.9952489883699</v>
      </c>
      <c r="Y104" s="482">
        <f t="shared" si="11"/>
        <v>0.83585493714431103</v>
      </c>
      <c r="Z104" s="414">
        <f t="shared" si="14"/>
        <v>1367.9952489883699</v>
      </c>
      <c r="AA104" s="482">
        <f t="shared" si="12"/>
        <v>0.86612780677664392</v>
      </c>
      <c r="AB104" s="482">
        <f t="shared" si="12"/>
        <v>0.83831513625183995</v>
      </c>
      <c r="AC104" s="404" t="str">
        <f t="shared" si="13"/>
        <v>Total</v>
      </c>
      <c r="AM104" s="375"/>
      <c r="AN104" s="409"/>
      <c r="AO104" s="409"/>
      <c r="AP104" s="409"/>
      <c r="AQ104" s="409"/>
      <c r="AR104" s="409"/>
      <c r="AS104" s="409"/>
      <c r="AT104" s="409"/>
      <c r="AU104" s="409"/>
      <c r="AV104" s="409"/>
      <c r="AW104" s="409"/>
      <c r="AX104" s="409"/>
    </row>
    <row r="105" spans="1:50">
      <c r="B105" s="404" t="str">
        <f>+Aux!$B$113</f>
        <v>Profissionais não qualificados</v>
      </c>
      <c r="C105" s="404">
        <f>+'q14'!$C$27</f>
        <v>111867</v>
      </c>
      <c r="D105" s="404">
        <f>+'q14'!$D$27</f>
        <v>110519</v>
      </c>
      <c r="E105" s="404">
        <f>+'q14'!$E$27</f>
        <v>117350</v>
      </c>
      <c r="F105" s="404">
        <f>+'q14'!$F$27</f>
        <v>120466</v>
      </c>
      <c r="G105" s="404">
        <f>+'q14'!$G$27</f>
        <v>127061</v>
      </c>
      <c r="H105" s="404">
        <f>+'q14'!$H$27</f>
        <v>136792</v>
      </c>
      <c r="I105" s="404">
        <f>+'q14'!$I$27</f>
        <v>139286</v>
      </c>
      <c r="J105" s="404">
        <f>+'q14'!$J$27</f>
        <v>175214</v>
      </c>
      <c r="K105" s="404">
        <f>+'q14'!$K$27</f>
        <v>175948</v>
      </c>
      <c r="L105" s="404">
        <f>+'q14'!$L$27</f>
        <v>183201</v>
      </c>
      <c r="M105" s="404">
        <f>+'q14'!$M$27</f>
        <v>202071</v>
      </c>
      <c r="Q105" s="422"/>
      <c r="S105" s="414"/>
      <c r="U105" s="435">
        <f>+U104/S104*(-1)*100</f>
        <v>86.612780677664389</v>
      </c>
      <c r="V105" s="435">
        <f>+V104/T104*(-1)*100</f>
        <v>83.831513625184002</v>
      </c>
      <c r="AM105" s="375"/>
      <c r="AN105" s="409"/>
      <c r="AO105" s="409"/>
      <c r="AP105" s="409"/>
      <c r="AQ105" s="409"/>
      <c r="AR105" s="409"/>
      <c r="AS105" s="409"/>
      <c r="AT105" s="409"/>
      <c r="AU105" s="409"/>
      <c r="AV105" s="409"/>
      <c r="AW105" s="409"/>
      <c r="AX105" s="409"/>
    </row>
    <row r="106" spans="1:50">
      <c r="B106" s="404" t="str">
        <f>+Aux!$B$114</f>
        <v>Praticantes e aprendizes</v>
      </c>
      <c r="C106" s="404">
        <f>+'q14'!$C$30</f>
        <v>35489</v>
      </c>
      <c r="D106" s="404">
        <f>+'q14'!$D$30</f>
        <v>34813</v>
      </c>
      <c r="E106" s="404">
        <f>+'q14'!$E$30</f>
        <v>37250</v>
      </c>
      <c r="F106" s="404">
        <f>+'q14'!$F$30</f>
        <v>38595</v>
      </c>
      <c r="G106" s="404">
        <f>+'q14'!$G$30</f>
        <v>38822</v>
      </c>
      <c r="H106" s="404">
        <f>+'q14'!$H$30</f>
        <v>40797</v>
      </c>
      <c r="I106" s="404">
        <f>+'q14'!$I$30</f>
        <v>42768</v>
      </c>
      <c r="J106" s="404">
        <f>+'q14'!$J$30</f>
        <v>44355</v>
      </c>
      <c r="K106" s="404">
        <f>+'q14'!$K$30</f>
        <v>37514</v>
      </c>
      <c r="L106" s="404">
        <f>+'q14'!$L$30</f>
        <v>40387</v>
      </c>
      <c r="M106" s="404">
        <f>+'q14'!$M$30</f>
        <v>41791</v>
      </c>
      <c r="R106" s="404" t="s">
        <v>12</v>
      </c>
      <c r="S106" s="404" t="s">
        <v>55</v>
      </c>
      <c r="T106" s="404" t="s">
        <v>429</v>
      </c>
      <c r="U106" s="404" t="s">
        <v>430</v>
      </c>
      <c r="V106" s="404" t="s">
        <v>431</v>
      </c>
      <c r="W106" s="404" t="s">
        <v>432</v>
      </c>
      <c r="X106" s="404" t="s">
        <v>433</v>
      </c>
      <c r="Y106" s="404" t="s">
        <v>65</v>
      </c>
      <c r="AM106" s="375"/>
      <c r="AN106" s="409"/>
      <c r="AO106" s="409"/>
      <c r="AP106" s="409"/>
      <c r="AQ106" s="409"/>
      <c r="AR106" s="409"/>
      <c r="AS106" s="409"/>
      <c r="AT106" s="409"/>
      <c r="AU106" s="409"/>
      <c r="AV106" s="409"/>
      <c r="AW106" s="409"/>
      <c r="AX106" s="409"/>
    </row>
    <row r="107" spans="1:50">
      <c r="B107" s="404" t="str">
        <f>+Aux!$B$115</f>
        <v>Total</v>
      </c>
      <c r="C107" s="404">
        <f>+'q14'!$C$6</f>
        <v>1250432</v>
      </c>
      <c r="D107" s="404">
        <f>+'q14'!$D$6</f>
        <v>1242007</v>
      </c>
      <c r="E107" s="404">
        <f>+'q14'!$E$6</f>
        <v>1278921</v>
      </c>
      <c r="F107" s="404">
        <f>+'q14'!$F$6</f>
        <v>1311721</v>
      </c>
      <c r="G107" s="404">
        <f>+'q14'!$G$6</f>
        <v>1367705</v>
      </c>
      <c r="H107" s="404">
        <f>+'q14'!$H$6</f>
        <v>1437729</v>
      </c>
      <c r="I107" s="404">
        <f>+'q14'!$I$6</f>
        <v>1499993</v>
      </c>
      <c r="J107" s="404">
        <f>+'q14'!$J$6</f>
        <v>1529276</v>
      </c>
      <c r="K107" s="404">
        <f>+'q14'!$K$6</f>
        <v>1526297</v>
      </c>
      <c r="L107" s="404">
        <f>+'q14'!$L$6</f>
        <v>1530240</v>
      </c>
      <c r="M107" s="404">
        <f>+'q14'!$M$6</f>
        <v>1653917</v>
      </c>
      <c r="Q107" s="375" t="s">
        <v>462</v>
      </c>
      <c r="R107" s="414">
        <f>INDEX($B$53:$M$61,MATCH($R$104,$B$53:$B$61,0),MATCH($P$95,$B$53:$M$53,0))</f>
        <v>1143.44558285689</v>
      </c>
      <c r="S107" s="414">
        <f>INDEX($B$53:$M$61,MATCH($R$97,$B$53:$B$61,0),MATCH($P$95,$B$53:$M$53,0))</f>
        <v>1066.29938992042</v>
      </c>
      <c r="T107" s="414">
        <f>INDEX($B$53:$M$61,MATCH($R$98,$B$53:$B$61,0),MATCH($P$95,$B$53:$M$53,0))</f>
        <v>857.94673854563302</v>
      </c>
      <c r="U107" s="414">
        <f>INDEX($B$53:$M$61,MATCH($R$99,$B$53:$B$61,0),MATCH($P$95,$B$53:$M$53,0))</f>
        <v>1067.397850299739</v>
      </c>
      <c r="V107" s="414">
        <f>INDEX($B$53:$M$61,MATCH($R$100,$B$53:$B$61,0),MATCH($P$95,$B$53:$M$53,0))</f>
        <v>1189.0093438068691</v>
      </c>
      <c r="W107" s="414">
        <f>INDEX($B$53:$M$61,MATCH($R$101,$B$53:$B$61,0),MATCH($P$95,$B$53:$M$53,0))</f>
        <v>1224.3053251589229</v>
      </c>
      <c r="X107" s="414">
        <f>INDEX($B$53:$M$61,MATCH($R$102,$B$53:$B$61,0),MATCH($P$95,$B$53:$M$53,0))</f>
        <v>1154.6344411736627</v>
      </c>
      <c r="Y107" s="414">
        <f>INDEX($B$53:$M$61,MATCH($R$103,$B$53:$B$61,0),MATCH($P$95,$B$53:$M$53,0))</f>
        <v>1297.99535680387</v>
      </c>
      <c r="AM107" s="375"/>
    </row>
    <row r="108" spans="1:50">
      <c r="Q108" s="375" t="s">
        <v>353</v>
      </c>
      <c r="R108" s="414">
        <f>INDEX($B$81:$M$89,MATCH($R$104,$B$81:$B$89,0),MATCH($P$95,$B$81:$M$81,0))</f>
        <v>1367.9952489883699</v>
      </c>
      <c r="S108" s="414">
        <f>INDEX($B$81:$M$89,MATCH($R$97,$B$81:$B$89,0),MATCH($P$95,$B$81:$M$81,0))</f>
        <v>1142.1032360742699</v>
      </c>
      <c r="T108" s="414">
        <f>INDEX($B$81:$M$89,MATCH($R$98,$B$81:$B$89,0),MATCH($P$95,$B$81:$M$81,0))</f>
        <v>1015.84021545265</v>
      </c>
      <c r="U108" s="414">
        <f>INDEX($B$81:$M$89,MATCH($R$99,$B$81:$B$89,0),MATCH($P$95,$B$81:$M$81,0))</f>
        <v>1264.5021188910073</v>
      </c>
      <c r="V108" s="414">
        <f>INDEX($B$81:$M$89,MATCH($R$100,$B$81:$B$89,0),MATCH($P$95,$B$81:$M$81,0))</f>
        <v>1420.7261792184404</v>
      </c>
      <c r="W108" s="414">
        <f>INDEX($B$81:$M$89,MATCH($R$101,$B$81:$B$89,0),MATCH($P$95,$B$81:$M$81,0))</f>
        <v>1480.6143985778126</v>
      </c>
      <c r="X108" s="414">
        <f>INDEX($B$81:$M$89,MATCH($R$102,$B$81:$B$89,0),MATCH($P$95,$B$81:$M$81,0))</f>
        <v>1387.7535657036681</v>
      </c>
      <c r="Y108" s="414">
        <f>INDEX($B$81:$M$89,MATCH($R$103,$B$81:$B$89,0),MATCH($P$95,$B$81:$M$81,0))</f>
        <v>1488.53987488135</v>
      </c>
      <c r="AM108" s="375"/>
    </row>
    <row r="109" spans="1:50">
      <c r="C109" s="375">
        <f>+'q13'!$C$4</f>
        <v>2012</v>
      </c>
      <c r="D109" s="375">
        <f>+'q13'!$D$4</f>
        <v>2013</v>
      </c>
      <c r="E109" s="375">
        <f>+'q13'!$E$4</f>
        <v>2014</v>
      </c>
      <c r="F109" s="375">
        <f>+'q13'!$F$4</f>
        <v>2015</v>
      </c>
      <c r="G109" s="375">
        <f>+'q13'!$G$4</f>
        <v>2016</v>
      </c>
      <c r="H109" s="375">
        <f>+'q13'!$H$4</f>
        <v>2017</v>
      </c>
      <c r="I109" s="375">
        <f>+'q13'!$I$4</f>
        <v>2018</v>
      </c>
      <c r="J109" s="375">
        <f>+'q13'!$J$4</f>
        <v>2019</v>
      </c>
      <c r="K109" s="375">
        <f>+'q13'!$K$4</f>
        <v>2020</v>
      </c>
      <c r="L109" s="375">
        <f>+'q13'!$L$4</f>
        <v>2021</v>
      </c>
      <c r="M109" s="375">
        <f>+'q13'!$M$4</f>
        <v>2022</v>
      </c>
      <c r="Q109" s="422"/>
      <c r="R109" s="414"/>
      <c r="S109" s="414"/>
      <c r="T109" s="414"/>
      <c r="U109" s="414"/>
      <c r="V109" s="414"/>
      <c r="W109" s="414"/>
      <c r="X109" s="414"/>
      <c r="Y109" s="414"/>
      <c r="AM109" s="375"/>
      <c r="AN109" s="375"/>
      <c r="AO109" s="375"/>
      <c r="AP109" s="375"/>
      <c r="AQ109" s="375"/>
      <c r="AR109" s="375"/>
      <c r="AS109" s="375"/>
      <c r="AT109" s="375"/>
      <c r="AU109" s="375"/>
      <c r="AV109" s="375"/>
      <c r="AW109" s="375"/>
      <c r="AX109" s="375"/>
    </row>
    <row r="110" spans="1:50">
      <c r="A110" s="405" t="s">
        <v>117</v>
      </c>
      <c r="B110" s="404" t="str">
        <f>+Aux!$B$107</f>
        <v>Quadros superiores</v>
      </c>
      <c r="C110" s="404">
        <f>+'q14'!$C$10</f>
        <v>87436</v>
      </c>
      <c r="D110" s="404">
        <f>+'q14'!$D$10</f>
        <v>88999</v>
      </c>
      <c r="E110" s="404">
        <f>+'q14'!$E$10</f>
        <v>90293</v>
      </c>
      <c r="F110" s="404">
        <f>+'q14'!$F$10</f>
        <v>94721</v>
      </c>
      <c r="G110" s="404">
        <f>+'q14'!$G$10</f>
        <v>99374</v>
      </c>
      <c r="H110" s="404">
        <f>+'q14'!$H$10</f>
        <v>103531</v>
      </c>
      <c r="I110" s="404">
        <f>+'q14'!$I$10</f>
        <v>110528</v>
      </c>
      <c r="J110" s="404">
        <f>+'q14'!$J$10</f>
        <v>118071</v>
      </c>
      <c r="K110" s="404">
        <f>+'q14'!$K$10</f>
        <v>125514</v>
      </c>
      <c r="L110" s="404">
        <f>+'q14'!$L$10</f>
        <v>132879</v>
      </c>
      <c r="M110" s="404">
        <f>+'q14'!$M$10</f>
        <v>142625</v>
      </c>
      <c r="Q110" s="422"/>
      <c r="R110" s="414"/>
      <c r="S110" s="414"/>
      <c r="T110" s="414"/>
      <c r="U110" s="414"/>
      <c r="V110" s="414"/>
      <c r="W110" s="414"/>
      <c r="X110" s="414"/>
      <c r="Y110" s="414"/>
      <c r="AM110" s="375"/>
      <c r="AN110" s="409"/>
      <c r="AO110" s="409"/>
      <c r="AP110" s="409"/>
      <c r="AQ110" s="409"/>
      <c r="AR110" s="409"/>
      <c r="AS110" s="409"/>
      <c r="AT110" s="409"/>
      <c r="AU110" s="409"/>
      <c r="AV110" s="409"/>
      <c r="AW110" s="409"/>
      <c r="AX110" s="409"/>
    </row>
    <row r="111" spans="1:50">
      <c r="B111" s="404" t="str">
        <f>+Aux!$B$108</f>
        <v>Quadros médios</v>
      </c>
      <c r="C111" s="404">
        <f>+'q14'!$C$13</f>
        <v>64343</v>
      </c>
      <c r="D111" s="404">
        <f>+'q14'!$D$13</f>
        <v>64569</v>
      </c>
      <c r="E111" s="404">
        <f>+'q14'!$E$13</f>
        <v>66043</v>
      </c>
      <c r="F111" s="404">
        <f>+'q14'!$F$13</f>
        <v>68953</v>
      </c>
      <c r="G111" s="404">
        <f>+'q14'!$G$13</f>
        <v>72959</v>
      </c>
      <c r="H111" s="404">
        <f>+'q14'!$H$13</f>
        <v>76328</v>
      </c>
      <c r="I111" s="404">
        <f>+'q14'!$I$13</f>
        <v>80800</v>
      </c>
      <c r="J111" s="404">
        <f>+'q14'!$J$13</f>
        <v>81556</v>
      </c>
      <c r="K111" s="404">
        <f>+'q14'!$K$13</f>
        <v>85119</v>
      </c>
      <c r="L111" s="404">
        <f>+'q14'!$L$13</f>
        <v>87328</v>
      </c>
      <c r="M111" s="404">
        <f>+'q14'!$M$13</f>
        <v>94678</v>
      </c>
      <c r="Q111" s="422"/>
      <c r="R111" s="414"/>
      <c r="S111" s="414"/>
      <c r="T111" s="414"/>
      <c r="U111" s="414">
        <v>800</v>
      </c>
      <c r="V111" s="421"/>
      <c r="W111" s="414"/>
      <c r="X111" s="414"/>
      <c r="Y111" s="414"/>
      <c r="AM111" s="375"/>
      <c r="AN111" s="409"/>
      <c r="AO111" s="409"/>
      <c r="AP111" s="409"/>
      <c r="AQ111" s="409"/>
      <c r="AR111" s="409"/>
      <c r="AS111" s="409"/>
      <c r="AT111" s="409"/>
      <c r="AU111" s="409"/>
      <c r="AV111" s="409"/>
      <c r="AW111" s="409"/>
      <c r="AX111" s="409"/>
    </row>
    <row r="112" spans="1:50">
      <c r="B112" s="404" t="str">
        <f>+Aux!$B$109</f>
        <v>Encarregados, contramestres e chefes de equipa</v>
      </c>
      <c r="C112" s="404">
        <f>+'q14'!$C$16</f>
        <v>43497</v>
      </c>
      <c r="D112" s="404">
        <f>+'q14'!$D$16</f>
        <v>43155</v>
      </c>
      <c r="E112" s="404">
        <f>+'q14'!$E$16</f>
        <v>44524</v>
      </c>
      <c r="F112" s="404">
        <f>+'q14'!$F$16</f>
        <v>45857</v>
      </c>
      <c r="G112" s="404">
        <f>+'q14'!$G$16</f>
        <v>49443</v>
      </c>
      <c r="H112" s="404">
        <f>+'q14'!$H$16</f>
        <v>53054</v>
      </c>
      <c r="I112" s="404">
        <f>+'q14'!$I$16</f>
        <v>56466</v>
      </c>
      <c r="J112" s="404">
        <f>+'q14'!$J$16</f>
        <v>52920</v>
      </c>
      <c r="K112" s="404">
        <f>+'q14'!$K$16</f>
        <v>51983</v>
      </c>
      <c r="L112" s="404">
        <f>+'q14'!$L$16</f>
        <v>55052</v>
      </c>
      <c r="M112" s="404">
        <f>+'q14'!$M$16</f>
        <v>61796</v>
      </c>
      <c r="Q112" s="422"/>
      <c r="R112" s="414"/>
      <c r="S112" s="414"/>
      <c r="T112" s="414"/>
      <c r="U112" s="414">
        <v>1050</v>
      </c>
      <c r="V112" s="414"/>
      <c r="W112" s="414"/>
      <c r="X112" s="414"/>
      <c r="Y112" s="414"/>
      <c r="AM112" s="375"/>
      <c r="AN112" s="409"/>
      <c r="AO112" s="409"/>
      <c r="AP112" s="409"/>
      <c r="AQ112" s="409"/>
      <c r="AR112" s="409"/>
      <c r="AS112" s="409"/>
      <c r="AT112" s="409"/>
      <c r="AU112" s="409"/>
      <c r="AV112" s="409"/>
      <c r="AW112" s="409"/>
      <c r="AX112" s="409"/>
    </row>
    <row r="113" spans="1:51">
      <c r="B113" s="404" t="str">
        <f>+Aux!$B$110</f>
        <v>Profissionais altamente qualificados</v>
      </c>
      <c r="C113" s="404">
        <f>+'q14'!$C$19</f>
        <v>87956</v>
      </c>
      <c r="D113" s="404">
        <f>+'q14'!$D$19</f>
        <v>86965</v>
      </c>
      <c r="E113" s="404">
        <f>+'q14'!$E$19</f>
        <v>91170</v>
      </c>
      <c r="F113" s="404">
        <f>+'q14'!$F$19</f>
        <v>95815</v>
      </c>
      <c r="G113" s="404">
        <f>+'q14'!$G$19</f>
        <v>102335</v>
      </c>
      <c r="H113" s="404">
        <f>+'q14'!$H$19</f>
        <v>107156</v>
      </c>
      <c r="I113" s="404">
        <f>+'q14'!$I$19</f>
        <v>112783</v>
      </c>
      <c r="J113" s="404">
        <f>+'q14'!$J$19</f>
        <v>121557</v>
      </c>
      <c r="K113" s="404">
        <f>+'q14'!$K$19</f>
        <v>128771</v>
      </c>
      <c r="L113" s="404">
        <f>+'q14'!$L$19</f>
        <v>133721</v>
      </c>
      <c r="M113" s="404">
        <f>+'q14'!$M$19</f>
        <v>143050</v>
      </c>
      <c r="U113" s="433">
        <f>+U111/U112</f>
        <v>0.76190476190476186</v>
      </c>
      <c r="AM113" s="375"/>
      <c r="AN113" s="409"/>
      <c r="AO113" s="409"/>
      <c r="AP113" s="409"/>
      <c r="AQ113" s="409"/>
      <c r="AR113" s="409"/>
      <c r="AS113" s="409"/>
      <c r="AT113" s="409"/>
      <c r="AU113" s="409"/>
      <c r="AV113" s="409"/>
      <c r="AW113" s="409"/>
      <c r="AX113" s="409"/>
    </row>
    <row r="114" spans="1:51">
      <c r="B114" s="404" t="str">
        <f>+Aux!$B$111</f>
        <v>Profissionais qualificados</v>
      </c>
      <c r="C114" s="404">
        <f>+'q14'!$C$22</f>
        <v>373549</v>
      </c>
      <c r="D114" s="404">
        <f>+'q14'!$D$22</f>
        <v>374194</v>
      </c>
      <c r="E114" s="404">
        <f>+'q14'!$E$22</f>
        <v>386308</v>
      </c>
      <c r="F114" s="404">
        <f>+'q14'!$F$22</f>
        <v>399801</v>
      </c>
      <c r="G114" s="404">
        <f>+'q14'!$G$22</f>
        <v>416339</v>
      </c>
      <c r="H114" s="404">
        <f>+'q14'!$H$22</f>
        <v>468834</v>
      </c>
      <c r="I114" s="404">
        <f>+'q14'!$I$22</f>
        <v>492818</v>
      </c>
      <c r="J114" s="404">
        <f>+'q14'!$J$22</f>
        <v>459477</v>
      </c>
      <c r="K114" s="404">
        <f>+'q14'!$K$22</f>
        <v>445660</v>
      </c>
      <c r="L114" s="404">
        <f>+'q14'!$L$22</f>
        <v>448264</v>
      </c>
      <c r="M114" s="404">
        <f>+'q14'!$M$22</f>
        <v>480610</v>
      </c>
      <c r="Q114" s="422" t="s">
        <v>456</v>
      </c>
      <c r="R114" s="414">
        <f>+S104*-1</f>
        <v>1217.3282728682302</v>
      </c>
      <c r="AM114" s="375"/>
      <c r="AN114" s="409"/>
      <c r="AO114" s="409"/>
      <c r="AP114" s="409"/>
      <c r="AQ114" s="409"/>
      <c r="AR114" s="409"/>
      <c r="AS114" s="409"/>
      <c r="AT114" s="409"/>
      <c r="AU114" s="409"/>
      <c r="AV114" s="409"/>
      <c r="AW114" s="409"/>
      <c r="AX114" s="409"/>
    </row>
    <row r="115" spans="1:51">
      <c r="B115" s="404" t="str">
        <f>+Aux!$B$112</f>
        <v>Profissionais semi-qualificados</v>
      </c>
      <c r="C115" s="404">
        <f>+'q14'!$C$25</f>
        <v>290378</v>
      </c>
      <c r="D115" s="404">
        <f>+'q14'!$D$25</f>
        <v>296969</v>
      </c>
      <c r="E115" s="404">
        <f>+'q14'!$E$25</f>
        <v>302604</v>
      </c>
      <c r="F115" s="404">
        <f>+'q14'!$F$25</f>
        <v>317309</v>
      </c>
      <c r="G115" s="404">
        <f>+'q14'!$G$25</f>
        <v>330993</v>
      </c>
      <c r="H115" s="404">
        <f>+'q14'!$H$25</f>
        <v>320414</v>
      </c>
      <c r="I115" s="404">
        <f>+'q14'!$I$25</f>
        <v>327004</v>
      </c>
      <c r="J115" s="404">
        <f>+'q14'!$J$25</f>
        <v>337227</v>
      </c>
      <c r="K115" s="404">
        <f>+'q14'!$K$25</f>
        <v>324043</v>
      </c>
      <c r="L115" s="404">
        <f>+'q14'!$L$25</f>
        <v>315376</v>
      </c>
      <c r="M115" s="404">
        <f>+'q14'!$M$25</f>
        <v>341469</v>
      </c>
      <c r="Q115" s="422" t="s">
        <v>460</v>
      </c>
      <c r="R115" s="414">
        <f>+T104*-1</f>
        <v>1476.20345437132</v>
      </c>
      <c r="AM115" s="375"/>
      <c r="AN115" s="409"/>
      <c r="AO115" s="409"/>
      <c r="AP115" s="409"/>
      <c r="AQ115" s="409"/>
      <c r="AR115" s="409"/>
      <c r="AS115" s="409"/>
      <c r="AT115" s="409"/>
      <c r="AU115" s="409"/>
      <c r="AV115" s="409"/>
      <c r="AW115" s="409"/>
      <c r="AX115" s="409"/>
    </row>
    <row r="116" spans="1:51">
      <c r="B116" s="404" t="str">
        <f>+Aux!$B$113</f>
        <v>Profissionais não qualificados</v>
      </c>
      <c r="C116" s="404">
        <f>+'q14'!$C$28</f>
        <v>152030</v>
      </c>
      <c r="D116" s="404">
        <f>+'q14'!$D$28</f>
        <v>150757</v>
      </c>
      <c r="E116" s="404">
        <f>+'q14'!$E$28</f>
        <v>159634</v>
      </c>
      <c r="F116" s="404">
        <f>+'q14'!$F$28</f>
        <v>164339</v>
      </c>
      <c r="G116" s="404">
        <f>+'q14'!$G$28</f>
        <v>164261</v>
      </c>
      <c r="H116" s="404">
        <f>+'q14'!$H$28</f>
        <v>161046</v>
      </c>
      <c r="I116" s="404">
        <f>+'q14'!$I$28</f>
        <v>157015</v>
      </c>
      <c r="J116" s="404">
        <f>+'q14'!$J$28</f>
        <v>191141</v>
      </c>
      <c r="K116" s="404">
        <f>+'q14'!$K$28</f>
        <v>185578</v>
      </c>
      <c r="L116" s="404">
        <f>+'q14'!$L$28</f>
        <v>187921</v>
      </c>
      <c r="M116" s="404">
        <f>+'q14'!$M$28</f>
        <v>194661</v>
      </c>
      <c r="Q116" s="422"/>
      <c r="AM116" s="375"/>
      <c r="AN116" s="409"/>
      <c r="AO116" s="409"/>
      <c r="AP116" s="409"/>
      <c r="AQ116" s="409"/>
      <c r="AR116" s="409"/>
      <c r="AS116" s="409"/>
      <c r="AT116" s="409"/>
      <c r="AU116" s="409"/>
      <c r="AV116" s="409"/>
      <c r="AW116" s="409"/>
      <c r="AX116" s="409"/>
    </row>
    <row r="117" spans="1:51">
      <c r="B117" s="404" t="str">
        <f>+Aux!$B$114</f>
        <v>Praticantes e aprendizes</v>
      </c>
      <c r="C117" s="404">
        <f>+'q14'!$C$31</f>
        <v>37765</v>
      </c>
      <c r="D117" s="404">
        <f>+'q14'!$D$31</f>
        <v>36506</v>
      </c>
      <c r="E117" s="404">
        <f>+'q14'!$E$31</f>
        <v>38666</v>
      </c>
      <c r="F117" s="404">
        <f>+'q14'!$F$31</f>
        <v>39137</v>
      </c>
      <c r="G117" s="404">
        <f>+'q14'!$G$31</f>
        <v>38510</v>
      </c>
      <c r="H117" s="404">
        <f>+'q14'!$H$31</f>
        <v>39429</v>
      </c>
      <c r="I117" s="404">
        <f>+'q14'!$I$31</f>
        <v>40511</v>
      </c>
      <c r="J117" s="404">
        <f>+'q14'!$J$31</f>
        <v>39257</v>
      </c>
      <c r="K117" s="404">
        <f>+'q14'!$K$31</f>
        <v>29860</v>
      </c>
      <c r="L117" s="404">
        <f>+'q14'!$L$31</f>
        <v>31562</v>
      </c>
      <c r="M117" s="404">
        <f>+'q14'!$M$31</f>
        <v>35341</v>
      </c>
      <c r="Q117" s="422"/>
    </row>
    <row r="118" spans="1:51">
      <c r="B118" s="404" t="str">
        <f>+Aux!$B$115</f>
        <v>Total</v>
      </c>
      <c r="C118" s="404">
        <f>+'q14'!$C$7</f>
        <v>1136954</v>
      </c>
      <c r="D118" s="404">
        <f>+'q14'!$D$7</f>
        <v>1142114</v>
      </c>
      <c r="E118" s="404">
        <f>+'q14'!$E$7</f>
        <v>1179242</v>
      </c>
      <c r="F118" s="404">
        <f>+'q14'!$F$7</f>
        <v>1225932</v>
      </c>
      <c r="G118" s="404">
        <f>+'q14'!$G$7</f>
        <v>1274214</v>
      </c>
      <c r="H118" s="404">
        <f>+'q14'!$H$7</f>
        <v>1329792</v>
      </c>
      <c r="I118" s="404">
        <f>+'q14'!$I$7</f>
        <v>1377925</v>
      </c>
      <c r="J118" s="404">
        <f>+'q14'!$J$7</f>
        <v>1401206</v>
      </c>
      <c r="K118" s="404">
        <f>+'q14'!$K$7</f>
        <v>1376528</v>
      </c>
      <c r="L118" s="404">
        <f>+'q14'!$L$7</f>
        <v>1392103</v>
      </c>
      <c r="M118" s="404">
        <f>+'q14'!$M$7</f>
        <v>1494230</v>
      </c>
      <c r="AC118" s="414"/>
    </row>
    <row r="119" spans="1:51">
      <c r="P119" s="404">
        <f>INDEX($A$2:$A$12,$P$9)</f>
        <v>2022</v>
      </c>
      <c r="Q119" s="375" t="s">
        <v>441</v>
      </c>
      <c r="AQ119" s="453"/>
      <c r="AR119" s="453"/>
      <c r="AS119" s="453"/>
      <c r="AT119" s="453"/>
      <c r="AU119" s="453"/>
      <c r="AV119" s="453"/>
    </row>
    <row r="120" spans="1:51">
      <c r="C120" s="375">
        <f>+'q13'!$C$4</f>
        <v>2012</v>
      </c>
      <c r="D120" s="375">
        <f>+'q13'!$D$4</f>
        <v>2013</v>
      </c>
      <c r="E120" s="375">
        <f>+'q13'!$E$4</f>
        <v>2014</v>
      </c>
      <c r="F120" s="375">
        <f>+'q13'!$F$4</f>
        <v>2015</v>
      </c>
      <c r="G120" s="375">
        <f>+'q13'!$G$4</f>
        <v>2016</v>
      </c>
      <c r="H120" s="375">
        <f>+'q13'!$H$4</f>
        <v>2017</v>
      </c>
      <c r="I120" s="375">
        <f>+'q13'!$I$4</f>
        <v>2018</v>
      </c>
      <c r="J120" s="375">
        <f>+'q13'!$J$4</f>
        <v>2019</v>
      </c>
      <c r="K120" s="375">
        <f>+'q13'!$K$4</f>
        <v>2020</v>
      </c>
      <c r="L120" s="375">
        <f>+'q13'!$L$4</f>
        <v>2021</v>
      </c>
      <c r="M120" s="375">
        <f>+'q13'!$M$4</f>
        <v>2022</v>
      </c>
      <c r="R120" s="375" t="s">
        <v>456</v>
      </c>
      <c r="S120" s="375" t="s">
        <v>460</v>
      </c>
      <c r="T120" s="375" t="s">
        <v>457</v>
      </c>
      <c r="U120" s="375" t="s">
        <v>461</v>
      </c>
      <c r="V120" s="375" t="s">
        <v>458</v>
      </c>
      <c r="W120" s="375" t="s">
        <v>459</v>
      </c>
      <c r="Y120" s="404" t="s">
        <v>497</v>
      </c>
      <c r="Z120" s="451" t="s">
        <v>526</v>
      </c>
      <c r="AA120" s="404" t="s">
        <v>353</v>
      </c>
      <c r="AB120" s="404" t="s">
        <v>531</v>
      </c>
      <c r="AC120" s="404" t="s">
        <v>532</v>
      </c>
      <c r="AN120" s="404">
        <f>+COLUMN(AD120)</f>
        <v>30</v>
      </c>
      <c r="AQ120" s="453"/>
      <c r="AR120" s="453"/>
      <c r="AS120" s="453"/>
      <c r="AT120" s="453"/>
      <c r="AU120" s="453"/>
      <c r="AV120" s="453"/>
    </row>
    <row r="121" spans="1:51">
      <c r="A121" s="405" t="s">
        <v>12</v>
      </c>
      <c r="B121" s="404" t="str">
        <f>+Aux!$B$107</f>
        <v>Quadros superiores</v>
      </c>
      <c r="C121" s="404">
        <f>+'q14'!$C$8</f>
        <v>195797</v>
      </c>
      <c r="D121" s="404">
        <f>+'q14'!$D$8</f>
        <v>197559</v>
      </c>
      <c r="E121" s="404">
        <f>+'q14'!$E$8</f>
        <v>198228</v>
      </c>
      <c r="F121" s="404">
        <f>+'q14'!$F$8</f>
        <v>204966</v>
      </c>
      <c r="G121" s="404">
        <f>+'q14'!$G$8</f>
        <v>212297</v>
      </c>
      <c r="H121" s="404">
        <f>+'q14'!$H$8</f>
        <v>220121</v>
      </c>
      <c r="I121" s="404">
        <f>+'q14'!$I$8</f>
        <v>233180</v>
      </c>
      <c r="J121" s="404">
        <f>+'q14'!$J$8</f>
        <v>247905</v>
      </c>
      <c r="K121" s="404">
        <f>+'q14'!$K$8</f>
        <v>262157</v>
      </c>
      <c r="L121" s="404">
        <f>+'q14'!$L$8</f>
        <v>275270</v>
      </c>
      <c r="M121" s="404">
        <f>+'q14'!$M$8</f>
        <v>297522</v>
      </c>
      <c r="Q121" s="404" t="s">
        <v>48</v>
      </c>
      <c r="R121" s="414">
        <f>INDEX($B$131:$M$140,MATCH($Q$121,$B$131:$B$140,0),MATCH($P$119,$B$131:$M$131,0))*-1</f>
        <v>-2558.3044295494901</v>
      </c>
      <c r="S121" s="414">
        <f>INDEX($B$164:$M$173,MATCH($Q$121,$B$164:$B$173,0),MATCH($P$119,$B$164:$M$164,0))*-1</f>
        <v>-2978.0187598152302</v>
      </c>
      <c r="T121" s="414">
        <f>INDEX($B$142:$M$151,MATCH($Q$121,$B$142:$B$151,0),MATCH($P$119,$B$142:$M$142,0))</f>
        <v>1914.18888481977</v>
      </c>
      <c r="U121" s="414">
        <f>INDEX($B$175:$M$184,MATCH($Q$121,$B$175:$B$184,0),MATCH($P$119,$B$175:$M$175,0))</f>
        <v>2217.0614907443701</v>
      </c>
      <c r="V121" s="414">
        <f>INDEX($B$153:$M$162,MATCH($Q$121,$B$153:$B$162,0),MATCH($P$119,$B$153:$M$153,0))</f>
        <v>2260.2689075153398</v>
      </c>
      <c r="W121" s="414">
        <f>INDEX($B$186:$M$195,MATCH($Q$121,$B$186:$B$195,0),MATCH($P$119,$B$186:$M$186,0))</f>
        <v>2625.9199806616007</v>
      </c>
      <c r="X121" s="435">
        <f>+V121/$V$129</f>
        <v>1.9767175118802551</v>
      </c>
      <c r="Y121" s="435">
        <f>(T121/R121*(-1)-1)*100</f>
        <v>-25.177439294945327</v>
      </c>
      <c r="Z121" s="482">
        <f>V121/W121</f>
        <v>0.86075315476515968</v>
      </c>
      <c r="AA121" s="414">
        <f>+W121</f>
        <v>2625.9199806616007</v>
      </c>
      <c r="AB121" s="421">
        <f>+(T121/(R121*-1))</f>
        <v>0.74822560705054675</v>
      </c>
      <c r="AC121" s="421">
        <f>+(U121/(S121*-1))</f>
        <v>0.74447532724136589</v>
      </c>
      <c r="AD121" s="404" t="str">
        <f>+Q121</f>
        <v>Quadros superiores</v>
      </c>
      <c r="AQ121" s="453"/>
      <c r="AR121" s="453"/>
      <c r="AS121" s="453"/>
      <c r="AT121" s="453"/>
      <c r="AU121" s="453"/>
      <c r="AV121" s="453"/>
    </row>
    <row r="122" spans="1:51">
      <c r="B122" s="404" t="str">
        <f>+Aux!$B$108</f>
        <v>Quadros médios</v>
      </c>
      <c r="C122" s="404">
        <f>+'q14'!$C$11</f>
        <v>138507</v>
      </c>
      <c r="D122" s="404">
        <f>+'q14'!$D$11</f>
        <v>136489</v>
      </c>
      <c r="E122" s="404">
        <f>+'q14'!$E$11</f>
        <v>138984</v>
      </c>
      <c r="F122" s="404">
        <f>+'q14'!$F$11</f>
        <v>143200</v>
      </c>
      <c r="G122" s="404">
        <f>+'q14'!$G$11</f>
        <v>149778</v>
      </c>
      <c r="H122" s="404">
        <f>+'q14'!$H$11</f>
        <v>157495</v>
      </c>
      <c r="I122" s="404">
        <f>+'q14'!$I$11</f>
        <v>165603</v>
      </c>
      <c r="J122" s="404">
        <f>+'q14'!$J$11</f>
        <v>165392</v>
      </c>
      <c r="K122" s="404">
        <f>+'q14'!$K$11</f>
        <v>172837</v>
      </c>
      <c r="L122" s="404">
        <f>+'q14'!$L$11</f>
        <v>176658</v>
      </c>
      <c r="M122" s="404">
        <f>+'q14'!$M$11</f>
        <v>192362</v>
      </c>
      <c r="Q122" s="404" t="s">
        <v>49</v>
      </c>
      <c r="R122" s="414">
        <f>INDEX($B$131:$M$140,MATCH($Q$122,$B$131:$B$140,0),MATCH($P$119,$B$131:$M$131,0))*-1</f>
        <v>-1748.1077816131601</v>
      </c>
      <c r="S122" s="414">
        <f>INDEX($B$164:$M$173,MATCH($Q$122,$B$164:$B$173,0),MATCH($P$119,$B$164:$M$164,0))*-1</f>
        <v>-2087.2823036474506</v>
      </c>
      <c r="T122" s="414">
        <f>INDEX($B$142:$M$151,MATCH($Q$122,$B$142:$B$151,0),MATCH($P$119,$B$142:$M$142,0))</f>
        <v>1481.45989656335</v>
      </c>
      <c r="U122" s="414">
        <f>INDEX($B$175:$M$184,MATCH($Q$122,$B$175:$B$184,0),MATCH($P$119,$B$175:$M$175,0))</f>
        <v>1745.68952154305</v>
      </c>
      <c r="V122" s="414">
        <f>INDEX($B$153:$M$162,MATCH($Q$122,$B$153:$B$162,0),MATCH($P$119,$B$153:$M$153,0))</f>
        <v>1620.2626426847301</v>
      </c>
      <c r="W122" s="414">
        <f>INDEX($B$186:$M$195,MATCH($Q$122,$B$186:$B$195,0),MATCH($P$119,$B$186:$M$186,0))</f>
        <v>1923.504606041</v>
      </c>
      <c r="X122" s="435">
        <f t="shared" ref="X122:X128" si="15">+V122/$V$129</f>
        <v>1.4170002201910792</v>
      </c>
      <c r="Y122" s="435">
        <f t="shared" ref="Y122:Y128" si="16">(T122/R122*(-1)-1)*100</f>
        <v>-15.253515135305129</v>
      </c>
      <c r="Z122" s="482">
        <f t="shared" ref="Z122:Z129" si="17">V122/W122</f>
        <v>0.8423492398178295</v>
      </c>
      <c r="AA122" s="414">
        <f t="shared" ref="AA122:AA129" si="18">+W122</f>
        <v>1923.504606041</v>
      </c>
      <c r="AB122" s="421">
        <f t="shared" ref="AB122:AB129" si="19">+(T122/(R122*-1))</f>
        <v>0.84746484864694871</v>
      </c>
      <c r="AC122" s="421">
        <f t="shared" ref="AC122:AC129" si="20">+(U122/(S122*-1))</f>
        <v>0.83634567230916512</v>
      </c>
      <c r="AD122" s="404" t="str">
        <f t="shared" ref="AD122:AD128" si="21">+Q122</f>
        <v>Quadros médios</v>
      </c>
      <c r="AN122" s="404">
        <f>+P119</f>
        <v>2022</v>
      </c>
      <c r="AO122" s="404" t="s">
        <v>524</v>
      </c>
    </row>
    <row r="123" spans="1:51">
      <c r="B123" s="404" t="str">
        <f>+Aux!$B$109</f>
        <v>Encarregados, contramestres e chefes de equipa</v>
      </c>
      <c r="C123" s="404">
        <f>+'q14'!$C$14</f>
        <v>122080</v>
      </c>
      <c r="D123" s="404">
        <f>+'q14'!$D$14</f>
        <v>119895</v>
      </c>
      <c r="E123" s="404">
        <f>+'q14'!$E$14</f>
        <v>121764</v>
      </c>
      <c r="F123" s="404">
        <f>+'q14'!$F$14</f>
        <v>123477</v>
      </c>
      <c r="G123" s="404">
        <f>+'q14'!$G$14</f>
        <v>130096</v>
      </c>
      <c r="H123" s="404">
        <f>+'q14'!$H$14</f>
        <v>136871</v>
      </c>
      <c r="I123" s="404">
        <f>+'q14'!$I$14</f>
        <v>144343</v>
      </c>
      <c r="J123" s="404">
        <f>+'q14'!$J$14</f>
        <v>138249</v>
      </c>
      <c r="K123" s="404">
        <f>+'q14'!$K$14</f>
        <v>135963</v>
      </c>
      <c r="L123" s="404">
        <f>+'q14'!$L$14</f>
        <v>141942</v>
      </c>
      <c r="M123" s="404">
        <f>+'q14'!$M$14</f>
        <v>156172</v>
      </c>
      <c r="Q123" s="404" t="s">
        <v>444</v>
      </c>
      <c r="R123" s="414">
        <f>INDEX($B$131:$M$140,MATCH($Q$123,$B$131:$B$140,0),MATCH($P$119,$B$131:$M$131,0))*-1</f>
        <v>-1609.6946180740101</v>
      </c>
      <c r="S123" s="414">
        <f>INDEX($B$164:$M$173,MATCH($Q$123,$B$164:$B$173,0),MATCH($P$119,$B$164:$M$164,0))*-1</f>
        <v>-1948.9207036131502</v>
      </c>
      <c r="T123" s="414">
        <f>INDEX($B$142:$M$151,MATCH($Q$123,$B$142:$B$151,0),MATCH($P$119,$B$142:$M$142,0))</f>
        <v>1484.7469861217801</v>
      </c>
      <c r="U123" s="414">
        <f>INDEX($B$175:$M$184,MATCH($Q$123,$B$175:$B$184,0),MATCH($P$119,$B$175:$M$175,0))</f>
        <v>1762.7357397037104</v>
      </c>
      <c r="V123" s="414">
        <f>INDEX($B$153:$M$162,MATCH($Q$123,$B$153:$B$162,0),MATCH($P$119,$B$153:$M$153,0))</f>
        <v>1561.37126441444</v>
      </c>
      <c r="W123" s="414">
        <f>INDEX($B$186:$M$195,MATCH($Q$123,$B$186:$B$195,0),MATCH($P$119,$B$186:$M$186,0))</f>
        <v>1876.9138819029999</v>
      </c>
      <c r="X123" s="435">
        <f t="shared" si="15"/>
        <v>1.3654967825520528</v>
      </c>
      <c r="Y123" s="435">
        <f t="shared" si="16"/>
        <v>-7.7621948007584933</v>
      </c>
      <c r="Z123" s="482">
        <f t="shared" si="17"/>
        <v>0.83188220805920421</v>
      </c>
      <c r="AA123" s="414">
        <f t="shared" si="18"/>
        <v>1876.9138819029999</v>
      </c>
      <c r="AB123" s="421">
        <f t="shared" si="19"/>
        <v>0.92237805199241507</v>
      </c>
      <c r="AC123" s="421">
        <f t="shared" si="20"/>
        <v>0.90446765557763986</v>
      </c>
      <c r="AD123" s="404" t="str">
        <f t="shared" si="21"/>
        <v>Encarregados, contramestres e chefes de equipa</v>
      </c>
      <c r="AN123" s="404" t="s">
        <v>525</v>
      </c>
      <c r="AQ123" s="404" t="s">
        <v>528</v>
      </c>
      <c r="AS123" s="404" t="s">
        <v>510</v>
      </c>
      <c r="AU123" s="404" t="s">
        <v>511</v>
      </c>
    </row>
    <row r="124" spans="1:51">
      <c r="B124" s="404" t="str">
        <f>+Aux!$B$110</f>
        <v>Profissionais altamente qualificados</v>
      </c>
      <c r="C124" s="404">
        <f>+'q14'!$C$17</f>
        <v>179939</v>
      </c>
      <c r="D124" s="404">
        <f>+'q14'!$D$17</f>
        <v>176384</v>
      </c>
      <c r="E124" s="404">
        <f>+'q14'!$E$17</f>
        <v>182629</v>
      </c>
      <c r="F124" s="404">
        <f>+'q14'!$F$17</f>
        <v>189545</v>
      </c>
      <c r="G124" s="404">
        <f>+'q14'!$G$17</f>
        <v>201938</v>
      </c>
      <c r="H124" s="404">
        <f>+'q14'!$H$17</f>
        <v>213571</v>
      </c>
      <c r="I124" s="404">
        <f>+'q14'!$I$17</f>
        <v>223564</v>
      </c>
      <c r="J124" s="404">
        <f>+'q14'!$J$17</f>
        <v>243170</v>
      </c>
      <c r="K124" s="404">
        <f>+'q14'!$K$17</f>
        <v>254726</v>
      </c>
      <c r="L124" s="404">
        <f>+'q14'!$L$17</f>
        <v>263533</v>
      </c>
      <c r="M124" s="404">
        <f>+'q14'!$M$17</f>
        <v>284791</v>
      </c>
      <c r="Q124" s="404" t="s">
        <v>442</v>
      </c>
      <c r="R124" s="414">
        <f>INDEX($B$131:$M$140,MATCH($Q$124,$B$131:$B$140,0),MATCH($P$119,$B$131:$M$131,0))*-1</f>
        <v>-1348.4080862850801</v>
      </c>
      <c r="S124" s="414">
        <f>INDEX($B$164:$M$173,MATCH($Q$124,$B$164:$B$173,0),MATCH($P$119,$B$164:$M$164,0))*-1</f>
        <v>-1696.3206723046101</v>
      </c>
      <c r="T124" s="414">
        <f>INDEX($B$142:$M$151,MATCH($Q$124,$B$142:$B$151,0),MATCH($P$119,$B$142:$M$142,0))</f>
        <v>1138.7999413300199</v>
      </c>
      <c r="U124" s="414">
        <f>INDEX($B$175:$M$184,MATCH($Q$124,$B$175:$B$184,0),MATCH($P$119,$B$175:$M$175,0))</f>
        <v>1355.2679581147402</v>
      </c>
      <c r="V124" s="414">
        <f>INDEX($B$153:$M$162,MATCH($Q$124,$B$153:$B$162,0),MATCH($P$119,$B$153:$M$153,0))</f>
        <v>1245.69055776859</v>
      </c>
      <c r="W124" s="414">
        <f>INDEX($B$186:$M$195,MATCH($Q$124,$B$186:$B$195,0),MATCH($P$119,$B$186:$M$186,0))</f>
        <v>1529.1893239357998</v>
      </c>
      <c r="X124" s="435">
        <f t="shared" si="15"/>
        <v>1.0894183128997199</v>
      </c>
      <c r="Y124" s="435">
        <f t="shared" si="16"/>
        <v>-15.544859682096634</v>
      </c>
      <c r="Z124" s="482">
        <f t="shared" si="17"/>
        <v>0.81460845839706375</v>
      </c>
      <c r="AA124" s="414">
        <f t="shared" si="18"/>
        <v>1529.1893239357998</v>
      </c>
      <c r="AB124" s="421">
        <f t="shared" si="19"/>
        <v>0.84455140317903366</v>
      </c>
      <c r="AC124" s="421">
        <f t="shared" si="20"/>
        <v>0.79894561225471716</v>
      </c>
      <c r="AD124" s="404" t="str">
        <f t="shared" si="21"/>
        <v>Profissionais altamente qualificados</v>
      </c>
      <c r="AN124" s="435" t="str">
        <f>TEXT(Z129,"##.###,0%")</f>
        <v>83,6%</v>
      </c>
      <c r="AQ124" s="435" t="s">
        <v>529</v>
      </c>
      <c r="AS124" s="435" t="str">
        <f>TEXT($AB$129,"##.###,0%")</f>
        <v>86,6%</v>
      </c>
      <c r="AT124" s="404" t="s">
        <v>578</v>
      </c>
      <c r="AU124" s="435" t="str">
        <f>TEXT($AC$129,"##.###,0%")</f>
        <v>83,8%</v>
      </c>
      <c r="AV124" s="404" t="s">
        <v>579</v>
      </c>
    </row>
    <row r="125" spans="1:51">
      <c r="B125" s="404" t="str">
        <f>+Aux!$B$111</f>
        <v>Profissionais qualificados</v>
      </c>
      <c r="C125" s="404">
        <f>+'q14'!$C$20</f>
        <v>913908</v>
      </c>
      <c r="D125" s="404">
        <f>+'q14'!$D$20</f>
        <v>902091</v>
      </c>
      <c r="E125" s="404">
        <f>+'q14'!$E$20</f>
        <v>927748</v>
      </c>
      <c r="F125" s="404">
        <f>+'q14'!$F$20</f>
        <v>958705</v>
      </c>
      <c r="G125" s="404">
        <f>+'q14'!$G$20</f>
        <v>993716</v>
      </c>
      <c r="H125" s="404">
        <f>+'q14'!$H$20</f>
        <v>1092258</v>
      </c>
      <c r="I125" s="404">
        <f>+'q14'!$I$20</f>
        <v>1149282</v>
      </c>
      <c r="J125" s="404">
        <f>+'q14'!$J$20</f>
        <v>1091473</v>
      </c>
      <c r="K125" s="404">
        <f>+'q14'!$K$20</f>
        <v>1073089</v>
      </c>
      <c r="L125" s="404">
        <f>+'q14'!$L$20</f>
        <v>1066230</v>
      </c>
      <c r="M125" s="404">
        <f>+'q14'!$M$20</f>
        <v>1141072</v>
      </c>
      <c r="Q125" s="404" t="s">
        <v>50</v>
      </c>
      <c r="R125" s="414">
        <f>INDEX($B$131:$M$140,MATCH($Q$125,$B$131:$B$140,0),MATCH($P$119,$B$131:$M$131,0))*-1</f>
        <v>-944.16646430287312</v>
      </c>
      <c r="S125" s="414">
        <f>INDEX($B$164:$M$173,MATCH($Q$125,$B$164:$B$173,0),MATCH($P$119,$B$164:$M$164,0))*-1</f>
        <v>-1170.18180286346</v>
      </c>
      <c r="T125" s="414">
        <f>INDEX($B$142:$M$151,MATCH($Q$125,$B$142:$B$151,0),MATCH($P$119,$B$142:$M$142,0))</f>
        <v>871.09469414185605</v>
      </c>
      <c r="U125" s="414">
        <f>INDEX($B$175:$M$184,MATCH($Q$125,$B$175:$B$184,0),MATCH($P$119,$B$175:$M$175,0))</f>
        <v>1024.9985181313002</v>
      </c>
      <c r="V125" s="414">
        <f>INDEX($B$153:$M$162,MATCH($Q$125,$B$153:$B$162,0),MATCH($P$119,$B$153:$M$153,0))</f>
        <v>914.25632748807504</v>
      </c>
      <c r="W125" s="414">
        <f>INDEX($B$186:$M$195,MATCH($Q$125,$B$186:$B$195,0),MATCH($P$119,$B$186:$M$186,0))</f>
        <v>1110.7545863064802</v>
      </c>
      <c r="X125" s="435">
        <f t="shared" si="15"/>
        <v>0.79956260376100508</v>
      </c>
      <c r="Y125" s="435">
        <f t="shared" si="16"/>
        <v>-7.7392888779384661</v>
      </c>
      <c r="Z125" s="482">
        <f t="shared" si="17"/>
        <v>0.82309480308174288</v>
      </c>
      <c r="AA125" s="414">
        <f t="shared" si="18"/>
        <v>1110.7545863064802</v>
      </c>
      <c r="AB125" s="421">
        <f t="shared" si="19"/>
        <v>0.92260711122061534</v>
      </c>
      <c r="AC125" s="421">
        <f t="shared" si="20"/>
        <v>0.87593100116845679</v>
      </c>
      <c r="AD125" s="404" t="str">
        <f t="shared" si="21"/>
        <v>Profissionais qualificados</v>
      </c>
      <c r="AN125" s="404" t="s">
        <v>574</v>
      </c>
      <c r="AQ125" s="435">
        <f>+SMALL($AA$121:$AA$128,1)</f>
        <v>880.87147883170803</v>
      </c>
      <c r="AR125" s="404" t="str">
        <f>+TEXT(AQ125,"##.### €")</f>
        <v>881 €</v>
      </c>
      <c r="AS125" s="404">
        <f>+SMALL(AB121:AB128,1)</f>
        <v>0.74822560705054675</v>
      </c>
      <c r="AT125" s="404" t="str">
        <f>+TEXT(AS125,"##.###,0%")</f>
        <v>74,8%</v>
      </c>
      <c r="AU125" s="404">
        <f>+SMALL(AC121:AC128,1)</f>
        <v>0.74447532724136589</v>
      </c>
      <c r="AV125" s="404" t="str">
        <f>+TEXT(AU125,"##.###,0%")</f>
        <v>74,4%</v>
      </c>
      <c r="AX125" s="375"/>
      <c r="AY125" s="375"/>
    </row>
    <row r="126" spans="1:51">
      <c r="B126" s="404" t="str">
        <f>+Aux!$B$112</f>
        <v>Profissionais semi-qualificados</v>
      </c>
      <c r="C126" s="404">
        <f>+'q14'!$C$23</f>
        <v>500004</v>
      </c>
      <c r="D126" s="404">
        <f>+'q14'!$D$23</f>
        <v>519108</v>
      </c>
      <c r="E126" s="404">
        <f>+'q14'!$E$23</f>
        <v>535910</v>
      </c>
      <c r="F126" s="404">
        <f>+'q14'!$F$23</f>
        <v>555223</v>
      </c>
      <c r="G126" s="404">
        <f>+'q14'!$G$23</f>
        <v>585440</v>
      </c>
      <c r="H126" s="404">
        <f>+'q14'!$H$23</f>
        <v>569141</v>
      </c>
      <c r="I126" s="404">
        <f>+'q14'!$I$23</f>
        <v>582366</v>
      </c>
      <c r="J126" s="404">
        <f>+'q14'!$J$23</f>
        <v>594326</v>
      </c>
      <c r="K126" s="404">
        <f>+'q14'!$K$23</f>
        <v>575153</v>
      </c>
      <c r="L126" s="404">
        <f>+'q14'!$L$23</f>
        <v>555639</v>
      </c>
      <c r="M126" s="404">
        <f>+'q14'!$M$23</f>
        <v>602364</v>
      </c>
      <c r="Q126" s="404" t="s">
        <v>443</v>
      </c>
      <c r="R126" s="414">
        <f>INDEX($B$131:$M$140,MATCH($Q$126,$B$131:$B$140,0),MATCH($P$119,$B$131:$M$131,0))*-1</f>
        <v>-851.02952182043202</v>
      </c>
      <c r="S126" s="414">
        <f>INDEX($B$164:$M$173,MATCH($Q$126,$B$164:$B$173,0),MATCH($P$119,$B$164:$M$164,0))*-1</f>
        <v>-1039.5046696515599</v>
      </c>
      <c r="T126" s="414">
        <f>INDEX($B$142:$M$151,MATCH($Q$126,$B$142:$B$151,0),MATCH($P$119,$B$142:$M$142,0))</f>
        <v>766.49872620606197</v>
      </c>
      <c r="U126" s="414">
        <f>INDEX($B$175:$M$184,MATCH($Q$126,$B$175:$B$184,0),MATCH($P$119,$B$175:$M$175,0))</f>
        <v>901.43580542846007</v>
      </c>
      <c r="V126" s="414">
        <f>INDEX($B$153:$M$162,MATCH($Q$126,$B$153:$B$162,0),MATCH($P$119,$B$153:$M$153,0))</f>
        <v>805.43842040386505</v>
      </c>
      <c r="W126" s="414">
        <f>INDEX($B$186:$M$195,MATCH($Q$126,$B$186:$B$195,0),MATCH($P$119,$B$186:$M$186,0))</f>
        <v>965.03818030272907</v>
      </c>
      <c r="X126" s="435">
        <f t="shared" si="15"/>
        <v>0.70439593495256969</v>
      </c>
      <c r="Y126" s="435">
        <f t="shared" si="16"/>
        <v>-9.9327688930873741</v>
      </c>
      <c r="Z126" s="482">
        <f t="shared" si="17"/>
        <v>0.83461819111778757</v>
      </c>
      <c r="AA126" s="414">
        <f t="shared" si="18"/>
        <v>965.03818030272907</v>
      </c>
      <c r="AB126" s="421">
        <f t="shared" si="19"/>
        <v>0.90067231106912626</v>
      </c>
      <c r="AC126" s="421">
        <f t="shared" si="20"/>
        <v>0.86717821645824811</v>
      </c>
      <c r="AD126" s="404" t="str">
        <f t="shared" si="21"/>
        <v>Profissionais semi-qualificados</v>
      </c>
      <c r="AN126" s="404">
        <f>+SMALL(V121:V128,1)</f>
        <v>746.19213529626995</v>
      </c>
      <c r="AO126" s="404" t="str">
        <f>+TEXT(AN126,"##.### €")</f>
        <v>746 €</v>
      </c>
      <c r="AS126" s="404" t="s">
        <v>580</v>
      </c>
      <c r="AU126" s="404" t="s">
        <v>580</v>
      </c>
      <c r="AX126" s="409"/>
      <c r="AY126" s="409"/>
    </row>
    <row r="127" spans="1:51">
      <c r="B127" s="404" t="str">
        <f>+Aux!$B$113</f>
        <v>Profissionais não qualificados</v>
      </c>
      <c r="C127" s="404">
        <f>+'q14'!$C$26</f>
        <v>263897</v>
      </c>
      <c r="D127" s="404">
        <f>+'q14'!$D$26</f>
        <v>261276</v>
      </c>
      <c r="E127" s="404">
        <f>+'q14'!$E$26</f>
        <v>276984</v>
      </c>
      <c r="F127" s="404">
        <f>+'q14'!$F$26</f>
        <v>284805</v>
      </c>
      <c r="G127" s="404">
        <f>+'q14'!$G$26</f>
        <v>291322</v>
      </c>
      <c r="H127" s="404">
        <f>+'q14'!$H$26</f>
        <v>297838</v>
      </c>
      <c r="I127" s="404">
        <f>+'q14'!$I$26</f>
        <v>296301</v>
      </c>
      <c r="J127" s="404">
        <f>+'q14'!$J$26</f>
        <v>366355</v>
      </c>
      <c r="K127" s="404">
        <f>+'q14'!$K$26</f>
        <v>361526</v>
      </c>
      <c r="L127" s="404">
        <f>+'q14'!$L$26</f>
        <v>371122</v>
      </c>
      <c r="M127" s="404">
        <f>+'q14'!$M$26</f>
        <v>396732</v>
      </c>
      <c r="Q127" s="404" t="s">
        <v>51</v>
      </c>
      <c r="R127" s="414">
        <f>INDEX($B$131:$M$140,MATCH($Q$127,$B$131:$B$140,0),MATCH($P$119,$B$131:$M$131,0))*-1</f>
        <v>-762.66479251544411</v>
      </c>
      <c r="S127" s="414">
        <f>INDEX($B$164:$M$173,MATCH($Q$127,$B$164:$B$173,0),MATCH($P$119,$B$164:$M$164,0))*-1</f>
        <v>-916.0868846546341</v>
      </c>
      <c r="T127" s="414">
        <f>INDEX($B$142:$M$151,MATCH($Q$127,$B$142:$B$151,0),MATCH($P$119,$B$142:$M$142,0))</f>
        <v>725.84642090172599</v>
      </c>
      <c r="U127" s="414">
        <f>INDEX($B$175:$M$184,MATCH($Q$127,$B$175:$B$184,0),MATCH($P$119,$B$175:$M$175,0))</f>
        <v>837.37621394346399</v>
      </c>
      <c r="V127" s="414">
        <f>INDEX($B$153:$M$162,MATCH($Q$127,$B$153:$B$162,0),MATCH($P$119,$B$153:$M$153,0))</f>
        <v>746.19213529626995</v>
      </c>
      <c r="W127" s="414">
        <f>INDEX($B$186:$M$195,MATCH($Q$127,$B$186:$B$195,0),MATCH($P$119,$B$186:$M$186,0))</f>
        <v>880.87147883170803</v>
      </c>
      <c r="X127" s="435">
        <f t="shared" si="15"/>
        <v>0.65258211364279761</v>
      </c>
      <c r="Y127" s="435">
        <f t="shared" si="16"/>
        <v>-4.8275955537796182</v>
      </c>
      <c r="Z127" s="482">
        <f t="shared" si="17"/>
        <v>0.84710670424468493</v>
      </c>
      <c r="AA127" s="414">
        <f t="shared" si="18"/>
        <v>880.87147883170803</v>
      </c>
      <c r="AB127" s="421">
        <f t="shared" si="19"/>
        <v>0.95172404446220382</v>
      </c>
      <c r="AC127" s="421">
        <f t="shared" si="20"/>
        <v>0.91407946993931244</v>
      </c>
      <c r="AD127" s="404" t="str">
        <f t="shared" si="21"/>
        <v>Profissionais não qualificados</v>
      </c>
      <c r="AN127" s="404" t="s">
        <v>576</v>
      </c>
      <c r="AQ127" s="404" t="s">
        <v>530</v>
      </c>
      <c r="AR127" s="452"/>
      <c r="AS127" s="435" t="str">
        <f>+VLOOKUP(AS125,$AB$120:$AD$128,COLUMN($AD$120)-27,0)</f>
        <v>Quadros superiores</v>
      </c>
      <c r="AT127" s="452" t="s">
        <v>504</v>
      </c>
      <c r="AU127" s="435" t="str">
        <f>+VLOOKUP(AU125,$AC$120:$AD$128,COLUMN($AD$120)-28,0)</f>
        <v>Quadros superiores</v>
      </c>
      <c r="AV127" s="452" t="s">
        <v>504</v>
      </c>
      <c r="AX127" s="409"/>
      <c r="AY127" s="409"/>
    </row>
    <row r="128" spans="1:51">
      <c r="B128" s="404" t="str">
        <f>+Aux!$B$114</f>
        <v>Praticantes e aprendizes</v>
      </c>
      <c r="C128" s="404">
        <f>+'q14'!$C$29</f>
        <v>73254</v>
      </c>
      <c r="D128" s="404">
        <f>+'q14'!$D$29</f>
        <v>71319</v>
      </c>
      <c r="E128" s="404">
        <f>+'q14'!$E$29</f>
        <v>75916</v>
      </c>
      <c r="F128" s="404">
        <f>+'q14'!$F$29</f>
        <v>77732</v>
      </c>
      <c r="G128" s="404">
        <f>+'q14'!$G$29</f>
        <v>77332</v>
      </c>
      <c r="H128" s="404">
        <f>+'q14'!$H$29</f>
        <v>80226</v>
      </c>
      <c r="I128" s="404">
        <f>+'q14'!$I$29</f>
        <v>83279</v>
      </c>
      <c r="J128" s="404">
        <f>+'q14'!$J$29</f>
        <v>83612</v>
      </c>
      <c r="K128" s="404">
        <f>+'q14'!$K$29</f>
        <v>67374</v>
      </c>
      <c r="L128" s="404">
        <f>+'q14'!$L$29</f>
        <v>71949</v>
      </c>
      <c r="M128" s="404">
        <f>+'q14'!$M$29</f>
        <v>77132</v>
      </c>
      <c r="Q128" s="404" t="s">
        <v>52</v>
      </c>
      <c r="R128" s="414">
        <f>INDEX($B$131:$M$140,MATCH($Q$128,$B$131:$B$140,0),MATCH($P$119,$B$131:$M$131,0))*-1</f>
        <v>-775.21150174921695</v>
      </c>
      <c r="S128" s="414">
        <f>INDEX($B$164:$M$173,MATCH($Q$128,$B$164:$B$173,0),MATCH($P$119,$B$164:$M$164,0))*-1</f>
        <v>-921.182915485178</v>
      </c>
      <c r="T128" s="414">
        <f>INDEX($B$142:$M$151,MATCH($Q$128,$B$142:$B$151,0),MATCH($P$119,$B$142:$M$142,0))</f>
        <v>749.20402449021401</v>
      </c>
      <c r="U128" s="414">
        <f>INDEX($B$175:$M$184,MATCH($Q$128,$B$175:$B$184,0),MATCH($P$119,$B$175:$M$175,0))</f>
        <v>875.73350292038106</v>
      </c>
      <c r="V128" s="414">
        <f>INDEX($B$153:$M$162,MATCH($Q$128,$B$153:$B$162,0),MATCH($P$119,$B$153:$M$153,0))</f>
        <v>764.33553617723305</v>
      </c>
      <c r="W128" s="414">
        <f>INDEX($B$186:$M$195,MATCH($Q$128,$B$186:$B$195,0),MATCH($P$119,$B$186:$M$186,0))</f>
        <v>902.17660274676996</v>
      </c>
      <c r="X128" s="435">
        <f t="shared" si="15"/>
        <v>0.66844941957582849</v>
      </c>
      <c r="Y128" s="435">
        <f t="shared" si="16"/>
        <v>-3.3548879499747719</v>
      </c>
      <c r="Z128" s="482">
        <f t="shared" si="17"/>
        <v>0.84721276726766626</v>
      </c>
      <c r="AA128" s="414">
        <f t="shared" si="18"/>
        <v>902.17660274676996</v>
      </c>
      <c r="AB128" s="421">
        <f t="shared" si="19"/>
        <v>0.96645112050025228</v>
      </c>
      <c r="AC128" s="421">
        <f t="shared" si="20"/>
        <v>0.95066190242916182</v>
      </c>
      <c r="AD128" s="404" t="str">
        <f t="shared" si="21"/>
        <v>Praticantes e aprendizes</v>
      </c>
      <c r="AN128" s="435" t="str">
        <f>+VLOOKUP(AN126,$V$120:$AE$1283,COLUMN($AD$120)-21,0)</f>
        <v>Profissionais não qualificados</v>
      </c>
      <c r="AQ128" s="435">
        <f>+LARGE($AA$121:$AA$128,1)</f>
        <v>2625.9199806616007</v>
      </c>
      <c r="AR128" s="404" t="str">
        <f>+TEXT(AQ128,"##.### €")</f>
        <v>2.626 €</v>
      </c>
      <c r="AS128" s="452">
        <f>+LARGE(AB121:AB128,1)</f>
        <v>0.96645112050025228</v>
      </c>
      <c r="AT128" s="404" t="str">
        <f>+TEXT(AS128,"##.###,0%")</f>
        <v>96,6%</v>
      </c>
      <c r="AU128" s="452">
        <f>+LARGE(AC121:AC128,1)</f>
        <v>0.95066190242916182</v>
      </c>
      <c r="AV128" s="404" t="str">
        <f>+TEXT(AU128,"##.###,0%")</f>
        <v>95,1%</v>
      </c>
      <c r="AW128" s="452"/>
      <c r="AX128" s="409"/>
      <c r="AY128" s="409"/>
    </row>
    <row r="129" spans="1:51">
      <c r="B129" s="404" t="str">
        <f>+Aux!$B$115</f>
        <v>Total</v>
      </c>
      <c r="C129" s="404">
        <f>+'q14'!$C$5</f>
        <v>2387386</v>
      </c>
      <c r="D129" s="404">
        <f>+'q14'!$D$5</f>
        <v>2384121</v>
      </c>
      <c r="E129" s="404">
        <f>+'q14'!$E$5</f>
        <v>2458163</v>
      </c>
      <c r="F129" s="404">
        <f>+'q14'!$F$5</f>
        <v>2537653</v>
      </c>
      <c r="G129" s="404">
        <f>+'q14'!$G$5</f>
        <v>2641919</v>
      </c>
      <c r="H129" s="404">
        <f>+'q14'!$H$5</f>
        <v>2767521</v>
      </c>
      <c r="I129" s="404">
        <f>+'q14'!$I$5</f>
        <v>2877918</v>
      </c>
      <c r="J129" s="404">
        <f>+'q14'!$J$5</f>
        <v>2930482</v>
      </c>
      <c r="K129" s="404">
        <f>+'q14'!$K$5</f>
        <v>2902825</v>
      </c>
      <c r="L129" s="404">
        <f>+'q14'!$L$5</f>
        <v>2922343</v>
      </c>
      <c r="M129" s="404">
        <f>+'q14'!$M$5</f>
        <v>3148147</v>
      </c>
      <c r="Q129" s="404" t="s">
        <v>12</v>
      </c>
      <c r="R129" s="414">
        <f>INDEX($B$131:$M$140,MATCH($Q$129,$B$131:$B$140,0),MATCH($P$119,$B$131:$M$131,0))*-1</f>
        <v>-1217.3282728682302</v>
      </c>
      <c r="S129" s="414">
        <f>INDEX($B$164:$M$173,MATCH($Q$129,$B$164:$B$173,0),MATCH($P$119,$B$164:$M$164,0))*-1</f>
        <v>-1476.20345437132</v>
      </c>
      <c r="T129" s="414">
        <f>INDEX($B$142:$M$151,MATCH($Q$129,$B$142:$B$151,0),MATCH($P$119,$B$142:$M$142,0))</f>
        <v>1054.3618671065601</v>
      </c>
      <c r="U129" s="414">
        <f>INDEX($B$175:$M$184,MATCH($Q$129,$B$175:$B$184,0),MATCH($P$119,$B$175:$M$175,0))</f>
        <v>1237.52369998673</v>
      </c>
      <c r="V129" s="414">
        <f>INDEX($B$153:$M$162,MATCH($Q$129,$B$153:$B$162,0),MATCH($P$119,$B$153:$M$153,0))</f>
        <v>1143.44558285689</v>
      </c>
      <c r="W129" s="414">
        <f>INDEX($B$186:$M$195,MATCH($Q$129,$B$186:$B$195,0),MATCH($P$119,$B$186:$M$186,0))</f>
        <v>1367.9952489883699</v>
      </c>
      <c r="Y129" s="435"/>
      <c r="Z129" s="482">
        <f t="shared" si="17"/>
        <v>0.83585493714431103</v>
      </c>
      <c r="AA129" s="414">
        <f t="shared" si="18"/>
        <v>1367.9952489883699</v>
      </c>
      <c r="AB129" s="421">
        <f t="shared" si="19"/>
        <v>0.86612780677664392</v>
      </c>
      <c r="AC129" s="421">
        <f t="shared" si="20"/>
        <v>0.83831513625183995</v>
      </c>
      <c r="AN129" s="404" t="s">
        <v>527</v>
      </c>
      <c r="AQ129" s="404" t="s">
        <v>584</v>
      </c>
      <c r="AR129" s="452"/>
      <c r="AS129" s="452" t="s">
        <v>575</v>
      </c>
      <c r="AU129" s="452" t="s">
        <v>575</v>
      </c>
      <c r="AW129" s="452"/>
      <c r="AX129" s="409"/>
      <c r="AY129" s="409"/>
    </row>
    <row r="130" spans="1:51">
      <c r="R130" s="435"/>
      <c r="T130" s="435"/>
      <c r="AN130" s="404">
        <f>+LARGE(V121:V128,1)</f>
        <v>2260.2689075153398</v>
      </c>
      <c r="AO130" s="404" t="str">
        <f>+TEXT(AN130,"##.### €")</f>
        <v>2.260 €</v>
      </c>
      <c r="AR130" s="452"/>
      <c r="AS130" s="435" t="str">
        <f>+VLOOKUP(AS128,$AB$120:$AD$128,COLUMN($AD$120)-27,0)</f>
        <v>Praticantes e aprendizes</v>
      </c>
      <c r="AT130" s="452" t="s">
        <v>505</v>
      </c>
      <c r="AU130" s="435" t="str">
        <f>+VLOOKUP(AU128,$AC$120:$AD$128,COLUMN($AD$120)-28,0)</f>
        <v>Praticantes e aprendizes</v>
      </c>
      <c r="AV130" s="452" t="s">
        <v>505</v>
      </c>
      <c r="AW130" s="452"/>
      <c r="AX130" s="409"/>
      <c r="AY130" s="409"/>
    </row>
    <row r="131" spans="1:51">
      <c r="A131" s="412" t="s">
        <v>435</v>
      </c>
      <c r="C131" s="375">
        <f>+'q13'!$C$4</f>
        <v>2012</v>
      </c>
      <c r="D131" s="375">
        <f>+'q13'!$D$4</f>
        <v>2013</v>
      </c>
      <c r="E131" s="375">
        <f>+'q13'!$E$4</f>
        <v>2014</v>
      </c>
      <c r="F131" s="375">
        <f>+'q13'!$F$4</f>
        <v>2015</v>
      </c>
      <c r="G131" s="375">
        <f>+'q13'!$G$4</f>
        <v>2016</v>
      </c>
      <c r="H131" s="375">
        <f>+'q13'!$H$4</f>
        <v>2017</v>
      </c>
      <c r="I131" s="375">
        <f>+'q13'!$I$4</f>
        <v>2018</v>
      </c>
      <c r="J131" s="375">
        <f>+'q13'!$J$4</f>
        <v>2019</v>
      </c>
      <c r="K131" s="375">
        <f>+'q13'!$K$4</f>
        <v>2020</v>
      </c>
      <c r="L131" s="375">
        <f>+'q13'!$L$4</f>
        <v>2021</v>
      </c>
      <c r="M131" s="375">
        <f>+'q13'!$M$4</f>
        <v>2022</v>
      </c>
      <c r="R131" s="404" t="s">
        <v>12</v>
      </c>
      <c r="S131" s="404" t="s">
        <v>48</v>
      </c>
      <c r="T131" s="404" t="s">
        <v>49</v>
      </c>
      <c r="U131" s="404" t="s">
        <v>444</v>
      </c>
      <c r="V131" s="404" t="s">
        <v>442</v>
      </c>
      <c r="W131" s="404" t="s">
        <v>50</v>
      </c>
      <c r="X131" s="404" t="s">
        <v>443</v>
      </c>
      <c r="Y131" s="404" t="s">
        <v>51</v>
      </c>
      <c r="Z131" s="404" t="s">
        <v>52</v>
      </c>
      <c r="AN131" s="404" t="s">
        <v>576</v>
      </c>
      <c r="AP131" s="435"/>
      <c r="AR131" s="452"/>
      <c r="AS131" s="452"/>
      <c r="AT131" s="452"/>
      <c r="AU131" s="452"/>
      <c r="AV131" s="452"/>
      <c r="AW131" s="452"/>
      <c r="AX131" s="409"/>
      <c r="AY131" s="409"/>
    </row>
    <row r="132" spans="1:51">
      <c r="A132" s="412" t="s">
        <v>116</v>
      </c>
      <c r="B132" s="404" t="str">
        <f>+Aux!$B$107</f>
        <v>Quadros superiores</v>
      </c>
      <c r="C132" s="409">
        <f>+'q21'!$C$9</f>
        <v>2376.5488642496698</v>
      </c>
      <c r="D132" s="409">
        <f>+'q21'!$D$9</f>
        <v>2330.21969061558</v>
      </c>
      <c r="E132" s="409">
        <f>+'q21'!$E$9</f>
        <v>2309.1839596691798</v>
      </c>
      <c r="F132" s="409">
        <f>+'q21'!$F$9</f>
        <v>2316.8696520682497</v>
      </c>
      <c r="G132" s="409">
        <f>+'q21'!$G$9</f>
        <v>2318.8136546288097</v>
      </c>
      <c r="H132" s="409">
        <f>+'q21'!$H$9</f>
        <v>2339.4653139699403</v>
      </c>
      <c r="I132" s="409">
        <f>+'q21'!$I$9</f>
        <v>2364.1104858192998</v>
      </c>
      <c r="J132" s="409">
        <f>+'q21'!$J$9</f>
        <v>2384.6844069344602</v>
      </c>
      <c r="K132" s="409">
        <f>+'q21'!$K$9</f>
        <v>2391.2112801752005</v>
      </c>
      <c r="L132" s="409">
        <f>+'q21'!$L$9</f>
        <v>2428.3118750641802</v>
      </c>
      <c r="M132" s="409">
        <f>+'q21'!$M$9</f>
        <v>2558.3044295494901</v>
      </c>
      <c r="Q132" s="375" t="s">
        <v>462</v>
      </c>
      <c r="R132" s="414">
        <f>INDEX($B$153:$M$162,MATCH($Q$129,$B$153:$B$162,0),MATCH($P$119,$B$153:$M$153,0))</f>
        <v>1143.44558285689</v>
      </c>
      <c r="S132" s="414">
        <f>INDEX($B$153:$M$162,MATCH($Q$121,$B$153:$B$162,0),MATCH($P$119,$B$153:$M$153,0))</f>
        <v>2260.2689075153398</v>
      </c>
      <c r="T132" s="414">
        <f>INDEX($B$153:$M$162,MATCH($Q$122,$B$153:$B$162,0),MATCH($P$119,$B$153:$M$153,0))</f>
        <v>1620.2626426847301</v>
      </c>
      <c r="U132" s="414">
        <f>INDEX($B$153:$M$162,MATCH($Q$123,$B$153:$B$162,0),MATCH($P$119,$B$153:$M$153,0))</f>
        <v>1561.37126441444</v>
      </c>
      <c r="V132" s="414">
        <f>INDEX($B$153:$M$162,MATCH($Q$124,$B$153:$B$162,0),MATCH($P$119,$B$153:$M$153,0))</f>
        <v>1245.69055776859</v>
      </c>
      <c r="W132" s="414">
        <f>INDEX($B$153:$M$162,MATCH($Q$125,$B$153:$B$162,0),MATCH($P$119,$B$153:$M$153,0))</f>
        <v>914.25632748807504</v>
      </c>
      <c r="X132" s="414">
        <f>INDEX($B$153:$M$162,MATCH($Q$126,$B$153:$B$162,0),MATCH($P$119,$B$153:$M$153,0))</f>
        <v>805.43842040386505</v>
      </c>
      <c r="Y132" s="414">
        <f>INDEX($B$153:$M$162,MATCH($Q$127,$B$153:$B$162,0),MATCH($P$119,$B$153:$M$153,0))</f>
        <v>746.19213529626995</v>
      </c>
      <c r="Z132" s="414">
        <f>INDEX($B$153:$M$162,MATCH($Q$128,$B$153:$B$162,0),MATCH($P$119,$B$153:$M$153,0))</f>
        <v>764.33553617723305</v>
      </c>
      <c r="AA132" s="414"/>
      <c r="AB132" s="414"/>
      <c r="AN132" s="435" t="str">
        <f>+VLOOKUP(AN130,$V$120:$AE$1283,COLUMN($AD$120)-21,0)</f>
        <v>Quadros superiores</v>
      </c>
      <c r="AO132" s="404" t="s">
        <v>505</v>
      </c>
      <c r="AX132" s="409"/>
      <c r="AY132" s="409"/>
    </row>
    <row r="133" spans="1:51">
      <c r="B133" s="404" t="str">
        <f>+Aux!$B$108</f>
        <v>Quadros médios</v>
      </c>
      <c r="C133" s="409">
        <f>+'q21'!$C$12</f>
        <v>1532.7127895367701</v>
      </c>
      <c r="D133" s="409">
        <f>+'q21'!$D$12</f>
        <v>1531.9799670064601</v>
      </c>
      <c r="E133" s="409">
        <f>+'q21'!$E$12</f>
        <v>1510.7694857345202</v>
      </c>
      <c r="F133" s="409">
        <f>+'q21'!$F$12</f>
        <v>1523.32058552543</v>
      </c>
      <c r="G133" s="409">
        <f>+'q21'!$G$12</f>
        <v>1525.48376330829</v>
      </c>
      <c r="H133" s="409">
        <f>+'q21'!$H$12</f>
        <v>1538.7028741895401</v>
      </c>
      <c r="I133" s="409">
        <f>+'q21'!$I$12</f>
        <v>1560.47871794872</v>
      </c>
      <c r="J133" s="409">
        <f>+'q21'!$J$12</f>
        <v>1591.6132456668699</v>
      </c>
      <c r="K133" s="409">
        <f>+'q21'!$K$12</f>
        <v>1597.2039248769399</v>
      </c>
      <c r="L133" s="409">
        <f>+'q21'!$L$12</f>
        <v>1632.0694383789303</v>
      </c>
      <c r="M133" s="409">
        <f>+'q21'!$M$12</f>
        <v>1748.1077816131601</v>
      </c>
      <c r="Q133" s="375" t="s">
        <v>353</v>
      </c>
      <c r="R133" s="414">
        <f>INDEX($B$186:$M$195,MATCH($Q$129,$B$186:$B$195,0),MATCH($P$119,$B$186:$M$186,0))</f>
        <v>1367.9952489883699</v>
      </c>
      <c r="S133" s="414">
        <f>INDEX($B$186:$M$195,MATCH($Q$121,$B$186:$B$195,0),MATCH($P$119,$B$186:$M$186,0))</f>
        <v>2625.9199806616007</v>
      </c>
      <c r="T133" s="414">
        <f>INDEX($B$186:$M$195,MATCH($Q$122,$B$186:$B$195,0),MATCH($P$119,$B$186:$M$186,0))</f>
        <v>1923.504606041</v>
      </c>
      <c r="U133" s="414">
        <f>INDEX($B$186:$M$195,MATCH($Q$123,$B$186:$B$195,0),MATCH($P$119,$B$186:$M$186,0))</f>
        <v>1876.9138819029999</v>
      </c>
      <c r="V133" s="414">
        <f>INDEX($B$186:$M$195,MATCH($Q$124,$B$186:$B$195,0),MATCH($P$119,$B$186:$M$186,0))</f>
        <v>1529.1893239357998</v>
      </c>
      <c r="W133" s="414">
        <f>INDEX($B$186:$M$195,MATCH($Q$125,$B$186:$B$195,0),MATCH($P$119,$B$186:$M$186,0))</f>
        <v>1110.7545863064802</v>
      </c>
      <c r="X133" s="414">
        <f>INDEX($B$186:$M$195,MATCH($Q$126,$B$186:$B$195,0),MATCH($P$119,$B$186:$M$186,0))</f>
        <v>965.03818030272907</v>
      </c>
      <c r="Y133" s="414">
        <f>INDEX($B$186:$M$195,MATCH($Q$127,$B$186:$B$195,0),MATCH($P$119,$B$186:$M$186,0))</f>
        <v>880.87147883170803</v>
      </c>
      <c r="Z133" s="414">
        <f>INDEX($B$186:$M$195,MATCH($Q$128,$B$186:$B$195,0),MATCH($P$119,$B$186:$M$186,0))</f>
        <v>902.17660274676996</v>
      </c>
      <c r="AA133" s="414"/>
      <c r="AB133" s="414"/>
      <c r="AN133" s="375"/>
      <c r="AO133" s="409"/>
      <c r="AP133" s="409"/>
      <c r="AQ133" s="409"/>
      <c r="AR133" s="409"/>
      <c r="AS133" s="409"/>
      <c r="AT133" s="409"/>
      <c r="AU133" s="409"/>
      <c r="AV133" s="409"/>
      <c r="AW133" s="409"/>
      <c r="AX133" s="409"/>
      <c r="AY133" s="409"/>
    </row>
    <row r="134" spans="1:51">
      <c r="B134" s="404" t="str">
        <f>+Aux!$B$109</f>
        <v>Encarregados, contramestres e chefes de equipa</v>
      </c>
      <c r="C134" s="409">
        <f>+'q21'!$C$15</f>
        <v>1315.8492857242702</v>
      </c>
      <c r="D134" s="409">
        <f>+'q21'!$D$15</f>
        <v>1316.5218547786699</v>
      </c>
      <c r="E134" s="409">
        <f>+'q21'!$E$15</f>
        <v>1324.4938512793599</v>
      </c>
      <c r="F134" s="409">
        <f>+'q21'!$F$15</f>
        <v>1337.2057988040499</v>
      </c>
      <c r="G134" s="409">
        <f>+'q21'!$G$15</f>
        <v>1360.1973381580401</v>
      </c>
      <c r="H134" s="409">
        <f>+'q21'!$H$15</f>
        <v>1373.7439533997401</v>
      </c>
      <c r="I134" s="409">
        <f>+'q21'!$I$15</f>
        <v>1400.54781625994</v>
      </c>
      <c r="J134" s="409">
        <f>+'q21'!$J$15</f>
        <v>1449.6406837684601</v>
      </c>
      <c r="K134" s="409">
        <f>+'q21'!$K$15</f>
        <v>1490.4106505018501</v>
      </c>
      <c r="L134" s="409">
        <f>+'q21'!$L$15</f>
        <v>1535.8747333497199</v>
      </c>
      <c r="M134" s="409">
        <f>+'q21'!$M$15</f>
        <v>1609.6946180740101</v>
      </c>
    </row>
    <row r="135" spans="1:51" ht="12" customHeight="1">
      <c r="B135" s="404" t="str">
        <f>+Aux!$B$110</f>
        <v>Profissionais altamente qualificados</v>
      </c>
      <c r="C135" s="409">
        <f>+'q21'!$C$18</f>
        <v>1277.5053641771201</v>
      </c>
      <c r="D135" s="409">
        <f>+'q21'!$D$18</f>
        <v>1255.1974414525</v>
      </c>
      <c r="E135" s="409">
        <f>+'q21'!$E$18</f>
        <v>1228.07974660074</v>
      </c>
      <c r="F135" s="409">
        <f>+'q21'!$F$18</f>
        <v>1255.1850255685604</v>
      </c>
      <c r="G135" s="409">
        <f>+'q21'!$G$18</f>
        <v>1253.5163180489799</v>
      </c>
      <c r="H135" s="409">
        <f>+'q21'!$H$18</f>
        <v>1259.6028087850302</v>
      </c>
      <c r="I135" s="409">
        <f>+'q21'!$I$18</f>
        <v>1281.41834564953</v>
      </c>
      <c r="J135" s="409">
        <f>+'q21'!$J$18</f>
        <v>1260.4351455952803</v>
      </c>
      <c r="K135" s="409">
        <f>+'q21'!$K$18</f>
        <v>1284.7204841212802</v>
      </c>
      <c r="L135" s="409">
        <f>+'q21'!$L$18</f>
        <v>1304.5341069462302</v>
      </c>
      <c r="M135" s="409">
        <f>+'q21'!$M$18</f>
        <v>1348.4080862850801</v>
      </c>
      <c r="AN135" s="451" t="str">
        <f>CONCATENATE(AN122," - ",AO122,CHAR(10),AN123," ",AN124,AN125," ",AO126,AN127,AN128,AN129," ",AO130,AN131,AN132,AO132,CHAR(10),AQ123," ",AQ124," ",AR125," "," ",AQ127," ",AR128,AQ129)</f>
        <v>2022 - Continente:
Base: 83,6% do Ganho, entre 746 €  (Profissionais não qualificados) e  2.260 €  (Quadros superiores).
Ganho: Entre 881 €  e 2.626 €, nos mesmos níveis de qualificação, respetivamente.</v>
      </c>
      <c r="AO135" s="484"/>
      <c r="AP135" s="484"/>
      <c r="AQ135" s="484"/>
      <c r="AR135" s="484"/>
      <c r="AS135" s="484"/>
      <c r="AT135" s="484"/>
      <c r="AU135" s="484"/>
      <c r="AV135" s="484"/>
    </row>
    <row r="136" spans="1:51">
      <c r="B136" s="404" t="str">
        <f>+Aux!$B$111</f>
        <v>Profissionais qualificados</v>
      </c>
      <c r="C136" s="409">
        <f>+'q21'!$C$21</f>
        <v>757.343258467802</v>
      </c>
      <c r="D136" s="409">
        <f>+'q21'!$D$21</f>
        <v>756.73616444919207</v>
      </c>
      <c r="E136" s="409">
        <f>+'q21'!$E$21</f>
        <v>755.75043475530003</v>
      </c>
      <c r="F136" s="409">
        <f>+'q21'!$F$21</f>
        <v>762.138223865908</v>
      </c>
      <c r="G136" s="409">
        <f>+'q21'!$G$21</f>
        <v>768.86201614405206</v>
      </c>
      <c r="H136" s="409">
        <f>+'q21'!$H$21</f>
        <v>774.33160060062505</v>
      </c>
      <c r="I136" s="409">
        <f>+'q21'!$I$21</f>
        <v>798.21129816848111</v>
      </c>
      <c r="J136" s="409">
        <f>+'q21'!$J$21</f>
        <v>840.48303644650105</v>
      </c>
      <c r="K136" s="409">
        <f>+'q21'!$K$21</f>
        <v>866.46222350796108</v>
      </c>
      <c r="L136" s="409">
        <f>+'q21'!$L$21</f>
        <v>897.90319290913999</v>
      </c>
      <c r="M136" s="409">
        <f>+'q21'!$M$21</f>
        <v>944.16646430287312</v>
      </c>
      <c r="Q136" s="422" t="s">
        <v>456</v>
      </c>
      <c r="R136" s="414">
        <f>+R129*-1</f>
        <v>1217.3282728682302</v>
      </c>
      <c r="AN136" s="484"/>
      <c r="AO136" s="484"/>
      <c r="AP136" s="484"/>
      <c r="AQ136" s="484"/>
      <c r="AR136" s="484"/>
      <c r="AS136" s="484"/>
      <c r="AT136" s="484"/>
      <c r="AU136" s="484"/>
      <c r="AV136" s="484"/>
      <c r="AW136" s="375"/>
      <c r="AX136" s="375"/>
      <c r="AY136" s="375"/>
    </row>
    <row r="137" spans="1:51">
      <c r="B137" s="404" t="str">
        <f>+Aux!$B$112</f>
        <v>Profissionais semi-qualificados</v>
      </c>
      <c r="C137" s="409">
        <f>+'q21'!$C$24</f>
        <v>632.56737030718807</v>
      </c>
      <c r="D137" s="409">
        <f>+'q21'!$D$24</f>
        <v>629.9641747687931</v>
      </c>
      <c r="E137" s="409">
        <f>+'q21'!$E$24</f>
        <v>640.07214912305699</v>
      </c>
      <c r="F137" s="409">
        <f>+'q21'!$F$24</f>
        <v>635.40249502241306</v>
      </c>
      <c r="G137" s="409">
        <f>+'q21'!$G$24</f>
        <v>647.94929359211505</v>
      </c>
      <c r="H137" s="409">
        <f>+'q21'!$H$24</f>
        <v>682.15737936848507</v>
      </c>
      <c r="I137" s="409">
        <f>+'q21'!$I$24</f>
        <v>706.70128676606009</v>
      </c>
      <c r="J137" s="409">
        <f>+'q21'!$J$24</f>
        <v>739.94005706628809</v>
      </c>
      <c r="K137" s="409">
        <f>+'q21'!$K$24</f>
        <v>766.70883855256704</v>
      </c>
      <c r="L137" s="409">
        <f>+'q21'!$L$24</f>
        <v>807.21852978010406</v>
      </c>
      <c r="M137" s="409">
        <f>+'q21'!$M$24</f>
        <v>851.02952182043202</v>
      </c>
      <c r="Q137" s="422" t="s">
        <v>460</v>
      </c>
      <c r="R137" s="414">
        <f>+S129*-1</f>
        <v>1476.20345437132</v>
      </c>
      <c r="AN137" s="375" t="str">
        <f>+CONCATENATE(AN122,":",CHAR(10),AS123," ",AS124," ",AT124," ",AT125,AS126,AS127," ",AT127," ",AT128,AS129,AS130,AT130,CHAR(10),AU123," ",AU124,AV124,AV125,AU126,AU127,AV127," ",AV128,AU129,AU130,AV130)</f>
        <v>2022:
Base Mulheres = 86,6%  da dos Homens (H), entre  74,8% da dos H (Quadros superiores ) e 96,6% (Praticantes e aprendizes).
Ganho Mulheres = 83,8% da dos H, entre 74,4% da dos H (Quadros superiores) e 95,1% (Praticantes e aprendizes).</v>
      </c>
      <c r="AO137" s="484"/>
      <c r="AP137" s="484"/>
      <c r="AQ137" s="484"/>
      <c r="AR137" s="484"/>
      <c r="AS137" s="484"/>
      <c r="AT137" s="484"/>
      <c r="AU137" s="484"/>
      <c r="AV137" s="484"/>
      <c r="AW137" s="409"/>
      <c r="AX137" s="409"/>
      <c r="AY137" s="409"/>
    </row>
    <row r="138" spans="1:51">
      <c r="B138" s="404" t="str">
        <f>+Aux!$B$113</f>
        <v>Profissionais não qualificados</v>
      </c>
      <c r="C138" s="409">
        <f>+'q21'!$C$27</f>
        <v>592.41668176063899</v>
      </c>
      <c r="D138" s="409">
        <f>+'q21'!$D$27</f>
        <v>592.19581959470509</v>
      </c>
      <c r="E138" s="409">
        <f>+'q21'!$E$27</f>
        <v>597.67849544533806</v>
      </c>
      <c r="F138" s="409">
        <f>+'q21'!$F$27</f>
        <v>598.43000679121212</v>
      </c>
      <c r="G138" s="409">
        <f>+'q21'!$G$27</f>
        <v>610.31674935589012</v>
      </c>
      <c r="H138" s="409">
        <f>+'q21'!$H$27</f>
        <v>629.10986216821209</v>
      </c>
      <c r="I138" s="409">
        <f>+'q21'!$I$27</f>
        <v>648.83945583899504</v>
      </c>
      <c r="J138" s="409">
        <f>+'q21'!$J$27</f>
        <v>667.64989157130208</v>
      </c>
      <c r="K138" s="409">
        <f>+'q21'!$K$27</f>
        <v>702.95972574786003</v>
      </c>
      <c r="L138" s="409">
        <f>+'q21'!$L$27</f>
        <v>730.654407220292</v>
      </c>
      <c r="M138" s="409">
        <f>+'q21'!$M$27</f>
        <v>762.66479251544411</v>
      </c>
      <c r="AN138" s="484"/>
      <c r="AO138" s="484"/>
      <c r="AP138" s="484"/>
      <c r="AQ138" s="484"/>
      <c r="AR138" s="484"/>
      <c r="AS138" s="484"/>
      <c r="AT138" s="484"/>
      <c r="AU138" s="484"/>
      <c r="AV138" s="484"/>
      <c r="AW138" s="409"/>
      <c r="AX138" s="409"/>
      <c r="AY138" s="409"/>
    </row>
    <row r="139" spans="1:51">
      <c r="B139" s="404" t="str">
        <f>+Aux!$B$114</f>
        <v>Praticantes e aprendizes</v>
      </c>
      <c r="C139" s="409">
        <f>+'q21'!$C$30</f>
        <v>560.63482776579099</v>
      </c>
      <c r="D139" s="409">
        <f>+'q21'!$D$30</f>
        <v>567.36104123868199</v>
      </c>
      <c r="E139" s="409">
        <f>+'q21'!$E$30</f>
        <v>576.71033799073302</v>
      </c>
      <c r="F139" s="409">
        <f>+'q21'!$F$30</f>
        <v>577.57474189633001</v>
      </c>
      <c r="G139" s="409">
        <f>+'q21'!$G$30</f>
        <v>591.55621426305197</v>
      </c>
      <c r="H139" s="409">
        <f>+'q21'!$H$30</f>
        <v>616.50092785299103</v>
      </c>
      <c r="I139" s="409">
        <f>+'q21'!$I$30</f>
        <v>643.96784202147501</v>
      </c>
      <c r="J139" s="409">
        <f>+'q21'!$J$30</f>
        <v>668.25706287257503</v>
      </c>
      <c r="K139" s="409">
        <f>+'q21'!$K$30</f>
        <v>700.41433188835708</v>
      </c>
      <c r="L139" s="409">
        <f>+'q21'!$L$30</f>
        <v>734.00261142192005</v>
      </c>
      <c r="M139" s="409">
        <f>+'q21'!$M$30</f>
        <v>775.21150174921695</v>
      </c>
      <c r="AN139" s="484"/>
      <c r="AO139" s="484"/>
      <c r="AP139" s="484"/>
      <c r="AQ139" s="484"/>
      <c r="AR139" s="484"/>
      <c r="AS139" s="484"/>
      <c r="AT139" s="484"/>
      <c r="AU139" s="484"/>
      <c r="AV139" s="484"/>
      <c r="AW139" s="409"/>
      <c r="AX139" s="409"/>
      <c r="AY139" s="409"/>
    </row>
    <row r="140" spans="1:51">
      <c r="B140" s="404" t="str">
        <f>+Aux!$B$115</f>
        <v>Total</v>
      </c>
      <c r="C140" s="409">
        <f>+'q21'!$C$6</f>
        <v>999.85354294571812</v>
      </c>
      <c r="D140" s="409">
        <f>+'q21'!$D$6</f>
        <v>993.79266174939096</v>
      </c>
      <c r="E140" s="409">
        <f>+'q21'!$E$6</f>
        <v>985.0215081163841</v>
      </c>
      <c r="F140" s="409">
        <f>+'q21'!$F$6</f>
        <v>990.04668016967901</v>
      </c>
      <c r="G140" s="409">
        <f>+'q21'!$G$6</f>
        <v>997.37861815735698</v>
      </c>
      <c r="H140" s="409">
        <f>+'q21'!$H$6</f>
        <v>1012.2476626665</v>
      </c>
      <c r="I140" s="409">
        <f>+'q21'!$I$6</f>
        <v>1039.08171517903</v>
      </c>
      <c r="J140" s="409">
        <f>+'q21'!$J$6</f>
        <v>1073.8189900697198</v>
      </c>
      <c r="K140" s="409">
        <f>+'q21'!$K$6</f>
        <v>1109.2123384778902</v>
      </c>
      <c r="L140" s="409">
        <f>+'q21'!$L$6</f>
        <v>1152.2390834169501</v>
      </c>
      <c r="M140" s="409">
        <f>+'q21'!$M$6</f>
        <v>1217.3282728682302</v>
      </c>
      <c r="AN140" s="375"/>
      <c r="AO140" s="409"/>
      <c r="AP140" s="409"/>
      <c r="AQ140" s="409"/>
      <c r="AR140" s="409"/>
      <c r="AS140" s="409"/>
      <c r="AT140" s="409"/>
      <c r="AU140" s="409"/>
      <c r="AV140" s="409"/>
      <c r="AW140" s="409"/>
      <c r="AX140" s="409"/>
      <c r="AY140" s="409"/>
    </row>
    <row r="141" spans="1:51" ht="12" customHeight="1">
      <c r="AO141" s="375"/>
      <c r="AP141" s="375"/>
      <c r="AQ141" s="375"/>
      <c r="AR141" s="375"/>
      <c r="AS141" s="375"/>
      <c r="AT141" s="375"/>
      <c r="AU141" s="375"/>
      <c r="AV141" s="375"/>
      <c r="AW141" s="409"/>
      <c r="AX141" s="409"/>
      <c r="AY141" s="409"/>
    </row>
    <row r="142" spans="1:51">
      <c r="C142" s="375">
        <f>+'q13'!$C$4</f>
        <v>2012</v>
      </c>
      <c r="D142" s="375">
        <f>+'q13'!$D$4</f>
        <v>2013</v>
      </c>
      <c r="E142" s="375">
        <f>+'q13'!$E$4</f>
        <v>2014</v>
      </c>
      <c r="F142" s="375">
        <f>+'q13'!$F$4</f>
        <v>2015</v>
      </c>
      <c r="G142" s="375">
        <f>+'q13'!$G$4</f>
        <v>2016</v>
      </c>
      <c r="H142" s="375">
        <f>+'q13'!$H$4</f>
        <v>2017</v>
      </c>
      <c r="I142" s="375">
        <f>+'q13'!$I$4</f>
        <v>2018</v>
      </c>
      <c r="J142" s="375">
        <f>+'q13'!$J$4</f>
        <v>2019</v>
      </c>
      <c r="K142" s="375">
        <f>+'q13'!$K$4</f>
        <v>2020</v>
      </c>
      <c r="L142" s="375">
        <f>+'q13'!$L$4</f>
        <v>2021</v>
      </c>
      <c r="M142" s="375">
        <f>+'q13'!$M$4</f>
        <v>2022</v>
      </c>
      <c r="AN142" s="375"/>
      <c r="AO142" s="375"/>
      <c r="AP142" s="375"/>
      <c r="AQ142" s="375"/>
      <c r="AR142" s="375"/>
      <c r="AS142" s="375"/>
      <c r="AT142" s="375"/>
      <c r="AU142" s="375"/>
      <c r="AV142" s="375"/>
      <c r="AW142" s="409"/>
      <c r="AX142" s="409"/>
      <c r="AY142" s="409"/>
    </row>
    <row r="143" spans="1:51">
      <c r="A143" s="412" t="s">
        <v>117</v>
      </c>
      <c r="B143" s="404" t="str">
        <f>+Aux!$B$107</f>
        <v>Quadros superiores</v>
      </c>
      <c r="C143" s="409">
        <f>+'q21'!$C$10</f>
        <v>1724.8996710958602</v>
      </c>
      <c r="D143" s="409">
        <f>+'q21'!$D$10</f>
        <v>1714.7108745718101</v>
      </c>
      <c r="E143" s="409">
        <f>+'q21'!$E$10</f>
        <v>1702.6236786716602</v>
      </c>
      <c r="F143" s="409">
        <f>+'q21'!$F$10</f>
        <v>1705.8948164128101</v>
      </c>
      <c r="G143" s="409">
        <f>+'q21'!$G$10</f>
        <v>1710.8382201752202</v>
      </c>
      <c r="H143" s="409">
        <f>+'q21'!$H$10</f>
        <v>1722.3273750170301</v>
      </c>
      <c r="I143" s="409">
        <f>+'q21'!$I$10</f>
        <v>1746.2972014429101</v>
      </c>
      <c r="J143" s="409">
        <f>+'q21'!$J$10</f>
        <v>1777.1942948922301</v>
      </c>
      <c r="K143" s="409">
        <f>+'q21'!$K$10</f>
        <v>1799.1802342468502</v>
      </c>
      <c r="L143" s="409">
        <f>+'q21'!$L$10</f>
        <v>1832.6822092742502</v>
      </c>
      <c r="M143" s="409">
        <f>+'q21'!$M$10</f>
        <v>1914.18888481977</v>
      </c>
      <c r="AN143" s="375"/>
      <c r="AO143" s="375"/>
      <c r="AP143" s="375"/>
      <c r="AQ143" s="375"/>
      <c r="AR143" s="375"/>
      <c r="AS143" s="375"/>
      <c r="AT143" s="375"/>
      <c r="AU143" s="375"/>
      <c r="AV143" s="375"/>
      <c r="AW143" s="409"/>
      <c r="AX143" s="409"/>
      <c r="AY143" s="409"/>
    </row>
    <row r="144" spans="1:51">
      <c r="B144" s="404" t="str">
        <f>+Aux!$B$108</f>
        <v>Quadros médios</v>
      </c>
      <c r="C144" s="409">
        <f>+'q21'!$C$13</f>
        <v>1304.9758851005902</v>
      </c>
      <c r="D144" s="409">
        <f>+'q21'!$D$13</f>
        <v>1304.9407617310801</v>
      </c>
      <c r="E144" s="409">
        <f>+'q21'!$E$13</f>
        <v>1300.3474188337102</v>
      </c>
      <c r="F144" s="409">
        <f>+'q21'!$F$13</f>
        <v>1311.11522988411</v>
      </c>
      <c r="G144" s="409">
        <f>+'q21'!$G$13</f>
        <v>1323.4588777754902</v>
      </c>
      <c r="H144" s="409">
        <f>+'q21'!$H$13</f>
        <v>1330.75539005275</v>
      </c>
      <c r="I144" s="409">
        <f>+'q21'!$I$13</f>
        <v>1351.69395112695</v>
      </c>
      <c r="J144" s="409">
        <f>+'q21'!$J$13</f>
        <v>1371.1582304538401</v>
      </c>
      <c r="K144" s="409">
        <f>+'q21'!$K$13</f>
        <v>1377.4642366913502</v>
      </c>
      <c r="L144" s="409">
        <f>+'q21'!$L$13</f>
        <v>1399.7663579314199</v>
      </c>
      <c r="M144" s="409">
        <f>+'q21'!$M$13</f>
        <v>1481.45989656335</v>
      </c>
      <c r="Z144" s="404">
        <f>+COLUMN(Z147)</f>
        <v>26</v>
      </c>
      <c r="AN144" s="375"/>
      <c r="AO144" s="375"/>
      <c r="AP144" s="375"/>
      <c r="AQ144" s="375"/>
      <c r="AR144" s="375"/>
      <c r="AS144" s="375"/>
      <c r="AT144" s="375"/>
      <c r="AU144" s="375"/>
      <c r="AV144" s="375"/>
      <c r="AW144" s="409"/>
      <c r="AX144" s="409"/>
      <c r="AY144" s="409"/>
    </row>
    <row r="145" spans="1:51">
      <c r="B145" s="404" t="str">
        <f>+Aux!$B$109</f>
        <v>Encarregados, contramestres e chefes de equipa</v>
      </c>
      <c r="C145" s="409">
        <f>+'q21'!$C$16</f>
        <v>1204.06091934197</v>
      </c>
      <c r="D145" s="409">
        <f>+'q21'!$D$16</f>
        <v>1210.39485482028</v>
      </c>
      <c r="E145" s="409">
        <f>+'q21'!$E$16</f>
        <v>1219.0331114901901</v>
      </c>
      <c r="F145" s="409">
        <f>+'q21'!$F$16</f>
        <v>1230.7525756452101</v>
      </c>
      <c r="G145" s="409">
        <f>+'q21'!$G$16</f>
        <v>1247.8151793913401</v>
      </c>
      <c r="H145" s="409">
        <f>+'q21'!$H$16</f>
        <v>1272.59665533886</v>
      </c>
      <c r="I145" s="409">
        <f>+'q21'!$I$16</f>
        <v>1283.87233045824</v>
      </c>
      <c r="J145" s="409">
        <f>+'q21'!$J$16</f>
        <v>1330.7149303700501</v>
      </c>
      <c r="K145" s="409">
        <f>+'q21'!$K$16</f>
        <v>1366.73131110751</v>
      </c>
      <c r="L145" s="409">
        <f>+'q21'!$L$16</f>
        <v>1411.9661602689002</v>
      </c>
      <c r="M145" s="409">
        <f>+'q21'!$M$16</f>
        <v>1484.7469861217801</v>
      </c>
      <c r="AN145" s="375"/>
      <c r="AO145" s="375"/>
      <c r="AP145" s="375"/>
      <c r="AQ145" s="375"/>
      <c r="AR145" s="375"/>
      <c r="AS145" s="375"/>
      <c r="AT145" s="375"/>
      <c r="AU145" s="375"/>
      <c r="AV145" s="375"/>
    </row>
    <row r="146" spans="1:51">
      <c r="B146" s="404" t="str">
        <f>+Aux!$B$110</f>
        <v>Profissionais altamente qualificados</v>
      </c>
      <c r="C146" s="409">
        <f>+'q21'!$C$19</f>
        <v>1059.4655220616301</v>
      </c>
      <c r="D146" s="409">
        <f>+'q21'!$D$19</f>
        <v>1052.3164363179801</v>
      </c>
      <c r="E146" s="409">
        <f>+'q21'!$E$19</f>
        <v>1046.44109045961</v>
      </c>
      <c r="F146" s="409">
        <f>+'q21'!$F$19</f>
        <v>1041.9065885131402</v>
      </c>
      <c r="G146" s="409">
        <f>+'q21'!$G$19</f>
        <v>1033.3519312357801</v>
      </c>
      <c r="H146" s="409">
        <f>+'q21'!$H$19</f>
        <v>1038.49830665933</v>
      </c>
      <c r="I146" s="409">
        <f>+'q21'!$I$19</f>
        <v>1056.8087290027099</v>
      </c>
      <c r="J146" s="409">
        <f>+'q21'!$J$19</f>
        <v>1066.00032365785</v>
      </c>
      <c r="K146" s="409">
        <f>+'q21'!$K$19</f>
        <v>1075.79081364288</v>
      </c>
      <c r="L146" s="409">
        <f>+'q21'!$L$19</f>
        <v>1089.9383752185802</v>
      </c>
      <c r="M146" s="409">
        <f>+'q21'!$M$19</f>
        <v>1138.7999413300199</v>
      </c>
      <c r="P146" s="404">
        <f>INDEX($A$2:$A$12,$P$9)</f>
        <v>2022</v>
      </c>
      <c r="Q146" s="375" t="s">
        <v>447</v>
      </c>
      <c r="R146" s="595" t="s">
        <v>454</v>
      </c>
      <c r="S146" s="595"/>
      <c r="T146" s="595" t="s">
        <v>455</v>
      </c>
      <c r="U146" s="595"/>
      <c r="X146" s="404" t="s">
        <v>454</v>
      </c>
      <c r="Y146" s="404" t="s">
        <v>455</v>
      </c>
      <c r="AN146" s="375"/>
    </row>
    <row r="147" spans="1:51">
      <c r="B147" s="404" t="str">
        <f>+Aux!$B$111</f>
        <v>Profissionais qualificados</v>
      </c>
      <c r="C147" s="409">
        <f>+'q21'!$C$22</f>
        <v>677.464263213761</v>
      </c>
      <c r="D147" s="409">
        <f>+'q21'!$D$22</f>
        <v>676.1471866092611</v>
      </c>
      <c r="E147" s="409">
        <f>+'q21'!$E$22</f>
        <v>680.55688913460608</v>
      </c>
      <c r="F147" s="409">
        <f>+'q21'!$F$22</f>
        <v>682.69816179681402</v>
      </c>
      <c r="G147" s="409">
        <f>+'q21'!$G$22</f>
        <v>692.63698569684914</v>
      </c>
      <c r="H147" s="409">
        <f>+'q21'!$H$22</f>
        <v>698.747812336528</v>
      </c>
      <c r="I147" s="409">
        <f>+'q21'!$I$22</f>
        <v>720.02015521135911</v>
      </c>
      <c r="J147" s="409">
        <f>+'q21'!$J$22</f>
        <v>764.1876969880301</v>
      </c>
      <c r="K147" s="409">
        <f>+'q21'!$K$22</f>
        <v>794.98269963959501</v>
      </c>
      <c r="L147" s="409">
        <f>+'q21'!$L$22</f>
        <v>823.41309801673503</v>
      </c>
      <c r="M147" s="409">
        <f>+'q21'!$M$22</f>
        <v>871.09469414185605</v>
      </c>
      <c r="R147" s="375" t="s">
        <v>352</v>
      </c>
      <c r="S147" s="375" t="s">
        <v>353</v>
      </c>
      <c r="T147" s="375" t="s">
        <v>352</v>
      </c>
      <c r="U147" s="375" t="s">
        <v>353</v>
      </c>
      <c r="X147" s="404" t="s">
        <v>526</v>
      </c>
      <c r="Y147" s="404" t="s">
        <v>526</v>
      </c>
      <c r="AN147" s="375"/>
      <c r="AO147" s="375"/>
      <c r="AP147" s="375"/>
      <c r="AQ147" s="375"/>
      <c r="AR147" s="375"/>
      <c r="AS147" s="375"/>
      <c r="AT147" s="375"/>
      <c r="AU147" s="375"/>
      <c r="AV147" s="375"/>
      <c r="AW147" s="375"/>
      <c r="AX147" s="375"/>
      <c r="AY147" s="375"/>
    </row>
    <row r="148" spans="1:51">
      <c r="B148" s="404" t="str">
        <f>+Aux!$B$112</f>
        <v>Profissionais semi-qualificados</v>
      </c>
      <c r="C148" s="409">
        <f>+'q21'!$C$25</f>
        <v>555.44584743860514</v>
      </c>
      <c r="D148" s="409">
        <f>+'q21'!$D$25</f>
        <v>556.03458443423597</v>
      </c>
      <c r="E148" s="409">
        <f>+'q21'!$E$25</f>
        <v>566.27752392675404</v>
      </c>
      <c r="F148" s="409">
        <f>+'q21'!$F$25</f>
        <v>571.27750239221803</v>
      </c>
      <c r="G148" s="409">
        <f>+'q21'!$G$25</f>
        <v>586.14449744787601</v>
      </c>
      <c r="H148" s="409">
        <f>+'q21'!$H$25</f>
        <v>614.77049587197996</v>
      </c>
      <c r="I148" s="409">
        <f>+'q21'!$I$25</f>
        <v>637.49075100915013</v>
      </c>
      <c r="J148" s="409">
        <f>+'q21'!$J$25</f>
        <v>662.35175342610808</v>
      </c>
      <c r="K148" s="409">
        <f>+'q21'!$K$25</f>
        <v>688.80104522134002</v>
      </c>
      <c r="L148" s="409">
        <f>+'q21'!$L$25</f>
        <v>724.30801573961196</v>
      </c>
      <c r="M148" s="409">
        <f>+'q21'!$M$25</f>
        <v>766.49872620606197</v>
      </c>
      <c r="Q148" s="404" t="s">
        <v>448</v>
      </c>
      <c r="R148" s="414">
        <f>INDEX($B$212:$M$218,MATCH($Q$148,$B$212:$B$218,0),MATCH($P$146,$B$212:$M$212,0))</f>
        <v>766.16810225156519</v>
      </c>
      <c r="S148" s="414">
        <f>INDEX($B$222:$M$228,MATCH($Q$148,$B$222:$B$228,0),MATCH($P$146,$B$222:$M$222,0))</f>
        <v>892.87459454884197</v>
      </c>
      <c r="T148" s="414">
        <f>INDEX($B$232:$M$238,MATCH($Q$148,$B$232:$B$238,0),MATCH($P$146,$B$232:$M$232,0))</f>
        <v>705</v>
      </c>
      <c r="U148" s="414">
        <f>INDEX($B$242:$M$248,MATCH($Q$148,$B$242:$B$248,0),MATCH($P$146,$B$242:$M$242,0))</f>
        <v>825</v>
      </c>
      <c r="X148" s="482">
        <f>(R148/S148)</f>
        <v>0.85809150235560239</v>
      </c>
      <c r="Y148" s="482">
        <f>(T148/U148)</f>
        <v>0.8545454545454545</v>
      </c>
      <c r="Z148" s="404" t="str">
        <f>+Q148</f>
        <v>&lt; 1.º ciclo do ensino básico</v>
      </c>
      <c r="AN148" s="375"/>
      <c r="AO148" s="409"/>
      <c r="AP148" s="409"/>
      <c r="AQ148" s="409"/>
      <c r="AR148" s="409"/>
      <c r="AS148" s="409"/>
      <c r="AT148" s="409"/>
      <c r="AU148" s="409"/>
      <c r="AV148" s="409"/>
      <c r="AW148" s="409"/>
      <c r="AX148" s="409"/>
      <c r="AY148" s="409"/>
    </row>
    <row r="149" spans="1:51">
      <c r="B149" s="404" t="str">
        <f>+Aux!$B$113</f>
        <v>Profissionais não qualificados</v>
      </c>
      <c r="C149" s="409">
        <f>+'q21'!$C$28</f>
        <v>521.11336594401098</v>
      </c>
      <c r="D149" s="409">
        <f>+'q21'!$D$28</f>
        <v>522.21124732497708</v>
      </c>
      <c r="E149" s="409">
        <f>+'q21'!$E$28</f>
        <v>534.14249514801611</v>
      </c>
      <c r="F149" s="409">
        <f>+'q21'!$F$28</f>
        <v>535.83481874059999</v>
      </c>
      <c r="G149" s="409">
        <f>+'q21'!$G$28</f>
        <v>556.62966240231503</v>
      </c>
      <c r="H149" s="409">
        <f>+'q21'!$H$28</f>
        <v>581.57771670987506</v>
      </c>
      <c r="I149" s="409">
        <f>+'q21'!$I$28</f>
        <v>604.02590113161204</v>
      </c>
      <c r="J149" s="409">
        <f>+'q21'!$J$28</f>
        <v>622.26158681363108</v>
      </c>
      <c r="K149" s="409">
        <f>+'q21'!$K$28</f>
        <v>653.69972681034005</v>
      </c>
      <c r="L149" s="409">
        <f>+'q21'!$L$28</f>
        <v>685.45695506963307</v>
      </c>
      <c r="M149" s="409">
        <f>+'q21'!$M$28</f>
        <v>725.84642090172599</v>
      </c>
      <c r="Q149" s="404" t="s">
        <v>192</v>
      </c>
      <c r="R149" s="414">
        <f>INDEX($B$212:$M$218,MATCH($Q$149,$B$212:$B$218,0),MATCH($P$146,$B$212:$M$212,0))</f>
        <v>866.98371471534017</v>
      </c>
      <c r="S149" s="414">
        <f>INDEX($B$222:$M$228,MATCH($Q$149,$B$222:$B$228,0),MATCH($P$146,$B$222:$M$222,0))</f>
        <v>1044.0300886364023</v>
      </c>
      <c r="T149" s="414">
        <f>INDEX($B$232:$M$238,MATCH($Q$149,$B$232:$B$238,0),MATCH($P$146,$B$232:$M$232,0))</f>
        <v>746</v>
      </c>
      <c r="U149" s="414">
        <f>INDEX($B$242:$M$248,MATCH($Q$149,$B$242:$B$248,0),MATCH($P$146,$B$242:$M$242,0))</f>
        <v>891.6</v>
      </c>
      <c r="X149" s="482">
        <f t="shared" ref="X149:X153" si="22">(R149/S149)</f>
        <v>0.83042023802944154</v>
      </c>
      <c r="Y149" s="482">
        <f t="shared" ref="Y149:Y153" si="23">(T149/U149)</f>
        <v>0.83669807088380432</v>
      </c>
      <c r="Z149" s="404" t="str">
        <f t="shared" ref="Z149:Z152" si="24">+Q149</f>
        <v>Ensino básico</v>
      </c>
      <c r="AN149" s="375"/>
      <c r="AO149" s="409"/>
      <c r="AP149" s="409"/>
      <c r="AQ149" s="409"/>
      <c r="AR149" s="409"/>
      <c r="AS149" s="409"/>
      <c r="AT149" s="409"/>
      <c r="AU149" s="409"/>
      <c r="AV149" s="409"/>
      <c r="AW149" s="409"/>
      <c r="AX149" s="409"/>
      <c r="AY149" s="409"/>
    </row>
    <row r="150" spans="1:51">
      <c r="B150" s="404" t="str">
        <f>+Aux!$B$114</f>
        <v>Praticantes e aprendizes</v>
      </c>
      <c r="C150" s="409">
        <f>+'q21'!$C$31</f>
        <v>532.65742172701903</v>
      </c>
      <c r="D150" s="409">
        <f>+'q21'!$D$31</f>
        <v>538.07436458292898</v>
      </c>
      <c r="E150" s="409">
        <f>+'q21'!$E$31</f>
        <v>548.46944996858008</v>
      </c>
      <c r="F150" s="409">
        <f>+'q21'!$F$31</f>
        <v>549.49465815999099</v>
      </c>
      <c r="G150" s="409">
        <f>+'q21'!$G$31</f>
        <v>567.96442714771308</v>
      </c>
      <c r="H150" s="409">
        <f>+'q21'!$H$31</f>
        <v>593.07191233969297</v>
      </c>
      <c r="I150" s="409">
        <f>+'q21'!$I$31</f>
        <v>619.01456339899903</v>
      </c>
      <c r="J150" s="409">
        <f>+'q21'!$J$31</f>
        <v>640.91049030459601</v>
      </c>
      <c r="K150" s="409">
        <f>+'q21'!$K$31</f>
        <v>672.36252815013404</v>
      </c>
      <c r="L150" s="409">
        <f>+'q21'!$L$31</f>
        <v>706.33700216051</v>
      </c>
      <c r="M150" s="409">
        <f>+'q21'!$M$31</f>
        <v>749.20402449021401</v>
      </c>
      <c r="Q150" s="404" t="s">
        <v>237</v>
      </c>
      <c r="R150" s="414">
        <f>INDEX($B$212:$M$218,MATCH($Q$150,$B$212:$B$218,0),MATCH($P$146,$B$212:$M$212,0))</f>
        <v>997.48152037541502</v>
      </c>
      <c r="S150" s="414">
        <f>INDEX($B$222:$M$228,MATCH($Q$150,$B$222:$B$228,0),MATCH($P$146,$B$222:$M$222,0))</f>
        <v>1217.5678494347055</v>
      </c>
      <c r="T150" s="414">
        <f>INDEX($B$232:$M$238,MATCH($Q$150,$B$232:$B$238,0),MATCH($P$146,$B$232:$M$232,0))</f>
        <v>798.57</v>
      </c>
      <c r="U150" s="414">
        <f>INDEX($B$242:$M$248,MATCH($Q$150,$B$242:$B$248,0),MATCH($P$146,$B$242:$M$242,0))</f>
        <v>977.7</v>
      </c>
      <c r="V150" s="416" t="s">
        <v>74</v>
      </c>
      <c r="W150" s="416" t="s">
        <v>80</v>
      </c>
      <c r="X150" s="482">
        <f t="shared" si="22"/>
        <v>0.819241014649432</v>
      </c>
      <c r="Y150" s="482">
        <f t="shared" si="23"/>
        <v>0.81678428965940475</v>
      </c>
      <c r="Z150" s="404" t="str">
        <f t="shared" si="24"/>
        <v>Ensino secundário + pós sec. não superior nível IV</v>
      </c>
      <c r="AN150" s="375"/>
      <c r="AO150" s="409"/>
      <c r="AP150" s="409"/>
      <c r="AQ150" s="409"/>
      <c r="AR150" s="409"/>
      <c r="AS150" s="409"/>
      <c r="AT150" s="409"/>
      <c r="AU150" s="409"/>
      <c r="AV150" s="409"/>
      <c r="AW150" s="409"/>
      <c r="AX150" s="409"/>
      <c r="AY150" s="409"/>
    </row>
    <row r="151" spans="1:51">
      <c r="B151" s="404" t="str">
        <f>+Aux!$B$115</f>
        <v>Total</v>
      </c>
      <c r="C151" s="409">
        <f>+'q21'!$C$7</f>
        <v>814.53727639534998</v>
      </c>
      <c r="D151" s="409">
        <f>+'q21'!$D$7</f>
        <v>816.21122210111105</v>
      </c>
      <c r="E151" s="409">
        <f>+'q21'!$E$7</f>
        <v>820.25300466774809</v>
      </c>
      <c r="F151" s="409">
        <f>+'q21'!$F$7</f>
        <v>824.99170229471508</v>
      </c>
      <c r="G151" s="409">
        <f>+'q21'!$G$7</f>
        <v>840.26183463405107</v>
      </c>
      <c r="H151" s="409">
        <f>+'q21'!$H$7</f>
        <v>861.16674363485106</v>
      </c>
      <c r="I151" s="409">
        <f>+'q21'!$I$7</f>
        <v>888.55773746998204</v>
      </c>
      <c r="J151" s="409">
        <f>+'q21'!$J$7</f>
        <v>922.62610151052809</v>
      </c>
      <c r="K151" s="409">
        <f>+'q21'!$K$7</f>
        <v>960.26781704583709</v>
      </c>
      <c r="L151" s="409">
        <f>+'q21'!$L$7</f>
        <v>999.32524311817906</v>
      </c>
      <c r="M151" s="409">
        <f>+'q21'!$M$7</f>
        <v>1054.3618671065601</v>
      </c>
      <c r="Q151" s="404" t="s">
        <v>452</v>
      </c>
      <c r="R151" s="414">
        <f>INDEX($B$212:$M$218,MATCH($Q$151,$B$212:$B$218,0),MATCH($P$146,$B$212:$M$212,0))</f>
        <v>1767.5060761176364</v>
      </c>
      <c r="S151" s="414">
        <f>INDEX($B$222:$M$228,MATCH($Q$151,$B$222:$B$228,0),MATCH($P$146,$B$222:$M$222,0))</f>
        <v>2072.8573535318387</v>
      </c>
      <c r="T151" s="414">
        <f>INDEX($B$232:$M$238,MATCH($Q$151,$B$232:$B$238,0),MATCH($P$146,$B$232:$M$232,0))</f>
        <v>1376</v>
      </c>
      <c r="U151" s="414">
        <f>INDEX($B$242:$M$248,MATCH($Q$151,$B$242:$B$248,0),MATCH($P$146,$B$242:$M$242,0))</f>
        <v>1621.95</v>
      </c>
      <c r="V151" s="435">
        <f>(R151/R153-1)</f>
        <v>0.5457719218273418</v>
      </c>
      <c r="W151" s="435">
        <f>(S151/S153-1)</f>
        <v>0.51525186587070393</v>
      </c>
      <c r="X151" s="482">
        <f t="shared" si="22"/>
        <v>0.85269064612963863</v>
      </c>
      <c r="Y151" s="482">
        <f t="shared" si="23"/>
        <v>0.8483615401214587</v>
      </c>
      <c r="Z151" s="404" t="str">
        <f t="shared" si="24"/>
        <v>Ensino superior**</v>
      </c>
      <c r="AN151" s="375"/>
      <c r="AO151" s="409"/>
      <c r="AP151" s="409"/>
      <c r="AQ151" s="409"/>
      <c r="AR151" s="409"/>
      <c r="AS151" s="409"/>
      <c r="AT151" s="409"/>
      <c r="AU151" s="409"/>
      <c r="AV151" s="409"/>
      <c r="AW151" s="409"/>
      <c r="AX151" s="409"/>
      <c r="AY151" s="409"/>
    </row>
    <row r="152" spans="1:51">
      <c r="C152" s="409"/>
      <c r="D152" s="409"/>
      <c r="E152" s="409"/>
      <c r="F152" s="409"/>
      <c r="G152" s="409"/>
      <c r="H152" s="409"/>
      <c r="I152" s="409"/>
      <c r="J152" s="409"/>
      <c r="K152" s="409"/>
      <c r="L152" s="409"/>
      <c r="M152" s="409"/>
      <c r="Q152" s="404" t="s">
        <v>13</v>
      </c>
      <c r="R152" s="414">
        <f>INDEX($B$212:$M$218,MATCH($Q$152,$B$212:$B$218,0),MATCH($P$146,$B$212:$M$212,0))</f>
        <v>1083.7515220293753</v>
      </c>
      <c r="S152" s="414">
        <f>INDEX($B$222:$M$228,MATCH($Q$152,$B$222:$B$228,0),MATCH($P$146,$B$222:$M$222,0))</f>
        <v>1293.6368580329358</v>
      </c>
      <c r="T152" s="414">
        <f>INDEX($B$232:$M$238,MATCH($Q$152,$B$232:$B$238,0),MATCH($P$146,$B$232:$M$232,0))</f>
        <v>750</v>
      </c>
      <c r="U152" s="414">
        <f>INDEX($B$242:$M$248,MATCH($Q$152,$B$242:$B$248,0),MATCH($P$146,$B$242:$M$242,0))</f>
        <v>908.5</v>
      </c>
      <c r="X152" s="482">
        <f t="shared" si="22"/>
        <v>0.83775559988086179</v>
      </c>
      <c r="Y152" s="482">
        <f t="shared" si="23"/>
        <v>0.82553659878921304</v>
      </c>
      <c r="Z152" s="404" t="str">
        <f t="shared" si="24"/>
        <v>Ignorado</v>
      </c>
      <c r="AN152" s="375"/>
      <c r="AO152" s="409"/>
      <c r="AP152" s="409"/>
      <c r="AQ152" s="409"/>
      <c r="AR152" s="409"/>
      <c r="AS152" s="409"/>
      <c r="AT152" s="409"/>
      <c r="AU152" s="409"/>
      <c r="AV152" s="409"/>
      <c r="AW152" s="409"/>
      <c r="AX152" s="409"/>
      <c r="AY152" s="409"/>
    </row>
    <row r="153" spans="1:51">
      <c r="C153" s="375">
        <f>+'q13'!$C$4</f>
        <v>2012</v>
      </c>
      <c r="D153" s="375">
        <f>+'q13'!$D$4</f>
        <v>2013</v>
      </c>
      <c r="E153" s="375">
        <f>+'q13'!$E$4</f>
        <v>2014</v>
      </c>
      <c r="F153" s="375">
        <f>+'q13'!$F$4</f>
        <v>2015</v>
      </c>
      <c r="G153" s="375">
        <f>+'q13'!$G$4</f>
        <v>2016</v>
      </c>
      <c r="H153" s="375">
        <f>+'q13'!$H$4</f>
        <v>2017</v>
      </c>
      <c r="I153" s="375">
        <f>+'q13'!$I$4</f>
        <v>2018</v>
      </c>
      <c r="J153" s="375">
        <f>+'q13'!$J$4</f>
        <v>2019</v>
      </c>
      <c r="K153" s="375">
        <f>+'q13'!$K$4</f>
        <v>2020</v>
      </c>
      <c r="L153" s="375">
        <f>+'q13'!$L$4</f>
        <v>2021</v>
      </c>
      <c r="M153" s="375">
        <f>+'q13'!$M$4</f>
        <v>2022</v>
      </c>
      <c r="Q153" s="404" t="s">
        <v>12</v>
      </c>
      <c r="R153" s="414">
        <f>INDEX($B$212:$M$218,MATCH($Q$153,$B$212:$B$218,0),MATCH($P$146,$B$212:$M$212,0))</f>
        <v>1143.4455828568618</v>
      </c>
      <c r="S153" s="414">
        <f>INDEX($B$222:$M$228,MATCH($Q$153,$B$222:$B$228,0),MATCH($P$146,$B$222:$M$222,0))</f>
        <v>1367.995248988339</v>
      </c>
      <c r="T153" s="414">
        <f>INDEX($B$232:$M$238,MATCH($Q$153,$B$232:$B$238,0),MATCH($P$146,$B$232:$M$232,0))</f>
        <v>816.21</v>
      </c>
      <c r="U153" s="414">
        <f>INDEX($B$242:$M$248,MATCH($Q$153,$B$242:$B$248,0),MATCH($P$146,$B$242:$M$242,0))</f>
        <v>1017.5</v>
      </c>
      <c r="X153" s="482">
        <f t="shared" si="22"/>
        <v>0.83585493714430936</v>
      </c>
      <c r="Y153" s="482">
        <f t="shared" si="23"/>
        <v>0.80217199017199026</v>
      </c>
      <c r="AN153" s="375"/>
      <c r="AO153" s="409"/>
      <c r="AP153" s="409"/>
      <c r="AQ153" s="409"/>
      <c r="AR153" s="409"/>
      <c r="AS153" s="409"/>
      <c r="AT153" s="409"/>
      <c r="AU153" s="409"/>
      <c r="AV153" s="409"/>
      <c r="AW153" s="409"/>
      <c r="AX153" s="409"/>
      <c r="AY153" s="409"/>
    </row>
    <row r="154" spans="1:51">
      <c r="A154" s="412" t="s">
        <v>12</v>
      </c>
      <c r="B154" s="404" t="str">
        <f>+Aux!$B$107</f>
        <v>Quadros superiores</v>
      </c>
      <c r="C154" s="409">
        <f>+'q21'!$C$8</f>
        <v>2093.4454369113</v>
      </c>
      <c r="D154" s="409">
        <f>+'q21'!$D$8</f>
        <v>2060.3236281652103</v>
      </c>
      <c r="E154" s="409">
        <f>+'q21'!$E$8</f>
        <v>2040.5926728110601</v>
      </c>
      <c r="F154" s="409">
        <f>+'q21'!$F$8</f>
        <v>2042.6334027235202</v>
      </c>
      <c r="G154" s="409">
        <f>+'q21'!$G$8</f>
        <v>2042.1119751481101</v>
      </c>
      <c r="H154" s="409">
        <f>+'q21'!$H$8</f>
        <v>2057.3257135888102</v>
      </c>
      <c r="I154" s="409">
        <f>+'q21'!$I$8</f>
        <v>2079.7273046894097</v>
      </c>
      <c r="J154" s="409">
        <f>+'q21'!$J$8</f>
        <v>2104.3370050103404</v>
      </c>
      <c r="K154" s="409">
        <f>+'q21'!$K$8</f>
        <v>2116.6560431504299</v>
      </c>
      <c r="L154" s="409">
        <f>+'q21'!$L$8</f>
        <v>2148.9574445069002</v>
      </c>
      <c r="M154" s="409">
        <f>+'q21'!$M$8</f>
        <v>2260.2689075153398</v>
      </c>
      <c r="N154" s="409"/>
      <c r="AN154" s="375"/>
      <c r="AO154" s="409"/>
      <c r="AP154" s="409"/>
      <c r="AQ154" s="409"/>
      <c r="AR154" s="409"/>
      <c r="AS154" s="409"/>
      <c r="AT154" s="409"/>
      <c r="AU154" s="409"/>
      <c r="AV154" s="409"/>
      <c r="AW154" s="409"/>
      <c r="AX154" s="409"/>
      <c r="AY154" s="409"/>
    </row>
    <row r="155" spans="1:51">
      <c r="B155" s="404" t="str">
        <f>+Aux!$B$108</f>
        <v>Quadros médios</v>
      </c>
      <c r="C155" s="409">
        <f>+'q21'!$C$11</f>
        <v>1427.5761183898799</v>
      </c>
      <c r="D155" s="409">
        <f>+'q21'!$D$11</f>
        <v>1425.22475977672</v>
      </c>
      <c r="E155" s="409">
        <f>+'q21'!$E$11</f>
        <v>1411.8961559495201</v>
      </c>
      <c r="F155" s="409">
        <f>+'q21'!$F$11</f>
        <v>1422.3541159304</v>
      </c>
      <c r="G155" s="409">
        <f>+'q21'!$G$11</f>
        <v>1428.8710103005401</v>
      </c>
      <c r="H155" s="409">
        <f>+'q21'!$H$11</f>
        <v>1439.3272218380901</v>
      </c>
      <c r="I155" s="409">
        <f>+'q21'!$I$11</f>
        <v>1460.73086040927</v>
      </c>
      <c r="J155" s="409">
        <f>+'q21'!$J$11</f>
        <v>1484.5953488244002</v>
      </c>
      <c r="K155" s="409">
        <f>+'q21'!$K$11</f>
        <v>1490.61933447191</v>
      </c>
      <c r="L155" s="409">
        <f>+'q21'!$L$11</f>
        <v>1519.5621593343901</v>
      </c>
      <c r="M155" s="409">
        <f>+'q21'!$M$11</f>
        <v>1620.2626426847301</v>
      </c>
      <c r="N155" s="409"/>
      <c r="P155" s="375" t="s">
        <v>454</v>
      </c>
      <c r="R155" s="404" t="s">
        <v>12</v>
      </c>
      <c r="S155" s="404" t="s">
        <v>448</v>
      </c>
      <c r="T155" s="404" t="s">
        <v>192</v>
      </c>
      <c r="U155" s="404" t="s">
        <v>237</v>
      </c>
      <c r="V155" s="404" t="s">
        <v>452</v>
      </c>
      <c r="W155" s="404" t="s">
        <v>13</v>
      </c>
      <c r="AN155" s="375"/>
      <c r="AO155" s="409"/>
      <c r="AP155" s="409"/>
      <c r="AQ155" s="409"/>
      <c r="AR155" s="409"/>
      <c r="AS155" s="409"/>
      <c r="AT155" s="409"/>
      <c r="AU155" s="409"/>
      <c r="AV155" s="409"/>
      <c r="AW155" s="409"/>
      <c r="AX155" s="409"/>
      <c r="AY155" s="409"/>
    </row>
    <row r="156" spans="1:51">
      <c r="B156" s="404" t="str">
        <f>+Aux!$B$109</f>
        <v>Encarregados, contramestres e chefes de equipa</v>
      </c>
      <c r="C156" s="409">
        <f>+'q21'!$C$14</f>
        <v>1276.52207930297</v>
      </c>
      <c r="D156" s="409">
        <f>+'q21'!$D$14</f>
        <v>1278.8099236775099</v>
      </c>
      <c r="E156" s="409">
        <f>+'q21'!$E$14</f>
        <v>1286.7222810585101</v>
      </c>
      <c r="F156" s="409">
        <f>+'q21'!$F$14</f>
        <v>1298.5355121320399</v>
      </c>
      <c r="G156" s="409">
        <f>+'q21'!$G$14</f>
        <v>1318.36565971298</v>
      </c>
      <c r="H156" s="409">
        <f>+'q21'!$H$14</f>
        <v>1335.5332297842101</v>
      </c>
      <c r="I156" s="409">
        <f>+'q21'!$I$14</f>
        <v>1356.0543687791799</v>
      </c>
      <c r="J156" s="409">
        <f>+'q21'!$J$14</f>
        <v>1405.3328803576401</v>
      </c>
      <c r="K156" s="409">
        <f>+'q21'!$K$14</f>
        <v>1444.5441020669102</v>
      </c>
      <c r="L156" s="409">
        <f>+'q21'!$L$14</f>
        <v>1489.2076994839501</v>
      </c>
      <c r="M156" s="409">
        <f>+'q21'!$M$14</f>
        <v>1561.37126441444</v>
      </c>
      <c r="N156" s="409"/>
      <c r="Q156" s="375" t="s">
        <v>352</v>
      </c>
      <c r="R156" s="414">
        <f>INDEX($B$212:$M$218,MATCH($Q$153,$B$212:$B$218,0),MATCH($P$146,$B$212:$M$212,0))</f>
        <v>1143.4455828568618</v>
      </c>
      <c r="S156" s="414">
        <f>INDEX($B$212:$M$218,MATCH($Q$148,$B$212:$B$218,0),MATCH($P$146,$B$212:$M$212,0))</f>
        <v>766.16810225156519</v>
      </c>
      <c r="T156" s="414">
        <f>INDEX($B$212:$M$218,MATCH($Q$149,$B$212:$B$218,0),MATCH($P$146,$B$212:$M$212,0))</f>
        <v>866.98371471534017</v>
      </c>
      <c r="U156" s="414">
        <f>INDEX($B$212:$M$218,MATCH($Q$150,$B$212:$B$218,0),MATCH($P$146,$B$212:$M$212,0))</f>
        <v>997.48152037541502</v>
      </c>
      <c r="V156" s="414">
        <f>INDEX($B$212:$M$218,MATCH($Q$151,$B$212:$B$218,0),MATCH($P$146,$B$212:$M$212,0))</f>
        <v>1767.5060761176364</v>
      </c>
      <c r="W156" s="414">
        <f>INDEX($B$212:$M$218,MATCH($Q$152,$B$212:$B$218,0),MATCH($P$146,$B$212:$M$212,0))</f>
        <v>1083.7515220293753</v>
      </c>
    </row>
    <row r="157" spans="1:51">
      <c r="B157" s="404" t="str">
        <f>+Aux!$B$110</f>
        <v>Profissionais altamente qualificados</v>
      </c>
      <c r="C157" s="409">
        <f>+'q21'!$C$17</f>
        <v>1172.0499019326701</v>
      </c>
      <c r="D157" s="409">
        <f>+'q21'!$D$17</f>
        <v>1156.99337615319</v>
      </c>
      <c r="E157" s="409">
        <f>+'q21'!$E$17</f>
        <v>1139.35000784011</v>
      </c>
      <c r="F157" s="409">
        <f>+'q21'!$F$17</f>
        <v>1149.4181207024601</v>
      </c>
      <c r="G157" s="409">
        <f>+'q21'!$G$17</f>
        <v>1144.2253419773701</v>
      </c>
      <c r="H157" s="409">
        <f>+'q21'!$H$17</f>
        <v>1150.4644905842902</v>
      </c>
      <c r="I157" s="409">
        <f>+'q21'!$I$17</f>
        <v>1170.1240945838599</v>
      </c>
      <c r="J157" s="409">
        <f>+'q21'!$J$17</f>
        <v>1165.3726951334402</v>
      </c>
      <c r="K157" s="409">
        <f>+'q21'!$K$17</f>
        <v>1182.19389340826</v>
      </c>
      <c r="L157" s="409">
        <f>+'q21'!$L$17</f>
        <v>1197.5594362751801</v>
      </c>
      <c r="M157" s="409">
        <f>+'q21'!$M$17</f>
        <v>1245.69055776859</v>
      </c>
      <c r="N157" s="409"/>
      <c r="Q157" s="375" t="s">
        <v>353</v>
      </c>
      <c r="R157" s="414">
        <f>INDEX($B$222:$M$228,MATCH($Q$153,$B$222:$B$228,0),MATCH($P$146,$B$222:$M$222,0))</f>
        <v>1367.995248988339</v>
      </c>
      <c r="S157" s="414">
        <f>INDEX($B$222:$M$228,MATCH($Q$148,$B$222:$B$228,0),MATCH($P$146,$B$222:$M$222,0))</f>
        <v>892.87459454884197</v>
      </c>
      <c r="T157" s="414">
        <f>INDEX($B$222:$M$228,MATCH($Q$149,$B$222:$B$228,0),MATCH($P$146,$B$222:$M$222,0))</f>
        <v>1044.0300886364023</v>
      </c>
      <c r="U157" s="414">
        <f>INDEX($B$222:$M$228,MATCH($Q$150,$B$222:$B$228,0),MATCH($P$146,$B$222:$M$222,0))</f>
        <v>1217.5678494347055</v>
      </c>
      <c r="V157" s="414">
        <f>INDEX($B$222:$M$228,MATCH($Q$151,$B$222:$B$228,0),MATCH($P$146,$B$222:$M$222,0))</f>
        <v>2072.8573535318387</v>
      </c>
      <c r="W157" s="414">
        <f>INDEX($B$222:$M$228,MATCH($Q$152,$B$222:$B$228,0),MATCH($P$146,$B$222:$M$222,0))</f>
        <v>1293.6368580329358</v>
      </c>
    </row>
    <row r="158" spans="1:51">
      <c r="B158" s="404" t="str">
        <f>+Aux!$B$111</f>
        <v>Profissionais qualificados</v>
      </c>
      <c r="C158" s="409">
        <f>+'q21'!$C$20</f>
        <v>725.11355837792303</v>
      </c>
      <c r="D158" s="409">
        <f>+'q21'!$D$20</f>
        <v>723.83207195427303</v>
      </c>
      <c r="E158" s="409">
        <f>+'q21'!$E$20</f>
        <v>725.05635997722015</v>
      </c>
      <c r="F158" s="409">
        <f>+'q21'!$F$20</f>
        <v>729.84119683013398</v>
      </c>
      <c r="G158" s="409">
        <f>+'q21'!$G$20</f>
        <v>737.73717877276908</v>
      </c>
      <c r="H158" s="409">
        <f>+'q21'!$H$20</f>
        <v>742.75300667286706</v>
      </c>
      <c r="I158" s="409">
        <f>+'q21'!$I$20</f>
        <v>765.75580268906106</v>
      </c>
      <c r="J158" s="409">
        <f>+'q21'!$J$20</f>
        <v>809.49491210190206</v>
      </c>
      <c r="K158" s="409">
        <f>+'q21'!$K$20</f>
        <v>837.7308796094361</v>
      </c>
      <c r="L158" s="409">
        <f>+'q21'!$L$20</f>
        <v>867.55135627621007</v>
      </c>
      <c r="M158" s="409">
        <f>+'q21'!$M$20</f>
        <v>914.25632748807504</v>
      </c>
      <c r="N158" s="409"/>
    </row>
    <row r="159" spans="1:51">
      <c r="B159" s="404" t="str">
        <f>+Aux!$B$112</f>
        <v>Profissionais semi-qualificados</v>
      </c>
      <c r="C159" s="409">
        <f>+'q21'!$C$23</f>
        <v>588.40982122483001</v>
      </c>
      <c r="D159" s="409">
        <f>+'q21'!$D$23</f>
        <v>588.34762708394908</v>
      </c>
      <c r="E159" s="409">
        <f>+'q21'!$E$23</f>
        <v>599.25092787212202</v>
      </c>
      <c r="F159" s="409">
        <f>+'q21'!$F$23</f>
        <v>599.56323944871303</v>
      </c>
      <c r="G159" s="409">
        <f>+'q21'!$G$23</f>
        <v>613.83081819202107</v>
      </c>
      <c r="H159" s="409">
        <f>+'q21'!$H$23</f>
        <v>645.87571609597705</v>
      </c>
      <c r="I159" s="409">
        <f>+'q21'!$I$23</f>
        <v>669.70289583904798</v>
      </c>
      <c r="J159" s="409">
        <f>+'q21'!$J$23</f>
        <v>697.764988499737</v>
      </c>
      <c r="K159" s="409">
        <f>+'q21'!$K$23</f>
        <v>724.70415040131104</v>
      </c>
      <c r="L159" s="409">
        <f>+'q21'!$L$23</f>
        <v>762.49301471830006</v>
      </c>
      <c r="M159" s="409">
        <f>+'q21'!$M$23</f>
        <v>805.43842040386505</v>
      </c>
      <c r="N159" s="409"/>
    </row>
    <row r="160" spans="1:51">
      <c r="B160" s="404" t="str">
        <f>+Aux!$B$113</f>
        <v>Profissionais não qualificados</v>
      </c>
      <c r="C160" s="409">
        <f>+'q21'!$C$26</f>
        <v>557.13952895520197</v>
      </c>
      <c r="D160" s="409">
        <f>+'q21'!$D$26</f>
        <v>557.40187102208301</v>
      </c>
      <c r="E160" s="409">
        <f>+'q21'!$E$26</f>
        <v>566.1107744746821</v>
      </c>
      <c r="F160" s="409">
        <f>+'q21'!$F$26</f>
        <v>567.03853987372997</v>
      </c>
      <c r="G160" s="409">
        <f>+'q21'!$G$26</f>
        <v>583.68028415846697</v>
      </c>
      <c r="H160" s="409">
        <f>+'q21'!$H$26</f>
        <v>606.53428784910705</v>
      </c>
      <c r="I160" s="409">
        <f>+'q21'!$I$26</f>
        <v>627.78184839544497</v>
      </c>
      <c r="J160" s="409">
        <f>+'q21'!$J$26</f>
        <v>646.64756387100408</v>
      </c>
      <c r="K160" s="409">
        <f>+'q21'!$K$26</f>
        <v>680.49009131961407</v>
      </c>
      <c r="L160" s="409">
        <f>+'q21'!$L$26</f>
        <v>710.22133293132799</v>
      </c>
      <c r="M160" s="409">
        <f>+'q21'!$M$26</f>
        <v>746.19213529626995</v>
      </c>
      <c r="N160" s="409"/>
      <c r="P160" s="375" t="s">
        <v>455</v>
      </c>
      <c r="R160" s="404" t="s">
        <v>12</v>
      </c>
      <c r="S160" s="404" t="s">
        <v>448</v>
      </c>
      <c r="T160" s="404" t="s">
        <v>192</v>
      </c>
      <c r="U160" s="404" t="s">
        <v>237</v>
      </c>
      <c r="V160" s="404" t="s">
        <v>452</v>
      </c>
      <c r="W160" s="404" t="s">
        <v>13</v>
      </c>
    </row>
    <row r="161" spans="1:33">
      <c r="B161" s="404" t="str">
        <f>+Aux!$B$114</f>
        <v>Praticantes e aprendizes</v>
      </c>
      <c r="C161" s="409">
        <f>+'q21'!$C$29</f>
        <v>546.63494563904305</v>
      </c>
      <c r="D161" s="409">
        <f>+'q21'!$D$29</f>
        <v>552.87166554541113</v>
      </c>
      <c r="E161" s="409">
        <f>+'q21'!$E$29</f>
        <v>562.79259208656708</v>
      </c>
      <c r="F161" s="409">
        <f>+'q21'!$F$29</f>
        <v>563.92704115520803</v>
      </c>
      <c r="G161" s="409">
        <f>+'q21'!$G$29</f>
        <v>580.29929444290804</v>
      </c>
      <c r="H161" s="409">
        <f>+'q21'!$H$29</f>
        <v>605.46738827818604</v>
      </c>
      <c r="I161" s="409">
        <f>+'q21'!$I$29</f>
        <v>632.38302193913705</v>
      </c>
      <c r="J161" s="409">
        <f>+'q21'!$J$29</f>
        <v>656.07456333552511</v>
      </c>
      <c r="K161" s="409">
        <f>+'q21'!$K$29</f>
        <v>688.77496774049996</v>
      </c>
      <c r="L161" s="409">
        <f>+'q21'!$L$29</f>
        <v>722.49175268581507</v>
      </c>
      <c r="M161" s="409">
        <f>+'q21'!$M$29</f>
        <v>764.33553617723305</v>
      </c>
      <c r="N161" s="409"/>
      <c r="Q161" s="375" t="s">
        <v>352</v>
      </c>
      <c r="R161" s="414">
        <f>INDEX($B$232:$M$238,MATCH($Q$153,$B$232:$B$238,0),MATCH($P$146,$B$232:$M$232,0))</f>
        <v>816.21</v>
      </c>
      <c r="S161" s="414">
        <f>INDEX($B$232:$M$238,MATCH($Q$148,$B$232:$B$238,0),MATCH($P$146,$B$232:$M$232,0))</f>
        <v>705</v>
      </c>
      <c r="T161" s="414">
        <f>INDEX($B$232:$M$238,MATCH($Q$149,$B$232:$B$238,0),MATCH($P$146,$B$232:$M$232,0))</f>
        <v>746</v>
      </c>
      <c r="U161" s="414">
        <f>INDEX($B$232:$M$238,MATCH($Q$150,$B$232:$B$238,0),MATCH($P$146,$B$232:$M$232,0))</f>
        <v>798.57</v>
      </c>
      <c r="V161" s="414">
        <f>INDEX($B$232:$M$238,MATCH($Q$151,$B$232:$B$238,0),MATCH($P$146,$B$232:$M$232,0))</f>
        <v>1376</v>
      </c>
      <c r="W161" s="414">
        <f>INDEX($B$232:$M$238,MATCH($Q$152,$B$232:$B$238,0),MATCH($P$146,$B$232:$M$232,0))</f>
        <v>750</v>
      </c>
    </row>
    <row r="162" spans="1:33">
      <c r="B162" s="404" t="str">
        <f>+Aux!$B$115</f>
        <v>Total</v>
      </c>
      <c r="C162" s="409">
        <f>+'q21'!$C$5</f>
        <v>915.01247006081212</v>
      </c>
      <c r="D162" s="409">
        <f>+'q21'!$D$5</f>
        <v>912.18298170177309</v>
      </c>
      <c r="E162" s="409">
        <f>+'q21'!$E$5</f>
        <v>909.49144915721399</v>
      </c>
      <c r="F162" s="409">
        <f>+'q21'!$F$5</f>
        <v>913.92544791377406</v>
      </c>
      <c r="G162" s="409">
        <f>+'q21'!$G$5</f>
        <v>924.9392153090821</v>
      </c>
      <c r="H162" s="409">
        <f>+'q21'!$H$5</f>
        <v>943.00107511786211</v>
      </c>
      <c r="I162" s="409">
        <f>+'q21'!$I$5</f>
        <v>970.41689676342503</v>
      </c>
      <c r="J162" s="409">
        <f>+'q21'!$J$5</f>
        <v>1005.08927925103</v>
      </c>
      <c r="K162" s="409">
        <f>+'q21'!$K$5</f>
        <v>1041.9948771786001</v>
      </c>
      <c r="L162" s="409">
        <f>+'q21'!$L$5</f>
        <v>1082.7724697513502</v>
      </c>
      <c r="M162" s="409">
        <f>+'q21'!$M$5</f>
        <v>1143.44558285689</v>
      </c>
      <c r="Q162" s="375" t="s">
        <v>353</v>
      </c>
      <c r="R162" s="414">
        <f>INDEX($B$242:$M$248,MATCH($Q$153,$B$242:$B$248,0),MATCH($P$146,$B$242:$M$242,0))</f>
        <v>1017.5</v>
      </c>
      <c r="S162" s="414">
        <f>INDEX($B$242:$M$248,MATCH($Q$148,$B$242:$B$248,0),MATCH($P$146,$B$242:$M$242,0))</f>
        <v>825</v>
      </c>
      <c r="T162" s="414">
        <f>INDEX($B$242:$M$248,MATCH($Q$149,$B$242:$B$248,0),MATCH($P$146,$B$242:$M$242,0))</f>
        <v>891.6</v>
      </c>
      <c r="U162" s="414">
        <f>INDEX($B$242:$M$248,MATCH($Q$150,$B$242:$B$248,0),MATCH($P$146,$B$242:$M$242,0))</f>
        <v>977.7</v>
      </c>
      <c r="V162" s="414">
        <f>INDEX($B$242:$M$248,MATCH($Q$151,$B$242:$B$248,0),MATCH($P$146,$B$242:$M$242,0))</f>
        <v>1621.95</v>
      </c>
      <c r="W162" s="414">
        <f>INDEX($B$242:$M$248,MATCH($Q$152,$B$242:$B$248,0),MATCH($P$146,$B$242:$M$242,0))</f>
        <v>908.5</v>
      </c>
    </row>
    <row r="164" spans="1:33">
      <c r="A164" s="411" t="s">
        <v>440</v>
      </c>
      <c r="C164" s="375">
        <f>+'q13'!$C$4</f>
        <v>2012</v>
      </c>
      <c r="D164" s="375">
        <f>+'q13'!$D$4</f>
        <v>2013</v>
      </c>
      <c r="E164" s="375">
        <f>+'q13'!$E$4</f>
        <v>2014</v>
      </c>
      <c r="F164" s="375">
        <f>+'q13'!$F$4</f>
        <v>2015</v>
      </c>
      <c r="G164" s="375">
        <f>+'q13'!$G$4</f>
        <v>2016</v>
      </c>
      <c r="H164" s="375">
        <f>+'q13'!$H$4</f>
        <v>2017</v>
      </c>
      <c r="I164" s="375">
        <f>+'q13'!$I$4</f>
        <v>2018</v>
      </c>
      <c r="J164" s="375">
        <f>+'q13'!$J$4</f>
        <v>2019</v>
      </c>
      <c r="K164" s="375">
        <f>+'q13'!$K$4</f>
        <v>2020</v>
      </c>
      <c r="L164" s="375">
        <f>+'q13'!$L$4</f>
        <v>2021</v>
      </c>
      <c r="M164" s="375">
        <f>+'q13'!$M$4</f>
        <v>2022</v>
      </c>
      <c r="Y164" s="404">
        <f>+P146</f>
        <v>2022</v>
      </c>
      <c r="Z164" s="404" t="s">
        <v>14</v>
      </c>
    </row>
    <row r="165" spans="1:33">
      <c r="A165" s="411" t="s">
        <v>116</v>
      </c>
      <c r="B165" s="404" t="str">
        <f>+Aux!$B$107</f>
        <v>Quadros superiores</v>
      </c>
      <c r="C165" s="409">
        <f>+'q29'!$C$9</f>
        <v>2764.7737582655304</v>
      </c>
      <c r="D165" s="409">
        <f>+'q29'!$D$9</f>
        <v>2716.1291989135002</v>
      </c>
      <c r="E165" s="409">
        <f>+'q29'!$E$9</f>
        <v>2704.7300175531</v>
      </c>
      <c r="F165" s="409">
        <f>+'q29'!$F$9</f>
        <v>2709.33382431269</v>
      </c>
      <c r="G165" s="409">
        <f>+'q29'!$G$9</f>
        <v>2707.7124634854003</v>
      </c>
      <c r="H165" s="409">
        <f>+'q29'!$H$9</f>
        <v>2735.7614117174703</v>
      </c>
      <c r="I165" s="409">
        <f>+'q29'!$I$9</f>
        <v>2778.5571670372601</v>
      </c>
      <c r="J165" s="409">
        <f>+'q29'!$J$9</f>
        <v>2793.1886614200102</v>
      </c>
      <c r="K165" s="409">
        <f>+'q29'!$K$9</f>
        <v>2791.2247835681001</v>
      </c>
      <c r="L165" s="409">
        <f>+'q29'!$L$9</f>
        <v>2823.57747979746</v>
      </c>
      <c r="M165" s="409">
        <f>+'q29'!$M$9</f>
        <v>2978.0187598152302</v>
      </c>
      <c r="Y165" s="404" t="s">
        <v>533</v>
      </c>
      <c r="AA165" s="404" t="s">
        <v>534</v>
      </c>
      <c r="AD165" s="404" t="s">
        <v>535</v>
      </c>
      <c r="AF165" s="404" t="s">
        <v>536</v>
      </c>
    </row>
    <row r="166" spans="1:33">
      <c r="B166" s="404" t="str">
        <f>+Aux!$B$108</f>
        <v>Quadros médios</v>
      </c>
      <c r="C166" s="409">
        <f>+'q29'!$C$12</f>
        <v>1864.00339933543</v>
      </c>
      <c r="D166" s="409">
        <f>+'q29'!$D$12</f>
        <v>1869.9884709361102</v>
      </c>
      <c r="E166" s="409">
        <f>+'q29'!$E$12</f>
        <v>1850.0558181286301</v>
      </c>
      <c r="F166" s="409">
        <f>+'q29'!$F$12</f>
        <v>1856.51804204619</v>
      </c>
      <c r="G166" s="409">
        <f>+'q29'!$G$12</f>
        <v>1851.2265808940799</v>
      </c>
      <c r="H166" s="409">
        <f>+'q29'!$H$12</f>
        <v>1864.7876022899702</v>
      </c>
      <c r="I166" s="409">
        <f>+'q29'!$I$12</f>
        <v>1897.4421625919299</v>
      </c>
      <c r="J166" s="409">
        <f>+'q29'!$J$12</f>
        <v>1917.3154648999503</v>
      </c>
      <c r="K166" s="409">
        <f>+'q29'!$K$12</f>
        <v>1927.2995860861802</v>
      </c>
      <c r="L166" s="409">
        <f>+'q29'!$L$12</f>
        <v>1953.2545714651001</v>
      </c>
      <c r="M166" s="409">
        <f>+'q29'!$M$12</f>
        <v>2087.2823036474506</v>
      </c>
      <c r="Y166" s="435" t="str">
        <f>TEXT($X$153,"##.###,0%")</f>
        <v>83,6%</v>
      </c>
      <c r="AA166" s="435" t="s">
        <v>529</v>
      </c>
      <c r="AD166" s="435" t="str">
        <f>TEXT($Y$153,"##.###,0%")</f>
        <v>80,2%</v>
      </c>
      <c r="AF166" s="435" t="s">
        <v>529</v>
      </c>
    </row>
    <row r="167" spans="1:33">
      <c r="B167" s="404" t="str">
        <f>+Aux!$B$109</f>
        <v>Encarregados, contramestres e chefes de equipa</v>
      </c>
      <c r="C167" s="409">
        <f>+'q29'!$C$15</f>
        <v>1567.8933612318203</v>
      </c>
      <c r="D167" s="409">
        <f>+'q29'!$D$15</f>
        <v>1575.83422450324</v>
      </c>
      <c r="E167" s="409">
        <f>+'q29'!$E$15</f>
        <v>1582.6086463409401</v>
      </c>
      <c r="F167" s="409">
        <f>+'q29'!$F$15</f>
        <v>1597.88010253011</v>
      </c>
      <c r="G167" s="409">
        <f>+'q29'!$G$15</f>
        <v>1631.3871010725602</v>
      </c>
      <c r="H167" s="409">
        <f>+'q29'!$H$15</f>
        <v>1660.87420874182</v>
      </c>
      <c r="I167" s="409">
        <f>+'q29'!$I$15</f>
        <v>1699.7648852884502</v>
      </c>
      <c r="J167" s="409">
        <f>+'q29'!$J$15</f>
        <v>1753.7789727220702</v>
      </c>
      <c r="K167" s="409">
        <f>+'q29'!$K$15</f>
        <v>1799.22293434977</v>
      </c>
      <c r="L167" s="409">
        <f>+'q29'!$L$15</f>
        <v>1852.5121330729103</v>
      </c>
      <c r="M167" s="409">
        <f>+'q29'!$M$15</f>
        <v>1948.9207036131502</v>
      </c>
      <c r="Y167" s="404" t="s">
        <v>574</v>
      </c>
      <c r="AA167" s="435">
        <f>+SMALL($S$148:$S$152,1)</f>
        <v>892.87459454884197</v>
      </c>
      <c r="AB167" s="404" t="str">
        <f>+TEXT(AA167,"##.### €")</f>
        <v>893 €</v>
      </c>
      <c r="AD167" s="404" t="s">
        <v>574</v>
      </c>
      <c r="AF167" s="435">
        <f>+SMALL($U$148:$U$152,1)</f>
        <v>825</v>
      </c>
      <c r="AG167" s="404" t="str">
        <f>+TEXT(AF167,"##.### €")</f>
        <v>825 €</v>
      </c>
    </row>
    <row r="168" spans="1:33">
      <c r="B168" s="404" t="str">
        <f>+Aux!$B$110</f>
        <v>Profissionais altamente qualificados</v>
      </c>
      <c r="C168" s="409">
        <f>+'q29'!$C$18</f>
        <v>1580.8575366521902</v>
      </c>
      <c r="D168" s="409">
        <f>+'q29'!$D$18</f>
        <v>1568.9018319195102</v>
      </c>
      <c r="E168" s="409">
        <f>+'q29'!$E$18</f>
        <v>1548.1414383189099</v>
      </c>
      <c r="F168" s="409">
        <f>+'q29'!$F$18</f>
        <v>1572.8955087963002</v>
      </c>
      <c r="G168" s="409">
        <f>+'q29'!$G$18</f>
        <v>1572.6008973516703</v>
      </c>
      <c r="H168" s="409">
        <f>+'q29'!$H$18</f>
        <v>1584.64345425089</v>
      </c>
      <c r="I168" s="409">
        <f>+'q29'!$I$18</f>
        <v>1610.4701536609</v>
      </c>
      <c r="J168" s="409">
        <f>+'q29'!$J$18</f>
        <v>1589.56930108594</v>
      </c>
      <c r="K168" s="409">
        <f>+'q29'!$K$18</f>
        <v>1610.3333129565799</v>
      </c>
      <c r="L168" s="409">
        <f>+'q29'!$L$18</f>
        <v>1629.33432271333</v>
      </c>
      <c r="M168" s="409">
        <f>+'q29'!$M$18</f>
        <v>1696.3206723046101</v>
      </c>
      <c r="P168" s="424"/>
      <c r="Q168" s="424"/>
      <c r="R168" s="424"/>
      <c r="S168" s="424"/>
      <c r="T168" s="424"/>
      <c r="U168" s="424"/>
      <c r="V168" s="424"/>
      <c r="W168" s="424"/>
      <c r="X168" s="424"/>
      <c r="Y168" s="404">
        <f>+SMALL($R$148:$R$152,1)</f>
        <v>766.16810225156519</v>
      </c>
      <c r="Z168" s="404" t="str">
        <f>+TEXT(Y168,"##.### €")</f>
        <v>766 €</v>
      </c>
      <c r="AB168" s="424"/>
      <c r="AD168" s="404">
        <f>+SMALL($T$148:$T$152,1)</f>
        <v>705</v>
      </c>
      <c r="AE168" s="404" t="str">
        <f>+TEXT(AD168,"##.### €")</f>
        <v>705 €</v>
      </c>
      <c r="AG168" s="424"/>
    </row>
    <row r="169" spans="1:33">
      <c r="B169" s="404" t="str">
        <f>+Aux!$B$111</f>
        <v>Profissionais qualificados</v>
      </c>
      <c r="C169" s="409">
        <f>+'q29'!$C$21</f>
        <v>938.97186352964309</v>
      </c>
      <c r="D169" s="409">
        <f>+'q29'!$D$21</f>
        <v>938.24367352693105</v>
      </c>
      <c r="E169" s="409">
        <f>+'q29'!$E$21</f>
        <v>942.03656054070211</v>
      </c>
      <c r="F169" s="409">
        <f>+'q29'!$F$21</f>
        <v>952.22187448785405</v>
      </c>
      <c r="G169" s="409">
        <f>+'q29'!$G$21</f>
        <v>959.35442029138903</v>
      </c>
      <c r="H169" s="409">
        <f>+'q29'!$H$21</f>
        <v>967.68177056460308</v>
      </c>
      <c r="I169" s="409">
        <f>+'q29'!$I$21</f>
        <v>999.89765146571096</v>
      </c>
      <c r="J169" s="409">
        <f>+'q29'!$J$21</f>
        <v>1049.64353602188</v>
      </c>
      <c r="K169" s="409">
        <f>+'q29'!$K$21</f>
        <v>1076.9607516068902</v>
      </c>
      <c r="L169" s="409">
        <f>+'q29'!$L$21</f>
        <v>1111.4731984648301</v>
      </c>
      <c r="M169" s="409">
        <f>+'q29'!$M$21</f>
        <v>1170.18180286346</v>
      </c>
      <c r="P169" s="424"/>
      <c r="Q169" s="424"/>
      <c r="R169" s="424"/>
      <c r="S169" s="424"/>
      <c r="T169" s="424"/>
      <c r="U169" s="424"/>
      <c r="V169" s="424"/>
      <c r="W169" s="424"/>
      <c r="X169" s="424"/>
      <c r="Y169" s="404" t="s">
        <v>575</v>
      </c>
      <c r="AA169" s="404" t="s">
        <v>530</v>
      </c>
      <c r="AB169" s="424"/>
      <c r="AD169" s="404" t="s">
        <v>575</v>
      </c>
      <c r="AF169" s="404" t="s">
        <v>530</v>
      </c>
      <c r="AG169" s="424"/>
    </row>
    <row r="170" spans="1:33">
      <c r="B170" s="404" t="str">
        <f>+Aux!$B$112</f>
        <v>Profissionais semi-qualificados</v>
      </c>
      <c r="C170" s="409">
        <f>+'q29'!$C$24</f>
        <v>780.63848038193009</v>
      </c>
      <c r="D170" s="409">
        <f>+'q29'!$D$24</f>
        <v>784.03305697178109</v>
      </c>
      <c r="E170" s="409">
        <f>+'q29'!$E$24</f>
        <v>796.15487537882905</v>
      </c>
      <c r="F170" s="409">
        <f>+'q29'!$F$24</f>
        <v>780.10740926331698</v>
      </c>
      <c r="G170" s="409">
        <f>+'q29'!$G$24</f>
        <v>793.47216218809513</v>
      </c>
      <c r="H170" s="409">
        <f>+'q29'!$H$24</f>
        <v>841.10573205726109</v>
      </c>
      <c r="I170" s="409">
        <f>+'q29'!$I$24</f>
        <v>876.25318105031602</v>
      </c>
      <c r="J170" s="409">
        <f>+'q29'!$J$24</f>
        <v>915.74440629515811</v>
      </c>
      <c r="K170" s="409">
        <f>+'q29'!$K$24</f>
        <v>944.01339405719705</v>
      </c>
      <c r="L170" s="409">
        <f>+'q29'!$L$24</f>
        <v>987.74706920672907</v>
      </c>
      <c r="M170" s="409">
        <f>+'q29'!$M$24</f>
        <v>1039.5046696515599</v>
      </c>
      <c r="P170" s="424"/>
      <c r="Q170" s="424"/>
      <c r="R170" s="424"/>
      <c r="S170" s="424"/>
      <c r="T170" s="424"/>
      <c r="U170" s="424"/>
      <c r="V170" s="424"/>
      <c r="W170" s="424"/>
      <c r="X170" s="424"/>
      <c r="Y170" s="435" t="str">
        <f>+VLOOKUP(Y168,$R$147:$Z$152,COLUMN($Z$147)-17,0)</f>
        <v>&lt; 1.º ciclo do ensino básico</v>
      </c>
      <c r="AA170" s="435">
        <f>+LARGE($S$148:$S$152,1)</f>
        <v>2072.8573535318387</v>
      </c>
      <c r="AB170" s="404" t="str">
        <f>+TEXT(AA170,"##.### €")</f>
        <v>2.073 €</v>
      </c>
      <c r="AD170" s="435" t="str">
        <f>+VLOOKUP(AD168,$T$147:$Z$152,COLUMN($Z$147)-19,0)</f>
        <v>&lt; 1.º ciclo do ensino básico</v>
      </c>
      <c r="AF170" s="435">
        <f>+LARGE($U$148:$U$152,1)</f>
        <v>1621.95</v>
      </c>
      <c r="AG170" s="404" t="str">
        <f>+TEXT(AF170,"##.### €")</f>
        <v>1.622 €</v>
      </c>
    </row>
    <row r="171" spans="1:33">
      <c r="B171" s="404" t="str">
        <f>+Aux!$B$113</f>
        <v>Profissionais não qualificados</v>
      </c>
      <c r="C171" s="409">
        <f>+'q29'!$C$27</f>
        <v>712.66488192618601</v>
      </c>
      <c r="D171" s="409">
        <f>+'q29'!$D$27</f>
        <v>710.27617728183009</v>
      </c>
      <c r="E171" s="409">
        <f>+'q29'!$E$27</f>
        <v>718.39041119318802</v>
      </c>
      <c r="F171" s="409">
        <f>+'q29'!$F$27</f>
        <v>725.24482235619303</v>
      </c>
      <c r="G171" s="409">
        <f>+'q29'!$G$27</f>
        <v>734.368602225313</v>
      </c>
      <c r="H171" s="409">
        <f>+'q29'!$H$27</f>
        <v>760.15856753011406</v>
      </c>
      <c r="I171" s="409">
        <f>+'q29'!$I$27</f>
        <v>788.90292622740708</v>
      </c>
      <c r="J171" s="409">
        <f>+'q29'!$J$27</f>
        <v>809.64450105380502</v>
      </c>
      <c r="K171" s="409">
        <f>+'q29'!$K$27</f>
        <v>841.61894266036904</v>
      </c>
      <c r="L171" s="409">
        <f>+'q29'!$L$27</f>
        <v>875.96992850767413</v>
      </c>
      <c r="M171" s="409">
        <f>+'q29'!$M$27</f>
        <v>916.0868846546341</v>
      </c>
      <c r="P171" s="424"/>
      <c r="Q171" s="424"/>
      <c r="R171" s="424"/>
      <c r="S171" s="424"/>
      <c r="T171" s="424"/>
      <c r="U171" s="424"/>
      <c r="V171" s="424"/>
      <c r="W171" s="424"/>
      <c r="X171" s="424"/>
      <c r="Y171" s="404" t="s">
        <v>527</v>
      </c>
      <c r="AA171" s="404" t="s">
        <v>586</v>
      </c>
      <c r="AB171" s="424"/>
      <c r="AD171" s="404" t="s">
        <v>527</v>
      </c>
      <c r="AF171" s="404" t="s">
        <v>586</v>
      </c>
      <c r="AG171" s="424"/>
    </row>
    <row r="172" spans="1:33">
      <c r="B172" s="404" t="str">
        <f>+Aux!$B$114</f>
        <v>Praticantes e aprendizes</v>
      </c>
      <c r="C172" s="409">
        <f>+'q29'!$C$30</f>
        <v>681.351428093148</v>
      </c>
      <c r="D172" s="409">
        <f>+'q29'!$D$30</f>
        <v>688.15380658905906</v>
      </c>
      <c r="E172" s="409">
        <f>+'q29'!$E$30</f>
        <v>692.78681907977409</v>
      </c>
      <c r="F172" s="409">
        <f>+'q29'!$F$30</f>
        <v>693.71468549193207</v>
      </c>
      <c r="G172" s="409">
        <f>+'q29'!$G$30</f>
        <v>705.060723728276</v>
      </c>
      <c r="H172" s="409">
        <f>+'q29'!$H$30</f>
        <v>741.69890578776995</v>
      </c>
      <c r="I172" s="409">
        <f>+'q29'!$I$30</f>
        <v>776.12926294753208</v>
      </c>
      <c r="J172" s="409">
        <f>+'q29'!$J$30</f>
        <v>806.72940256232903</v>
      </c>
      <c r="K172" s="409">
        <f>+'q29'!$K$30</f>
        <v>837.55246672750809</v>
      </c>
      <c r="L172" s="409">
        <f>+'q29'!$L$30</f>
        <v>872.980124281906</v>
      </c>
      <c r="M172" s="409">
        <f>+'q29'!$M$30</f>
        <v>921.182915485178</v>
      </c>
      <c r="Y172" s="404">
        <f>+LARGE(R148:R152,1)</f>
        <v>1767.5060761176364</v>
      </c>
      <c r="Z172" s="404" t="str">
        <f>+TEXT(Y172,"##.### €")</f>
        <v>1.768 €</v>
      </c>
      <c r="AD172" s="404">
        <f>+LARGE($T$148:$T$152,1)</f>
        <v>1376</v>
      </c>
      <c r="AE172" s="404" t="str">
        <f>+TEXT(AD172,"##.### €")</f>
        <v>1.376 €</v>
      </c>
    </row>
    <row r="173" spans="1:33">
      <c r="B173" s="404" t="str">
        <f>+Aux!$B$115</f>
        <v>Total</v>
      </c>
      <c r="C173" s="409">
        <f>+'q29'!$C$6</f>
        <v>1213.0207353340002</v>
      </c>
      <c r="D173" s="409">
        <f>+'q29'!$D$6</f>
        <v>1209.2112926836</v>
      </c>
      <c r="E173" s="409">
        <f>+'q29'!$E$6</f>
        <v>1203.3163954215399</v>
      </c>
      <c r="F173" s="409">
        <f>+'q29'!$F$6</f>
        <v>1207.7620848918802</v>
      </c>
      <c r="G173" s="409">
        <f>+'q29'!$G$6</f>
        <v>1215.1073571470499</v>
      </c>
      <c r="H173" s="409">
        <f>+'q29'!$H$6</f>
        <v>1236.8510439336801</v>
      </c>
      <c r="I173" s="409">
        <f>+'q29'!$I$6</f>
        <v>1273.9856646448</v>
      </c>
      <c r="J173" s="409">
        <f>+'q29'!$J$6</f>
        <v>1312.4262476007902</v>
      </c>
      <c r="K173" s="409">
        <f>+'q29'!$K$6</f>
        <v>1349.3525335819299</v>
      </c>
      <c r="L173" s="409">
        <f>+'q29'!$L$6</f>
        <v>1395.6950744819503</v>
      </c>
      <c r="M173" s="409">
        <f>+'q29'!$M$6</f>
        <v>1476.20345437132</v>
      </c>
      <c r="P173" s="409"/>
      <c r="Y173" s="404" t="s">
        <v>575</v>
      </c>
      <c r="AD173" s="404" t="s">
        <v>575</v>
      </c>
    </row>
    <row r="174" spans="1:33">
      <c r="Y174" s="435" t="str">
        <f>+VLOOKUP(Y172,$R$147:$Z$152,COLUMN($Z$147)-17,0)</f>
        <v>Ensino superior**</v>
      </c>
      <c r="Z174" s="404" t="s">
        <v>505</v>
      </c>
      <c r="AD174" s="435" t="str">
        <f>+VLOOKUP(AD172,$T$147:$Z$152,COLUMN($Z$147)-19,0)</f>
        <v>Ensino superior**</v>
      </c>
      <c r="AE174" s="404" t="s">
        <v>505</v>
      </c>
    </row>
    <row r="175" spans="1:33">
      <c r="C175" s="375">
        <f>+'q13'!$C$4</f>
        <v>2012</v>
      </c>
      <c r="D175" s="375">
        <f>+'q13'!$D$4</f>
        <v>2013</v>
      </c>
      <c r="E175" s="375">
        <f>+'q13'!$E$4</f>
        <v>2014</v>
      </c>
      <c r="F175" s="375">
        <f>+'q13'!$F$4</f>
        <v>2015</v>
      </c>
      <c r="G175" s="375">
        <f>+'q13'!$G$4</f>
        <v>2016</v>
      </c>
      <c r="H175" s="375">
        <f>+'q13'!$H$4</f>
        <v>2017</v>
      </c>
      <c r="I175" s="375">
        <f>+'q13'!$I$4</f>
        <v>2018</v>
      </c>
      <c r="J175" s="375">
        <f>+'q13'!$J$4</f>
        <v>2019</v>
      </c>
      <c r="K175" s="375">
        <f>+'q13'!$K$4</f>
        <v>2020</v>
      </c>
      <c r="L175" s="375">
        <f>+'q13'!$L$4</f>
        <v>2021</v>
      </c>
      <c r="M175" s="375">
        <f>+'q13'!$M$4</f>
        <v>2022</v>
      </c>
    </row>
    <row r="176" spans="1:33">
      <c r="A176" s="411" t="s">
        <v>117</v>
      </c>
      <c r="B176" s="404" t="str">
        <f>+Aux!$B$107</f>
        <v>Quadros superiores</v>
      </c>
      <c r="C176" s="409">
        <f>+'q29'!$C$10</f>
        <v>1973.1366082514301</v>
      </c>
      <c r="D176" s="409">
        <f>+'q29'!$D$10</f>
        <v>1959.34053596838</v>
      </c>
      <c r="E176" s="409">
        <f>+'q29'!$E$10</f>
        <v>1951.1267396840199</v>
      </c>
      <c r="F176" s="409">
        <f>+'q29'!$F$10</f>
        <v>1954.5147046316401</v>
      </c>
      <c r="G176" s="409">
        <f>+'q29'!$G$10</f>
        <v>1958.7763912698101</v>
      </c>
      <c r="H176" s="409">
        <f>+'q29'!$H$10</f>
        <v>1980.4773414157901</v>
      </c>
      <c r="I176" s="409">
        <f>+'q29'!$I$10</f>
        <v>2020.5695200953401</v>
      </c>
      <c r="J176" s="409">
        <f>+'q29'!$J$10</f>
        <v>2054.38741194868</v>
      </c>
      <c r="K176" s="409">
        <f>+'q29'!$K$10</f>
        <v>2088.9675454920398</v>
      </c>
      <c r="L176" s="409">
        <f>+'q29'!$L$10</f>
        <v>2122.5512827438201</v>
      </c>
      <c r="M176" s="409">
        <f>+'q29'!$M$10</f>
        <v>2217.0614907443701</v>
      </c>
    </row>
    <row r="177" spans="1:37">
      <c r="B177" s="404" t="str">
        <f>+Aux!$B$108</f>
        <v>Quadros médios</v>
      </c>
      <c r="C177" s="409">
        <f>+'q29'!$C$13</f>
        <v>1530.37116297174</v>
      </c>
      <c r="D177" s="409">
        <f>+'q29'!$D$13</f>
        <v>1528.1355528863003</v>
      </c>
      <c r="E177" s="409">
        <f>+'q29'!$E$13</f>
        <v>1523.64489360224</v>
      </c>
      <c r="F177" s="409">
        <f>+'q29'!$F$13</f>
        <v>1532.0690308661401</v>
      </c>
      <c r="G177" s="409">
        <f>+'q29'!$G$13</f>
        <v>1542.5253281529399</v>
      </c>
      <c r="H177" s="409">
        <f>+'q29'!$H$13</f>
        <v>1559.8923210248699</v>
      </c>
      <c r="I177" s="409">
        <f>+'q29'!$I$13</f>
        <v>1596.09042905151</v>
      </c>
      <c r="J177" s="409">
        <f>+'q29'!$J$13</f>
        <v>1621.8553245279302</v>
      </c>
      <c r="K177" s="409">
        <f>+'q29'!$K$13</f>
        <v>1631.5115085929901</v>
      </c>
      <c r="L177" s="409">
        <f>+'q29'!$L$13</f>
        <v>1651.8104068825601</v>
      </c>
      <c r="M177" s="409">
        <f>+'q29'!$M$13</f>
        <v>1745.68952154305</v>
      </c>
      <c r="AA177" s="597" t="str">
        <f>CONCATENATE(Y164," - ",Z164,":",CHAR(10),Y165," ",Y166,Y167," ",Z168,Y169,Y170,Y171," ",Z172,Y173,Y174,Z174,CHAR(10),AA165,AA166," ",AB167,AA168," ",AA169," ",AB170,AA171)</f>
        <v>2022 - Continente:
Base média: 83,6% do Ganho, entre 766 € (&lt; 1.º ciclo do ensino básico) e  1.768 € (Ensino superior**).
Ganho médio:Entre 893 € e 2.073 €, nos mesmos níveis de habilitação, respetivamente.</v>
      </c>
      <c r="AB177" s="597"/>
      <c r="AC177" s="597"/>
      <c r="AD177" s="597"/>
      <c r="AE177" s="597"/>
      <c r="AG177" s="597" t="str">
        <f>+CONCATENATE(Y164," - ",Z164,":",CHAR(10),AD165," ",AD166,AD167," ",AE168,AD169,AD170,AD171," ",AE172,AD173,AD174,AE174,CHAR(10),AF165," ",AF166," ",AG167,AF168," ",AF169," ",AG170,AF171)</f>
        <v>2022 - Continente:
Base mediana: 80,2% do Ganho, entre 705 € (&lt; 1.º ciclo do ensino básico) e  1.376 € (Ensino superior**).
Ganho mediano: Entre 825 € e 1.622 €, nos mesmos níveis de habilitação, respetivamente.</v>
      </c>
      <c r="AH177" s="597"/>
      <c r="AI177" s="597"/>
      <c r="AJ177" s="597"/>
      <c r="AK177" s="597"/>
    </row>
    <row r="178" spans="1:37">
      <c r="B178" s="404" t="str">
        <f>+Aux!$B$109</f>
        <v>Encarregados, contramestres e chefes de equipa</v>
      </c>
      <c r="C178" s="409">
        <f>+'q29'!$C$16</f>
        <v>1409.6016973457299</v>
      </c>
      <c r="D178" s="409">
        <f>+'q29'!$D$16</f>
        <v>1417.4183960108001</v>
      </c>
      <c r="E178" s="409">
        <f>+'q29'!$E$16</f>
        <v>1422.6852623672901</v>
      </c>
      <c r="F178" s="409">
        <f>+'q29'!$F$16</f>
        <v>1433.8603184020601</v>
      </c>
      <c r="G178" s="409">
        <f>+'q29'!$G$16</f>
        <v>1461.6248208393899</v>
      </c>
      <c r="H178" s="409">
        <f>+'q29'!$H$16</f>
        <v>1504.83213879088</v>
      </c>
      <c r="I178" s="409">
        <f>+'q29'!$I$16</f>
        <v>1522.8257474553402</v>
      </c>
      <c r="J178" s="409">
        <f>+'q29'!$J$16</f>
        <v>1577.7506373987301</v>
      </c>
      <c r="K178" s="409">
        <f>+'q29'!$K$16</f>
        <v>1616.7846253152302</v>
      </c>
      <c r="L178" s="409">
        <f>+'q29'!$L$16</f>
        <v>1667.2383016121098</v>
      </c>
      <c r="M178" s="409">
        <f>+'q29'!$M$16</f>
        <v>1762.7357397037104</v>
      </c>
      <c r="AA178" s="597"/>
      <c r="AB178" s="597"/>
      <c r="AC178" s="597"/>
      <c r="AD178" s="597"/>
      <c r="AE178" s="597"/>
      <c r="AG178" s="597"/>
      <c r="AH178" s="597"/>
      <c r="AI178" s="597"/>
      <c r="AJ178" s="597"/>
      <c r="AK178" s="597"/>
    </row>
    <row r="179" spans="1:37">
      <c r="B179" s="404" t="str">
        <f>+Aux!$B$110</f>
        <v>Profissionais altamente qualificados</v>
      </c>
      <c r="C179" s="409">
        <f>+'q29'!$C$19</f>
        <v>1272.2597067232302</v>
      </c>
      <c r="D179" s="409">
        <f>+'q29'!$D$19</f>
        <v>1261.4222678705</v>
      </c>
      <c r="E179" s="409">
        <f>+'q29'!$E$19</f>
        <v>1257.9906340844702</v>
      </c>
      <c r="F179" s="409">
        <f>+'q29'!$F$19</f>
        <v>1254.3451100479601</v>
      </c>
      <c r="G179" s="409">
        <f>+'q29'!$G$19</f>
        <v>1238.9951436418401</v>
      </c>
      <c r="H179" s="409">
        <f>+'q29'!$H$19</f>
        <v>1248.88333087507</v>
      </c>
      <c r="I179" s="409">
        <f>+'q29'!$I$19</f>
        <v>1273.2946704880103</v>
      </c>
      <c r="J179" s="409">
        <f>+'q29'!$J$19</f>
        <v>1273.3835980754402</v>
      </c>
      <c r="K179" s="409">
        <f>+'q29'!$K$19</f>
        <v>1284.77421709583</v>
      </c>
      <c r="L179" s="409">
        <f>+'q29'!$L$19</f>
        <v>1299.0482992300399</v>
      </c>
      <c r="M179" s="409">
        <f>+'q29'!$M$19</f>
        <v>1355.2679581147402</v>
      </c>
      <c r="AA179" s="597"/>
      <c r="AB179" s="597"/>
      <c r="AC179" s="597"/>
      <c r="AD179" s="597"/>
      <c r="AE179" s="597"/>
      <c r="AG179" s="597"/>
      <c r="AH179" s="597"/>
      <c r="AI179" s="597"/>
      <c r="AJ179" s="597"/>
      <c r="AK179" s="597"/>
    </row>
    <row r="180" spans="1:37">
      <c r="B180" s="404" t="str">
        <f>+Aux!$B$111</f>
        <v>Profissionais qualificados</v>
      </c>
      <c r="C180" s="409">
        <f>+'q29'!$C$22</f>
        <v>804.88864671444298</v>
      </c>
      <c r="D180" s="409">
        <f>+'q29'!$D$22</f>
        <v>804.15658975994506</v>
      </c>
      <c r="E180" s="409">
        <f>+'q29'!$E$22</f>
        <v>809.37502741552601</v>
      </c>
      <c r="F180" s="409">
        <f>+'q29'!$F$22</f>
        <v>808.86423680330097</v>
      </c>
      <c r="G180" s="409">
        <f>+'q29'!$G$22</f>
        <v>817.35298845075806</v>
      </c>
      <c r="H180" s="409">
        <f>+'q29'!$H$22</f>
        <v>826.03945955346296</v>
      </c>
      <c r="I180" s="409">
        <f>+'q29'!$I$22</f>
        <v>852.62488281166009</v>
      </c>
      <c r="J180" s="409">
        <f>+'q29'!$J$22</f>
        <v>904.67399121328708</v>
      </c>
      <c r="K180" s="409">
        <f>+'q29'!$K$22</f>
        <v>938.33959443115805</v>
      </c>
      <c r="L180" s="409">
        <f>+'q29'!$L$22</f>
        <v>966.28236744320111</v>
      </c>
      <c r="M180" s="409">
        <f>+'q29'!$M$22</f>
        <v>1024.9985181313002</v>
      </c>
      <c r="AA180" s="597"/>
      <c r="AB180" s="597"/>
      <c r="AC180" s="597"/>
      <c r="AD180" s="597"/>
      <c r="AE180" s="597"/>
      <c r="AG180" s="597"/>
      <c r="AH180" s="597"/>
      <c r="AI180" s="597"/>
      <c r="AJ180" s="597"/>
      <c r="AK180" s="597"/>
    </row>
    <row r="181" spans="1:37">
      <c r="B181" s="404" t="str">
        <f>+Aux!$B$112</f>
        <v>Profissionais semi-qualificados</v>
      </c>
      <c r="C181" s="409">
        <f>+'q29'!$C$25</f>
        <v>653.3630876000351</v>
      </c>
      <c r="D181" s="409">
        <f>+'q29'!$D$25</f>
        <v>654.60368637397198</v>
      </c>
      <c r="E181" s="409">
        <f>+'q29'!$E$25</f>
        <v>665.11055944346106</v>
      </c>
      <c r="F181" s="409">
        <f>+'q29'!$F$25</f>
        <v>668.4073954666361</v>
      </c>
      <c r="G181" s="409">
        <f>+'q29'!$G$25</f>
        <v>684.50218254174206</v>
      </c>
      <c r="H181" s="409">
        <f>+'q29'!$H$25</f>
        <v>720.60246180076206</v>
      </c>
      <c r="I181" s="409">
        <f>+'q29'!$I$25</f>
        <v>748.15922484456109</v>
      </c>
      <c r="J181" s="409">
        <f>+'q29'!$J$25</f>
        <v>783.48072982942313</v>
      </c>
      <c r="K181" s="409">
        <f>+'q29'!$K$25</f>
        <v>815.20282556674204</v>
      </c>
      <c r="L181" s="409">
        <f>+'q29'!$L$25</f>
        <v>852.28175808774301</v>
      </c>
      <c r="M181" s="409">
        <f>+'q29'!$M$25</f>
        <v>901.43580542846007</v>
      </c>
      <c r="AA181" s="597"/>
      <c r="AB181" s="597"/>
      <c r="AC181" s="597"/>
      <c r="AD181" s="597"/>
      <c r="AE181" s="597"/>
      <c r="AG181" s="597"/>
      <c r="AH181" s="597"/>
      <c r="AI181" s="597"/>
      <c r="AJ181" s="597"/>
      <c r="AK181" s="597"/>
    </row>
    <row r="182" spans="1:37">
      <c r="B182" s="404" t="str">
        <f>+Aux!$B$113</f>
        <v>Profissionais não qualificados</v>
      </c>
      <c r="C182" s="409">
        <f>+'q29'!$C$28</f>
        <v>600.05345793346896</v>
      </c>
      <c r="D182" s="409">
        <f>+'q29'!$D$28</f>
        <v>600.23410004585799</v>
      </c>
      <c r="E182" s="409">
        <f>+'q29'!$E$28</f>
        <v>613.38256454981013</v>
      </c>
      <c r="F182" s="409">
        <f>+'q29'!$F$28</f>
        <v>617.40369672063196</v>
      </c>
      <c r="G182" s="409">
        <f>+'q29'!$G$28</f>
        <v>638.89423525325606</v>
      </c>
      <c r="H182" s="409">
        <f>+'q29'!$H$28</f>
        <v>670.42393012019807</v>
      </c>
      <c r="I182" s="409">
        <f>+'q29'!$I$28</f>
        <v>697.79040901914902</v>
      </c>
      <c r="J182" s="409">
        <f>+'q29'!$J$28</f>
        <v>722.65254970168905</v>
      </c>
      <c r="K182" s="409">
        <f>+'q29'!$K$28</f>
        <v>757.86387163756513</v>
      </c>
      <c r="L182" s="409">
        <f>+'q29'!$L$28</f>
        <v>791.40048301720299</v>
      </c>
      <c r="M182" s="409">
        <f>+'q29'!$M$28</f>
        <v>837.37621394346399</v>
      </c>
      <c r="AA182" s="597"/>
      <c r="AB182" s="597"/>
      <c r="AC182" s="597"/>
      <c r="AD182" s="597"/>
      <c r="AE182" s="597"/>
      <c r="AG182" s="597"/>
      <c r="AH182" s="597"/>
      <c r="AI182" s="597"/>
      <c r="AJ182" s="597"/>
      <c r="AK182" s="597"/>
    </row>
    <row r="183" spans="1:37">
      <c r="B183" s="404" t="str">
        <f>+Aux!$B$114</f>
        <v>Praticantes e aprendizes</v>
      </c>
      <c r="C183" s="409">
        <f>+'q29'!$C$31</f>
        <v>623.28611587743706</v>
      </c>
      <c r="D183" s="409">
        <f>+'q29'!$D$31</f>
        <v>627.20215548389604</v>
      </c>
      <c r="E183" s="409">
        <f>+'q29'!$E$31</f>
        <v>639.34742690274595</v>
      </c>
      <c r="F183" s="409">
        <f>+'q29'!$F$31</f>
        <v>638.32868813469702</v>
      </c>
      <c r="G183" s="409">
        <f>+'q29'!$G$31</f>
        <v>657.480197388752</v>
      </c>
      <c r="H183" s="409">
        <f>+'q29'!$H$31</f>
        <v>691.31952181732913</v>
      </c>
      <c r="I183" s="409">
        <f>+'q29'!$I$31</f>
        <v>726.19854323014408</v>
      </c>
      <c r="J183" s="409">
        <f>+'q29'!$J$31</f>
        <v>758.25859344894002</v>
      </c>
      <c r="K183" s="409">
        <f>+'q29'!$K$31</f>
        <v>786.47049973190303</v>
      </c>
      <c r="L183" s="409">
        <f>+'q29'!$L$31</f>
        <v>825.00051588765302</v>
      </c>
      <c r="M183" s="409">
        <f>+'q29'!$M$31</f>
        <v>875.73350292038106</v>
      </c>
    </row>
    <row r="184" spans="1:37">
      <c r="B184" s="404" t="str">
        <f>+Aux!$B$115</f>
        <v>Total</v>
      </c>
      <c r="C184" s="409">
        <f>+'q29'!$C$7</f>
        <v>956.51135558425801</v>
      </c>
      <c r="D184" s="409">
        <f>+'q29'!$D$7</f>
        <v>958.1169410237261</v>
      </c>
      <c r="E184" s="409">
        <f>+'q29'!$E$7</f>
        <v>963.11657750883012</v>
      </c>
      <c r="F184" s="409">
        <f>+'q29'!$F$7</f>
        <v>966.85175731037509</v>
      </c>
      <c r="G184" s="409">
        <f>+'q29'!$G$7</f>
        <v>982.48629518294808</v>
      </c>
      <c r="H184" s="409">
        <f>+'q29'!$H$7</f>
        <v>1011.0188687181301</v>
      </c>
      <c r="I184" s="409">
        <f>+'q29'!$I$7</f>
        <v>1046.5864208241201</v>
      </c>
      <c r="J184" s="409">
        <f>+'q29'!$J$7</f>
        <v>1086.9729161883299</v>
      </c>
      <c r="K184" s="409">
        <f>+'q29'!$K$7</f>
        <v>1130.8674354246</v>
      </c>
      <c r="L184" s="409">
        <f>+'q29'!$L$7</f>
        <v>1172.0779291766798</v>
      </c>
      <c r="M184" s="409">
        <f>+'q29'!$M$7</f>
        <v>1237.52369998673</v>
      </c>
    </row>
    <row r="186" spans="1:37">
      <c r="C186" s="375">
        <f>+'q13'!$C$4</f>
        <v>2012</v>
      </c>
      <c r="D186" s="375">
        <f>+'q13'!$D$4</f>
        <v>2013</v>
      </c>
      <c r="E186" s="375">
        <f>+'q13'!$E$4</f>
        <v>2014</v>
      </c>
      <c r="F186" s="375">
        <f>+'q13'!$F$4</f>
        <v>2015</v>
      </c>
      <c r="G186" s="375">
        <f>+'q13'!$G$4</f>
        <v>2016</v>
      </c>
      <c r="H186" s="375">
        <f>+'q13'!$H$4</f>
        <v>2017</v>
      </c>
      <c r="I186" s="375">
        <f>+'q13'!$I$4</f>
        <v>2018</v>
      </c>
      <c r="J186" s="375">
        <f>+'q13'!$J$4</f>
        <v>2019</v>
      </c>
      <c r="K186" s="375">
        <f>+'q13'!$K$4</f>
        <v>2020</v>
      </c>
      <c r="L186" s="375">
        <f>+'q13'!$L$4</f>
        <v>2021</v>
      </c>
      <c r="M186" s="375">
        <f>+'q13'!$M$4</f>
        <v>2022</v>
      </c>
    </row>
    <row r="187" spans="1:37">
      <c r="A187" s="411" t="s">
        <v>12</v>
      </c>
      <c r="B187" s="404" t="str">
        <f>+Aux!$B$107</f>
        <v>Quadros superiores</v>
      </c>
      <c r="C187" s="409">
        <f>+'q29'!$C$8</f>
        <v>2420.8537584682304</v>
      </c>
      <c r="D187" s="409">
        <f>+'q29'!$D$8</f>
        <v>2384.2829687509002</v>
      </c>
      <c r="E187" s="409">
        <f>+'q29'!$E$8</f>
        <v>2371.02654153506</v>
      </c>
      <c r="F187" s="409">
        <f>+'q29'!$F$8</f>
        <v>2370.5330223239198</v>
      </c>
      <c r="G187" s="409">
        <f>+'q29'!$G$8</f>
        <v>2366.8568017891598</v>
      </c>
      <c r="H187" s="409">
        <f>+'q29'!$H$8</f>
        <v>2390.4649515278597</v>
      </c>
      <c r="I187" s="409">
        <f>+'q29'!$I$8</f>
        <v>2429.6508813589198</v>
      </c>
      <c r="J187" s="409">
        <f>+'q29'!$J$8</f>
        <v>2452.2431765111501</v>
      </c>
      <c r="K187" s="409">
        <f>+'q29'!$K$8</f>
        <v>2465.5519936386499</v>
      </c>
      <c r="L187" s="409">
        <f>+'q29'!$L$8</f>
        <v>2494.7913475219002</v>
      </c>
      <c r="M187" s="409">
        <f>+'q29'!$M$8</f>
        <v>2625.9199806616007</v>
      </c>
    </row>
    <row r="188" spans="1:37">
      <c r="B188" s="404" t="str">
        <f>+Aux!$B$108</f>
        <v>Quadros médios</v>
      </c>
      <c r="C188" s="409">
        <f>+'q29'!$C$11</f>
        <v>1709.9792511394601</v>
      </c>
      <c r="D188" s="409">
        <f>+'q29'!$D$11</f>
        <v>1709.24716167971</v>
      </c>
      <c r="E188" s="409">
        <f>+'q29'!$E$11</f>
        <v>1696.68152872325</v>
      </c>
      <c r="F188" s="409">
        <f>+'q29'!$F$11</f>
        <v>1702.14648472406</v>
      </c>
      <c r="G188" s="409">
        <f>+'q29'!$G$11</f>
        <v>1703.5988378781299</v>
      </c>
      <c r="H188" s="409">
        <f>+'q29'!$H$11</f>
        <v>1719.0817400605004</v>
      </c>
      <c r="I188" s="409">
        <f>+'q29'!$I$11</f>
        <v>1753.4700220759701</v>
      </c>
      <c r="J188" s="409">
        <f>+'q29'!$J$11</f>
        <v>1773.88700720376</v>
      </c>
      <c r="K188" s="409">
        <f>+'q29'!$K$11</f>
        <v>1783.8277747506002</v>
      </c>
      <c r="L188" s="409">
        <f>+'q29'!$L$11</f>
        <v>1807.2614030761899</v>
      </c>
      <c r="M188" s="409">
        <f>+'q29'!$M$11</f>
        <v>1923.504606041</v>
      </c>
    </row>
    <row r="189" spans="1:37">
      <c r="B189" s="404" t="str">
        <f>+Aux!$B$109</f>
        <v>Encarregados, contramestres e chefes de equipa</v>
      </c>
      <c r="C189" s="409">
        <f>+'q29'!$C$14</f>
        <v>1512.2062701518</v>
      </c>
      <c r="D189" s="409">
        <f>+'q29'!$D$14</f>
        <v>1519.54160517184</v>
      </c>
      <c r="E189" s="409">
        <f>+'q29'!$E$14</f>
        <v>1525.33086372921</v>
      </c>
      <c r="F189" s="409">
        <f>+'q29'!$F$14</f>
        <v>1538.2981388854</v>
      </c>
      <c r="G189" s="409">
        <f>+'q29'!$G$14</f>
        <v>1568.1969897884701</v>
      </c>
      <c r="H189" s="409">
        <f>+'q29'!$H$14</f>
        <v>1601.92571954241</v>
      </c>
      <c r="I189" s="409">
        <f>+'q29'!$I$14</f>
        <v>1632.2902809842601</v>
      </c>
      <c r="J189" s="409">
        <f>+'q29'!$J$14</f>
        <v>1688.19663539508</v>
      </c>
      <c r="K189" s="409">
        <f>+'q29'!$K$14</f>
        <v>1731.5655909430202</v>
      </c>
      <c r="L189" s="409">
        <f>+'q29'!$L$14</f>
        <v>1782.73342485083</v>
      </c>
      <c r="M189" s="409">
        <f>+'q29'!$M$14</f>
        <v>1876.9138819029999</v>
      </c>
    </row>
    <row r="190" spans="1:37">
      <c r="B190" s="404" t="str">
        <f>+Aux!$B$110</f>
        <v>Profissionais altamente qualificados</v>
      </c>
      <c r="C190" s="409">
        <f>+'q29'!$C$17</f>
        <v>1431.60349900913</v>
      </c>
      <c r="D190" s="409">
        <f>+'q29'!$D$17</f>
        <v>1420.0670843488799</v>
      </c>
      <c r="E190" s="409">
        <f>+'q29'!$E$17</f>
        <v>1406.4039601418801</v>
      </c>
      <c r="F190" s="409">
        <f>+'q29'!$F$17</f>
        <v>1414.92318780298</v>
      </c>
      <c r="G190" s="409">
        <f>+'q29'!$G$17</f>
        <v>1406.9969185529101</v>
      </c>
      <c r="H190" s="409">
        <f>+'q29'!$H$17</f>
        <v>1418.91053234377</v>
      </c>
      <c r="I190" s="409">
        <f>+'q29'!$I$17</f>
        <v>1443.3994225067599</v>
      </c>
      <c r="J190" s="409">
        <f>+'q29'!$J$17</f>
        <v>1434.9807997584801</v>
      </c>
      <c r="K190" s="409">
        <f>+'q29'!$K$17</f>
        <v>1450.5739829495601</v>
      </c>
      <c r="L190" s="409">
        <f>+'q29'!$L$17</f>
        <v>1464.6887433025702</v>
      </c>
      <c r="M190" s="409">
        <f>+'q29'!$M$17</f>
        <v>1529.1893239357998</v>
      </c>
    </row>
    <row r="191" spans="1:37">
      <c r="B191" s="404" t="str">
        <f>+Aux!$B$111</f>
        <v>Profissionais qualificados</v>
      </c>
      <c r="C191" s="409">
        <f>+'q29'!$C$20</f>
        <v>884.87176060150205</v>
      </c>
      <c r="D191" s="409">
        <f>+'q29'!$D$20</f>
        <v>883.49656139199112</v>
      </c>
      <c r="E191" s="409">
        <f>+'q29'!$E$20</f>
        <v>887.88400018054404</v>
      </c>
      <c r="F191" s="409">
        <f>+'q29'!$F$20</f>
        <v>893.93861816240405</v>
      </c>
      <c r="G191" s="409">
        <f>+'q29'!$G$20</f>
        <v>901.37121652487303</v>
      </c>
      <c r="H191" s="409">
        <f>+'q29'!$H$20</f>
        <v>908.50419922111098</v>
      </c>
      <c r="I191" s="409">
        <f>+'q29'!$I$20</f>
        <v>938.76782912874512</v>
      </c>
      <c r="J191" s="409">
        <f>+'q29'!$J$20</f>
        <v>990.76268808812301</v>
      </c>
      <c r="K191" s="409">
        <f>+'q29'!$K$20</f>
        <v>1021.2416879801901</v>
      </c>
      <c r="L191" s="409">
        <f>+'q29'!$L$20</f>
        <v>1052.31354253832</v>
      </c>
      <c r="M191" s="409">
        <f>+'q29'!$M$20</f>
        <v>1110.7545863064802</v>
      </c>
    </row>
    <row r="192" spans="1:37">
      <c r="B192" s="404" t="str">
        <f>+Aux!$B$112</f>
        <v>Profissionais semi-qualificados</v>
      </c>
      <c r="C192" s="409">
        <f>+'q29'!$C$23</f>
        <v>707.76427880113613</v>
      </c>
      <c r="D192" s="409">
        <f>+'q29'!$D$23</f>
        <v>711.17449588781301</v>
      </c>
      <c r="E192" s="409">
        <f>+'q29'!$E$23</f>
        <v>723.66464996952504</v>
      </c>
      <c r="F192" s="409">
        <f>+'q29'!$F$23</f>
        <v>717.67862482459509</v>
      </c>
      <c r="G192" s="409">
        <f>+'q29'!$G$23</f>
        <v>733.31680529255402</v>
      </c>
      <c r="H192" s="409">
        <f>+'q29'!$H$23</f>
        <v>776.22576064696204</v>
      </c>
      <c r="I192" s="409">
        <f>+'q29'!$I$23</f>
        <v>807.777042045499</v>
      </c>
      <c r="J192" s="409">
        <f>+'q29'!$J$23</f>
        <v>843.84916742415703</v>
      </c>
      <c r="K192" s="409">
        <f>+'q29'!$K$23</f>
        <v>874.56401641889011</v>
      </c>
      <c r="L192" s="409">
        <f>+'q29'!$L$23</f>
        <v>914.67122493147497</v>
      </c>
      <c r="M192" s="409">
        <f>+'q29'!$M$23</f>
        <v>965.03818030272907</v>
      </c>
    </row>
    <row r="193" spans="1:13">
      <c r="B193" s="404" t="str">
        <f>+Aux!$B$113</f>
        <v>Profissionais não qualificados</v>
      </c>
      <c r="C193" s="409">
        <f>+'q29'!$C$26</f>
        <v>656.95063685453499</v>
      </c>
      <c r="D193" s="409">
        <f>+'q29'!$D$26</f>
        <v>655.56699993033703</v>
      </c>
      <c r="E193" s="409">
        <f>+'q29'!$E$26</f>
        <v>666.21749525489304</v>
      </c>
      <c r="F193" s="409">
        <f>+'q29'!$F$26</f>
        <v>671.16253211695698</v>
      </c>
      <c r="G193" s="409">
        <f>+'q29'!$G$26</f>
        <v>686.99967615010405</v>
      </c>
      <c r="H193" s="409">
        <f>+'q29'!$H$26</f>
        <v>717.53875821346605</v>
      </c>
      <c r="I193" s="409">
        <f>+'q29'!$I$26</f>
        <v>746.08972756256003</v>
      </c>
      <c r="J193" s="409">
        <f>+'q29'!$J$26</f>
        <v>769.39110363479801</v>
      </c>
      <c r="K193" s="409">
        <f>+'q29'!$K$26</f>
        <v>803.41460104474606</v>
      </c>
      <c r="L193" s="409">
        <f>+'q29'!$L$26</f>
        <v>837.73738043122205</v>
      </c>
      <c r="M193" s="409">
        <f>+'q29'!$M$26</f>
        <v>880.87147883170803</v>
      </c>
    </row>
    <row r="194" spans="1:13">
      <c r="B194" s="404" t="str">
        <f>+Aux!$B$114</f>
        <v>Praticantes e aprendizes</v>
      </c>
      <c r="C194" s="409">
        <f>+'q29'!$C$29</f>
        <v>652.29557046480909</v>
      </c>
      <c r="D194" s="409">
        <f>+'q29'!$D$29</f>
        <v>657.99840922633302</v>
      </c>
      <c r="E194" s="409">
        <f>+'q29'!$E$29</f>
        <v>666.45068258826097</v>
      </c>
      <c r="F194" s="409">
        <f>+'q29'!$F$29</f>
        <v>666.79555219170311</v>
      </c>
      <c r="G194" s="409">
        <f>+'q29'!$G$29</f>
        <v>682.35747673025503</v>
      </c>
      <c r="H194" s="409">
        <f>+'q29'!$H$29</f>
        <v>717.97349886759105</v>
      </c>
      <c r="I194" s="409">
        <f>+'q29'!$I$29</f>
        <v>752.94840510279994</v>
      </c>
      <c r="J194" s="409">
        <f>+'q29'!$J$29</f>
        <v>785.13636350354307</v>
      </c>
      <c r="K194" s="409">
        <f>+'q29'!$K$29</f>
        <v>816.35733714514606</v>
      </c>
      <c r="L194" s="409">
        <f>+'q29'!$L$29</f>
        <v>853.01719885989905</v>
      </c>
      <c r="M194" s="409">
        <f>+'q29'!$M$29</f>
        <v>902.17660274676996</v>
      </c>
    </row>
    <row r="195" spans="1:13">
      <c r="B195" s="404" t="str">
        <f>+Aux!$B$115</f>
        <v>Total</v>
      </c>
      <c r="C195" s="409">
        <f>+'q29'!$C$5</f>
        <v>1095.58619281857</v>
      </c>
      <c r="D195" s="409">
        <f>+'q29'!$D$5</f>
        <v>1093.8178723953499</v>
      </c>
      <c r="E195" s="409">
        <f>+'q29'!$E$5</f>
        <v>1093.20854089105</v>
      </c>
      <c r="F195" s="409">
        <f>+'q29'!$F$5</f>
        <v>1096.65734127991</v>
      </c>
      <c r="G195" s="409">
        <f>+'q29'!$G$5</f>
        <v>1107.85636561875</v>
      </c>
      <c r="H195" s="409">
        <f>+'q29'!$H$5</f>
        <v>1133.34288689707</v>
      </c>
      <c r="I195" s="409">
        <f>+'q29'!$I$5</f>
        <v>1170.2525051678801</v>
      </c>
      <c r="J195" s="409">
        <f>+'q29'!$J$5</f>
        <v>1209.93900485576</v>
      </c>
      <c r="K195" s="409">
        <f>+'q29'!$K$5</f>
        <v>1250.75197084447</v>
      </c>
      <c r="L195" s="409">
        <f>+'q29'!$L$5</f>
        <v>1294.10894067238</v>
      </c>
      <c r="M195" s="409">
        <f>+'q29'!$M$5</f>
        <v>1367.9952489883699</v>
      </c>
    </row>
    <row r="199" spans="1:13">
      <c r="A199" s="375" t="s">
        <v>450</v>
      </c>
    </row>
    <row r="201" spans="1:13">
      <c r="A201" s="406" t="s">
        <v>447</v>
      </c>
    </row>
    <row r="202" spans="1:13">
      <c r="A202" s="405" t="s">
        <v>186</v>
      </c>
      <c r="C202" s="375">
        <f>+'q30'!$D$4</f>
        <v>2012</v>
      </c>
      <c r="D202" s="375">
        <f>+'q30'!$E$4</f>
        <v>2013</v>
      </c>
      <c r="E202" s="375">
        <f>+'q30'!$F$4</f>
        <v>2014</v>
      </c>
      <c r="F202" s="375">
        <f>+'q30'!$G$4</f>
        <v>2015</v>
      </c>
      <c r="G202" s="375">
        <f>+'q30'!$H$4</f>
        <v>2016</v>
      </c>
      <c r="H202" s="375">
        <f>+'q30'!$I$4</f>
        <v>2017</v>
      </c>
      <c r="I202" s="375">
        <f>+'q30'!$J$4</f>
        <v>2018</v>
      </c>
      <c r="J202" s="375">
        <f>+'q30'!$K$4</f>
        <v>2019</v>
      </c>
      <c r="K202" s="375">
        <f>+'q30'!$L$4</f>
        <v>2020</v>
      </c>
      <c r="L202" s="375">
        <f>+'q30'!$M$4</f>
        <v>2021</v>
      </c>
      <c r="M202" s="375">
        <f>+'q30'!$N$4</f>
        <v>2022</v>
      </c>
    </row>
    <row r="203" spans="1:13">
      <c r="A203" s="405"/>
      <c r="B203" s="404" t="str">
        <f>+Aux!$B$121</f>
        <v>&lt; 1.º ciclo do ensino básico</v>
      </c>
      <c r="C203" s="404">
        <f>+'q30'!$D$14</f>
        <v>12431</v>
      </c>
      <c r="D203" s="404">
        <f>+'q30'!$E$14</f>
        <v>10876</v>
      </c>
      <c r="E203" s="404">
        <f>+'q30'!$F$14</f>
        <v>10057</v>
      </c>
      <c r="F203" s="404">
        <f>+'q30'!$G$14</f>
        <v>8484</v>
      </c>
      <c r="G203" s="404">
        <f>+'q30'!$H$14</f>
        <v>8353</v>
      </c>
      <c r="H203" s="404">
        <f>+'q30'!$I$14</f>
        <v>8132</v>
      </c>
      <c r="I203" s="404">
        <f>+'q30'!$J$14</f>
        <v>7494</v>
      </c>
      <c r="J203" s="404">
        <f>+'q30'!$K$14</f>
        <v>7345</v>
      </c>
      <c r="K203" s="404">
        <f>+'q30'!$L$14</f>
        <v>6405</v>
      </c>
      <c r="L203" s="404">
        <f>+'q30'!$M$14</f>
        <v>6063</v>
      </c>
      <c r="M203" s="404">
        <f>+'q30'!$N$14</f>
        <v>5907</v>
      </c>
    </row>
    <row r="204" spans="1:13">
      <c r="B204" s="404" t="str">
        <f>+Aux!$B$122</f>
        <v>Ensino básico</v>
      </c>
      <c r="C204" s="404">
        <f>+'q30'!$D$19</f>
        <v>1067551</v>
      </c>
      <c r="D204" s="404">
        <f>+'q30'!$E$19</f>
        <v>1028783</v>
      </c>
      <c r="E204" s="404">
        <f>+'q30'!$F$19</f>
        <v>1028192</v>
      </c>
      <c r="F204" s="404">
        <f>+'q30'!$G$19</f>
        <v>1031891</v>
      </c>
      <c r="G204" s="404">
        <f>+'q30'!$H$19</f>
        <v>1036344</v>
      </c>
      <c r="H204" s="404">
        <f>+'q30'!$I$19</f>
        <v>1043381</v>
      </c>
      <c r="I204" s="404">
        <f>+'q30'!$J$19</f>
        <v>1039158</v>
      </c>
      <c r="J204" s="404">
        <f>+'q30'!$K$19</f>
        <v>1007442</v>
      </c>
      <c r="K204" s="404">
        <f>+'q30'!$L$19</f>
        <v>943206</v>
      </c>
      <c r="L204" s="404">
        <f>+'q30'!$M$19</f>
        <v>923652</v>
      </c>
      <c r="M204" s="404">
        <f>+'q30'!$N$19</f>
        <v>953672</v>
      </c>
    </row>
    <row r="205" spans="1:13">
      <c r="B205" s="404" t="str">
        <f>+Aux!$B$123</f>
        <v>Ensino secundário + pós sec. não superior nível IV</v>
      </c>
      <c r="C205" s="404">
        <f>+'q30'!$D$24</f>
        <v>468960</v>
      </c>
      <c r="D205" s="404">
        <f>+'q30'!$E$24</f>
        <v>478953</v>
      </c>
      <c r="E205" s="404">
        <f>+'q30'!$F$24</f>
        <v>502817</v>
      </c>
      <c r="F205" s="404">
        <f>+'q30'!$G$24</f>
        <v>537397</v>
      </c>
      <c r="G205" s="404">
        <f>+'q30'!$H$24</f>
        <v>574341</v>
      </c>
      <c r="H205" s="404">
        <f>+'q30'!$I$24</f>
        <v>614973</v>
      </c>
      <c r="I205" s="404">
        <f>+'q30'!$J$24</f>
        <v>661451</v>
      </c>
      <c r="J205" s="404">
        <f>+'q30'!$K$24</f>
        <v>692025</v>
      </c>
      <c r="K205" s="404">
        <f>+'q30'!$L$24</f>
        <v>678980</v>
      </c>
      <c r="L205" s="404">
        <f>+'q30'!$M$24</f>
        <v>708685</v>
      </c>
      <c r="M205" s="404">
        <f>+'q30'!$N$24</f>
        <v>796744</v>
      </c>
    </row>
    <row r="206" spans="1:13">
      <c r="B206" s="404" t="str">
        <f>+Aux!$B$124</f>
        <v>Ensino superior</v>
      </c>
      <c r="C206" s="404">
        <f>+'q30'!$D$29</f>
        <v>358273</v>
      </c>
      <c r="D206" s="404">
        <f>+'q30'!$E$29</f>
        <v>368066</v>
      </c>
      <c r="E206" s="404">
        <f>+'q30'!$F$29</f>
        <v>383510</v>
      </c>
      <c r="F206" s="404">
        <f>+'q30'!$G$29</f>
        <v>408683</v>
      </c>
      <c r="G206" s="404">
        <f>+'q30'!$H$29</f>
        <v>431481</v>
      </c>
      <c r="H206" s="404">
        <f>+'q30'!$I$29</f>
        <v>461446</v>
      </c>
      <c r="I206" s="404">
        <f>+'q30'!$J$29</f>
        <v>492822</v>
      </c>
      <c r="J206" s="404">
        <f>+'q30'!$K$29</f>
        <v>519903</v>
      </c>
      <c r="K206" s="404">
        <f>+'q30'!$L$29</f>
        <v>529942</v>
      </c>
      <c r="L206" s="404">
        <f>+'q30'!$M$29</f>
        <v>557063</v>
      </c>
      <c r="M206" s="404">
        <f>+'q30'!$N$29</f>
        <v>613051</v>
      </c>
    </row>
    <row r="207" spans="1:13">
      <c r="B207" s="404" t="str">
        <f>+Aux!$B$125</f>
        <v>Ignorado</v>
      </c>
      <c r="C207" s="404">
        <f>+'q30'!$D$34</f>
        <v>3742</v>
      </c>
      <c r="D207" s="404">
        <f>+'q30'!$E$34</f>
        <v>3833</v>
      </c>
      <c r="E207" s="404">
        <f>+'q30'!$F$34</f>
        <v>3731</v>
      </c>
      <c r="F207" s="404">
        <f>+'q30'!$G$34</f>
        <v>4676</v>
      </c>
      <c r="G207" s="404">
        <f>+'q30'!$H$34</f>
        <v>4392</v>
      </c>
      <c r="H207" s="404">
        <f>+'q30'!$I$34</f>
        <v>4011</v>
      </c>
      <c r="I207" s="404">
        <f>+'q30'!$J$34</f>
        <v>4524</v>
      </c>
      <c r="J207" s="404">
        <f>+'q30'!$K$34</f>
        <v>5685</v>
      </c>
      <c r="K207" s="404">
        <f>+'q30'!$L$34</f>
        <v>5585</v>
      </c>
      <c r="L207" s="404">
        <f>+'q30'!$M$34</f>
        <v>5131</v>
      </c>
      <c r="M207" s="404">
        <f>+'q30'!$N$34</f>
        <v>6741</v>
      </c>
    </row>
    <row r="208" spans="1:13">
      <c r="B208" s="404" t="str">
        <f>+Aux!$B$126</f>
        <v>Total</v>
      </c>
      <c r="C208" s="404">
        <f>+'q30'!$D$9</f>
        <v>1910957</v>
      </c>
      <c r="D208" s="404">
        <f>+'q30'!$E$9</f>
        <v>1890511</v>
      </c>
      <c r="E208" s="404">
        <f>+'q30'!$F$9</f>
        <v>1928307</v>
      </c>
      <c r="F208" s="404">
        <f>+'q30'!$G$9</f>
        <v>1991131</v>
      </c>
      <c r="G208" s="404">
        <f>+'q30'!$H$9</f>
        <v>2054911</v>
      </c>
      <c r="H208" s="404">
        <f>+'q30'!$I$9</f>
        <v>2131943</v>
      </c>
      <c r="I208" s="404">
        <f>+'q30'!$J$9</f>
        <v>2205449</v>
      </c>
      <c r="J208" s="404">
        <f>+'q30'!$K$9</f>
        <v>2232400</v>
      </c>
      <c r="K208" s="404">
        <f>+'q30'!$L$9</f>
        <v>2164118</v>
      </c>
      <c r="L208" s="404">
        <f>+'q30'!$M$9</f>
        <v>2200594</v>
      </c>
      <c r="M208" s="404">
        <f>+'q30'!$N$9</f>
        <v>2376115</v>
      </c>
    </row>
    <row r="210" spans="1:13">
      <c r="A210" s="412" t="s">
        <v>454</v>
      </c>
    </row>
    <row r="211" spans="1:13">
      <c r="A211" s="419" t="s">
        <v>447</v>
      </c>
    </row>
    <row r="212" spans="1:13">
      <c r="A212" s="412" t="s">
        <v>352</v>
      </c>
      <c r="C212" s="375">
        <f>+'q30'!$D$4</f>
        <v>2012</v>
      </c>
      <c r="D212" s="375">
        <f>+'q30'!$E$4</f>
        <v>2013</v>
      </c>
      <c r="E212" s="375">
        <f>+'q30'!$F$4</f>
        <v>2014</v>
      </c>
      <c r="F212" s="375">
        <f>+'q30'!$G$4</f>
        <v>2015</v>
      </c>
      <c r="G212" s="375">
        <f>+'q30'!$H$4</f>
        <v>2016</v>
      </c>
      <c r="H212" s="375">
        <f>+'q30'!$I$4</f>
        <v>2017</v>
      </c>
      <c r="I212" s="375">
        <f>+'q30'!$J$4</f>
        <v>2018</v>
      </c>
      <c r="J212" s="375">
        <f>+'q30'!$K$4</f>
        <v>2019</v>
      </c>
      <c r="K212" s="375">
        <f>+'q30'!$L$4</f>
        <v>2020</v>
      </c>
      <c r="L212" s="375">
        <f>+'q30'!$M$4</f>
        <v>2021</v>
      </c>
      <c r="M212" s="375">
        <f>+'q30'!$N$4</f>
        <v>2022</v>
      </c>
    </row>
    <row r="213" spans="1:13">
      <c r="A213" s="412"/>
      <c r="B213" s="404" t="str">
        <f>+Aux!$B$121</f>
        <v>&lt; 1.º ciclo do ensino básico</v>
      </c>
      <c r="C213" s="409">
        <f>+'q30'!$D$10</f>
        <v>575.78741131043409</v>
      </c>
      <c r="D213" s="409">
        <f>+'q30'!$E$10</f>
        <v>576.2473253034201</v>
      </c>
      <c r="E213" s="409">
        <f>+'q30'!$F$10</f>
        <v>583.58136820125492</v>
      </c>
      <c r="F213" s="409">
        <f>+'q30'!$G$10</f>
        <v>592.89189768976451</v>
      </c>
      <c r="G213" s="409">
        <f>+'q30'!$H$10</f>
        <v>608.31095295103614</v>
      </c>
      <c r="H213" s="409">
        <f>+'q30'!$I$10</f>
        <v>622.05058288243981</v>
      </c>
      <c r="I213" s="409">
        <f>+'q30'!$J$10</f>
        <v>647.98616493194629</v>
      </c>
      <c r="J213" s="409">
        <f>+'q30'!$K$10</f>
        <v>668.90536419333068</v>
      </c>
      <c r="K213" s="409">
        <f>+'q30'!$L$10</f>
        <v>696.5730460577671</v>
      </c>
      <c r="L213" s="409">
        <f>+'q30'!$M$10</f>
        <v>726.28648688768078</v>
      </c>
      <c r="M213" s="409">
        <f>+'q30'!$N$10</f>
        <v>766.16810225156519</v>
      </c>
    </row>
    <row r="214" spans="1:13">
      <c r="B214" s="404" t="str">
        <f>+Aux!$B$122</f>
        <v>Ensino básico</v>
      </c>
      <c r="C214" s="409">
        <f>+'q30'!$D$15</f>
        <v>682.34186531602472</v>
      </c>
      <c r="D214" s="409">
        <f>+'q30'!$E$15</f>
        <v>679.13248859087969</v>
      </c>
      <c r="E214" s="409">
        <f>+'q30'!$F$15</f>
        <v>681.33365355889168</v>
      </c>
      <c r="F214" s="409">
        <f>+'q30'!$G$15</f>
        <v>685.64267034015961</v>
      </c>
      <c r="G214" s="409">
        <f>+'q30'!$H$15</f>
        <v>696.13643273852779</v>
      </c>
      <c r="H214" s="409">
        <f>+'q30'!$I$15</f>
        <v>714.42958919128137</v>
      </c>
      <c r="I214" s="409">
        <f>+'q30'!$J$15</f>
        <v>738.35759666962713</v>
      </c>
      <c r="J214" s="409">
        <f>+'q30'!$K$15</f>
        <v>763.83064939716814</v>
      </c>
      <c r="K214" s="409">
        <f>+'q30'!$L$15</f>
        <v>791.06003406466198</v>
      </c>
      <c r="L214" s="409">
        <f>+'q30'!$M$15</f>
        <v>822.50752160988418</v>
      </c>
      <c r="M214" s="409">
        <f>+'q30'!$N$15</f>
        <v>866.98371471534017</v>
      </c>
    </row>
    <row r="215" spans="1:13">
      <c r="B215" s="404" t="str">
        <f>+Aux!$B$123</f>
        <v>Ensino secundário + pós sec. não superior nível IV</v>
      </c>
      <c r="C215" s="409">
        <f>+'q30'!$D$20</f>
        <v>907.5992195283294</v>
      </c>
      <c r="D215" s="409">
        <f>+'q30'!$E$20</f>
        <v>893.14329345468684</v>
      </c>
      <c r="E215" s="409">
        <f>+'q30'!$F$20</f>
        <v>881.23427974788672</v>
      </c>
      <c r="F215" s="409">
        <f>+'q30'!$G$20</f>
        <v>873.89992668362129</v>
      </c>
      <c r="G215" s="409">
        <f>+'q30'!$H$20</f>
        <v>872.76048707999655</v>
      </c>
      <c r="H215" s="409">
        <f>+'q30'!$I$20</f>
        <v>878.03250251635905</v>
      </c>
      <c r="I215" s="409">
        <f>+'q30'!$J$20</f>
        <v>891.3005004301109</v>
      </c>
      <c r="J215" s="409">
        <f>+'q30'!$K$20</f>
        <v>910.02849569019713</v>
      </c>
      <c r="K215" s="409">
        <f>+'q30'!$L$20</f>
        <v>929.85033632802924</v>
      </c>
      <c r="L215" s="409">
        <f>+'q30'!$M$20</f>
        <v>955.64814985503131</v>
      </c>
      <c r="M215" s="409">
        <f>+'q30'!$N$20</f>
        <v>997.48152037541502</v>
      </c>
    </row>
    <row r="216" spans="1:13">
      <c r="B216" s="404" t="str">
        <f>+Aux!$B$124</f>
        <v>Ensino superior</v>
      </c>
      <c r="C216" s="409">
        <f>+'q30'!$D$25</f>
        <v>1629.439687445062</v>
      </c>
      <c r="D216" s="409">
        <f>+'q30'!$E$25</f>
        <v>1598.2334357153291</v>
      </c>
      <c r="E216" s="409">
        <f>+'q30'!$F$25</f>
        <v>1566.8667939036443</v>
      </c>
      <c r="F216" s="409">
        <f>+'q30'!$G$25</f>
        <v>1550.6413591218536</v>
      </c>
      <c r="G216" s="409">
        <f>+'q30'!$H$25</f>
        <v>1550.370839527101</v>
      </c>
      <c r="H216" s="409">
        <f>+'q30'!$I$25</f>
        <v>1551.9706216762293</v>
      </c>
      <c r="I216" s="409">
        <f>+'q30'!$J$25</f>
        <v>1571.0770402295336</v>
      </c>
      <c r="J216" s="409">
        <f>+'q30'!$K$25</f>
        <v>1604.6993669588981</v>
      </c>
      <c r="K216" s="409">
        <f>+'q30'!$L$25</f>
        <v>1637.2545672733959</v>
      </c>
      <c r="L216" s="409">
        <f>+'q30'!$M$25</f>
        <v>1680.3930882144095</v>
      </c>
      <c r="M216" s="409">
        <f>+'q30'!$N$25</f>
        <v>1767.5060761176364</v>
      </c>
    </row>
    <row r="217" spans="1:13">
      <c r="B217" s="404" t="str">
        <f>+Aux!$B$125</f>
        <v>Ignorado</v>
      </c>
      <c r="C217" s="409">
        <f>+'q30'!$D$30</f>
        <v>947.3959513629062</v>
      </c>
      <c r="D217" s="409">
        <f>+'q30'!$E$30</f>
        <v>917.21586746673438</v>
      </c>
      <c r="E217" s="409">
        <f>+'q30'!$F$30</f>
        <v>900.34230501206025</v>
      </c>
      <c r="F217" s="409">
        <f>+'q30'!$G$30</f>
        <v>824.36568862275271</v>
      </c>
      <c r="G217" s="409">
        <f>+'q30'!$H$30</f>
        <v>895.27324908925209</v>
      </c>
      <c r="H217" s="409">
        <f>+'q30'!$I$30</f>
        <v>954.08847918224865</v>
      </c>
      <c r="I217" s="409">
        <f>+'q30'!$J$30</f>
        <v>942.93244031830159</v>
      </c>
      <c r="J217" s="409">
        <f>+'q30'!$K$30</f>
        <v>929.22344766930382</v>
      </c>
      <c r="K217" s="409">
        <f>+'q30'!$L$30</f>
        <v>967.95121038496052</v>
      </c>
      <c r="L217" s="409">
        <f>+'q30'!$M$30</f>
        <v>1031.0044825570035</v>
      </c>
      <c r="M217" s="409">
        <f>+'q30'!$N$30</f>
        <v>1083.7515220293753</v>
      </c>
    </row>
    <row r="218" spans="1:13">
      <c r="B218" s="404" t="str">
        <f>+Aux!$B$126</f>
        <v>Total</v>
      </c>
      <c r="C218" s="409">
        <f>+'q30'!$D$5</f>
        <v>915.0124700608161</v>
      </c>
      <c r="D218" s="409">
        <f>+'q30'!$E$5</f>
        <v>912.18298170179742</v>
      </c>
      <c r="E218" s="409">
        <f>+'q30'!$F$5</f>
        <v>909.4914491572066</v>
      </c>
      <c r="F218" s="409">
        <f>+'q30'!$G$5</f>
        <v>913.9254479137677</v>
      </c>
      <c r="G218" s="409">
        <f>+'q30'!$H$5</f>
        <v>924.93921530906709</v>
      </c>
      <c r="H218" s="409">
        <f>+'q30'!$I$5</f>
        <v>943.00107511789497</v>
      </c>
      <c r="I218" s="409">
        <f>+'q30'!$J$5</f>
        <v>970.41689676342639</v>
      </c>
      <c r="J218" s="409">
        <f>+'q30'!$K$5</f>
        <v>1005.0892792510292</v>
      </c>
      <c r="K218" s="409">
        <f>+'q30'!$L$5</f>
        <v>1041.9948771786303</v>
      </c>
      <c r="L218" s="409">
        <f>+'q30'!$M$5</f>
        <v>1082.7724697512974</v>
      </c>
      <c r="M218" s="409">
        <f>+'q30'!$N$5</f>
        <v>1143.4455828568618</v>
      </c>
    </row>
    <row r="220" spans="1:13">
      <c r="A220" s="411" t="s">
        <v>454</v>
      </c>
    </row>
    <row r="221" spans="1:13">
      <c r="A221" s="418" t="s">
        <v>447</v>
      </c>
    </row>
    <row r="222" spans="1:13">
      <c r="A222" s="411" t="s">
        <v>353</v>
      </c>
      <c r="C222" s="375">
        <f>+'q30'!$D$4</f>
        <v>2012</v>
      </c>
      <c r="D222" s="375">
        <f>+'q30'!$E$4</f>
        <v>2013</v>
      </c>
      <c r="E222" s="375">
        <f>+'q30'!$F$4</f>
        <v>2014</v>
      </c>
      <c r="F222" s="375">
        <f>+'q30'!$G$4</f>
        <v>2015</v>
      </c>
      <c r="G222" s="375">
        <f>+'q30'!$H$4</f>
        <v>2016</v>
      </c>
      <c r="H222" s="375">
        <f>+'q30'!$I$4</f>
        <v>2017</v>
      </c>
      <c r="I222" s="375">
        <f>+'q30'!$J$4</f>
        <v>2018</v>
      </c>
      <c r="J222" s="375">
        <f>+'q30'!$K$4</f>
        <v>2019</v>
      </c>
      <c r="K222" s="375">
        <f>+'q30'!$L$4</f>
        <v>2020</v>
      </c>
      <c r="L222" s="375">
        <f>+'q30'!$M$4</f>
        <v>2021</v>
      </c>
      <c r="M222" s="375">
        <f>+'q30'!$N$4</f>
        <v>2022</v>
      </c>
    </row>
    <row r="223" spans="1:13">
      <c r="A223" s="411"/>
      <c r="B223" s="404" t="str">
        <f>+Aux!$B$121</f>
        <v>&lt; 1.º ciclo do ensino básico</v>
      </c>
      <c r="C223" s="409">
        <f>+'q30'!$D$12</f>
        <v>676.90866221542944</v>
      </c>
      <c r="D223" s="409">
        <f>+'q30'!$E$12</f>
        <v>677.47688672306401</v>
      </c>
      <c r="E223" s="409">
        <f>+'q30'!$F$12</f>
        <v>685.60488217162379</v>
      </c>
      <c r="F223" s="409">
        <f>+'q30'!$G$12</f>
        <v>700.53650754361081</v>
      </c>
      <c r="G223" s="409">
        <f>+'q30'!$H$12</f>
        <v>711.01128337124328</v>
      </c>
      <c r="H223" s="409">
        <f>+'q30'!$I$12</f>
        <v>730.56071323167703</v>
      </c>
      <c r="I223" s="409">
        <f>+'q30'!$J$12</f>
        <v>767.65798238590639</v>
      </c>
      <c r="J223" s="409">
        <f>+'q30'!$K$12</f>
        <v>789.06815112321124</v>
      </c>
      <c r="K223" s="409">
        <f>+'q30'!$L$12</f>
        <v>817.39308352849673</v>
      </c>
      <c r="L223" s="409">
        <f>+'q30'!$M$12</f>
        <v>849.53312221672388</v>
      </c>
      <c r="M223" s="409">
        <f>+'q30'!$N$12</f>
        <v>892.87459454884197</v>
      </c>
    </row>
    <row r="224" spans="1:13">
      <c r="B224" s="404" t="str">
        <f>+Aux!$B$122</f>
        <v>Ensino básico</v>
      </c>
      <c r="C224" s="409">
        <f>+'q30'!$D$17</f>
        <v>819.11135647852791</v>
      </c>
      <c r="D224" s="409">
        <f>+'q30'!$E$17</f>
        <v>817.17161311955351</v>
      </c>
      <c r="E224" s="409">
        <f>+'q30'!$F$17</f>
        <v>821.83661621565591</v>
      </c>
      <c r="F224" s="409">
        <f>+'q30'!$G$17</f>
        <v>826.45624284927305</v>
      </c>
      <c r="G224" s="409">
        <f>+'q30'!$H$17</f>
        <v>838.60943052693813</v>
      </c>
      <c r="H224" s="409">
        <f>+'q30'!$I$17</f>
        <v>863.73965563873617</v>
      </c>
      <c r="I224" s="409">
        <f>+'q30'!$J$17</f>
        <v>895.35195100263491</v>
      </c>
      <c r="J224" s="409">
        <f>+'q30'!$K$17</f>
        <v>926.56082504999472</v>
      </c>
      <c r="K224" s="409">
        <f>+'q30'!$L$17</f>
        <v>955.60597723083038</v>
      </c>
      <c r="L224" s="409">
        <f>+'q30'!$M$17</f>
        <v>990.55079810364009</v>
      </c>
      <c r="M224" s="409">
        <f>+'q30'!$N$17</f>
        <v>1044.0300886364023</v>
      </c>
    </row>
    <row r="225" spans="1:13">
      <c r="B225" s="404" t="str">
        <f>+Aux!$B$123</f>
        <v>Ensino secundário + pós sec. não superior nível IV</v>
      </c>
      <c r="C225" s="409">
        <f>+'q30'!$D$22</f>
        <v>1116.2264990403992</v>
      </c>
      <c r="D225" s="409">
        <f>+'q30'!$E$22</f>
        <v>1099.8762642054912</v>
      </c>
      <c r="E225" s="409">
        <f>+'q30'!$F$22</f>
        <v>1086.3097759820505</v>
      </c>
      <c r="F225" s="409">
        <f>+'q30'!$G$22</f>
        <v>1072.7725448225528</v>
      </c>
      <c r="G225" s="409">
        <f>+'q30'!$H$22</f>
        <v>1068.6492624242501</v>
      </c>
      <c r="H225" s="409">
        <f>+'q30'!$I$22</f>
        <v>1078.586515359242</v>
      </c>
      <c r="I225" s="409">
        <f>+'q30'!$J$22</f>
        <v>1097.0253802927543</v>
      </c>
      <c r="J225" s="409">
        <f>+'q30'!$K$22</f>
        <v>1117.3758977204316</v>
      </c>
      <c r="K225" s="409">
        <f>+'q30'!$L$22</f>
        <v>1138.6258953577053</v>
      </c>
      <c r="L225" s="409">
        <f>+'q30'!$M$22</f>
        <v>1163.5160001410172</v>
      </c>
      <c r="M225" s="409">
        <f>+'q30'!$N$22</f>
        <v>1217.5678494347055</v>
      </c>
    </row>
    <row r="226" spans="1:13">
      <c r="B226" s="404" t="str">
        <f>+Aux!$B$124</f>
        <v>Ensino superior</v>
      </c>
      <c r="C226" s="409">
        <f>+'q30'!$D$27</f>
        <v>1906.8106376701819</v>
      </c>
      <c r="D226" s="409">
        <f>+'q30'!$E$27</f>
        <v>1871.713072573951</v>
      </c>
      <c r="E226" s="409">
        <f>+'q30'!$F$27</f>
        <v>1841.0387427967573</v>
      </c>
      <c r="F226" s="409">
        <f>+'q30'!$G$27</f>
        <v>1820.2365706182784</v>
      </c>
      <c r="G226" s="409">
        <f>+'q30'!$H$27</f>
        <v>1815.2838637622497</v>
      </c>
      <c r="H226" s="409">
        <f>+'q30'!$I$27</f>
        <v>1823.3996407380653</v>
      </c>
      <c r="I226" s="409">
        <f>+'q30'!$J$27</f>
        <v>1854.83676043279</v>
      </c>
      <c r="J226" s="409">
        <f>+'q30'!$K$27</f>
        <v>1889.5648981252905</v>
      </c>
      <c r="K226" s="409">
        <f>+'q30'!$L$27</f>
        <v>1926.0688420242532</v>
      </c>
      <c r="L226" s="409">
        <f>+'q30'!$M$27</f>
        <v>1969.1756225776624</v>
      </c>
      <c r="M226" s="409">
        <f>+'q30'!$N$27</f>
        <v>2072.8573535318387</v>
      </c>
    </row>
    <row r="227" spans="1:13">
      <c r="B227" s="404" t="str">
        <f>+Aux!$B$125</f>
        <v>Ignorado</v>
      </c>
      <c r="C227" s="409">
        <f>+'q30'!$D$32</f>
        <v>1105.280168359169</v>
      </c>
      <c r="D227" s="409">
        <f>+'q30'!$E$32</f>
        <v>1072.5899660840087</v>
      </c>
      <c r="E227" s="409">
        <f>+'q30'!$F$32</f>
        <v>1036.9682605199664</v>
      </c>
      <c r="F227" s="409">
        <f>+'q30'!$G$32</f>
        <v>946.92650128315086</v>
      </c>
      <c r="G227" s="409">
        <f>+'q30'!$H$32</f>
        <v>1022.2496265938044</v>
      </c>
      <c r="H227" s="409">
        <f>+'q30'!$I$32</f>
        <v>1089.4822313637499</v>
      </c>
      <c r="I227" s="409">
        <f>+'q30'!$J$32</f>
        <v>1112.8092130857667</v>
      </c>
      <c r="J227" s="409">
        <f>+'q30'!$K$32</f>
        <v>1085.8968003518028</v>
      </c>
      <c r="K227" s="409">
        <f>+'q30'!$L$32</f>
        <v>1145.4207466427904</v>
      </c>
      <c r="L227" s="409">
        <f>+'q30'!$M$32</f>
        <v>1210.7208536347671</v>
      </c>
      <c r="M227" s="409">
        <f>+'q30'!$N$32</f>
        <v>1293.6368580329358</v>
      </c>
    </row>
    <row r="228" spans="1:13">
      <c r="B228" s="404" t="str">
        <f>+Aux!$B$126</f>
        <v>Total</v>
      </c>
      <c r="C228" s="409">
        <f>+'q30'!$D$7</f>
        <v>1095.5861928185182</v>
      </c>
      <c r="D228" s="409">
        <f>+'q30'!$E$7</f>
        <v>1093.8178723954163</v>
      </c>
      <c r="E228" s="409">
        <f>+'q30'!$F$7</f>
        <v>1093.2085408909804</v>
      </c>
      <c r="F228" s="409">
        <f>+'q30'!$G$7</f>
        <v>1096.6573412799569</v>
      </c>
      <c r="G228" s="409">
        <f>+'q30'!$H$7</f>
        <v>1107.8563656187587</v>
      </c>
      <c r="H228" s="409">
        <f>+'q30'!$I$7</f>
        <v>1133.342886897095</v>
      </c>
      <c r="I228" s="409">
        <f>+'q30'!$J$7</f>
        <v>1170.2525051679852</v>
      </c>
      <c r="J228" s="409">
        <f>+'q30'!$K$7</f>
        <v>1209.9390048557955</v>
      </c>
      <c r="K228" s="409">
        <f>+'q30'!$L$7</f>
        <v>1250.7519708443963</v>
      </c>
      <c r="L228" s="409">
        <f>+'q30'!$M$7</f>
        <v>1294.1089406724345</v>
      </c>
      <c r="M228" s="409">
        <f>+'q30'!$N$7</f>
        <v>1367.995248988339</v>
      </c>
    </row>
    <row r="230" spans="1:13">
      <c r="A230" s="412" t="s">
        <v>455</v>
      </c>
    </row>
    <row r="231" spans="1:13">
      <c r="A231" s="419" t="s">
        <v>447</v>
      </c>
    </row>
    <row r="232" spans="1:13">
      <c r="A232" s="412" t="s">
        <v>352</v>
      </c>
      <c r="C232" s="375">
        <f>+'q30'!$D$4</f>
        <v>2012</v>
      </c>
      <c r="D232" s="375">
        <f>+'q30'!$E$4</f>
        <v>2013</v>
      </c>
      <c r="E232" s="375">
        <f>+'q30'!$F$4</f>
        <v>2014</v>
      </c>
      <c r="F232" s="375">
        <f>+'q30'!$G$4</f>
        <v>2015</v>
      </c>
      <c r="G232" s="375">
        <f>+'q30'!$H$4</f>
        <v>2016</v>
      </c>
      <c r="H232" s="375">
        <f>+'q30'!$I$4</f>
        <v>2017</v>
      </c>
      <c r="I232" s="375">
        <f>+'q30'!$J$4</f>
        <v>2018</v>
      </c>
      <c r="J232" s="375">
        <f>+'q30'!$K$4</f>
        <v>2019</v>
      </c>
      <c r="K232" s="375">
        <f>+'q30'!$L$4</f>
        <v>2020</v>
      </c>
      <c r="L232" s="375">
        <f>+'q30'!$M$4</f>
        <v>2021</v>
      </c>
      <c r="M232" s="375">
        <f>+'q30'!$N$4</f>
        <v>2022</v>
      </c>
    </row>
    <row r="233" spans="1:13">
      <c r="A233" s="412"/>
      <c r="B233" s="404" t="str">
        <f>+Aux!$B$121</f>
        <v>&lt; 1.º ciclo do ensino básico</v>
      </c>
      <c r="C233" s="409">
        <f>+'q30'!$D$11</f>
        <v>510</v>
      </c>
      <c r="D233" s="409">
        <f>+'q30'!$E$11</f>
        <v>512.5</v>
      </c>
      <c r="E233" s="409">
        <f>+'q30'!$F$11</f>
        <v>519.29999999999995</v>
      </c>
      <c r="F233" s="409">
        <f>+'q30'!$G$11</f>
        <v>525.98500000000001</v>
      </c>
      <c r="G233" s="409">
        <f>+'q30'!$H$11</f>
        <v>540</v>
      </c>
      <c r="H233" s="409">
        <f>+'q30'!$I$11</f>
        <v>560</v>
      </c>
      <c r="I233" s="409">
        <f>+'q30'!$J$11</f>
        <v>585</v>
      </c>
      <c r="J233" s="409">
        <f>+'q30'!$K$11</f>
        <v>607</v>
      </c>
      <c r="K233" s="409">
        <f>+'q30'!$L$11</f>
        <v>635</v>
      </c>
      <c r="L233" s="409">
        <f>+'q30'!$M$11</f>
        <v>666</v>
      </c>
      <c r="M233" s="409">
        <f>+'q30'!$N$11</f>
        <v>705</v>
      </c>
    </row>
    <row r="234" spans="1:13">
      <c r="B234" s="404" t="str">
        <f>+Aux!$B$122</f>
        <v>Ensino básico</v>
      </c>
      <c r="C234" s="409">
        <f>+'q30'!$D$16</f>
        <v>566</v>
      </c>
      <c r="D234" s="409">
        <f>+'q30'!$E$16</f>
        <v>566.64</v>
      </c>
      <c r="E234" s="409">
        <f>+'q30'!$F$16</f>
        <v>569.73</v>
      </c>
      <c r="F234" s="409">
        <f>+'q30'!$G$16</f>
        <v>573</v>
      </c>
      <c r="G234" s="409">
        <f>+'q30'!$H$16</f>
        <v>580</v>
      </c>
      <c r="H234" s="409">
        <f>+'q30'!$I$16</f>
        <v>600</v>
      </c>
      <c r="I234" s="409">
        <f>+'q30'!$J$16</f>
        <v>620</v>
      </c>
      <c r="J234" s="409">
        <f>+'q30'!$K$16</f>
        <v>642</v>
      </c>
      <c r="K234" s="409">
        <f>+'q30'!$L$16</f>
        <v>667.22</v>
      </c>
      <c r="L234" s="409">
        <f>+'q30'!$M$16</f>
        <v>700</v>
      </c>
      <c r="M234" s="409">
        <f>+'q30'!$N$16</f>
        <v>746</v>
      </c>
    </row>
    <row r="235" spans="1:13">
      <c r="B235" s="404" t="str">
        <f>+Aux!$B$123</f>
        <v>Ensino secundário + pós sec. não superior nível IV</v>
      </c>
      <c r="C235" s="409">
        <f>+'q30'!$D$21</f>
        <v>695</v>
      </c>
      <c r="D235" s="409">
        <f>+'q30'!$E$21</f>
        <v>678.75</v>
      </c>
      <c r="E235" s="409">
        <f>+'q30'!$F$21</f>
        <v>666.41</v>
      </c>
      <c r="F235" s="409">
        <f>+'q30'!$G$21</f>
        <v>651.55999999999995</v>
      </c>
      <c r="G235" s="409">
        <f>+'q30'!$H$21</f>
        <v>651.55999999999995</v>
      </c>
      <c r="H235" s="409">
        <f>+'q30'!$I$21</f>
        <v>658.97</v>
      </c>
      <c r="I235" s="409">
        <f>+'q30'!$J$21</f>
        <v>680</v>
      </c>
      <c r="J235" s="409">
        <f>+'q30'!$K$21</f>
        <v>700</v>
      </c>
      <c r="K235" s="409">
        <f>+'q30'!$L$21</f>
        <v>720</v>
      </c>
      <c r="L235" s="409">
        <f>+'q30'!$M$21</f>
        <v>750</v>
      </c>
      <c r="M235" s="409">
        <f>+'q30'!$N$21</f>
        <v>798.57</v>
      </c>
    </row>
    <row r="236" spans="1:13">
      <c r="B236" s="404" t="str">
        <f>+Aux!$B$124</f>
        <v>Ensino superior</v>
      </c>
      <c r="C236" s="409">
        <f>+'q30'!$D$26</f>
        <v>1250</v>
      </c>
      <c r="D236" s="409">
        <f>+'q30'!$E$26</f>
        <v>1228</v>
      </c>
      <c r="E236" s="409">
        <f>+'q30'!$F$26</f>
        <v>1200</v>
      </c>
      <c r="F236" s="409">
        <f>+'q30'!$G$26</f>
        <v>1201</v>
      </c>
      <c r="G236" s="409">
        <f>+'q30'!$H$26</f>
        <v>1201</v>
      </c>
      <c r="H236" s="409">
        <f>+'q30'!$I$26</f>
        <v>1201</v>
      </c>
      <c r="I236" s="409">
        <f>+'q30'!$J$26</f>
        <v>1201</v>
      </c>
      <c r="J236" s="409">
        <f>+'q30'!$K$26</f>
        <v>1235</v>
      </c>
      <c r="K236" s="409">
        <f>+'q30'!$L$26</f>
        <v>1260.32</v>
      </c>
      <c r="L236" s="409">
        <f>+'q30'!$M$26</f>
        <v>1300</v>
      </c>
      <c r="M236" s="409">
        <f>+'q30'!$N$26</f>
        <v>1376</v>
      </c>
    </row>
    <row r="237" spans="1:13">
      <c r="B237" s="404" t="str">
        <f>+Aux!$B$125</f>
        <v>Ignorado</v>
      </c>
      <c r="C237" s="409">
        <f>+'q30'!$D$31</f>
        <v>621</v>
      </c>
      <c r="D237" s="409">
        <f>+'q30'!$E$31</f>
        <v>600</v>
      </c>
      <c r="E237" s="409">
        <f>+'q30'!$F$31</f>
        <v>600</v>
      </c>
      <c r="F237" s="409">
        <f>+'q30'!$G$31</f>
        <v>550</v>
      </c>
      <c r="G237" s="409">
        <f>+'q30'!$H$31</f>
        <v>560</v>
      </c>
      <c r="H237" s="409">
        <f>+'q30'!$I$31</f>
        <v>591.54999999999995</v>
      </c>
      <c r="I237" s="409">
        <f>+'q30'!$J$31</f>
        <v>600</v>
      </c>
      <c r="J237" s="409">
        <f>+'q30'!$K$31</f>
        <v>615</v>
      </c>
      <c r="K237" s="409">
        <f>+'q30'!$L$31</f>
        <v>647.57000000000005</v>
      </c>
      <c r="L237" s="409">
        <f>+'q30'!$M$31</f>
        <v>700</v>
      </c>
      <c r="M237" s="409">
        <f>+'q30'!$N$31</f>
        <v>750</v>
      </c>
    </row>
    <row r="238" spans="1:13">
      <c r="B238" s="404" t="str">
        <f>+Aux!$B$126</f>
        <v>Total</v>
      </c>
      <c r="C238" s="409">
        <f>+'q30'!$D$6</f>
        <v>641.92999999999995</v>
      </c>
      <c r="D238" s="409">
        <f>+'q30'!$E$6</f>
        <v>641.92999999999995</v>
      </c>
      <c r="E238" s="409">
        <f>+'q30'!$F$6</f>
        <v>641.92999999999995</v>
      </c>
      <c r="F238" s="409">
        <f>+'q30'!$G$6</f>
        <v>650</v>
      </c>
      <c r="G238" s="409">
        <f>+'q30'!$H$6</f>
        <v>650</v>
      </c>
      <c r="H238" s="409">
        <f>+'q30'!$I$6</f>
        <v>660</v>
      </c>
      <c r="I238" s="409">
        <f>+'q30'!$J$6</f>
        <v>690</v>
      </c>
      <c r="J238" s="409">
        <f>+'q30'!$K$6</f>
        <v>720</v>
      </c>
      <c r="K238" s="409">
        <f>+'q30'!$L$6</f>
        <v>750</v>
      </c>
      <c r="L238" s="409">
        <f>+'q30'!$M$6</f>
        <v>786</v>
      </c>
      <c r="M238" s="409">
        <f>+'q30'!$N$6</f>
        <v>816.21</v>
      </c>
    </row>
    <row r="240" spans="1:13">
      <c r="A240" s="411" t="s">
        <v>455</v>
      </c>
    </row>
    <row r="241" spans="1:13">
      <c r="A241" s="418" t="s">
        <v>447</v>
      </c>
    </row>
    <row r="242" spans="1:13">
      <c r="A242" s="411" t="s">
        <v>353</v>
      </c>
      <c r="C242" s="375">
        <f>+'q30'!$D$4</f>
        <v>2012</v>
      </c>
      <c r="D242" s="375">
        <f>+'q30'!$E$4</f>
        <v>2013</v>
      </c>
      <c r="E242" s="375">
        <f>+'q30'!$F$4</f>
        <v>2014</v>
      </c>
      <c r="F242" s="375">
        <f>+'q30'!$G$4</f>
        <v>2015</v>
      </c>
      <c r="G242" s="375">
        <f>+'q30'!$H$4</f>
        <v>2016</v>
      </c>
      <c r="H242" s="375">
        <f>+'q30'!$I$4</f>
        <v>2017</v>
      </c>
      <c r="I242" s="375">
        <f>+'q30'!$J$4</f>
        <v>2018</v>
      </c>
      <c r="J242" s="375">
        <f>+'q30'!$K$4</f>
        <v>2019</v>
      </c>
      <c r="K242" s="375">
        <f>+'q30'!$L$4</f>
        <v>2020</v>
      </c>
      <c r="L242" s="375">
        <f>+'q30'!$M$4</f>
        <v>2021</v>
      </c>
      <c r="M242" s="375">
        <f>+'q30'!$N$4</f>
        <v>2022</v>
      </c>
    </row>
    <row r="243" spans="1:13">
      <c r="A243" s="411"/>
      <c r="B243" s="404" t="str">
        <f>+Aux!$B$121</f>
        <v>&lt; 1.º ciclo do ensino básico</v>
      </c>
      <c r="C243" s="409">
        <f>+'q30'!$D$13</f>
        <v>609.95000000000005</v>
      </c>
      <c r="D243" s="409">
        <f>+'q30'!$E$13</f>
        <v>611.89499999999998</v>
      </c>
      <c r="E243" s="409">
        <f>+'q30'!$F$13</f>
        <v>625</v>
      </c>
      <c r="F243" s="409">
        <f>+'q30'!$G$13</f>
        <v>631.25</v>
      </c>
      <c r="G243" s="409">
        <f>+'q30'!$H$13</f>
        <v>642</v>
      </c>
      <c r="H243" s="409">
        <f>+'q30'!$I$13</f>
        <v>670.92499999999995</v>
      </c>
      <c r="I243" s="409">
        <f>+'q30'!$J$13</f>
        <v>701.5</v>
      </c>
      <c r="J243" s="409">
        <f>+'q30'!$K$13</f>
        <v>728.52</v>
      </c>
      <c r="K243" s="409">
        <f>+'q30'!$L$13</f>
        <v>753</v>
      </c>
      <c r="L243" s="409">
        <f>+'q30'!$M$13</f>
        <v>780.25</v>
      </c>
      <c r="M243" s="409">
        <f>+'q30'!$N$13</f>
        <v>825</v>
      </c>
    </row>
    <row r="244" spans="1:13">
      <c r="B244" s="404" t="str">
        <f>+Aux!$B$122</f>
        <v>Ensino básico</v>
      </c>
      <c r="C244" s="409">
        <f>+'q30'!$D$18</f>
        <v>684.28</v>
      </c>
      <c r="D244" s="409">
        <f>+'q30'!$E$18</f>
        <v>681.74</v>
      </c>
      <c r="E244" s="409">
        <f>+'q30'!$F$18</f>
        <v>686.25</v>
      </c>
      <c r="F244" s="409">
        <f>+'q30'!$G$18</f>
        <v>690</v>
      </c>
      <c r="G244" s="409">
        <f>+'q30'!$H$18</f>
        <v>699.11</v>
      </c>
      <c r="H244" s="409">
        <f>+'q30'!$I$18</f>
        <v>722.52</v>
      </c>
      <c r="I244" s="409">
        <f>+'q30'!$J$18</f>
        <v>752</v>
      </c>
      <c r="J244" s="409">
        <f>+'q30'!$K$18</f>
        <v>783.62</v>
      </c>
      <c r="K244" s="409">
        <f>+'q30'!$L$18</f>
        <v>810.23</v>
      </c>
      <c r="L244" s="409">
        <f>+'q30'!$M$18</f>
        <v>845.4</v>
      </c>
      <c r="M244" s="409">
        <f>+'q30'!$N$18</f>
        <v>891.6</v>
      </c>
    </row>
    <row r="245" spans="1:13">
      <c r="B245" s="404" t="str">
        <f>+Aux!$B$123</f>
        <v>Ensino secundário + pós sec. não superior nível IV</v>
      </c>
      <c r="C245" s="409">
        <f>+'q30'!$D$23</f>
        <v>841.71500000000003</v>
      </c>
      <c r="D245" s="409">
        <f>+'q30'!$E$23</f>
        <v>828.73</v>
      </c>
      <c r="E245" s="409">
        <f>+'q30'!$F$23</f>
        <v>817.76</v>
      </c>
      <c r="F245" s="409">
        <f>+'q30'!$G$23</f>
        <v>807.1</v>
      </c>
      <c r="G245" s="409">
        <f>+'q30'!$H$23</f>
        <v>807.17</v>
      </c>
      <c r="H245" s="409">
        <f>+'q30'!$I$23</f>
        <v>823.5</v>
      </c>
      <c r="I245" s="409">
        <f>+'q30'!$J$23</f>
        <v>846.69</v>
      </c>
      <c r="J245" s="409">
        <f>+'q30'!$K$23</f>
        <v>872.97</v>
      </c>
      <c r="K245" s="409">
        <f>+'q30'!$L$23</f>
        <v>900.98500000000001</v>
      </c>
      <c r="L245" s="409">
        <f>+'q30'!$M$23</f>
        <v>927.28</v>
      </c>
      <c r="M245" s="409">
        <f>+'q30'!$N$23</f>
        <v>977.7</v>
      </c>
    </row>
    <row r="246" spans="1:13">
      <c r="B246" s="404" t="str">
        <f>+Aux!$B$124</f>
        <v>Ensino superior</v>
      </c>
      <c r="C246" s="409">
        <f>+'q30'!$D$28</f>
        <v>1459.83</v>
      </c>
      <c r="D246" s="409">
        <f>+'q30'!$E$28</f>
        <v>1429.7</v>
      </c>
      <c r="E246" s="409">
        <f>+'q30'!$F$28</f>
        <v>1402.52</v>
      </c>
      <c r="F246" s="409">
        <f>+'q30'!$G$28</f>
        <v>1385.74</v>
      </c>
      <c r="G246" s="409">
        <f>+'q30'!$H$28</f>
        <v>1380</v>
      </c>
      <c r="H246" s="409">
        <f>+'q30'!$I$28</f>
        <v>1388.06</v>
      </c>
      <c r="I246" s="409">
        <f>+'q30'!$J$28</f>
        <v>1425.49</v>
      </c>
      <c r="J246" s="409">
        <f>+'q30'!$K$28</f>
        <v>1470.43</v>
      </c>
      <c r="K246" s="409">
        <f>+'q30'!$L$28</f>
        <v>1508.15</v>
      </c>
      <c r="L246" s="409">
        <f>+'q30'!$M$28</f>
        <v>1545.1</v>
      </c>
      <c r="M246" s="409">
        <f>+'q30'!$N$28</f>
        <v>1621.95</v>
      </c>
    </row>
    <row r="247" spans="1:13">
      <c r="B247" s="404" t="str">
        <f>+Aux!$B$125</f>
        <v>Ignorado</v>
      </c>
      <c r="C247" s="409">
        <f>+'q30'!$D$33</f>
        <v>755.32500000000005</v>
      </c>
      <c r="D247" s="409">
        <f>+'q30'!$E$33</f>
        <v>728.71</v>
      </c>
      <c r="E247" s="409">
        <f>+'q30'!$F$33</f>
        <v>700</v>
      </c>
      <c r="F247" s="409">
        <f>+'q30'!$G$33</f>
        <v>650</v>
      </c>
      <c r="G247" s="409">
        <f>+'q30'!$H$33</f>
        <v>662.5</v>
      </c>
      <c r="H247" s="409">
        <f>+'q30'!$I$33</f>
        <v>700</v>
      </c>
      <c r="I247" s="409">
        <f>+'q30'!$J$33</f>
        <v>750.96</v>
      </c>
      <c r="J247" s="409">
        <f>+'q30'!$K$33</f>
        <v>742</v>
      </c>
      <c r="K247" s="409">
        <f>+'q30'!$L$33</f>
        <v>785.36</v>
      </c>
      <c r="L247" s="409">
        <f>+'q30'!$M$33</f>
        <v>850</v>
      </c>
      <c r="M247" s="409">
        <f>+'q30'!$N$33</f>
        <v>908.5</v>
      </c>
    </row>
    <row r="248" spans="1:13">
      <c r="B248" s="404" t="str">
        <f>+Aux!$B$126</f>
        <v>Total</v>
      </c>
      <c r="C248" s="409">
        <f>+'q30'!$D$8</f>
        <v>783.62</v>
      </c>
      <c r="D248" s="409">
        <f>+'q30'!$E$8</f>
        <v>785.45</v>
      </c>
      <c r="E248" s="409">
        <f>+'q30'!$F$8</f>
        <v>786.99</v>
      </c>
      <c r="F248" s="409">
        <f>+'q30'!$G$8</f>
        <v>790.03</v>
      </c>
      <c r="G248" s="409">
        <f>+'q30'!$H$8</f>
        <v>800</v>
      </c>
      <c r="H248" s="409">
        <f>+'q30'!$I$8</f>
        <v>822.95</v>
      </c>
      <c r="I248" s="409">
        <f>+'q30'!$J$8</f>
        <v>854.8</v>
      </c>
      <c r="J248" s="409">
        <f>+'q30'!$K$8</f>
        <v>892.01</v>
      </c>
      <c r="K248" s="409">
        <f>+'q30'!$L$8</f>
        <v>926.14</v>
      </c>
      <c r="L248" s="409">
        <f>+'q30'!$M$8</f>
        <v>962.2</v>
      </c>
      <c r="M248" s="409">
        <f>+'q30'!$N$8</f>
        <v>1017.5</v>
      </c>
    </row>
  </sheetData>
  <mergeCells count="8">
    <mergeCell ref="R146:S146"/>
    <mergeCell ref="T146:U146"/>
    <mergeCell ref="AX92:BA96"/>
    <mergeCell ref="AG177:AK182"/>
    <mergeCell ref="Z1:AE4"/>
    <mergeCell ref="Y57:AD60"/>
    <mergeCell ref="AX86:BA90"/>
    <mergeCell ref="AA177:AE182"/>
  </mergeCells>
  <pageMargins left="0.7" right="0.7" top="0.75" bottom="0.75" header="0.3" footer="0.3"/>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79201" r:id="rId4" name="Drop Down 1">
              <controlPr defaultSize="0" autoLine="0" autoPict="0">
                <anchor moveWithCells="1">
                  <from>
                    <xdr:col>15</xdr:col>
                    <xdr:colOff>561975</xdr:colOff>
                    <xdr:row>7</xdr:row>
                    <xdr:rowOff>142875</xdr:rowOff>
                  </from>
                  <to>
                    <xdr:col>17</xdr:col>
                    <xdr:colOff>19050</xdr:colOff>
                    <xdr:row>9</xdr:row>
                    <xdr:rowOff>9525</xdr:rowOff>
                  </to>
                </anchor>
              </controlPr>
            </control>
          </mc:Choice>
        </mc:AlternateContent>
        <mc:AlternateContent xmlns:mc="http://schemas.openxmlformats.org/markup-compatibility/2006">
          <mc:Choice Requires="x14">
            <control shapeId="179206" r:id="rId5" name="Drop Down 6">
              <controlPr defaultSize="0" autoLine="0" autoPict="0">
                <anchor moveWithCells="1">
                  <from>
                    <xdr:col>18</xdr:col>
                    <xdr:colOff>581025</xdr:colOff>
                    <xdr:row>116</xdr:row>
                    <xdr:rowOff>123825</xdr:rowOff>
                  </from>
                  <to>
                    <xdr:col>20</xdr:col>
                    <xdr:colOff>171450</xdr:colOff>
                    <xdr:row>117</xdr:row>
                    <xdr:rowOff>142875</xdr:rowOff>
                  </to>
                </anchor>
              </controlPr>
            </control>
          </mc:Choice>
        </mc:AlternateContent>
        <mc:AlternateContent xmlns:mc="http://schemas.openxmlformats.org/markup-compatibility/2006">
          <mc:Choice Requires="x14">
            <control shapeId="179207" r:id="rId6" name="Drop Down 7">
              <controlPr defaultSize="0" autoLine="0" autoPict="0">
                <anchor moveWithCells="1">
                  <from>
                    <xdr:col>19</xdr:col>
                    <xdr:colOff>0</xdr:colOff>
                    <xdr:row>142</xdr:row>
                    <xdr:rowOff>123825</xdr:rowOff>
                  </from>
                  <to>
                    <xdr:col>20</xdr:col>
                    <xdr:colOff>171450</xdr:colOff>
                    <xdr:row>143</xdr:row>
                    <xdr:rowOff>142875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1508B-2640-4655-97CD-822A242FF025}">
  <sheetPr>
    <tabColor indexed="25"/>
    <pageSetUpPr fitToPage="1"/>
  </sheetPr>
  <dimension ref="A1:S47"/>
  <sheetViews>
    <sheetView showGridLines="0" zoomScaleNormal="100" workbookViewId="0">
      <selection activeCell="AK18" sqref="AK18"/>
    </sheetView>
  </sheetViews>
  <sheetFormatPr defaultColWidth="17.28515625" defaultRowHeight="11.25"/>
  <cols>
    <col min="1" max="1" width="14.7109375" style="41" customWidth="1"/>
    <col min="2" max="2" width="2.42578125" style="94" bestFit="1" customWidth="1"/>
    <col min="3" max="13" width="7.5703125" style="41" customWidth="1"/>
    <col min="14" max="15" width="7.85546875" style="41" customWidth="1"/>
    <col min="16" max="16384" width="17.28515625" style="41"/>
  </cols>
  <sheetData>
    <row r="1" spans="1:19" s="34" customFormat="1" ht="60.6" customHeight="1">
      <c r="A1" s="598" t="s">
        <v>610</v>
      </c>
      <c r="B1" s="598"/>
      <c r="C1" s="598"/>
      <c r="D1" s="598"/>
      <c r="E1" s="598"/>
      <c r="F1" s="598"/>
      <c r="G1" s="598"/>
      <c r="H1" s="598"/>
      <c r="I1" s="598"/>
      <c r="J1" s="598"/>
      <c r="K1" s="598"/>
      <c r="L1" s="598"/>
      <c r="M1" s="598"/>
      <c r="O1" s="582" t="s">
        <v>611</v>
      </c>
      <c r="P1" s="582"/>
      <c r="Q1" s="582"/>
      <c r="R1" s="582"/>
      <c r="S1" s="582"/>
    </row>
    <row r="2" spans="1:19" s="36" customFormat="1" ht="15" customHeight="1">
      <c r="A2" s="103"/>
      <c r="B2" s="132"/>
      <c r="C2" s="133"/>
      <c r="D2" s="103"/>
      <c r="E2" s="103"/>
      <c r="F2" s="103"/>
      <c r="G2" s="103"/>
      <c r="H2" s="103"/>
      <c r="I2" s="103"/>
      <c r="J2" s="103"/>
      <c r="K2" s="103"/>
      <c r="L2" s="103"/>
      <c r="M2" s="103"/>
      <c r="O2" s="583" t="s">
        <v>612</v>
      </c>
      <c r="P2" s="583"/>
      <c r="Q2" s="583"/>
      <c r="R2" s="583"/>
      <c r="S2" s="583"/>
    </row>
    <row r="3" spans="1:19" s="36" customFormat="1" ht="15" customHeight="1">
      <c r="A3" s="103" t="s">
        <v>14</v>
      </c>
      <c r="B3" s="132"/>
      <c r="C3" s="133"/>
      <c r="D3" s="103"/>
      <c r="E3" s="103"/>
      <c r="F3" s="103"/>
      <c r="G3" s="103"/>
      <c r="H3" s="103"/>
      <c r="I3" s="103"/>
      <c r="J3" s="103"/>
      <c r="K3" s="103"/>
      <c r="L3" s="103"/>
      <c r="M3" s="103"/>
      <c r="O3" s="583"/>
      <c r="P3" s="583"/>
      <c r="Q3" s="583"/>
      <c r="R3" s="583"/>
      <c r="S3" s="583"/>
    </row>
    <row r="4" spans="1:19" s="93" customFormat="1" ht="28.5" customHeight="1" thickBot="1">
      <c r="A4" s="54"/>
      <c r="B4" s="54"/>
      <c r="C4" s="54">
        <v>2012</v>
      </c>
      <c r="D4" s="54">
        <v>2013</v>
      </c>
      <c r="E4" s="54">
        <v>2014</v>
      </c>
      <c r="F4" s="54">
        <v>2015</v>
      </c>
      <c r="G4" s="54">
        <v>2016</v>
      </c>
      <c r="H4" s="54">
        <v>2017</v>
      </c>
      <c r="I4" s="54">
        <v>2018</v>
      </c>
      <c r="J4" s="54">
        <v>2019</v>
      </c>
      <c r="K4" s="54">
        <v>2020</v>
      </c>
      <c r="L4" s="54">
        <v>2021</v>
      </c>
      <c r="M4" s="54">
        <v>2022</v>
      </c>
      <c r="O4" s="583"/>
      <c r="P4" s="583"/>
      <c r="Q4" s="583"/>
      <c r="R4" s="583"/>
      <c r="S4" s="583"/>
    </row>
    <row r="5" spans="1:19" s="79" customFormat="1" ht="16.5" customHeight="1" thickTop="1">
      <c r="A5" s="44" t="s">
        <v>12</v>
      </c>
      <c r="B5" s="44" t="s">
        <v>45</v>
      </c>
      <c r="C5" s="253">
        <v>1910957</v>
      </c>
      <c r="D5" s="253">
        <v>1890511</v>
      </c>
      <c r="E5" s="253">
        <v>1928307</v>
      </c>
      <c r="F5" s="253">
        <v>1991131</v>
      </c>
      <c r="G5" s="253">
        <v>2054911</v>
      </c>
      <c r="H5" s="253">
        <v>2131943</v>
      </c>
      <c r="I5" s="253">
        <v>2205449</v>
      </c>
      <c r="J5" s="253">
        <v>2232400</v>
      </c>
      <c r="K5" s="253">
        <v>2164118</v>
      </c>
      <c r="L5" s="253">
        <v>2200594</v>
      </c>
      <c r="M5" s="253">
        <v>2376115</v>
      </c>
      <c r="N5" s="93"/>
      <c r="O5" s="583" t="s">
        <v>613</v>
      </c>
      <c r="P5" s="583"/>
      <c r="Q5" s="583"/>
      <c r="R5" s="583"/>
      <c r="S5" s="583"/>
    </row>
    <row r="6" spans="1:19" s="79" customFormat="1" ht="12.75" customHeight="1">
      <c r="A6" s="44"/>
      <c r="B6" s="44" t="s">
        <v>53</v>
      </c>
      <c r="C6" s="252">
        <v>1036087</v>
      </c>
      <c r="D6" s="252">
        <v>1021704</v>
      </c>
      <c r="E6" s="252">
        <v>1044369</v>
      </c>
      <c r="F6" s="252">
        <v>1072847</v>
      </c>
      <c r="G6" s="252">
        <v>1107485</v>
      </c>
      <c r="H6" s="252">
        <v>1154786</v>
      </c>
      <c r="I6" s="252">
        <v>1199385</v>
      </c>
      <c r="J6" s="252">
        <v>1217589</v>
      </c>
      <c r="K6" s="252">
        <v>1187469</v>
      </c>
      <c r="L6" s="252">
        <v>1200895</v>
      </c>
      <c r="M6" s="252">
        <v>1298876</v>
      </c>
      <c r="N6" s="93"/>
      <c r="O6" s="583"/>
      <c r="P6" s="583"/>
      <c r="Q6" s="583"/>
      <c r="R6" s="583"/>
      <c r="S6" s="583"/>
    </row>
    <row r="7" spans="1:19" s="79" customFormat="1" ht="12.75" customHeight="1">
      <c r="A7" s="44"/>
      <c r="B7" s="44" t="s">
        <v>54</v>
      </c>
      <c r="C7" s="252">
        <v>874870</v>
      </c>
      <c r="D7" s="252">
        <v>868807</v>
      </c>
      <c r="E7" s="252">
        <v>883938</v>
      </c>
      <c r="F7" s="252">
        <v>918284</v>
      </c>
      <c r="G7" s="252">
        <v>947426</v>
      </c>
      <c r="H7" s="252">
        <v>977157</v>
      </c>
      <c r="I7" s="252">
        <v>1006064</v>
      </c>
      <c r="J7" s="252">
        <v>1014811</v>
      </c>
      <c r="K7" s="252">
        <v>976649</v>
      </c>
      <c r="L7" s="252">
        <v>999699</v>
      </c>
      <c r="M7" s="252">
        <v>1077239</v>
      </c>
      <c r="N7" s="93"/>
      <c r="O7" s="583"/>
      <c r="P7" s="583"/>
      <c r="Q7" s="583"/>
      <c r="R7" s="583"/>
      <c r="S7" s="583"/>
    </row>
    <row r="8" spans="1:19" s="8" customFormat="1" ht="16.5" customHeight="1">
      <c r="A8" s="46" t="s">
        <v>55</v>
      </c>
      <c r="B8" s="44" t="s">
        <v>45</v>
      </c>
      <c r="C8" s="252">
        <v>595</v>
      </c>
      <c r="D8" s="252">
        <v>410</v>
      </c>
      <c r="E8" s="252">
        <v>263</v>
      </c>
      <c r="F8" s="252">
        <v>240</v>
      </c>
      <c r="G8" s="252">
        <v>267</v>
      </c>
      <c r="H8" s="252">
        <v>380</v>
      </c>
      <c r="I8" s="252">
        <v>372</v>
      </c>
      <c r="J8" s="252">
        <v>349</v>
      </c>
      <c r="K8" s="252">
        <v>231</v>
      </c>
      <c r="L8" s="252">
        <v>282</v>
      </c>
      <c r="M8" s="252">
        <v>377</v>
      </c>
      <c r="N8" s="93"/>
      <c r="O8" s="584" t="s">
        <v>614</v>
      </c>
      <c r="P8" s="584"/>
      <c r="Q8" s="584"/>
      <c r="R8" s="584"/>
      <c r="S8" s="584"/>
    </row>
    <row r="9" spans="1:19" s="8" customFormat="1" ht="12.75" customHeight="1">
      <c r="A9" s="47"/>
      <c r="B9" s="48" t="s">
        <v>53</v>
      </c>
      <c r="C9" s="254">
        <v>431</v>
      </c>
      <c r="D9" s="254">
        <v>274</v>
      </c>
      <c r="E9" s="254">
        <v>173</v>
      </c>
      <c r="F9" s="254">
        <v>164</v>
      </c>
      <c r="G9" s="254">
        <v>191</v>
      </c>
      <c r="H9" s="254">
        <v>275</v>
      </c>
      <c r="I9" s="254">
        <v>252</v>
      </c>
      <c r="J9" s="254">
        <v>253</v>
      </c>
      <c r="K9" s="254">
        <v>190</v>
      </c>
      <c r="L9" s="254">
        <v>218</v>
      </c>
      <c r="M9" s="254">
        <v>276</v>
      </c>
      <c r="N9" s="93"/>
      <c r="O9" s="584"/>
      <c r="P9" s="584"/>
      <c r="Q9" s="584"/>
      <c r="R9" s="584"/>
      <c r="S9" s="584"/>
    </row>
    <row r="10" spans="1:19" s="8" customFormat="1" ht="12.75" customHeight="1">
      <c r="A10" s="46"/>
      <c r="B10" s="48" t="s">
        <v>54</v>
      </c>
      <c r="C10" s="254">
        <v>164</v>
      </c>
      <c r="D10" s="254">
        <v>136</v>
      </c>
      <c r="E10" s="254">
        <v>90</v>
      </c>
      <c r="F10" s="254">
        <v>76</v>
      </c>
      <c r="G10" s="254">
        <v>76</v>
      </c>
      <c r="H10" s="254">
        <v>105</v>
      </c>
      <c r="I10" s="254">
        <v>120</v>
      </c>
      <c r="J10" s="254">
        <v>96</v>
      </c>
      <c r="K10" s="254">
        <v>41</v>
      </c>
      <c r="L10" s="254">
        <v>64</v>
      </c>
      <c r="M10" s="254">
        <v>101</v>
      </c>
      <c r="N10" s="139"/>
      <c r="O10" s="93"/>
    </row>
    <row r="11" spans="1:19" s="8" customFormat="1" ht="16.5" customHeight="1">
      <c r="A11" s="46" t="s">
        <v>56</v>
      </c>
      <c r="B11" s="44" t="s">
        <v>45</v>
      </c>
      <c r="C11" s="252">
        <v>116515</v>
      </c>
      <c r="D11" s="252">
        <v>108363</v>
      </c>
      <c r="E11" s="252">
        <v>111699</v>
      </c>
      <c r="F11" s="252">
        <v>120564</v>
      </c>
      <c r="G11" s="252">
        <v>129238</v>
      </c>
      <c r="H11" s="252">
        <v>140998</v>
      </c>
      <c r="I11" s="252">
        <v>152186</v>
      </c>
      <c r="J11" s="252">
        <v>157828</v>
      </c>
      <c r="K11" s="252">
        <v>140721</v>
      </c>
      <c r="L11" s="252">
        <v>143238</v>
      </c>
      <c r="M11" s="252">
        <v>162820</v>
      </c>
      <c r="N11" s="139"/>
      <c r="O11" s="139"/>
    </row>
    <row r="12" spans="1:19" s="8" customFormat="1" ht="12.75" customHeight="1">
      <c r="A12" s="47"/>
      <c r="B12" s="48" t="s">
        <v>53</v>
      </c>
      <c r="C12" s="254">
        <v>65136</v>
      </c>
      <c r="D12" s="254">
        <v>61183</v>
      </c>
      <c r="E12" s="254">
        <v>63406</v>
      </c>
      <c r="F12" s="254">
        <v>68037</v>
      </c>
      <c r="G12" s="254">
        <v>72936</v>
      </c>
      <c r="H12" s="254">
        <v>79671</v>
      </c>
      <c r="I12" s="254">
        <v>86955</v>
      </c>
      <c r="J12" s="254">
        <v>90055</v>
      </c>
      <c r="K12" s="254">
        <v>81716</v>
      </c>
      <c r="L12" s="254">
        <v>81847</v>
      </c>
      <c r="M12" s="254">
        <v>92674</v>
      </c>
      <c r="N12" s="139"/>
      <c r="O12" s="139"/>
    </row>
    <row r="13" spans="1:19" s="8" customFormat="1" ht="12.75" customHeight="1">
      <c r="A13" s="46"/>
      <c r="B13" s="48" t="s">
        <v>54</v>
      </c>
      <c r="C13" s="254">
        <v>51379</v>
      </c>
      <c r="D13" s="254">
        <v>47180</v>
      </c>
      <c r="E13" s="254">
        <v>48293</v>
      </c>
      <c r="F13" s="254">
        <v>52527</v>
      </c>
      <c r="G13" s="254">
        <v>56302</v>
      </c>
      <c r="H13" s="254">
        <v>61327</v>
      </c>
      <c r="I13" s="254">
        <v>65231</v>
      </c>
      <c r="J13" s="254">
        <v>67773</v>
      </c>
      <c r="K13" s="254">
        <v>59005</v>
      </c>
      <c r="L13" s="254">
        <v>61391</v>
      </c>
      <c r="M13" s="254">
        <v>70146</v>
      </c>
    </row>
    <row r="14" spans="1:19" s="8" customFormat="1" ht="16.5" customHeight="1">
      <c r="A14" s="46" t="s">
        <v>57</v>
      </c>
      <c r="B14" s="44" t="s">
        <v>45</v>
      </c>
      <c r="C14" s="252">
        <v>236346</v>
      </c>
      <c r="D14" s="252">
        <v>220615</v>
      </c>
      <c r="E14" s="252">
        <v>213010</v>
      </c>
      <c r="F14" s="252">
        <v>217246</v>
      </c>
      <c r="G14" s="252">
        <v>225058</v>
      </c>
      <c r="H14" s="252">
        <v>235305</v>
      </c>
      <c r="I14" s="252">
        <v>247582</v>
      </c>
      <c r="J14" s="252">
        <v>255763</v>
      </c>
      <c r="K14" s="252">
        <v>243925</v>
      </c>
      <c r="L14" s="252">
        <v>247722</v>
      </c>
      <c r="M14" s="252">
        <v>273002</v>
      </c>
      <c r="N14" s="139"/>
      <c r="O14" s="139"/>
    </row>
    <row r="15" spans="1:19" s="8" customFormat="1" ht="12.75" customHeight="1">
      <c r="A15" s="47"/>
      <c r="B15" s="48" t="s">
        <v>53</v>
      </c>
      <c r="C15" s="254">
        <v>122285</v>
      </c>
      <c r="D15" s="254">
        <v>114423</v>
      </c>
      <c r="E15" s="254">
        <v>111806</v>
      </c>
      <c r="F15" s="254">
        <v>113565</v>
      </c>
      <c r="G15" s="254">
        <v>118421</v>
      </c>
      <c r="H15" s="254">
        <v>124552</v>
      </c>
      <c r="I15" s="254">
        <v>131770</v>
      </c>
      <c r="J15" s="254">
        <v>136707</v>
      </c>
      <c r="K15" s="254">
        <v>131831</v>
      </c>
      <c r="L15" s="254">
        <v>133440</v>
      </c>
      <c r="M15" s="254">
        <v>148634</v>
      </c>
      <c r="N15" s="139"/>
      <c r="O15" s="139"/>
      <c r="P15" s="407"/>
    </row>
    <row r="16" spans="1:19" s="8" customFormat="1" ht="12.75" customHeight="1">
      <c r="A16" s="46"/>
      <c r="B16" s="48" t="s">
        <v>54</v>
      </c>
      <c r="C16" s="254">
        <v>114061</v>
      </c>
      <c r="D16" s="254">
        <v>106192</v>
      </c>
      <c r="E16" s="254">
        <v>101204</v>
      </c>
      <c r="F16" s="254">
        <v>103681</v>
      </c>
      <c r="G16" s="254">
        <v>106637</v>
      </c>
      <c r="H16" s="254">
        <v>110753</v>
      </c>
      <c r="I16" s="254">
        <v>115812</v>
      </c>
      <c r="J16" s="254">
        <v>119056</v>
      </c>
      <c r="K16" s="254">
        <v>112094</v>
      </c>
      <c r="L16" s="254">
        <v>114282</v>
      </c>
      <c r="M16" s="254">
        <v>124368</v>
      </c>
      <c r="N16" s="139"/>
      <c r="O16" s="139"/>
    </row>
    <row r="17" spans="1:15" s="8" customFormat="1" ht="16.5" customHeight="1">
      <c r="A17" s="46" t="s">
        <v>58</v>
      </c>
      <c r="B17" s="44" t="s">
        <v>45</v>
      </c>
      <c r="C17" s="252">
        <v>304451</v>
      </c>
      <c r="D17" s="252">
        <v>293170</v>
      </c>
      <c r="E17" s="252">
        <v>287500</v>
      </c>
      <c r="F17" s="252">
        <v>282921</v>
      </c>
      <c r="G17" s="252">
        <v>278437</v>
      </c>
      <c r="H17" s="252">
        <v>276020</v>
      </c>
      <c r="I17" s="252">
        <v>275124</v>
      </c>
      <c r="J17" s="252">
        <v>273959</v>
      </c>
      <c r="K17" s="252">
        <v>263309</v>
      </c>
      <c r="L17" s="252">
        <v>266211</v>
      </c>
      <c r="M17" s="252">
        <v>289816</v>
      </c>
      <c r="N17" s="139"/>
      <c r="O17" s="139"/>
    </row>
    <row r="18" spans="1:15" s="8" customFormat="1" ht="12.75" customHeight="1">
      <c r="A18" s="47"/>
      <c r="B18" s="48" t="s">
        <v>53</v>
      </c>
      <c r="C18" s="254">
        <v>159447</v>
      </c>
      <c r="D18" s="254">
        <v>153198</v>
      </c>
      <c r="E18" s="254">
        <v>151256</v>
      </c>
      <c r="F18" s="254">
        <v>148454</v>
      </c>
      <c r="G18" s="254">
        <v>146896</v>
      </c>
      <c r="H18" s="254">
        <v>147019</v>
      </c>
      <c r="I18" s="254">
        <v>148267</v>
      </c>
      <c r="J18" s="254">
        <v>148861</v>
      </c>
      <c r="K18" s="254">
        <v>144827</v>
      </c>
      <c r="L18" s="254">
        <v>146453</v>
      </c>
      <c r="M18" s="254">
        <v>161254</v>
      </c>
      <c r="N18" s="139"/>
      <c r="O18" s="139"/>
    </row>
    <row r="19" spans="1:15" s="8" customFormat="1" ht="12.75" customHeight="1">
      <c r="A19" s="46"/>
      <c r="B19" s="48" t="s">
        <v>54</v>
      </c>
      <c r="C19" s="254">
        <v>145004</v>
      </c>
      <c r="D19" s="254">
        <v>139972</v>
      </c>
      <c r="E19" s="254">
        <v>136244</v>
      </c>
      <c r="F19" s="254">
        <v>134467</v>
      </c>
      <c r="G19" s="254">
        <v>131541</v>
      </c>
      <c r="H19" s="254">
        <v>129001</v>
      </c>
      <c r="I19" s="254">
        <v>126857</v>
      </c>
      <c r="J19" s="254">
        <v>125098</v>
      </c>
      <c r="K19" s="254">
        <v>118482</v>
      </c>
      <c r="L19" s="254">
        <v>119758</v>
      </c>
      <c r="M19" s="254">
        <v>128562</v>
      </c>
      <c r="N19" s="139"/>
      <c r="O19" s="139"/>
    </row>
    <row r="20" spans="1:15" s="8" customFormat="1" ht="16.5" customHeight="1">
      <c r="A20" s="46" t="s">
        <v>59</v>
      </c>
      <c r="B20" s="44" t="s">
        <v>45</v>
      </c>
      <c r="C20" s="252">
        <v>332276</v>
      </c>
      <c r="D20" s="252">
        <v>327923</v>
      </c>
      <c r="E20" s="252">
        <v>326651</v>
      </c>
      <c r="F20" s="252">
        <v>326869</v>
      </c>
      <c r="G20" s="252">
        <v>321638</v>
      </c>
      <c r="H20" s="252">
        <v>319497</v>
      </c>
      <c r="I20" s="252">
        <v>318764</v>
      </c>
      <c r="J20" s="252">
        <v>315224</v>
      </c>
      <c r="K20" s="252">
        <v>297330</v>
      </c>
      <c r="L20" s="252">
        <v>290235</v>
      </c>
      <c r="M20" s="252">
        <v>303288</v>
      </c>
      <c r="N20" s="139"/>
      <c r="O20" s="139"/>
    </row>
    <row r="21" spans="1:15" s="8" customFormat="1" ht="12.75" customHeight="1">
      <c r="A21" s="47"/>
      <c r="B21" s="48" t="s">
        <v>53</v>
      </c>
      <c r="C21" s="254">
        <v>175735</v>
      </c>
      <c r="D21" s="254">
        <v>172571</v>
      </c>
      <c r="E21" s="254">
        <v>172310</v>
      </c>
      <c r="F21" s="254">
        <v>171246</v>
      </c>
      <c r="G21" s="254">
        <v>168738</v>
      </c>
      <c r="H21" s="254">
        <v>168220</v>
      </c>
      <c r="I21" s="254">
        <v>169027</v>
      </c>
      <c r="J21" s="254">
        <v>168474</v>
      </c>
      <c r="K21" s="254">
        <v>160725</v>
      </c>
      <c r="L21" s="254">
        <v>157584</v>
      </c>
      <c r="M21" s="254">
        <v>166060</v>
      </c>
      <c r="N21" s="139"/>
      <c r="O21" s="139"/>
    </row>
    <row r="22" spans="1:15" s="8" customFormat="1" ht="12.75" customHeight="1">
      <c r="A22" s="46"/>
      <c r="B22" s="48" t="s">
        <v>54</v>
      </c>
      <c r="C22" s="254">
        <v>156541</v>
      </c>
      <c r="D22" s="254">
        <v>155352</v>
      </c>
      <c r="E22" s="254">
        <v>154341</v>
      </c>
      <c r="F22" s="254">
        <v>155623</v>
      </c>
      <c r="G22" s="254">
        <v>152900</v>
      </c>
      <c r="H22" s="254">
        <v>151277</v>
      </c>
      <c r="I22" s="254">
        <v>149737</v>
      </c>
      <c r="J22" s="254">
        <v>146750</v>
      </c>
      <c r="K22" s="254">
        <v>136605</v>
      </c>
      <c r="L22" s="254">
        <v>132651</v>
      </c>
      <c r="M22" s="254">
        <v>137228</v>
      </c>
      <c r="N22" s="139"/>
      <c r="O22" s="139"/>
    </row>
    <row r="23" spans="1:15" s="8" customFormat="1" ht="16.5" customHeight="1">
      <c r="A23" s="46" t="s">
        <v>60</v>
      </c>
      <c r="B23" s="44" t="s">
        <v>45</v>
      </c>
      <c r="C23" s="252">
        <v>284787</v>
      </c>
      <c r="D23" s="252">
        <v>290116</v>
      </c>
      <c r="E23" s="252">
        <v>303100</v>
      </c>
      <c r="F23" s="252">
        <v>318087</v>
      </c>
      <c r="G23" s="252">
        <v>331142</v>
      </c>
      <c r="H23" s="252">
        <v>341991</v>
      </c>
      <c r="I23" s="252">
        <v>348044</v>
      </c>
      <c r="J23" s="252">
        <v>344670</v>
      </c>
      <c r="K23" s="252">
        <v>330571</v>
      </c>
      <c r="L23" s="252">
        <v>323971</v>
      </c>
      <c r="M23" s="252">
        <v>336356</v>
      </c>
      <c r="N23" s="139"/>
      <c r="O23" s="139"/>
    </row>
    <row r="24" spans="1:15" s="8" customFormat="1" ht="12.75" customHeight="1">
      <c r="A24" s="47"/>
      <c r="B24" s="48" t="s">
        <v>53</v>
      </c>
      <c r="C24" s="254">
        <v>152360</v>
      </c>
      <c r="D24" s="254">
        <v>154322</v>
      </c>
      <c r="E24" s="254">
        <v>161023</v>
      </c>
      <c r="F24" s="254">
        <v>167809</v>
      </c>
      <c r="G24" s="254">
        <v>173981</v>
      </c>
      <c r="H24" s="254">
        <v>179956</v>
      </c>
      <c r="I24" s="254">
        <v>183367</v>
      </c>
      <c r="J24" s="254">
        <v>182524</v>
      </c>
      <c r="K24" s="254">
        <v>175612</v>
      </c>
      <c r="L24" s="254">
        <v>171422</v>
      </c>
      <c r="M24" s="254">
        <v>178236</v>
      </c>
      <c r="N24" s="139"/>
      <c r="O24" s="139"/>
    </row>
    <row r="25" spans="1:15" s="8" customFormat="1" ht="12.75" customHeight="1">
      <c r="A25" s="46"/>
      <c r="B25" s="48" t="s">
        <v>54</v>
      </c>
      <c r="C25" s="254">
        <v>132427</v>
      </c>
      <c r="D25" s="254">
        <v>135794</v>
      </c>
      <c r="E25" s="254">
        <v>142077</v>
      </c>
      <c r="F25" s="254">
        <v>150278</v>
      </c>
      <c r="G25" s="254">
        <v>157161</v>
      </c>
      <c r="H25" s="254">
        <v>162035</v>
      </c>
      <c r="I25" s="254">
        <v>164677</v>
      </c>
      <c r="J25" s="254">
        <v>162146</v>
      </c>
      <c r="K25" s="254">
        <v>154959</v>
      </c>
      <c r="L25" s="254">
        <v>152549</v>
      </c>
      <c r="M25" s="254">
        <v>158120</v>
      </c>
      <c r="N25" s="139"/>
      <c r="O25" s="139"/>
    </row>
    <row r="26" spans="1:15" s="8" customFormat="1" ht="16.5" customHeight="1">
      <c r="A26" s="46" t="s">
        <v>61</v>
      </c>
      <c r="B26" s="44" t="s">
        <v>45</v>
      </c>
      <c r="C26" s="252">
        <v>242611</v>
      </c>
      <c r="D26" s="252">
        <v>245157</v>
      </c>
      <c r="E26" s="252">
        <v>253675</v>
      </c>
      <c r="F26" s="252">
        <v>263817</v>
      </c>
      <c r="G26" s="252">
        <v>277016</v>
      </c>
      <c r="H26" s="252">
        <v>290166</v>
      </c>
      <c r="I26" s="252">
        <v>304345</v>
      </c>
      <c r="J26" s="252">
        <v>311174</v>
      </c>
      <c r="K26" s="252">
        <v>312965</v>
      </c>
      <c r="L26" s="252">
        <v>322606</v>
      </c>
      <c r="M26" s="252">
        <v>345961</v>
      </c>
      <c r="N26" s="139"/>
      <c r="O26" s="139"/>
    </row>
    <row r="27" spans="1:15" s="8" customFormat="1" ht="12.75" customHeight="1">
      <c r="A27" s="47"/>
      <c r="B27" s="48" t="s">
        <v>53</v>
      </c>
      <c r="C27" s="254">
        <v>131615</v>
      </c>
      <c r="D27" s="254">
        <v>132203</v>
      </c>
      <c r="E27" s="254">
        <v>136474</v>
      </c>
      <c r="F27" s="254">
        <v>140917</v>
      </c>
      <c r="G27" s="254">
        <v>147650</v>
      </c>
      <c r="H27" s="254">
        <v>155146</v>
      </c>
      <c r="I27" s="254">
        <v>162797</v>
      </c>
      <c r="J27" s="254">
        <v>166498</v>
      </c>
      <c r="K27" s="254">
        <v>167447</v>
      </c>
      <c r="L27" s="254">
        <v>170879</v>
      </c>
      <c r="M27" s="254">
        <v>182576</v>
      </c>
      <c r="N27" s="139"/>
      <c r="O27" s="139"/>
    </row>
    <row r="28" spans="1:15" s="8" customFormat="1" ht="12.75" customHeight="1">
      <c r="A28" s="46"/>
      <c r="B28" s="48" t="s">
        <v>54</v>
      </c>
      <c r="C28" s="254">
        <v>110996</v>
      </c>
      <c r="D28" s="254">
        <v>112954</v>
      </c>
      <c r="E28" s="254">
        <v>117201</v>
      </c>
      <c r="F28" s="254">
        <v>122900</v>
      </c>
      <c r="G28" s="254">
        <v>129366</v>
      </c>
      <c r="H28" s="254">
        <v>135020</v>
      </c>
      <c r="I28" s="254">
        <v>141548</v>
      </c>
      <c r="J28" s="254">
        <v>144676</v>
      </c>
      <c r="K28" s="254">
        <v>145518</v>
      </c>
      <c r="L28" s="254">
        <v>151727</v>
      </c>
      <c r="M28" s="254">
        <v>163385</v>
      </c>
      <c r="N28" s="139"/>
      <c r="O28" s="139"/>
    </row>
    <row r="29" spans="1:15" s="8" customFormat="1" ht="16.5" customHeight="1">
      <c r="A29" s="46" t="s">
        <v>62</v>
      </c>
      <c r="B29" s="44" t="s">
        <v>45</v>
      </c>
      <c r="C29" s="252">
        <v>194767</v>
      </c>
      <c r="D29" s="252">
        <v>196870</v>
      </c>
      <c r="E29" s="252">
        <v>204971</v>
      </c>
      <c r="F29" s="252">
        <v>215703</v>
      </c>
      <c r="G29" s="252">
        <v>228929</v>
      </c>
      <c r="H29" s="252">
        <v>240195</v>
      </c>
      <c r="I29" s="252">
        <v>251806</v>
      </c>
      <c r="J29" s="252">
        <v>254159</v>
      </c>
      <c r="K29" s="252">
        <v>252370</v>
      </c>
      <c r="L29" s="252">
        <v>262540</v>
      </c>
      <c r="M29" s="252">
        <v>284054</v>
      </c>
      <c r="N29" s="139"/>
      <c r="O29" s="139"/>
    </row>
    <row r="30" spans="1:15" s="8" customFormat="1" ht="12.75" customHeight="1">
      <c r="A30" s="47"/>
      <c r="B30" s="48" t="s">
        <v>53</v>
      </c>
      <c r="C30" s="254">
        <v>109588</v>
      </c>
      <c r="D30" s="254">
        <v>109742</v>
      </c>
      <c r="E30" s="254">
        <v>113831</v>
      </c>
      <c r="F30" s="254">
        <v>119101</v>
      </c>
      <c r="G30" s="254">
        <v>125988</v>
      </c>
      <c r="H30" s="254">
        <v>132366</v>
      </c>
      <c r="I30" s="254">
        <v>138663</v>
      </c>
      <c r="J30" s="254">
        <v>139425</v>
      </c>
      <c r="K30" s="254">
        <v>138598</v>
      </c>
      <c r="L30" s="254">
        <v>142311</v>
      </c>
      <c r="M30" s="254">
        <v>153151</v>
      </c>
      <c r="N30" s="139"/>
      <c r="O30" s="139"/>
    </row>
    <row r="31" spans="1:15" s="8" customFormat="1" ht="12.75" customHeight="1">
      <c r="A31" s="46"/>
      <c r="B31" s="48" t="s">
        <v>54</v>
      </c>
      <c r="C31" s="254">
        <v>85179</v>
      </c>
      <c r="D31" s="254">
        <v>87128</v>
      </c>
      <c r="E31" s="254">
        <v>91140</v>
      </c>
      <c r="F31" s="254">
        <v>96602</v>
      </c>
      <c r="G31" s="254">
        <v>102941</v>
      </c>
      <c r="H31" s="254">
        <v>107829</v>
      </c>
      <c r="I31" s="254">
        <v>113143</v>
      </c>
      <c r="J31" s="254">
        <v>114734</v>
      </c>
      <c r="K31" s="254">
        <v>113772</v>
      </c>
      <c r="L31" s="254">
        <v>120229</v>
      </c>
      <c r="M31" s="254">
        <v>130903</v>
      </c>
      <c r="N31" s="139"/>
      <c r="O31" s="139"/>
    </row>
    <row r="32" spans="1:15" s="8" customFormat="1" ht="16.5" customHeight="1">
      <c r="A32" s="46" t="s">
        <v>63</v>
      </c>
      <c r="B32" s="44" t="s">
        <v>45</v>
      </c>
      <c r="C32" s="252">
        <v>128862</v>
      </c>
      <c r="D32" s="252">
        <v>134474</v>
      </c>
      <c r="E32" s="252">
        <v>145221</v>
      </c>
      <c r="F32" s="252">
        <v>155187</v>
      </c>
      <c r="G32" s="252">
        <v>165200</v>
      </c>
      <c r="H32" s="252">
        <v>177369</v>
      </c>
      <c r="I32" s="252">
        <v>188959</v>
      </c>
      <c r="J32" s="252">
        <v>194225</v>
      </c>
      <c r="K32" s="252">
        <v>195946</v>
      </c>
      <c r="L32" s="252">
        <v>204544</v>
      </c>
      <c r="M32" s="252">
        <v>220904</v>
      </c>
      <c r="N32" s="139"/>
      <c r="O32" s="139"/>
    </row>
    <row r="33" spans="1:15" s="8" customFormat="1" ht="12.75" customHeight="1">
      <c r="A33" s="47"/>
      <c r="B33" s="48" t="s">
        <v>53</v>
      </c>
      <c r="C33" s="254">
        <v>77033</v>
      </c>
      <c r="D33" s="254">
        <v>79139</v>
      </c>
      <c r="E33" s="254">
        <v>84426</v>
      </c>
      <c r="F33" s="254">
        <v>89293</v>
      </c>
      <c r="G33" s="254">
        <v>94431</v>
      </c>
      <c r="H33" s="254">
        <v>101818</v>
      </c>
      <c r="I33" s="254">
        <v>108149</v>
      </c>
      <c r="J33" s="254">
        <v>110814</v>
      </c>
      <c r="K33" s="254">
        <v>111597</v>
      </c>
      <c r="L33" s="254">
        <v>115095</v>
      </c>
      <c r="M33" s="254">
        <v>122772</v>
      </c>
      <c r="N33" s="139"/>
      <c r="O33" s="139"/>
    </row>
    <row r="34" spans="1:15" s="8" customFormat="1" ht="12.75" customHeight="1">
      <c r="A34" s="46"/>
      <c r="B34" s="48" t="s">
        <v>54</v>
      </c>
      <c r="C34" s="254">
        <v>51829</v>
      </c>
      <c r="D34" s="254">
        <v>55335</v>
      </c>
      <c r="E34" s="254">
        <v>60795</v>
      </c>
      <c r="F34" s="254">
        <v>65894</v>
      </c>
      <c r="G34" s="254">
        <v>70769</v>
      </c>
      <c r="H34" s="254">
        <v>75551</v>
      </c>
      <c r="I34" s="254">
        <v>80810</v>
      </c>
      <c r="J34" s="254">
        <v>83411</v>
      </c>
      <c r="K34" s="254">
        <v>84349</v>
      </c>
      <c r="L34" s="254">
        <v>89449</v>
      </c>
      <c r="M34" s="254">
        <v>98132</v>
      </c>
      <c r="N34" s="139"/>
      <c r="O34" s="139"/>
    </row>
    <row r="35" spans="1:15" s="8" customFormat="1" ht="16.5" customHeight="1">
      <c r="A35" s="46" t="s">
        <v>64</v>
      </c>
      <c r="B35" s="44" t="s">
        <v>45</v>
      </c>
      <c r="C35" s="252">
        <v>55848</v>
      </c>
      <c r="D35" s="252">
        <v>59874</v>
      </c>
      <c r="E35" s="252">
        <v>66368</v>
      </c>
      <c r="F35" s="252">
        <v>72582</v>
      </c>
      <c r="G35" s="252">
        <v>78003</v>
      </c>
      <c r="H35" s="252">
        <v>87565</v>
      </c>
      <c r="I35" s="252">
        <v>92395</v>
      </c>
      <c r="J35" s="252">
        <v>97235</v>
      </c>
      <c r="K35" s="252">
        <v>99272</v>
      </c>
      <c r="L35" s="252">
        <v>108804</v>
      </c>
      <c r="M35" s="252">
        <v>124579</v>
      </c>
      <c r="N35" s="139"/>
      <c r="O35" s="139"/>
    </row>
    <row r="36" spans="1:15" s="8" customFormat="1" ht="12.75" customHeight="1">
      <c r="A36" s="47"/>
      <c r="B36" s="48" t="s">
        <v>53</v>
      </c>
      <c r="C36" s="254">
        <v>33260</v>
      </c>
      <c r="D36" s="254">
        <v>35704</v>
      </c>
      <c r="E36" s="254">
        <v>39618</v>
      </c>
      <c r="F36" s="254">
        <v>43145</v>
      </c>
      <c r="G36" s="254">
        <v>45976</v>
      </c>
      <c r="H36" s="254">
        <v>51755</v>
      </c>
      <c r="I36" s="254">
        <v>53998</v>
      </c>
      <c r="J36" s="254">
        <v>56405</v>
      </c>
      <c r="K36" s="254">
        <v>57497</v>
      </c>
      <c r="L36" s="254">
        <v>62622</v>
      </c>
      <c r="M36" s="254">
        <v>71338</v>
      </c>
      <c r="N36" s="139"/>
      <c r="O36" s="139"/>
    </row>
    <row r="37" spans="1:15" s="8" customFormat="1" ht="12.75" customHeight="1">
      <c r="A37" s="46"/>
      <c r="B37" s="48" t="s">
        <v>54</v>
      </c>
      <c r="C37" s="254">
        <v>22588</v>
      </c>
      <c r="D37" s="254">
        <v>24170</v>
      </c>
      <c r="E37" s="254">
        <v>26750</v>
      </c>
      <c r="F37" s="254">
        <v>29437</v>
      </c>
      <c r="G37" s="254">
        <v>32027</v>
      </c>
      <c r="H37" s="254">
        <v>35810</v>
      </c>
      <c r="I37" s="254">
        <v>38397</v>
      </c>
      <c r="J37" s="254">
        <v>40830</v>
      </c>
      <c r="K37" s="254">
        <v>41775</v>
      </c>
      <c r="L37" s="254">
        <v>46182</v>
      </c>
      <c r="M37" s="254">
        <v>53241</v>
      </c>
      <c r="N37" s="139"/>
      <c r="O37" s="139"/>
    </row>
    <row r="38" spans="1:15" s="8" customFormat="1" ht="16.5" customHeight="1">
      <c r="A38" s="46" t="s">
        <v>65</v>
      </c>
      <c r="B38" s="44" t="s">
        <v>45</v>
      </c>
      <c r="C38" s="252">
        <v>12383</v>
      </c>
      <c r="D38" s="252">
        <v>12214</v>
      </c>
      <c r="E38" s="252">
        <v>14461</v>
      </c>
      <c r="F38" s="252">
        <v>16487</v>
      </c>
      <c r="G38" s="252">
        <v>18491</v>
      </c>
      <c r="H38" s="252">
        <v>20926</v>
      </c>
      <c r="I38" s="252">
        <v>24151</v>
      </c>
      <c r="J38" s="252">
        <v>27423</v>
      </c>
      <c r="K38" s="252">
        <v>27225</v>
      </c>
      <c r="L38" s="252">
        <v>30059</v>
      </c>
      <c r="M38" s="252">
        <v>34767</v>
      </c>
      <c r="N38" s="139"/>
      <c r="O38" s="139"/>
    </row>
    <row r="39" spans="1:15" s="8" customFormat="1" ht="12.75" customHeight="1">
      <c r="A39" s="47"/>
      <c r="B39" s="48" t="s">
        <v>53</v>
      </c>
      <c r="C39" s="254">
        <v>8203</v>
      </c>
      <c r="D39" s="254">
        <v>8022</v>
      </c>
      <c r="E39" s="254">
        <v>9121</v>
      </c>
      <c r="F39" s="254">
        <v>10175</v>
      </c>
      <c r="G39" s="254">
        <v>11275</v>
      </c>
      <c r="H39" s="254">
        <v>12984</v>
      </c>
      <c r="I39" s="254">
        <v>14966</v>
      </c>
      <c r="J39" s="254">
        <v>17393</v>
      </c>
      <c r="K39" s="254">
        <v>17284</v>
      </c>
      <c r="L39" s="254">
        <v>18831</v>
      </c>
      <c r="M39" s="254">
        <v>21797</v>
      </c>
      <c r="N39" s="139"/>
      <c r="O39" s="139"/>
    </row>
    <row r="40" spans="1:15" s="8" customFormat="1" ht="12.75" customHeight="1">
      <c r="A40" s="46"/>
      <c r="B40" s="48" t="s">
        <v>54</v>
      </c>
      <c r="C40" s="254">
        <v>4180</v>
      </c>
      <c r="D40" s="254">
        <v>4192</v>
      </c>
      <c r="E40" s="254">
        <v>5340</v>
      </c>
      <c r="F40" s="254">
        <v>6312</v>
      </c>
      <c r="G40" s="254">
        <v>7216</v>
      </c>
      <c r="H40" s="254">
        <v>7942</v>
      </c>
      <c r="I40" s="254">
        <v>9185</v>
      </c>
      <c r="J40" s="254">
        <v>10030</v>
      </c>
      <c r="K40" s="254">
        <v>9941</v>
      </c>
      <c r="L40" s="254">
        <v>11228</v>
      </c>
      <c r="M40" s="254">
        <v>12970</v>
      </c>
      <c r="N40" s="139"/>
      <c r="O40" s="139"/>
    </row>
    <row r="41" spans="1:15" s="8" customFormat="1" ht="16.5" customHeight="1">
      <c r="A41" s="46" t="s">
        <v>13</v>
      </c>
      <c r="B41" s="44" t="s">
        <v>45</v>
      </c>
      <c r="C41" s="252">
        <v>1516</v>
      </c>
      <c r="D41" s="252">
        <v>1325</v>
      </c>
      <c r="E41" s="252">
        <v>1388</v>
      </c>
      <c r="F41" s="252">
        <v>1428</v>
      </c>
      <c r="G41" s="252">
        <v>1492</v>
      </c>
      <c r="H41" s="252">
        <v>1531</v>
      </c>
      <c r="I41" s="252">
        <v>1721</v>
      </c>
      <c r="J41" s="252">
        <v>391</v>
      </c>
      <c r="K41" s="252">
        <v>253</v>
      </c>
      <c r="L41" s="252">
        <v>382</v>
      </c>
      <c r="M41" s="252">
        <v>191</v>
      </c>
      <c r="N41" s="139"/>
      <c r="O41" s="139"/>
    </row>
    <row r="42" spans="1:15" s="8" customFormat="1" ht="12.75" customHeight="1">
      <c r="A42" s="47"/>
      <c r="B42" s="48" t="s">
        <v>53</v>
      </c>
      <c r="C42" s="254">
        <v>994</v>
      </c>
      <c r="D42" s="254">
        <v>923</v>
      </c>
      <c r="E42" s="254">
        <v>925</v>
      </c>
      <c r="F42" s="254">
        <v>941</v>
      </c>
      <c r="G42" s="254">
        <v>1002</v>
      </c>
      <c r="H42" s="254">
        <v>1024</v>
      </c>
      <c r="I42" s="254">
        <v>1174</v>
      </c>
      <c r="J42" s="254">
        <v>180</v>
      </c>
      <c r="K42" s="254">
        <v>145</v>
      </c>
      <c r="L42" s="254">
        <v>193</v>
      </c>
      <c r="M42" s="254">
        <v>108</v>
      </c>
      <c r="N42" s="139"/>
      <c r="O42" s="139"/>
    </row>
    <row r="43" spans="1:15" s="8" customFormat="1" ht="12.75" customHeight="1">
      <c r="A43" s="9"/>
      <c r="B43" s="49" t="s">
        <v>54</v>
      </c>
      <c r="C43" s="255">
        <v>522</v>
      </c>
      <c r="D43" s="255">
        <v>402</v>
      </c>
      <c r="E43" s="255">
        <v>463</v>
      </c>
      <c r="F43" s="255">
        <v>487</v>
      </c>
      <c r="G43" s="255">
        <v>490</v>
      </c>
      <c r="H43" s="255">
        <v>507</v>
      </c>
      <c r="I43" s="255">
        <v>547</v>
      </c>
      <c r="J43" s="255">
        <v>211</v>
      </c>
      <c r="K43" s="255">
        <v>108</v>
      </c>
      <c r="L43" s="255">
        <v>189</v>
      </c>
      <c r="M43" s="255">
        <v>83</v>
      </c>
      <c r="N43" s="139"/>
      <c r="O43" s="139"/>
    </row>
    <row r="44" spans="1:15" ht="15" customHeight="1">
      <c r="A44" s="20" t="s">
        <v>138</v>
      </c>
      <c r="B44" s="31"/>
      <c r="C44" s="101"/>
      <c r="D44" s="45"/>
      <c r="E44" s="45"/>
      <c r="F44" s="45"/>
      <c r="G44" s="45"/>
      <c r="H44" s="45"/>
      <c r="I44" s="45"/>
      <c r="J44" s="45"/>
      <c r="K44" s="45"/>
      <c r="L44" s="45"/>
      <c r="M44" s="45"/>
    </row>
    <row r="45" spans="1:15" ht="15" customHeight="1">
      <c r="B45" s="41"/>
      <c r="C45" s="138"/>
      <c r="D45" s="138"/>
      <c r="E45" s="138"/>
      <c r="F45" s="138"/>
      <c r="G45" s="138"/>
      <c r="H45" s="138"/>
      <c r="I45" s="138"/>
      <c r="J45" s="138"/>
      <c r="K45" s="138"/>
      <c r="L45" s="138"/>
      <c r="M45" s="138"/>
    </row>
    <row r="46" spans="1:15">
      <c r="C46" s="138"/>
      <c r="D46" s="138"/>
      <c r="E46" s="138"/>
      <c r="F46" s="138"/>
      <c r="G46" s="138"/>
      <c r="H46" s="138"/>
      <c r="I46" s="138"/>
      <c r="J46" s="138"/>
      <c r="K46" s="138"/>
      <c r="L46" s="138"/>
      <c r="M46" s="138"/>
    </row>
    <row r="47" spans="1:15">
      <c r="C47" s="138"/>
      <c r="D47" s="138"/>
      <c r="E47" s="138"/>
      <c r="F47" s="138"/>
      <c r="G47" s="138"/>
      <c r="H47" s="138"/>
      <c r="I47" s="138"/>
      <c r="J47" s="138"/>
      <c r="K47" s="138"/>
      <c r="L47" s="138"/>
      <c r="M47" s="138"/>
    </row>
  </sheetData>
  <mergeCells count="5">
    <mergeCell ref="O8:S9"/>
    <mergeCell ref="A1:M1"/>
    <mergeCell ref="O1:S1"/>
    <mergeCell ref="O2:S4"/>
    <mergeCell ref="O5:S7"/>
  </mergeCells>
  <conditionalFormatting sqref="A1 N1:O2 T1:XFD9 I2:I3 A2:G4 N3:N4 H4:I4 A5:N5 N6:N7 A6:J43 N8:O8 N9 N10:O12 P10:XFD1048576 A44:F1048576 N44:O1048576">
    <cfRule type="cellIs" dxfId="100" priority="2" operator="equal">
      <formula>0</formula>
    </cfRule>
  </conditionalFormatting>
  <conditionalFormatting sqref="O8">
    <cfRule type="containsText" dxfId="99" priority="1" operator="containsText" text="FALSO">
      <formula>NOT(ISERROR(SEARCH("FALSO",O8)))</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B0498-E64A-4A18-9BDC-DDAC4378F32E}">
  <sheetPr>
    <tabColor rgb="FFFFFF00"/>
    <pageSetUpPr fitToPage="1"/>
  </sheetPr>
  <dimension ref="A1:BB46"/>
  <sheetViews>
    <sheetView showGridLines="0" workbookViewId="0">
      <selection activeCell="AK18" sqref="AK18"/>
    </sheetView>
  </sheetViews>
  <sheetFormatPr defaultColWidth="9.140625" defaultRowHeight="15" customHeight="1"/>
  <cols>
    <col min="1" max="1" width="17.140625" style="62" customWidth="1"/>
    <col min="2" max="2" width="2.42578125" style="97" customWidth="1"/>
    <col min="3" max="13" width="6.42578125" style="62" customWidth="1"/>
    <col min="14" max="14" width="9.140625" style="159"/>
    <col min="15" max="32" width="9.140625" style="62"/>
    <col min="33" max="33" width="10.140625" style="62" bestFit="1" customWidth="1"/>
    <col min="34" max="16384" width="9.140625" style="62"/>
  </cols>
  <sheetData>
    <row r="1" spans="1:54" s="78" customFormat="1" ht="28.5" customHeight="1">
      <c r="A1" s="587" t="str">
        <f>+'q20'!A1:M1</f>
        <v>Quadro 20 - Remuneração média mensal base(1) por grupo etário e sexo</v>
      </c>
      <c r="B1" s="587"/>
      <c r="C1" s="587"/>
      <c r="D1" s="587"/>
      <c r="E1" s="587"/>
      <c r="F1" s="587"/>
      <c r="G1" s="587"/>
      <c r="H1" s="587"/>
      <c r="I1" s="587"/>
      <c r="J1" s="587"/>
      <c r="K1" s="587"/>
      <c r="L1" s="587"/>
      <c r="M1" s="587"/>
      <c r="N1" s="157"/>
      <c r="P1" s="360" t="s">
        <v>439</v>
      </c>
    </row>
    <row r="2" spans="1:54" s="165" customFormat="1" ht="15" customHeight="1">
      <c r="A2" s="164"/>
      <c r="B2" s="176"/>
      <c r="C2" s="164"/>
      <c r="D2" s="164"/>
      <c r="E2" s="164"/>
      <c r="F2" s="164"/>
      <c r="G2" s="164"/>
      <c r="H2" s="164"/>
      <c r="I2" s="164"/>
      <c r="J2" s="164"/>
      <c r="K2" s="164"/>
      <c r="L2" s="164"/>
      <c r="M2" s="164"/>
      <c r="N2" s="163"/>
      <c r="P2" s="62" t="s">
        <v>436</v>
      </c>
      <c r="Q2" s="61"/>
      <c r="R2" s="61"/>
      <c r="S2" s="61"/>
      <c r="T2" s="61"/>
      <c r="U2" s="61"/>
      <c r="V2" s="61"/>
      <c r="W2" s="61"/>
      <c r="X2" s="61"/>
      <c r="Y2" s="61"/>
      <c r="Z2" s="61"/>
      <c r="AA2" s="61"/>
      <c r="AB2" s="61"/>
    </row>
    <row r="3" spans="1:54" s="165" customFormat="1" ht="15" customHeight="1">
      <c r="A3" s="164" t="str">
        <f>+'q20'!A3</f>
        <v>Continente</v>
      </c>
      <c r="B3" s="164"/>
      <c r="C3" s="164"/>
      <c r="D3" s="164"/>
      <c r="E3" s="164"/>
      <c r="F3" s="164"/>
      <c r="G3" s="164"/>
      <c r="H3" s="164"/>
      <c r="I3" s="164"/>
      <c r="J3" s="164"/>
      <c r="K3" s="164"/>
      <c r="L3" s="164"/>
      <c r="M3" s="164" t="str">
        <f>+'q20'!M3</f>
        <v>Euros</v>
      </c>
      <c r="N3" s="163"/>
      <c r="P3" s="165" t="s">
        <v>437</v>
      </c>
      <c r="Q3" s="170"/>
      <c r="R3" s="170"/>
      <c r="S3" s="170"/>
      <c r="T3" s="170"/>
      <c r="U3" s="170"/>
      <c r="V3" s="170"/>
      <c r="W3" s="170"/>
      <c r="X3" s="170"/>
      <c r="Y3" s="170"/>
      <c r="Z3" s="170"/>
      <c r="AA3" s="170"/>
      <c r="AB3" s="170"/>
      <c r="AE3" s="511" t="s">
        <v>616</v>
      </c>
    </row>
    <row r="4" spans="1:54" s="179" customFormat="1" ht="28.5" customHeight="1" thickBot="1">
      <c r="A4" s="178"/>
      <c r="B4" s="178"/>
      <c r="C4" s="178">
        <f>+'q20'!C4</f>
        <v>2012</v>
      </c>
      <c r="D4" s="178">
        <f>+'q20'!D4</f>
        <v>2013</v>
      </c>
      <c r="E4" s="178">
        <f>+'q20'!E4</f>
        <v>2014</v>
      </c>
      <c r="F4" s="178">
        <f>+'q20'!F4</f>
        <v>2015</v>
      </c>
      <c r="G4" s="178">
        <f>+'q20'!G4</f>
        <v>2016</v>
      </c>
      <c r="H4" s="178">
        <f>+'q20'!H4</f>
        <v>2017</v>
      </c>
      <c r="I4" s="178">
        <f>+'q20'!I4</f>
        <v>2018</v>
      </c>
      <c r="J4" s="178">
        <f>+'q20'!J4</f>
        <v>2019</v>
      </c>
      <c r="K4" s="178">
        <f>+'q20'!K4</f>
        <v>2020</v>
      </c>
      <c r="L4" s="178">
        <f>+'q20'!L4</f>
        <v>2021</v>
      </c>
      <c r="M4" s="178">
        <f>+'q20'!M4</f>
        <v>2022</v>
      </c>
      <c r="N4" s="186"/>
      <c r="P4" s="178"/>
      <c r="Q4" s="178"/>
      <c r="R4" s="167">
        <f>+C4</f>
        <v>2012</v>
      </c>
      <c r="S4" s="167">
        <f t="shared" ref="S4:AB4" si="0">+D4</f>
        <v>2013</v>
      </c>
      <c r="T4" s="167">
        <f t="shared" si="0"/>
        <v>2014</v>
      </c>
      <c r="U4" s="167">
        <f t="shared" si="0"/>
        <v>2015</v>
      </c>
      <c r="V4" s="167">
        <f t="shared" si="0"/>
        <v>2016</v>
      </c>
      <c r="W4" s="167">
        <f t="shared" si="0"/>
        <v>2017</v>
      </c>
      <c r="X4" s="167">
        <f t="shared" si="0"/>
        <v>2018</v>
      </c>
      <c r="Y4" s="167">
        <f t="shared" si="0"/>
        <v>2019</v>
      </c>
      <c r="Z4" s="167">
        <f t="shared" si="0"/>
        <v>2020</v>
      </c>
      <c r="AA4" s="167">
        <f t="shared" si="0"/>
        <v>2021</v>
      </c>
      <c r="AB4" s="167">
        <f t="shared" si="0"/>
        <v>2022</v>
      </c>
      <c r="AE4" s="178"/>
      <c r="AF4" s="178"/>
      <c r="AG4" s="167">
        <f>+$R$4</f>
        <v>2012</v>
      </c>
      <c r="AH4" s="167">
        <f t="shared" ref="AH4" si="1">+S4</f>
        <v>2013</v>
      </c>
      <c r="AI4" s="167">
        <f t="shared" ref="AI4" si="2">+T4</f>
        <v>2014</v>
      </c>
      <c r="AJ4" s="167">
        <f t="shared" ref="AJ4" si="3">+U4</f>
        <v>2015</v>
      </c>
      <c r="AK4" s="167">
        <f t="shared" ref="AK4" si="4">+V4</f>
        <v>2016</v>
      </c>
      <c r="AL4" s="167">
        <f t="shared" ref="AL4" si="5">+W4</f>
        <v>2017</v>
      </c>
      <c r="AM4" s="167">
        <f t="shared" ref="AM4" si="6">+X4</f>
        <v>2018</v>
      </c>
      <c r="AN4" s="167">
        <f t="shared" ref="AN4" si="7">+Y4</f>
        <v>2019</v>
      </c>
      <c r="AO4" s="167">
        <f t="shared" ref="AO4" si="8">+Z4</f>
        <v>2020</v>
      </c>
      <c r="AP4" s="167">
        <f t="shared" ref="AP4" si="9">+AA4</f>
        <v>2021</v>
      </c>
      <c r="AQ4" s="167">
        <f t="shared" ref="AQ4" si="10">+AB4</f>
        <v>2022</v>
      </c>
      <c r="AR4" s="167">
        <f>+C4</f>
        <v>2012</v>
      </c>
      <c r="AS4" s="167">
        <f t="shared" ref="AS4:AY4" si="11">+D4</f>
        <v>2013</v>
      </c>
      <c r="AT4" s="167">
        <f t="shared" si="11"/>
        <v>2014</v>
      </c>
      <c r="AU4" s="167">
        <f t="shared" si="11"/>
        <v>2015</v>
      </c>
      <c r="AV4" s="167">
        <f t="shared" si="11"/>
        <v>2016</v>
      </c>
      <c r="AW4" s="167">
        <f t="shared" si="11"/>
        <v>2017</v>
      </c>
      <c r="AX4" s="167">
        <f t="shared" si="11"/>
        <v>2018</v>
      </c>
      <c r="AY4" s="167">
        <f t="shared" si="11"/>
        <v>2019</v>
      </c>
      <c r="AZ4" s="167">
        <f>+K4</f>
        <v>2020</v>
      </c>
      <c r="BA4" s="167">
        <f t="shared" ref="BA4" si="12">+L4</f>
        <v>2021</v>
      </c>
      <c r="BB4" s="167">
        <f t="shared" ref="BB4" si="13">+M4</f>
        <v>2022</v>
      </c>
    </row>
    <row r="5" spans="1:54" s="170" customFormat="1" ht="16.5" customHeight="1" thickTop="1">
      <c r="A5" s="174" t="str">
        <f>+'q20'!A5</f>
        <v>Total</v>
      </c>
      <c r="B5" s="176" t="str">
        <f>+'q20'!B5</f>
        <v>T</v>
      </c>
      <c r="C5" s="267">
        <f>+'q20'!C5</f>
        <v>915.01247006081212</v>
      </c>
      <c r="D5" s="267">
        <f>+'q20'!D5</f>
        <v>912.18298170177309</v>
      </c>
      <c r="E5" s="267">
        <f>+'q20'!E5</f>
        <v>909.49144915721399</v>
      </c>
      <c r="F5" s="267">
        <f>+'q20'!F5</f>
        <v>913.92544791377406</v>
      </c>
      <c r="G5" s="267">
        <f>+'q20'!G5</f>
        <v>924.9392153090821</v>
      </c>
      <c r="H5" s="267">
        <f>+'q20'!H5</f>
        <v>943.00107511786211</v>
      </c>
      <c r="I5" s="267">
        <f>+'q20'!I5</f>
        <v>970.41689676342503</v>
      </c>
      <c r="J5" s="267">
        <f>+'q20'!J5</f>
        <v>1005.08927925103</v>
      </c>
      <c r="K5" s="267">
        <f>+'q20'!K5</f>
        <v>1041.9948771786001</v>
      </c>
      <c r="L5" s="267">
        <f>+'q20'!L5</f>
        <v>1082.7724697513502</v>
      </c>
      <c r="M5" s="267">
        <f>+'q20'!M5</f>
        <v>1143.44558285689</v>
      </c>
      <c r="N5" s="187"/>
      <c r="O5" s="179"/>
      <c r="P5" s="174" t="s">
        <v>12</v>
      </c>
      <c r="Q5" s="176" t="s">
        <v>45</v>
      </c>
      <c r="AE5" s="174" t="s">
        <v>12</v>
      </c>
      <c r="AF5" s="176" t="s">
        <v>45</v>
      </c>
      <c r="AG5" s="509">
        <f>+(AG8+AG11+AG14+AG17+AG20+AG23+AG26+AG29+AG32+AG35+AG38+AG41)/q13a!C5</f>
        <v>915.0124700608128</v>
      </c>
      <c r="AH5" s="509">
        <f>+(AH8+AH11+AH14+AH17+AH20+AH23+AH26+AH29+AH32+AH35+AH38+AH41)/q13a!D5</f>
        <v>912.18298170177297</v>
      </c>
      <c r="AI5" s="509">
        <f>+(AI8+AI11+AI14+AI17+AI20+AI23+AI26+AI29+AI32+AI35+AI38+AI41)/q13a!E5</f>
        <v>909.49144915721388</v>
      </c>
      <c r="AJ5" s="509">
        <f>+(AJ8+AJ11+AJ14+AJ17+AJ20+AJ23+AJ26+AJ29+AJ32+AJ35+AJ38+AJ41)/q13a!F5</f>
        <v>913.92544791377384</v>
      </c>
      <c r="AK5" s="509">
        <f>+(AK8+AK11+AK14+AK17+AK20+AK23+AK26+AK29+AK32+AK35+AK38+AK41)/q13a!G5</f>
        <v>924.93921530908085</v>
      </c>
      <c r="AL5" s="509">
        <f>+(AL8+AL11+AL14+AL17+AL20+AL23+AL26+AL29+AL32+AL35+AL38+AL41)/q13a!H5</f>
        <v>943.0010751178628</v>
      </c>
      <c r="AM5" s="509">
        <f>+(AM8+AM11+AM14+AM17+AM20+AM23+AM26+AM29+AM32+AM35+AM38+AM41)/q13a!I5</f>
        <v>970.41689676342594</v>
      </c>
      <c r="AN5" s="509">
        <f>+(AN8+AN11+AN14+AN17+AN20+AN23+AN26+AN29+AN32+AN35+AN38+AN41)/q13a!J5</f>
        <v>1005.0892792510307</v>
      </c>
      <c r="AO5" s="509">
        <f>+(AO8+AO11+AO14+AO17+AO20+AO23+AO26+AO29+AO32+AO35+AO38+AO41)/q13a!K5</f>
        <v>1041.9948771786003</v>
      </c>
      <c r="AP5" s="509">
        <f>+(AP8+AP11+AP14+AP17+AP20+AP23+AP26+AP29+AP32+AP35+AP38+AP41)/q13a!L5</f>
        <v>1082.7724697513472</v>
      </c>
      <c r="AQ5" s="509">
        <f>+(AQ8+AQ11+AQ14+AQ17+AQ20+AQ23+AQ26+AQ29+AQ32+AQ35+AQ38+AQ41)/q13a!M5</f>
        <v>1143.4455828568898</v>
      </c>
      <c r="AR5" s="510">
        <f>+AG5-C5</f>
        <v>0</v>
      </c>
      <c r="AS5" s="510">
        <f t="shared" ref="AS5:BB5" si="14">+AH5-D5</f>
        <v>0</v>
      </c>
      <c r="AT5" s="510">
        <f t="shared" si="14"/>
        <v>0</v>
      </c>
      <c r="AU5" s="510">
        <f t="shared" si="14"/>
        <v>0</v>
      </c>
      <c r="AV5" s="510">
        <f t="shared" si="14"/>
        <v>-1.2505552149377763E-12</v>
      </c>
      <c r="AW5" s="510">
        <f t="shared" si="14"/>
        <v>0</v>
      </c>
      <c r="AX5" s="510">
        <f t="shared" si="14"/>
        <v>9.0949470177292824E-13</v>
      </c>
      <c r="AY5" s="510">
        <f t="shared" si="14"/>
        <v>0</v>
      </c>
      <c r="AZ5" s="510">
        <f t="shared" si="14"/>
        <v>0</v>
      </c>
      <c r="BA5" s="510">
        <f t="shared" si="14"/>
        <v>-2.9558577807620168E-12</v>
      </c>
      <c r="BB5" s="510">
        <f t="shared" si="14"/>
        <v>0</v>
      </c>
    </row>
    <row r="6" spans="1:54" s="170" customFormat="1" ht="12.75" customHeight="1">
      <c r="A6" s="164"/>
      <c r="B6" s="176" t="str">
        <f>+'q20'!B6</f>
        <v>H</v>
      </c>
      <c r="C6" s="268">
        <f>+'q20'!C6</f>
        <v>999.85354294571812</v>
      </c>
      <c r="D6" s="268">
        <f>+'q20'!D6</f>
        <v>993.79266174939096</v>
      </c>
      <c r="E6" s="268">
        <f>+'q20'!E6</f>
        <v>985.0215081163841</v>
      </c>
      <c r="F6" s="268">
        <f>+'q20'!F6</f>
        <v>990.04668016967901</v>
      </c>
      <c r="G6" s="268">
        <f>+'q20'!G6</f>
        <v>997.37861815735698</v>
      </c>
      <c r="H6" s="268">
        <f>+'q20'!H6</f>
        <v>1012.2476626665</v>
      </c>
      <c r="I6" s="268">
        <f>+'q20'!I6</f>
        <v>1039.08171517903</v>
      </c>
      <c r="J6" s="268">
        <f>+'q20'!J6</f>
        <v>1073.8189900697198</v>
      </c>
      <c r="K6" s="268">
        <f>+'q20'!K6</f>
        <v>1109.2123384778902</v>
      </c>
      <c r="L6" s="268">
        <f>+'q20'!L6</f>
        <v>1152.2390834169501</v>
      </c>
      <c r="M6" s="268">
        <f>+'q20'!M6</f>
        <v>1217.3282728682302</v>
      </c>
      <c r="N6" s="187"/>
      <c r="O6" s="179"/>
      <c r="P6" s="164"/>
      <c r="Q6" s="176" t="s">
        <v>53</v>
      </c>
      <c r="AE6" s="164"/>
      <c r="AF6" s="176" t="s">
        <v>53</v>
      </c>
      <c r="AG6" s="509">
        <f>+(AG9+AG12+AG15+AG18+AG21+AG24+AG27+AG30+AG33+AG36+AG39+AG42)/q13a!C6</f>
        <v>999.85354294571903</v>
      </c>
      <c r="AH6" s="509">
        <f>+(AH9+AH12+AH15+AH18+AH21+AH24+AH27+AH30+AH33+AH36+AH39+AH42)/q13a!D6</f>
        <v>993.79266174939164</v>
      </c>
      <c r="AI6" s="509">
        <f>+(AI9+AI12+AI15+AI18+AI21+AI24+AI27+AI30+AI33+AI36+AI39+AI42)/q13a!E6</f>
        <v>985.0215081163833</v>
      </c>
      <c r="AJ6" s="509">
        <f>+(AJ9+AJ12+AJ15+AJ18+AJ21+AJ24+AJ27+AJ30+AJ33+AJ36+AJ39+AJ42)/q13a!F6</f>
        <v>990.04668016968014</v>
      </c>
      <c r="AK6" s="509">
        <f>+(AK9+AK12+AK15+AK18+AK21+AK24+AK27+AK30+AK33+AK36+AK39+AK42)/q13a!G6</f>
        <v>997.37861815735744</v>
      </c>
      <c r="AL6" s="509">
        <f>+(AL9+AL12+AL15+AL18+AL21+AL24+AL27+AL30+AL33+AL36+AL39+AL42)/q13a!H6</f>
        <v>1012.2476626665009</v>
      </c>
      <c r="AM6" s="509">
        <f>+(AM9+AM12+AM15+AM18+AM21+AM24+AM27+AM30+AM33+AM36+AM39+AM42)/q13a!I6</f>
        <v>1039.0817151790302</v>
      </c>
      <c r="AN6" s="509">
        <f>+(AN9+AN12+AN15+AN18+AN21+AN24+AN27+AN30+AN33+AN36+AN39+AN42)/q13a!J6</f>
        <v>1073.81899006972</v>
      </c>
      <c r="AO6" s="509">
        <f>+(AO9+AO12+AO15+AO18+AO21+AO24+AO27+AO30+AO33+AO36+AO39+AO42)/q13a!K6</f>
        <v>1109.2123384778877</v>
      </c>
      <c r="AP6" s="509">
        <f>+(AP9+AP12+AP15+AP18+AP21+AP24+AP27+AP30+AP33+AP36+AP39+AP42)/q13a!L6</f>
        <v>1152.2390834169523</v>
      </c>
      <c r="AQ6" s="509">
        <f>+(AQ9+AQ12+AQ15+AQ18+AQ21+AQ24+AQ27+AQ30+AQ33+AQ36+AQ39+AQ42)/q13a!M6</f>
        <v>1217.3282728682348</v>
      </c>
      <c r="AR6" s="510">
        <f t="shared" ref="AR6:AR7" si="15">+AG6-C6</f>
        <v>9.0949470177292824E-13</v>
      </c>
      <c r="AS6" s="510">
        <f t="shared" ref="AS6:AS7" si="16">+AH6-D6</f>
        <v>0</v>
      </c>
      <c r="AT6" s="510">
        <f t="shared" ref="AT6:AT7" si="17">+AI6-E6</f>
        <v>0</v>
      </c>
      <c r="AU6" s="510">
        <f t="shared" ref="AU6:AU7" si="18">+AJ6-F6</f>
        <v>1.1368683772161603E-12</v>
      </c>
      <c r="AV6" s="510">
        <f t="shared" ref="AV6:AV7" si="19">+AK6-G6</f>
        <v>0</v>
      </c>
      <c r="AW6" s="510">
        <f t="shared" ref="AW6:AW7" si="20">+AL6-H6</f>
        <v>9.0949470177292824E-13</v>
      </c>
      <c r="AX6" s="510">
        <f t="shared" ref="AX6:AX7" si="21">+AM6-I6</f>
        <v>0</v>
      </c>
      <c r="AY6" s="510">
        <f t="shared" ref="AY6:AY7" si="22">+AN6-J6</f>
        <v>0</v>
      </c>
      <c r="AZ6" s="510">
        <f t="shared" ref="AZ6:AZ7" si="23">+AO6-K6</f>
        <v>-2.5011104298755527E-12</v>
      </c>
      <c r="BA6" s="510">
        <f t="shared" ref="BA6:BA7" si="24">+AP6-L6</f>
        <v>2.2737367544323206E-12</v>
      </c>
      <c r="BB6" s="510">
        <f t="shared" ref="BB6:BB7" si="25">+AQ6-M6</f>
        <v>4.5474735088646412E-12</v>
      </c>
    </row>
    <row r="7" spans="1:54" s="170" customFormat="1" ht="12.75" customHeight="1">
      <c r="A7" s="164"/>
      <c r="B7" s="176" t="str">
        <f>+'q20'!B7</f>
        <v>M</v>
      </c>
      <c r="C7" s="268">
        <f>+'q20'!C7</f>
        <v>814.53727639534998</v>
      </c>
      <c r="D7" s="268">
        <f>+'q20'!D7</f>
        <v>816.21122210111105</v>
      </c>
      <c r="E7" s="268">
        <f>+'q20'!E7</f>
        <v>820.25300466774809</v>
      </c>
      <c r="F7" s="268">
        <f>+'q20'!F7</f>
        <v>824.99170229471508</v>
      </c>
      <c r="G7" s="268">
        <f>+'q20'!G7</f>
        <v>840.26183463405107</v>
      </c>
      <c r="H7" s="268">
        <f>+'q20'!H7</f>
        <v>861.16674363485106</v>
      </c>
      <c r="I7" s="268">
        <f>+'q20'!I7</f>
        <v>888.55773746998204</v>
      </c>
      <c r="J7" s="268">
        <f>+'q20'!J7</f>
        <v>922.62610151052809</v>
      </c>
      <c r="K7" s="268">
        <f>+'q20'!K7</f>
        <v>960.26781704583709</v>
      </c>
      <c r="L7" s="268">
        <f>+'q20'!L7</f>
        <v>999.32524311817906</v>
      </c>
      <c r="M7" s="268">
        <f>+'q20'!M7</f>
        <v>1054.3618671065601</v>
      </c>
      <c r="N7" s="187"/>
      <c r="O7" s="179"/>
      <c r="P7" s="164"/>
      <c r="Q7" s="176" t="s">
        <v>54</v>
      </c>
      <c r="AE7" s="164"/>
      <c r="AF7" s="176" t="s">
        <v>54</v>
      </c>
      <c r="AG7" s="509">
        <f>+(AG10+AG13+AG16+AG19+AG22+AG25+AG28+AG31+AG34+AG37+AG40+AG43)/q13a!C7</f>
        <v>814.5372763953502</v>
      </c>
      <c r="AH7" s="509">
        <f>+(AH10+AH13+AH16+AH19+AH22+AH25+AH28+AH31+AH34+AH37+AH40+AH43)/q13a!D7</f>
        <v>816.21122210111105</v>
      </c>
      <c r="AI7" s="509">
        <f>+(AI10+AI13+AI16+AI19+AI22+AI25+AI28+AI31+AI34+AI37+AI40+AI43)/q13a!E7</f>
        <v>820.25300466774843</v>
      </c>
      <c r="AJ7" s="509">
        <f>+(AJ10+AJ13+AJ16+AJ19+AJ22+AJ25+AJ28+AJ31+AJ34+AJ37+AJ40+AJ43)/q13a!F7</f>
        <v>824.99170229471508</v>
      </c>
      <c r="AK7" s="509">
        <f>+(AK10+AK13+AK16+AK19+AK22+AK25+AK28+AK31+AK34+AK37+AK40+AK43)/q13a!G7</f>
        <v>840.2618346340505</v>
      </c>
      <c r="AL7" s="509">
        <f>+(AL10+AL13+AL16+AL19+AL22+AL25+AL28+AL31+AL34+AL37+AL40+AL43)/q13a!H7</f>
        <v>861.16674363485072</v>
      </c>
      <c r="AM7" s="509">
        <f>+(AM10+AM13+AM16+AM19+AM22+AM25+AM28+AM31+AM34+AM37+AM40+AM43)/q13a!I7</f>
        <v>888.55773746998216</v>
      </c>
      <c r="AN7" s="509">
        <f>+(AN10+AN13+AN16+AN19+AN22+AN25+AN28+AN31+AN34+AN37+AN40+AN43)/q13a!J7</f>
        <v>922.62610151052741</v>
      </c>
      <c r="AO7" s="509">
        <f>+(AO10+AO13+AO16+AO19+AO22+AO25+AO28+AO31+AO34+AO37+AO40+AO43)/q13a!K7</f>
        <v>960.26781704583823</v>
      </c>
      <c r="AP7" s="509">
        <f>+(AP10+AP13+AP16+AP19+AP22+AP25+AP28+AP31+AP34+AP37+AP40+AP43)/q13a!L7</f>
        <v>999.3252431181794</v>
      </c>
      <c r="AQ7" s="509">
        <f>+(AQ10+AQ13+AQ16+AQ19+AQ22+AQ25+AQ28+AQ31+AQ34+AQ37+AQ40+AQ43)/q13a!M7</f>
        <v>1054.3618671065562</v>
      </c>
      <c r="AR7" s="510">
        <f t="shared" si="15"/>
        <v>0</v>
      </c>
      <c r="AS7" s="510">
        <f t="shared" si="16"/>
        <v>0</v>
      </c>
      <c r="AT7" s="510">
        <f t="shared" si="17"/>
        <v>0</v>
      </c>
      <c r="AU7" s="510">
        <f t="shared" si="18"/>
        <v>0</v>
      </c>
      <c r="AV7" s="510">
        <f t="shared" si="19"/>
        <v>0</v>
      </c>
      <c r="AW7" s="510">
        <f t="shared" si="20"/>
        <v>0</v>
      </c>
      <c r="AX7" s="510">
        <f t="shared" si="21"/>
        <v>0</v>
      </c>
      <c r="AY7" s="510">
        <f t="shared" si="22"/>
        <v>0</v>
      </c>
      <c r="AZ7" s="510">
        <f t="shared" si="23"/>
        <v>1.1368683772161603E-12</v>
      </c>
      <c r="BA7" s="510">
        <f t="shared" si="24"/>
        <v>0</v>
      </c>
      <c r="BB7" s="510">
        <f t="shared" si="25"/>
        <v>-3.865352482534945E-12</v>
      </c>
    </row>
    <row r="8" spans="1:54" s="8" customFormat="1" ht="16.5" customHeight="1">
      <c r="A8" s="46" t="str">
        <f>+'q20'!A8</f>
        <v>&lt; 18 anos</v>
      </c>
      <c r="B8" s="44" t="str">
        <f>+'q20'!B8</f>
        <v>T</v>
      </c>
      <c r="C8" s="277">
        <f>+'q20'!C8</f>
        <v>509.44050420168105</v>
      </c>
      <c r="D8" s="277">
        <f>+'q20'!D8</f>
        <v>553.21526829268305</v>
      </c>
      <c r="E8" s="277">
        <f>+'q20'!E8</f>
        <v>673.38821292775697</v>
      </c>
      <c r="F8" s="277">
        <f>+'q20'!F8</f>
        <v>645.96770833333301</v>
      </c>
      <c r="G8" s="277">
        <f>+'q20'!G8</f>
        <v>688.28591760299605</v>
      </c>
      <c r="H8" s="277">
        <f>+'q20'!H8</f>
        <v>682.81965789473702</v>
      </c>
      <c r="I8" s="277">
        <f>+'q20'!I8</f>
        <v>693.22013440860201</v>
      </c>
      <c r="J8" s="277">
        <f>+'q20'!J8</f>
        <v>939.87865329512908</v>
      </c>
      <c r="K8" s="277">
        <f>+'q20'!K8</f>
        <v>1150.3329870129901</v>
      </c>
      <c r="L8" s="277">
        <f>+'q20'!L8</f>
        <v>1101.01081560284</v>
      </c>
      <c r="M8" s="277">
        <f>+'q20'!M8</f>
        <v>1066.29938992042</v>
      </c>
      <c r="N8" s="110"/>
      <c r="O8" s="179"/>
      <c r="P8" s="46" t="s">
        <v>55</v>
      </c>
      <c r="Q8" s="44" t="s">
        <v>45</v>
      </c>
      <c r="R8" s="408">
        <f>+$C$8</f>
        <v>509.44050420168105</v>
      </c>
      <c r="S8" s="408">
        <f>+$D$8</f>
        <v>553.21526829268305</v>
      </c>
      <c r="T8" s="408">
        <f>+$E$8</f>
        <v>673.38821292775697</v>
      </c>
      <c r="U8" s="408">
        <f>+$F$8</f>
        <v>645.96770833333301</v>
      </c>
      <c r="V8" s="408">
        <f>+$G$8</f>
        <v>688.28591760299605</v>
      </c>
      <c r="W8" s="408">
        <f>+$H$8</f>
        <v>682.81965789473702</v>
      </c>
      <c r="X8" s="408">
        <f>+$I$8</f>
        <v>693.22013440860201</v>
      </c>
      <c r="Y8" s="408">
        <f>+$J$8</f>
        <v>939.87865329512908</v>
      </c>
      <c r="Z8" s="408">
        <f>+$K$8</f>
        <v>1150.3329870129901</v>
      </c>
      <c r="AA8" s="408">
        <f>+$L$8</f>
        <v>1101.01081560284</v>
      </c>
      <c r="AB8" s="408">
        <f>+$M$8</f>
        <v>1066.29938992042</v>
      </c>
      <c r="AE8" s="46" t="s">
        <v>55</v>
      </c>
      <c r="AF8" s="44" t="s">
        <v>45</v>
      </c>
      <c r="AG8" s="408">
        <f>+$C$8*q13a!$C$8</f>
        <v>303117.10000000021</v>
      </c>
      <c r="AH8" s="408">
        <f>+$D$8*q13a!$D$8</f>
        <v>226818.26000000004</v>
      </c>
      <c r="AI8" s="408">
        <f>+$E$8*q13a!$E$8</f>
        <v>177101.10000000009</v>
      </c>
      <c r="AJ8" s="408">
        <f>+$F$8*q13a!$F$8</f>
        <v>155032.24999999991</v>
      </c>
      <c r="AK8" s="408">
        <f>+$G$8*q13a!$G$8</f>
        <v>183772.33999999994</v>
      </c>
      <c r="AL8" s="408">
        <f>+$H$8*q13a!$H$8</f>
        <v>259471.47000000006</v>
      </c>
      <c r="AM8" s="408">
        <f>+$I$8*q13a!$I$8</f>
        <v>257877.88999999996</v>
      </c>
      <c r="AN8" s="408">
        <f>+$J$8*q13a!$J$8</f>
        <v>328017.65000000002</v>
      </c>
      <c r="AO8" s="408">
        <f>+$K$8*q13a!$K$8</f>
        <v>265726.92000000068</v>
      </c>
      <c r="AP8" s="408">
        <f>+$L$8*q13a!$L$8</f>
        <v>310485.05000000086</v>
      </c>
      <c r="AQ8" s="408">
        <f>+$M$8*q13a!$M$8</f>
        <v>401994.86999999837</v>
      </c>
    </row>
    <row r="9" spans="1:54" s="8" customFormat="1" ht="12.75" customHeight="1">
      <c r="A9" s="47"/>
      <c r="B9" s="48" t="str">
        <f>+'q20'!B9</f>
        <v>H</v>
      </c>
      <c r="C9" s="279">
        <f>+'q20'!C9</f>
        <v>517.07122969837599</v>
      </c>
      <c r="D9" s="279">
        <f>+'q20'!D9</f>
        <v>573.76116788321212</v>
      </c>
      <c r="E9" s="279">
        <f>+'q20'!E9</f>
        <v>751.18306358381494</v>
      </c>
      <c r="F9" s="279">
        <f>+'q20'!F9</f>
        <v>701.72158536585403</v>
      </c>
      <c r="G9" s="279">
        <f>+'q20'!G9</f>
        <v>744.59073298429303</v>
      </c>
      <c r="H9" s="279">
        <f>+'q20'!H9</f>
        <v>727.95527272727304</v>
      </c>
      <c r="I9" s="279">
        <f>+'q20'!I9</f>
        <v>733.3014682539681</v>
      </c>
      <c r="J9" s="279">
        <f>+'q20'!J9</f>
        <v>1031.6593675889301</v>
      </c>
      <c r="K9" s="279">
        <f>+'q20'!K9</f>
        <v>1255.6044736842102</v>
      </c>
      <c r="L9" s="279">
        <f>+'q20'!L9</f>
        <v>1222.7093119266101</v>
      </c>
      <c r="M9" s="279">
        <f>+'q20'!M9</f>
        <v>1184.3662318840602</v>
      </c>
      <c r="N9" s="110"/>
      <c r="O9" s="200"/>
      <c r="P9" s="47"/>
      <c r="Q9" s="48" t="s">
        <v>53</v>
      </c>
      <c r="R9" s="408">
        <f>+$C$9</f>
        <v>517.07122969837599</v>
      </c>
      <c r="S9" s="408">
        <f>+$D$9</f>
        <v>573.76116788321212</v>
      </c>
      <c r="T9" s="408">
        <f>+$E$9</f>
        <v>751.18306358381494</v>
      </c>
      <c r="U9" s="408">
        <f>+$F$9</f>
        <v>701.72158536585403</v>
      </c>
      <c r="V9" s="408">
        <f>+$G$9</f>
        <v>744.59073298429303</v>
      </c>
      <c r="W9" s="408">
        <f>+$H$9</f>
        <v>727.95527272727304</v>
      </c>
      <c r="X9" s="408">
        <f>+$I$9</f>
        <v>733.3014682539681</v>
      </c>
      <c r="Y9" s="408">
        <f>+$J$9</f>
        <v>1031.6593675889301</v>
      </c>
      <c r="Z9" s="408">
        <f>+$K$9</f>
        <v>1255.6044736842102</v>
      </c>
      <c r="AA9" s="408">
        <f>+$L$9</f>
        <v>1222.7093119266101</v>
      </c>
      <c r="AB9" s="408">
        <f>+$M$9</f>
        <v>1184.3662318840602</v>
      </c>
      <c r="AE9" s="47"/>
      <c r="AF9" s="48" t="s">
        <v>53</v>
      </c>
      <c r="AG9" s="408">
        <f>+$C$9*q13a!$C$9</f>
        <v>222857.70000000004</v>
      </c>
      <c r="AH9" s="408">
        <f>+$D$9*q13a!$D$9</f>
        <v>157210.56000000011</v>
      </c>
      <c r="AI9" s="408">
        <f>+$E$9*q13a!$E$9</f>
        <v>129954.66999999998</v>
      </c>
      <c r="AJ9" s="408">
        <f>+$F$9*q13a!$F$9</f>
        <v>115082.34000000005</v>
      </c>
      <c r="AK9" s="408">
        <f>+$G$9*q13a!$G$9</f>
        <v>142216.82999999996</v>
      </c>
      <c r="AL9" s="408">
        <f>+$H$9*q13a!$H$9</f>
        <v>200187.7000000001</v>
      </c>
      <c r="AM9" s="408">
        <f>+$I$9*q13a!$I$9</f>
        <v>184791.96999999997</v>
      </c>
      <c r="AN9" s="408">
        <f>+$J$9*q13a!$J$9</f>
        <v>261009.81999999931</v>
      </c>
      <c r="AO9" s="408">
        <f>+$K$9*q13a!$K$9</f>
        <v>238564.84999999995</v>
      </c>
      <c r="AP9" s="408">
        <f>+$L$9*q13a!$L$9</f>
        <v>266550.63000000099</v>
      </c>
      <c r="AQ9" s="408">
        <f>+$M$9*q13a!$M$9</f>
        <v>326885.0800000006</v>
      </c>
    </row>
    <row r="10" spans="1:54" s="8" customFormat="1" ht="12.75" customHeight="1">
      <c r="A10" s="46"/>
      <c r="B10" s="48" t="str">
        <f>+'q20'!B10</f>
        <v>M</v>
      </c>
      <c r="C10" s="279">
        <f>+'q20'!C10</f>
        <v>489.38658536585405</v>
      </c>
      <c r="D10" s="279">
        <f>+'q20'!D10</f>
        <v>511.82132352941204</v>
      </c>
      <c r="E10" s="279">
        <f>+'q20'!E10</f>
        <v>523.84922222222201</v>
      </c>
      <c r="F10" s="279">
        <f>+'q20'!F10</f>
        <v>525.65671052631603</v>
      </c>
      <c r="G10" s="279">
        <f>+'q20'!G10</f>
        <v>546.78302631578902</v>
      </c>
      <c r="H10" s="279">
        <f>+'q20'!H10</f>
        <v>564.60733333333303</v>
      </c>
      <c r="I10" s="279">
        <f>+'q20'!I10</f>
        <v>609.04933333333304</v>
      </c>
      <c r="J10" s="279">
        <f>+'q20'!J10</f>
        <v>697.99822916666699</v>
      </c>
      <c r="K10" s="279">
        <f>+'q20'!K10</f>
        <v>662.48951219512207</v>
      </c>
      <c r="L10" s="279">
        <f>+'q20'!L10</f>
        <v>686.47531249999997</v>
      </c>
      <c r="M10" s="279">
        <f>+'q20'!M10</f>
        <v>743.66128712871307</v>
      </c>
      <c r="N10" s="110"/>
      <c r="O10" s="200"/>
      <c r="P10" s="46"/>
      <c r="Q10" s="48" t="s">
        <v>54</v>
      </c>
      <c r="R10" s="408">
        <f>+$C$10</f>
        <v>489.38658536585405</v>
      </c>
      <c r="S10" s="408">
        <f>+$D$10</f>
        <v>511.82132352941204</v>
      </c>
      <c r="T10" s="408">
        <f>+$E$10</f>
        <v>523.84922222222201</v>
      </c>
      <c r="U10" s="408">
        <f>+$F$10</f>
        <v>525.65671052631603</v>
      </c>
      <c r="V10" s="408">
        <f>+$G$10</f>
        <v>546.78302631578902</v>
      </c>
      <c r="W10" s="408">
        <f>+$H$10</f>
        <v>564.60733333333303</v>
      </c>
      <c r="X10" s="408">
        <f>+$I$10</f>
        <v>609.04933333333304</v>
      </c>
      <c r="Y10" s="408">
        <f>+$J$10</f>
        <v>697.99822916666699</v>
      </c>
      <c r="Z10" s="408">
        <f>+$K$10</f>
        <v>662.48951219512207</v>
      </c>
      <c r="AA10" s="408">
        <f>+$L$10</f>
        <v>686.47531249999997</v>
      </c>
      <c r="AB10" s="408">
        <f>+$M$10</f>
        <v>743.66128712871307</v>
      </c>
      <c r="AE10" s="46"/>
      <c r="AF10" s="48" t="s">
        <v>54</v>
      </c>
      <c r="AG10" s="408">
        <f>+$C$10*q13a!$C$10</f>
        <v>80259.400000000067</v>
      </c>
      <c r="AH10" s="408">
        <f>+$D$10*q13a!$D$10</f>
        <v>69607.700000000041</v>
      </c>
      <c r="AI10" s="408">
        <f>+$E$10*q13a!$E$10</f>
        <v>47146.429999999978</v>
      </c>
      <c r="AJ10" s="408">
        <f>+$F$10*q13a!$F$10</f>
        <v>39949.910000000018</v>
      </c>
      <c r="AK10" s="408">
        <f>+$G$10*q13a!$G$10</f>
        <v>41555.509999999966</v>
      </c>
      <c r="AL10" s="408">
        <f>+$H$10*q13a!$H$10</f>
        <v>59283.769999999968</v>
      </c>
      <c r="AM10" s="408">
        <f>+$I$10*q13a!$I$10</f>
        <v>73085.919999999969</v>
      </c>
      <c r="AN10" s="408">
        <f>+$J$10*q13a!$J$10</f>
        <v>67007.830000000031</v>
      </c>
      <c r="AO10" s="408">
        <f>+$K$10*q13a!$K$10</f>
        <v>27162.070000000003</v>
      </c>
      <c r="AP10" s="408">
        <f>+$L$10*q13a!$L$10</f>
        <v>43934.42</v>
      </c>
      <c r="AQ10" s="408">
        <f>+$M$10*q13a!$M$10</f>
        <v>75109.790000000023</v>
      </c>
    </row>
    <row r="11" spans="1:54" s="8" customFormat="1" ht="16.5" customHeight="1">
      <c r="A11" s="46" t="str">
        <f>+'q20'!A11</f>
        <v>18-24 anos</v>
      </c>
      <c r="B11" s="44" t="str">
        <f>+'q20'!B11</f>
        <v>T</v>
      </c>
      <c r="C11" s="277">
        <f>+'q20'!C11</f>
        <v>611.69090254473713</v>
      </c>
      <c r="D11" s="277">
        <f>+'q20'!D11</f>
        <v>602.54614960826098</v>
      </c>
      <c r="E11" s="277">
        <f>+'q20'!E11</f>
        <v>607.61617454050611</v>
      </c>
      <c r="F11" s="277">
        <f>+'q20'!F11</f>
        <v>621.0474565376071</v>
      </c>
      <c r="G11" s="277">
        <f>+'q20'!G11</f>
        <v>639.49061483464607</v>
      </c>
      <c r="H11" s="277">
        <f>+'q20'!H11</f>
        <v>664.29416466900204</v>
      </c>
      <c r="I11" s="277">
        <f>+'q20'!I11</f>
        <v>693.67039977396098</v>
      </c>
      <c r="J11" s="277">
        <f>+'q20'!J11</f>
        <v>727.91599861875011</v>
      </c>
      <c r="K11" s="277">
        <f>+'q20'!K11</f>
        <v>762.01679742184899</v>
      </c>
      <c r="L11" s="277">
        <f>+'q20'!L11</f>
        <v>799.27713211577907</v>
      </c>
      <c r="M11" s="277">
        <f>+'q20'!M11</f>
        <v>857.94673854563302</v>
      </c>
      <c r="N11" s="110"/>
      <c r="O11" s="200"/>
      <c r="P11" s="46" t="s">
        <v>56</v>
      </c>
      <c r="Q11" s="44" t="s">
        <v>45</v>
      </c>
      <c r="R11" s="408">
        <f>+$C$11</f>
        <v>611.69090254473713</v>
      </c>
      <c r="S11" s="408">
        <f>+$D$11</f>
        <v>602.54614960826098</v>
      </c>
      <c r="T11" s="408">
        <f>+$E$11</f>
        <v>607.61617454050611</v>
      </c>
      <c r="U11" s="408">
        <f>+$F$11</f>
        <v>621.0474565376071</v>
      </c>
      <c r="V11" s="408">
        <f>+$G$11</f>
        <v>639.49061483464607</v>
      </c>
      <c r="W11" s="408">
        <f>+$H$11</f>
        <v>664.29416466900204</v>
      </c>
      <c r="X11" s="408">
        <f>+$I$11</f>
        <v>693.67039977396098</v>
      </c>
      <c r="Y11" s="408">
        <f>+$J$11</f>
        <v>727.91599861875011</v>
      </c>
      <c r="Z11" s="408">
        <f>+$K$11</f>
        <v>762.01679742184899</v>
      </c>
      <c r="AA11" s="408">
        <f>+$L$11</f>
        <v>799.27713211577907</v>
      </c>
      <c r="AB11" s="408">
        <f>+$M$11</f>
        <v>857.94673854563302</v>
      </c>
      <c r="AE11" s="46" t="s">
        <v>56</v>
      </c>
      <c r="AF11" s="44" t="s">
        <v>45</v>
      </c>
      <c r="AG11" s="408">
        <f>+$C$11*q13a!$C$11</f>
        <v>71271165.51000005</v>
      </c>
      <c r="AH11" s="408">
        <f>+$D$11*q13a!$D$11</f>
        <v>65293708.409999982</v>
      </c>
      <c r="AI11" s="408">
        <f>+$E$11*q13a!$E$11</f>
        <v>67870119.079999998</v>
      </c>
      <c r="AJ11" s="408">
        <f>+$F$11*q13a!$F$11</f>
        <v>74875965.550000057</v>
      </c>
      <c r="AK11" s="408">
        <f>+$G$11*q13a!$G$11</f>
        <v>82646488.079999983</v>
      </c>
      <c r="AL11" s="408">
        <f>+$H$11*q13a!$H$11</f>
        <v>93664148.629999951</v>
      </c>
      <c r="AM11" s="408">
        <f>+$I$11*q13a!$I$11</f>
        <v>105566923.46000002</v>
      </c>
      <c r="AN11" s="408">
        <f>+$J$11*q13a!$J$11</f>
        <v>114885526.23000009</v>
      </c>
      <c r="AO11" s="408">
        <f>+$K$11*q13a!$K$11</f>
        <v>107231765.75000001</v>
      </c>
      <c r="AP11" s="408">
        <f>+$L$11*q13a!$L$11</f>
        <v>114486857.84999996</v>
      </c>
      <c r="AQ11" s="408">
        <f>+$M$11*q13a!$M$11</f>
        <v>139690887.96999997</v>
      </c>
    </row>
    <row r="12" spans="1:54" s="8" customFormat="1" ht="12.75" customHeight="1">
      <c r="A12" s="47"/>
      <c r="B12" s="48" t="str">
        <f>+'q20'!B12</f>
        <v>H</v>
      </c>
      <c r="C12" s="279">
        <f>+'q20'!C12</f>
        <v>642.96294998157703</v>
      </c>
      <c r="D12" s="279">
        <f>+'q20'!D12</f>
        <v>629.21193599529306</v>
      </c>
      <c r="E12" s="279">
        <f>+'q20'!E12</f>
        <v>629.14229378923096</v>
      </c>
      <c r="F12" s="279">
        <f>+'q20'!F12</f>
        <v>644.55126872143103</v>
      </c>
      <c r="G12" s="279">
        <f>+'q20'!G12</f>
        <v>660.61299372052213</v>
      </c>
      <c r="H12" s="279">
        <f>+'q20'!H12</f>
        <v>682.80784777397002</v>
      </c>
      <c r="I12" s="279">
        <f>+'q20'!I12</f>
        <v>713.12969075958802</v>
      </c>
      <c r="J12" s="279">
        <f>+'q20'!J12</f>
        <v>749.73658464271807</v>
      </c>
      <c r="K12" s="279">
        <f>+'q20'!K12</f>
        <v>781.77852721621196</v>
      </c>
      <c r="L12" s="279">
        <f>+'q20'!L12</f>
        <v>817.961168766112</v>
      </c>
      <c r="M12" s="279">
        <f>+'q20'!M12</f>
        <v>881.21667037140912</v>
      </c>
      <c r="N12" s="110"/>
      <c r="O12" s="200"/>
      <c r="P12" s="47"/>
      <c r="Q12" s="48" t="s">
        <v>53</v>
      </c>
      <c r="R12" s="408">
        <f>+$C$12</f>
        <v>642.96294998157703</v>
      </c>
      <c r="S12" s="408">
        <f>+$D$12</f>
        <v>629.21193599529306</v>
      </c>
      <c r="T12" s="408">
        <f>+$E$12</f>
        <v>629.14229378923096</v>
      </c>
      <c r="U12" s="408">
        <f>+$F$12</f>
        <v>644.55126872143103</v>
      </c>
      <c r="V12" s="408">
        <f>+$G$12</f>
        <v>660.61299372052213</v>
      </c>
      <c r="W12" s="408">
        <f>+$H$12</f>
        <v>682.80784777397002</v>
      </c>
      <c r="X12" s="408">
        <f>+$I$12</f>
        <v>713.12969075958802</v>
      </c>
      <c r="Y12" s="408">
        <f>+$J$12</f>
        <v>749.73658464271807</v>
      </c>
      <c r="Z12" s="408">
        <f>+$K$12</f>
        <v>781.77852721621196</v>
      </c>
      <c r="AA12" s="408">
        <f>+$L$12</f>
        <v>817.961168766112</v>
      </c>
      <c r="AB12" s="408">
        <f>+$M$12</f>
        <v>881.21667037140912</v>
      </c>
      <c r="AE12" s="47"/>
      <c r="AF12" s="48" t="s">
        <v>53</v>
      </c>
      <c r="AG12" s="408">
        <f>+$C$12*q13a!$C$12</f>
        <v>41880034.710000001</v>
      </c>
      <c r="AH12" s="408">
        <f>+$D$12*q13a!$D$12</f>
        <v>38497073.880000018</v>
      </c>
      <c r="AI12" s="408">
        <f>+$E$12*q13a!$E$12</f>
        <v>39891396.279999979</v>
      </c>
      <c r="AJ12" s="408">
        <f>+$F$12*q13a!$F$12</f>
        <v>43853334.670000002</v>
      </c>
      <c r="AK12" s="408">
        <f>+$G$12*q13a!$G$12</f>
        <v>48182469.310000002</v>
      </c>
      <c r="AL12" s="408">
        <f>+$H$12*q13a!$H$12</f>
        <v>54399984.039999969</v>
      </c>
      <c r="AM12" s="408">
        <f>+$I$12*q13a!$I$12</f>
        <v>62010192.259999976</v>
      </c>
      <c r="AN12" s="408">
        <f>+$J$12*q13a!$J$12</f>
        <v>67517528.12999998</v>
      </c>
      <c r="AO12" s="408">
        <f>+$K$12*q13a!$K$12</f>
        <v>63883814.129999973</v>
      </c>
      <c r="AP12" s="408">
        <f>+$L$12*q13a!$L$12</f>
        <v>66947667.779999971</v>
      </c>
      <c r="AQ12" s="408">
        <f>+$M$12*q13a!$M$12</f>
        <v>81665873.709999964</v>
      </c>
    </row>
    <row r="13" spans="1:54" s="8" customFormat="1" ht="12.75" customHeight="1">
      <c r="A13" s="46"/>
      <c r="B13" s="48" t="str">
        <f>+'q20'!B13</f>
        <v>M</v>
      </c>
      <c r="C13" s="279">
        <f>+'q20'!C13</f>
        <v>572.04559839623209</v>
      </c>
      <c r="D13" s="279">
        <f>+'q20'!D13</f>
        <v>567.96597138618108</v>
      </c>
      <c r="E13" s="279">
        <f>+'q20'!E13</f>
        <v>579.35358747644602</v>
      </c>
      <c r="F13" s="279">
        <f>+'q20'!F13</f>
        <v>590.60351590610503</v>
      </c>
      <c r="G13" s="279">
        <f>+'q20'!G13</f>
        <v>612.12778888849402</v>
      </c>
      <c r="H13" s="279">
        <f>+'q20'!H13</f>
        <v>640.242708594909</v>
      </c>
      <c r="I13" s="279">
        <f>+'q20'!I13</f>
        <v>667.73054529288197</v>
      </c>
      <c r="J13" s="279">
        <f>+'q20'!J13</f>
        <v>698.92137134257007</v>
      </c>
      <c r="K13" s="279">
        <f>+'q20'!K13</f>
        <v>734.64878603508214</v>
      </c>
      <c r="L13" s="279">
        <f>+'q20'!L13</f>
        <v>774.36741655943115</v>
      </c>
      <c r="M13" s="279">
        <f>+'q20'!M13</f>
        <v>827.20346505859197</v>
      </c>
      <c r="N13" s="110"/>
      <c r="O13" s="200"/>
      <c r="P13" s="46"/>
      <c r="Q13" s="48" t="s">
        <v>54</v>
      </c>
      <c r="R13" s="408">
        <f>+$C$13</f>
        <v>572.04559839623209</v>
      </c>
      <c r="S13" s="408">
        <f>+$D$13</f>
        <v>567.96597138618108</v>
      </c>
      <c r="T13" s="408">
        <f>+$E$13</f>
        <v>579.35358747644602</v>
      </c>
      <c r="U13" s="408">
        <f>+$F$13</f>
        <v>590.60351590610503</v>
      </c>
      <c r="V13" s="408">
        <f>+$G$13</f>
        <v>612.12778888849402</v>
      </c>
      <c r="W13" s="408">
        <f>+$H$13</f>
        <v>640.242708594909</v>
      </c>
      <c r="X13" s="408">
        <f>+$I$13</f>
        <v>667.73054529288197</v>
      </c>
      <c r="Y13" s="408">
        <f>+$J$13</f>
        <v>698.92137134257007</v>
      </c>
      <c r="Z13" s="408">
        <f>+$K$13</f>
        <v>734.64878603508214</v>
      </c>
      <c r="AA13" s="408">
        <f>+$L$13</f>
        <v>774.36741655943115</v>
      </c>
      <c r="AB13" s="408">
        <f>+$M$13</f>
        <v>827.20346505859197</v>
      </c>
      <c r="AE13" s="46"/>
      <c r="AF13" s="48" t="s">
        <v>54</v>
      </c>
      <c r="AG13" s="408">
        <f>+$C$13*q13a!$C$13</f>
        <v>29391130.800000008</v>
      </c>
      <c r="AH13" s="408">
        <f>+$D$13*q13a!$D$13</f>
        <v>26796634.530000024</v>
      </c>
      <c r="AI13" s="408">
        <f>+$E$13*q13a!$E$13</f>
        <v>27978722.800000008</v>
      </c>
      <c r="AJ13" s="408">
        <f>+$F$13*q13a!$F$13</f>
        <v>31022630.87999998</v>
      </c>
      <c r="AK13" s="408">
        <f>+$G$13*q13a!$G$13</f>
        <v>34464018.769999988</v>
      </c>
      <c r="AL13" s="408">
        <f>+$H$13*q13a!$H$13</f>
        <v>39264164.589999981</v>
      </c>
      <c r="AM13" s="408">
        <f>+$I$13*q13a!$I$13</f>
        <v>43556731.199999981</v>
      </c>
      <c r="AN13" s="408">
        <f>+$J$13*q13a!$J$13</f>
        <v>47367998.100000001</v>
      </c>
      <c r="AO13" s="408">
        <f>+$K$13*q13a!$K$13</f>
        <v>43347951.62000002</v>
      </c>
      <c r="AP13" s="408">
        <f>+$L$13*q13a!$L$13</f>
        <v>47539190.070000038</v>
      </c>
      <c r="AQ13" s="408">
        <f>+$M$13*q13a!$M$13</f>
        <v>58025014.25999999</v>
      </c>
    </row>
    <row r="14" spans="1:54" s="8" customFormat="1" ht="16.5" customHeight="1">
      <c r="A14" s="46" t="str">
        <f>+'q20'!A14</f>
        <v>25-29 anos</v>
      </c>
      <c r="B14" s="44" t="str">
        <f>+'q20'!B14</f>
        <v>T</v>
      </c>
      <c r="C14" s="277">
        <f>+'q20'!C14</f>
        <v>735.1380102899991</v>
      </c>
      <c r="D14" s="277">
        <f>+'q20'!D14</f>
        <v>727.85881381592412</v>
      </c>
      <c r="E14" s="277">
        <f>+'q20'!E14</f>
        <v>726.42566128350802</v>
      </c>
      <c r="F14" s="277">
        <f>+'q20'!F14</f>
        <v>735.23260957624109</v>
      </c>
      <c r="G14" s="277">
        <f>+'q20'!G14</f>
        <v>756.47195589581406</v>
      </c>
      <c r="H14" s="277">
        <f>+'q20'!H14</f>
        <v>788.46230547587209</v>
      </c>
      <c r="I14" s="277">
        <f>+'q20'!I14</f>
        <v>822.42678971007615</v>
      </c>
      <c r="J14" s="277">
        <f>+'q20'!J14</f>
        <v>863.94401535796806</v>
      </c>
      <c r="K14" s="277">
        <f>+'q20'!K14</f>
        <v>902.09509779645407</v>
      </c>
      <c r="L14" s="277">
        <f>+'q20'!L14</f>
        <v>951.349256505276</v>
      </c>
      <c r="M14" s="277">
        <f>+'q20'!M14</f>
        <v>1019.3075937905199</v>
      </c>
      <c r="N14" s="110"/>
      <c r="O14" s="200"/>
      <c r="P14" s="46" t="s">
        <v>57</v>
      </c>
      <c r="Q14" s="44" t="s">
        <v>45</v>
      </c>
      <c r="R14" s="8">
        <f>+$C$14*q13a!$C$14</f>
        <v>173746928.18000013</v>
      </c>
      <c r="S14" s="8">
        <f>+$D$14*q13a!$D$14</f>
        <v>160576572.2100001</v>
      </c>
      <c r="T14" s="8">
        <f>+$E$14*q13a!$E$14</f>
        <v>154735930.11000004</v>
      </c>
      <c r="U14" s="8">
        <f>+$F$14*q13a!$F$14</f>
        <v>159726343.50000006</v>
      </c>
      <c r="V14" s="8">
        <f>+$G$14*q13a!$G$14</f>
        <v>170250065.45000011</v>
      </c>
      <c r="W14" s="8">
        <f>+$H$14*q13a!$H$14</f>
        <v>185529122.79000008</v>
      </c>
      <c r="X14" s="8">
        <f>+$I$14*q13a!$I$14</f>
        <v>203618069.45000008</v>
      </c>
      <c r="Y14" s="8">
        <f>+$J$14*q13a!$J$14</f>
        <v>220964913.19999999</v>
      </c>
      <c r="Z14" s="8">
        <f>+$K$14*q13a!$K$14</f>
        <v>220043546.73000005</v>
      </c>
      <c r="AA14" s="8">
        <f>+$L$14*q13a!$L$14</f>
        <v>235670140.51999998</v>
      </c>
      <c r="AB14" s="8">
        <f>+$M$14*q13a!$M$14</f>
        <v>278273011.71999955</v>
      </c>
      <c r="AE14" s="46" t="s">
        <v>57</v>
      </c>
      <c r="AF14" s="44" t="s">
        <v>45</v>
      </c>
      <c r="AG14" s="8">
        <f>+$C$14*q13a!$C$14</f>
        <v>173746928.18000013</v>
      </c>
      <c r="AH14" s="8">
        <f>+$D$14*q13a!$D$14</f>
        <v>160576572.2100001</v>
      </c>
      <c r="AI14" s="8">
        <f>+$E$14*q13a!$E$14</f>
        <v>154735930.11000004</v>
      </c>
      <c r="AJ14" s="8">
        <f>+$F$14*q13a!$F$14</f>
        <v>159726343.50000006</v>
      </c>
      <c r="AK14" s="8">
        <f>+$G$14*q13a!$G$14</f>
        <v>170250065.45000011</v>
      </c>
      <c r="AL14" s="8">
        <f>+$H$14*q13a!$H$14</f>
        <v>185529122.79000008</v>
      </c>
      <c r="AM14" s="8">
        <f>+$I$14*q13a!$I$14</f>
        <v>203618069.45000008</v>
      </c>
      <c r="AN14" s="8">
        <f>+$J$14*q13a!$J$14</f>
        <v>220964913.19999999</v>
      </c>
      <c r="AO14" s="8">
        <f>+$K$14*q13a!$K$14</f>
        <v>220043546.73000005</v>
      </c>
      <c r="AP14" s="8">
        <f>+$L$14*q13a!$L$14</f>
        <v>235670140.51999998</v>
      </c>
      <c r="AQ14" s="8">
        <f>+$M$14*q13a!$M$14</f>
        <v>278273011.71999955</v>
      </c>
    </row>
    <row r="15" spans="1:54" s="8" customFormat="1" ht="12.75" customHeight="1">
      <c r="A15" s="47"/>
      <c r="B15" s="48" t="str">
        <f>+'q20'!B15</f>
        <v>H</v>
      </c>
      <c r="C15" s="279">
        <f>+'q20'!C15</f>
        <v>755.74132371100302</v>
      </c>
      <c r="D15" s="279">
        <f>+'q20'!D15</f>
        <v>752.13240502346605</v>
      </c>
      <c r="E15" s="279">
        <f>+'q20'!E15</f>
        <v>749.17645126379603</v>
      </c>
      <c r="F15" s="279">
        <f>+'q20'!F15</f>
        <v>763.38942191696401</v>
      </c>
      <c r="G15" s="279">
        <f>+'q20'!G15</f>
        <v>785.22978517323816</v>
      </c>
      <c r="H15" s="279">
        <f>+'q20'!H15</f>
        <v>819.21955167319709</v>
      </c>
      <c r="I15" s="279">
        <f>+'q20'!I15</f>
        <v>854.04491538286402</v>
      </c>
      <c r="J15" s="279">
        <f>+'q20'!J15</f>
        <v>896.08785870511406</v>
      </c>
      <c r="K15" s="279">
        <f>+'q20'!K15</f>
        <v>930.38717934325007</v>
      </c>
      <c r="L15" s="279">
        <f>+'q20'!L15</f>
        <v>984.61962080335695</v>
      </c>
      <c r="M15" s="279">
        <f>+'q20'!M15</f>
        <v>1055.5524542164001</v>
      </c>
      <c r="N15" s="110"/>
      <c r="O15" s="200"/>
      <c r="P15" s="47"/>
      <c r="Q15" s="48" t="s">
        <v>53</v>
      </c>
      <c r="R15" s="8">
        <f>+$C$15*q13a!$C$15</f>
        <v>92415827.770000011</v>
      </c>
      <c r="S15" s="8">
        <f>+$D$15*q13a!$D$15</f>
        <v>86061246.180000052</v>
      </c>
      <c r="T15" s="8">
        <f>+$E$15*q13a!$E$15</f>
        <v>83762422.309999973</v>
      </c>
      <c r="U15" s="8">
        <f>+$F$15*q13a!$F$15</f>
        <v>86694319.700000018</v>
      </c>
      <c r="V15" s="8">
        <f>+$G$15*q13a!$G$15</f>
        <v>92987696.39000003</v>
      </c>
      <c r="W15" s="8">
        <f>+$H$15*q13a!$H$15</f>
        <v>102035433.60000004</v>
      </c>
      <c r="X15" s="8">
        <f>+$I$15*q13a!$I$15</f>
        <v>112537498.49999999</v>
      </c>
      <c r="Y15" s="8">
        <f>+$J$15*q13a!$J$15</f>
        <v>122501482.90000002</v>
      </c>
      <c r="Z15" s="8">
        <f>+$K$15*q13a!$K$15</f>
        <v>122653872.23999999</v>
      </c>
      <c r="AA15" s="8">
        <f>+$L$15*q13a!$L$15</f>
        <v>131387642.19999996</v>
      </c>
      <c r="AB15" s="8">
        <f>+$M$15*q13a!$M$15</f>
        <v>156890983.48000041</v>
      </c>
      <c r="AE15" s="47"/>
      <c r="AF15" s="48" t="s">
        <v>53</v>
      </c>
      <c r="AG15" s="8">
        <f>+$C$15*q13a!$C$15</f>
        <v>92415827.770000011</v>
      </c>
      <c r="AH15" s="8">
        <f>+$D$15*q13a!$D$15</f>
        <v>86061246.180000052</v>
      </c>
      <c r="AI15" s="8">
        <f>+$E$15*q13a!$E$15</f>
        <v>83762422.309999973</v>
      </c>
      <c r="AJ15" s="8">
        <f>+$F$15*q13a!$F$15</f>
        <v>86694319.700000018</v>
      </c>
      <c r="AK15" s="8">
        <f>+$G$15*q13a!$G$15</f>
        <v>92987696.39000003</v>
      </c>
      <c r="AL15" s="8">
        <f>+$H$15*q13a!$H$15</f>
        <v>102035433.60000004</v>
      </c>
      <c r="AM15" s="8">
        <f>+$I$15*q13a!$I$15</f>
        <v>112537498.49999999</v>
      </c>
      <c r="AN15" s="8">
        <f>+$J$15*q13a!$J$15</f>
        <v>122501482.90000002</v>
      </c>
      <c r="AO15" s="8">
        <f>+$K$15*q13a!$K$15</f>
        <v>122653872.23999999</v>
      </c>
      <c r="AP15" s="8">
        <f>+$L$15*q13a!$L$15</f>
        <v>131387642.19999996</v>
      </c>
      <c r="AQ15" s="8">
        <f>+$M$15*q13a!$M$15</f>
        <v>156890983.48000041</v>
      </c>
    </row>
    <row r="16" spans="1:54" s="8" customFormat="1" ht="12.75" customHeight="1">
      <c r="A16" s="46"/>
      <c r="B16" s="48" t="str">
        <f>+'q20'!B16</f>
        <v>M</v>
      </c>
      <c r="C16" s="279">
        <f>+'q20'!C16</f>
        <v>713.04916150130214</v>
      </c>
      <c r="D16" s="279">
        <f>+'q20'!D16</f>
        <v>701.70376327783606</v>
      </c>
      <c r="E16" s="279">
        <f>+'q20'!E16</f>
        <v>701.29152800284612</v>
      </c>
      <c r="F16" s="279">
        <f>+'q20'!F16</f>
        <v>704.39158380031108</v>
      </c>
      <c r="G16" s="279">
        <f>+'q20'!G16</f>
        <v>724.53622157412497</v>
      </c>
      <c r="H16" s="279">
        <f>+'q20'!H16</f>
        <v>753.87293518008505</v>
      </c>
      <c r="I16" s="279">
        <f>+'q20'!I16</f>
        <v>786.451930283563</v>
      </c>
      <c r="J16" s="279">
        <f>+'q20'!J16</f>
        <v>827.03459128477414</v>
      </c>
      <c r="K16" s="279">
        <f>+'q20'!K16</f>
        <v>868.82147563651904</v>
      </c>
      <c r="L16" s="279">
        <f>+'q20'!L16</f>
        <v>912.50151659928906</v>
      </c>
      <c r="M16" s="279">
        <f>+'q20'!M16</f>
        <v>975.99083558471602</v>
      </c>
      <c r="N16" s="110"/>
      <c r="O16" s="200"/>
      <c r="P16" s="46"/>
      <c r="Q16" s="48" t="s">
        <v>54</v>
      </c>
      <c r="R16" s="8">
        <f>+$C$16*q13a!$C$16</f>
        <v>81331100.410000026</v>
      </c>
      <c r="S16" s="8">
        <f>+$D$16*q13a!$D$16</f>
        <v>74515326.029999971</v>
      </c>
      <c r="T16" s="8">
        <f>+$E$16*q13a!$E$16</f>
        <v>70973507.800000042</v>
      </c>
      <c r="U16" s="8">
        <f>+$F$16*q13a!$F$16</f>
        <v>73032023.800000057</v>
      </c>
      <c r="V16" s="8">
        <f>+$G$16*q13a!$G$16</f>
        <v>77262369.059999958</v>
      </c>
      <c r="W16" s="8">
        <f>+$H$16*q13a!$H$16</f>
        <v>83493689.189999953</v>
      </c>
      <c r="X16" s="8">
        <f>+$I$16*q13a!$I$16</f>
        <v>91080570.950000003</v>
      </c>
      <c r="Y16" s="8">
        <f>+$J$16*q13a!$J$16</f>
        <v>98463430.300000072</v>
      </c>
      <c r="Z16" s="8">
        <f>+$K$16*q13a!$K$16</f>
        <v>97389674.489999965</v>
      </c>
      <c r="AA16" s="8">
        <f>+$L$16*q13a!$L$16</f>
        <v>104282498.31999995</v>
      </c>
      <c r="AB16" s="8">
        <f>+$M$16*q13a!$M$16</f>
        <v>121382028.23999996</v>
      </c>
      <c r="AE16" s="46"/>
      <c r="AF16" s="48" t="s">
        <v>54</v>
      </c>
      <c r="AG16" s="8">
        <f>+$C$16*q13a!$C$16</f>
        <v>81331100.410000026</v>
      </c>
      <c r="AH16" s="8">
        <f>+$D$16*q13a!$D$16</f>
        <v>74515326.029999971</v>
      </c>
      <c r="AI16" s="8">
        <f>+$E$16*q13a!$E$16</f>
        <v>70973507.800000042</v>
      </c>
      <c r="AJ16" s="8">
        <f>+$F$16*q13a!$F$16</f>
        <v>73032023.800000057</v>
      </c>
      <c r="AK16" s="8">
        <f>+$G$16*q13a!$G$16</f>
        <v>77262369.059999958</v>
      </c>
      <c r="AL16" s="8">
        <f>+$H$16*q13a!$H$16</f>
        <v>83493689.189999953</v>
      </c>
      <c r="AM16" s="8">
        <f>+$I$16*q13a!$I$16</f>
        <v>91080570.950000003</v>
      </c>
      <c r="AN16" s="8">
        <f>+$J$16*q13a!$J$16</f>
        <v>98463430.300000072</v>
      </c>
      <c r="AO16" s="8">
        <f>+$K$16*q13a!$K$16</f>
        <v>97389674.489999965</v>
      </c>
      <c r="AP16" s="8">
        <f>+$L$16*q13a!$L$16</f>
        <v>104282498.31999995</v>
      </c>
      <c r="AQ16" s="8">
        <f>+$M$16*q13a!$M$16</f>
        <v>121382028.23999996</v>
      </c>
    </row>
    <row r="17" spans="1:43" s="8" customFormat="1" ht="16.5" customHeight="1">
      <c r="A17" s="46" t="str">
        <f>+'q20'!A17</f>
        <v>30-34 anos</v>
      </c>
      <c r="B17" s="44" t="str">
        <f>+'q20'!B17</f>
        <v>T</v>
      </c>
      <c r="C17" s="277">
        <f>+'q20'!C17</f>
        <v>852.77524895631802</v>
      </c>
      <c r="D17" s="277">
        <f>+'q20'!D17</f>
        <v>837.54944076815502</v>
      </c>
      <c r="E17" s="277">
        <f>+'q20'!E17</f>
        <v>829.86798946087015</v>
      </c>
      <c r="F17" s="277">
        <f>+'q20'!F17</f>
        <v>834.19469236995508</v>
      </c>
      <c r="G17" s="277">
        <f>+'q20'!G17</f>
        <v>845.28875314703112</v>
      </c>
      <c r="H17" s="277">
        <f>+'q20'!H17</f>
        <v>867.49853014274299</v>
      </c>
      <c r="I17" s="277">
        <f>+'q20'!I17</f>
        <v>902.9347997266691</v>
      </c>
      <c r="J17" s="277">
        <f>+'q20'!J17</f>
        <v>948.00951485441306</v>
      </c>
      <c r="K17" s="277">
        <f>+'q20'!K17</f>
        <v>986.97880220577304</v>
      </c>
      <c r="L17" s="277">
        <f>+'q20'!L17</f>
        <v>1040.01288365244</v>
      </c>
      <c r="M17" s="277">
        <f>+'q20'!M17</f>
        <v>1112.69809668893</v>
      </c>
      <c r="N17" s="110"/>
      <c r="O17" s="200"/>
      <c r="P17" s="46" t="s">
        <v>58</v>
      </c>
      <c r="Q17" s="44" t="s">
        <v>45</v>
      </c>
      <c r="R17" s="8">
        <f>+$C$17*q13a!$C$17</f>
        <v>259628277.31999999</v>
      </c>
      <c r="S17" s="8">
        <f>+$D$17*q13a!$D$17</f>
        <v>245544369.55000001</v>
      </c>
      <c r="T17" s="8">
        <f>+$E$17*q13a!$E$17</f>
        <v>238587046.97000018</v>
      </c>
      <c r="U17" s="8">
        <f>+$F$17*q13a!$F$17</f>
        <v>236011196.56000006</v>
      </c>
      <c r="V17" s="8">
        <f>+$G$17*q13a!$G$17</f>
        <v>235359664.55999991</v>
      </c>
      <c r="W17" s="8">
        <f>+$H$17*q13a!$H$17</f>
        <v>239446944.28999993</v>
      </c>
      <c r="X17" s="8">
        <f>+$I$17*q13a!$I$17</f>
        <v>248419033.84000012</v>
      </c>
      <c r="Y17" s="8">
        <f>+$J$17*q13a!$J$17</f>
        <v>259715738.68000016</v>
      </c>
      <c r="Z17" s="8">
        <f>+$K$17*q13a!$K$17</f>
        <v>259880401.42999989</v>
      </c>
      <c r="AA17" s="8">
        <f>+$L$17*q13a!$L$17</f>
        <v>276862869.76999968</v>
      </c>
      <c r="AB17" s="8">
        <f>+$M$17*q13a!$M$17</f>
        <v>322477711.58999896</v>
      </c>
      <c r="AE17" s="46" t="s">
        <v>58</v>
      </c>
      <c r="AF17" s="44" t="s">
        <v>45</v>
      </c>
      <c r="AG17" s="8">
        <f>+$C$17*q13a!$C$17</f>
        <v>259628277.31999999</v>
      </c>
      <c r="AH17" s="8">
        <f>+$D$17*q13a!$D$17</f>
        <v>245544369.55000001</v>
      </c>
      <c r="AI17" s="8">
        <f>+$E$17*q13a!$E$17</f>
        <v>238587046.97000018</v>
      </c>
      <c r="AJ17" s="8">
        <f>+$F$17*q13a!$F$17</f>
        <v>236011196.56000006</v>
      </c>
      <c r="AK17" s="8">
        <f>+$G$17*q13a!$G$17</f>
        <v>235359664.55999991</v>
      </c>
      <c r="AL17" s="8">
        <f>+$H$17*q13a!$H$17</f>
        <v>239446944.28999993</v>
      </c>
      <c r="AM17" s="8">
        <f>+$I$17*q13a!$I$17</f>
        <v>248419033.84000012</v>
      </c>
      <c r="AN17" s="8">
        <f>+$J$17*q13a!$J$17</f>
        <v>259715738.68000016</v>
      </c>
      <c r="AO17" s="8">
        <f>+$K$17*q13a!$K$17</f>
        <v>259880401.42999989</v>
      </c>
      <c r="AP17" s="8">
        <f>+$L$17*q13a!$L$17</f>
        <v>276862869.76999968</v>
      </c>
      <c r="AQ17" s="8">
        <f>+$M$17*q13a!$M$17</f>
        <v>322477711.58999896</v>
      </c>
    </row>
    <row r="18" spans="1:43" s="8" customFormat="1" ht="12.75" customHeight="1">
      <c r="A18" s="47"/>
      <c r="B18" s="48" t="str">
        <f>+'q20'!B18</f>
        <v>H</v>
      </c>
      <c r="C18" s="279">
        <f>+'q20'!C18</f>
        <v>890.96357190790707</v>
      </c>
      <c r="D18" s="279">
        <f>+'q20'!D18</f>
        <v>870.42257176986607</v>
      </c>
      <c r="E18" s="279">
        <f>+'q20'!E18</f>
        <v>857.082091950071</v>
      </c>
      <c r="F18" s="279">
        <f>+'q20'!F18</f>
        <v>864.50910915165593</v>
      </c>
      <c r="G18" s="279">
        <f>+'q20'!G18</f>
        <v>873.34799613331916</v>
      </c>
      <c r="H18" s="279">
        <f>+'q20'!H18</f>
        <v>898.32755977118597</v>
      </c>
      <c r="I18" s="279">
        <f>+'q20'!I18</f>
        <v>942.24881774096707</v>
      </c>
      <c r="J18" s="279">
        <f>+'q20'!J18</f>
        <v>988.77267833750898</v>
      </c>
      <c r="K18" s="279">
        <f>+'q20'!K18</f>
        <v>1026.54050301394</v>
      </c>
      <c r="L18" s="279">
        <f>+'q20'!L18</f>
        <v>1081.75903798488</v>
      </c>
      <c r="M18" s="279">
        <f>+'q20'!M18</f>
        <v>1155.0327783496798</v>
      </c>
      <c r="N18" s="110"/>
      <c r="O18" s="200"/>
      <c r="P18" s="47"/>
      <c r="Q18" s="48" t="s">
        <v>53</v>
      </c>
      <c r="R18" s="8">
        <f>+$C$18*q13a!$C$18</f>
        <v>142061468.65000007</v>
      </c>
      <c r="S18" s="8">
        <f>+$D$18*q13a!$D$18</f>
        <v>133346997.14999995</v>
      </c>
      <c r="T18" s="8">
        <f>+$E$18*q13a!$E$18</f>
        <v>129638808.89999995</v>
      </c>
      <c r="U18" s="8">
        <f>+$F$18*q13a!$F$18</f>
        <v>128339835.28999993</v>
      </c>
      <c r="V18" s="8">
        <f>+$G$18*q13a!$G$18</f>
        <v>128291327.24000005</v>
      </c>
      <c r="W18" s="8">
        <f>+$H$18*q13a!$H$18</f>
        <v>132071219.50999999</v>
      </c>
      <c r="X18" s="8">
        <f>+$I$18*q13a!$I$18</f>
        <v>139704405.45999998</v>
      </c>
      <c r="Y18" s="8">
        <f>+$J$18*q13a!$J$18</f>
        <v>147189689.66999993</v>
      </c>
      <c r="Z18" s="8">
        <f>+$K$18*q13a!$K$18</f>
        <v>148670781.42999989</v>
      </c>
      <c r="AA18" s="8">
        <f>+$L$18*q13a!$L$18</f>
        <v>158426856.38999963</v>
      </c>
      <c r="AB18" s="8">
        <f>+$M$18*q13a!$M$18</f>
        <v>186253655.63999927</v>
      </c>
      <c r="AE18" s="47"/>
      <c r="AF18" s="48" t="s">
        <v>53</v>
      </c>
      <c r="AG18" s="8">
        <f>+$C$18*q13a!$C$18</f>
        <v>142061468.65000007</v>
      </c>
      <c r="AH18" s="8">
        <f>+$D$18*q13a!$D$18</f>
        <v>133346997.14999995</v>
      </c>
      <c r="AI18" s="8">
        <f>+$E$18*q13a!$E$18</f>
        <v>129638808.89999995</v>
      </c>
      <c r="AJ18" s="8">
        <f>+$F$18*q13a!$F$18</f>
        <v>128339835.28999993</v>
      </c>
      <c r="AK18" s="8">
        <f>+$G$18*q13a!$G$18</f>
        <v>128291327.24000005</v>
      </c>
      <c r="AL18" s="8">
        <f>+$H$18*q13a!$H$18</f>
        <v>132071219.50999999</v>
      </c>
      <c r="AM18" s="8">
        <f>+$I$18*q13a!$I$18</f>
        <v>139704405.45999998</v>
      </c>
      <c r="AN18" s="8">
        <f>+$J$18*q13a!$J$18</f>
        <v>147189689.66999993</v>
      </c>
      <c r="AO18" s="8">
        <f>+$K$18*q13a!$K$18</f>
        <v>148670781.42999989</v>
      </c>
      <c r="AP18" s="8">
        <f>+$L$18*q13a!$L$18</f>
        <v>158426856.38999963</v>
      </c>
      <c r="AQ18" s="8">
        <f>+$M$18*q13a!$M$18</f>
        <v>186253655.63999927</v>
      </c>
    </row>
    <row r="19" spans="1:43" s="8" customFormat="1" ht="12.75" customHeight="1">
      <c r="A19" s="46"/>
      <c r="B19" s="48" t="str">
        <f>+'q20'!B19</f>
        <v>M</v>
      </c>
      <c r="C19" s="279">
        <f>+'q20'!C19</f>
        <v>810.78321060108715</v>
      </c>
      <c r="D19" s="279">
        <f>+'q20'!D19</f>
        <v>801.57011688051909</v>
      </c>
      <c r="E19" s="279">
        <f>+'q20'!E19</f>
        <v>799.65531010539905</v>
      </c>
      <c r="F19" s="279">
        <f>+'q20'!F19</f>
        <v>800.72702796968815</v>
      </c>
      <c r="G19" s="279">
        <f>+'q20'!G19</f>
        <v>813.95410799674607</v>
      </c>
      <c r="H19" s="279">
        <f>+'q20'!H19</f>
        <v>832.36350710459601</v>
      </c>
      <c r="I19" s="279">
        <f>+'q20'!I19</f>
        <v>856.98564824960408</v>
      </c>
      <c r="J19" s="279">
        <f>+'q20'!J19</f>
        <v>899.50318158563709</v>
      </c>
      <c r="K19" s="279">
        <f>+'q20'!K19</f>
        <v>938.62038115494306</v>
      </c>
      <c r="L19" s="279">
        <f>+'q20'!L19</f>
        <v>988.96118321949314</v>
      </c>
      <c r="M19" s="279">
        <f>+'q20'!M19</f>
        <v>1059.5981390302002</v>
      </c>
      <c r="N19" s="110"/>
      <c r="O19" s="200"/>
      <c r="P19" s="46"/>
      <c r="Q19" s="48" t="s">
        <v>54</v>
      </c>
      <c r="R19" s="8">
        <f>+$C$19*q13a!$C$19</f>
        <v>117566808.67000005</v>
      </c>
      <c r="S19" s="8">
        <f>+$D$19*q13a!$D$19</f>
        <v>112197372.40000002</v>
      </c>
      <c r="T19" s="8">
        <f>+$E$19*q13a!$E$19</f>
        <v>108948238.06999999</v>
      </c>
      <c r="U19" s="8">
        <f>+$F$19*q13a!$F$19</f>
        <v>107671361.27000006</v>
      </c>
      <c r="V19" s="8">
        <f>+$G$19*q13a!$G$19</f>
        <v>107068337.31999998</v>
      </c>
      <c r="W19" s="8">
        <f>+$H$19*q13a!$H$19</f>
        <v>107375724.77999999</v>
      </c>
      <c r="X19" s="8">
        <f>+$I$19*q13a!$I$19</f>
        <v>108714628.38000003</v>
      </c>
      <c r="Y19" s="8">
        <f>+$J$19*q13a!$J$19</f>
        <v>112526049.01000004</v>
      </c>
      <c r="Z19" s="8">
        <f>+$K$19*q13a!$K$19</f>
        <v>111209619.99999997</v>
      </c>
      <c r="AA19" s="8">
        <f>+$L$19*q13a!$L$19</f>
        <v>118436013.38000005</v>
      </c>
      <c r="AB19" s="8">
        <f>+$M$19*q13a!$M$19</f>
        <v>136224055.95000058</v>
      </c>
      <c r="AE19" s="46"/>
      <c r="AF19" s="48" t="s">
        <v>54</v>
      </c>
      <c r="AG19" s="8">
        <f>+$C$19*q13a!$C$19</f>
        <v>117566808.67000005</v>
      </c>
      <c r="AH19" s="8">
        <f>+$D$19*q13a!$D$19</f>
        <v>112197372.40000002</v>
      </c>
      <c r="AI19" s="8">
        <f>+$E$19*q13a!$E$19</f>
        <v>108948238.06999999</v>
      </c>
      <c r="AJ19" s="8">
        <f>+$F$19*q13a!$F$19</f>
        <v>107671361.27000006</v>
      </c>
      <c r="AK19" s="8">
        <f>+$G$19*q13a!$G$19</f>
        <v>107068337.31999998</v>
      </c>
      <c r="AL19" s="8">
        <f>+$H$19*q13a!$H$19</f>
        <v>107375724.77999999</v>
      </c>
      <c r="AM19" s="8">
        <f>+$I$19*q13a!$I$19</f>
        <v>108714628.38000003</v>
      </c>
      <c r="AN19" s="8">
        <f>+$J$19*q13a!$J$19</f>
        <v>112526049.01000004</v>
      </c>
      <c r="AO19" s="8">
        <f>+$K$19*q13a!$K$19</f>
        <v>111209619.99999997</v>
      </c>
      <c r="AP19" s="8">
        <f>+$L$19*q13a!$L$19</f>
        <v>118436013.38000005</v>
      </c>
      <c r="AQ19" s="8">
        <f>+$M$19*q13a!$M$19</f>
        <v>136224055.95000058</v>
      </c>
    </row>
    <row r="20" spans="1:43" s="8" customFormat="1" ht="16.5" customHeight="1">
      <c r="A20" s="46" t="str">
        <f>+'q20'!A20</f>
        <v>35-39 anos</v>
      </c>
      <c r="B20" s="44" t="str">
        <f>+'q20'!B20</f>
        <v>T</v>
      </c>
      <c r="C20" s="277">
        <f>+'q20'!C20</f>
        <v>962.64735882218406</v>
      </c>
      <c r="D20" s="277">
        <f>+'q20'!D20</f>
        <v>951.11430619383202</v>
      </c>
      <c r="E20" s="277">
        <f>+'q20'!E20</f>
        <v>940.30128029609602</v>
      </c>
      <c r="F20" s="277">
        <f>+'q20'!F20</f>
        <v>935.92378616510007</v>
      </c>
      <c r="G20" s="277">
        <f>+'q20'!G20</f>
        <v>943.38839742194602</v>
      </c>
      <c r="H20" s="277">
        <f>+'q20'!H20</f>
        <v>956.28265711415099</v>
      </c>
      <c r="I20" s="277">
        <f>+'q20'!I20</f>
        <v>979.27003303384311</v>
      </c>
      <c r="J20" s="277">
        <f>+'q20'!J20</f>
        <v>1016.5148496624599</v>
      </c>
      <c r="K20" s="277">
        <f>+'q20'!K20</f>
        <v>1049.2229734638299</v>
      </c>
      <c r="L20" s="277">
        <f>+'q20'!L20</f>
        <v>1092.9328605440401</v>
      </c>
      <c r="M20" s="277">
        <f>+'q20'!M20</f>
        <v>1163.12796737754</v>
      </c>
      <c r="N20" s="158"/>
      <c r="O20" s="200"/>
      <c r="P20" s="46" t="s">
        <v>59</v>
      </c>
      <c r="Q20" s="44" t="s">
        <v>45</v>
      </c>
      <c r="R20" s="8">
        <f>+$C$20*q13a!$C$20</f>
        <v>319864613.80000001</v>
      </c>
      <c r="S20" s="8">
        <f>+$D$20*q13a!$D$20</f>
        <v>311892256.63</v>
      </c>
      <c r="T20" s="8">
        <f>+$E$20*q13a!$E$20</f>
        <v>307150353.51000005</v>
      </c>
      <c r="U20" s="8">
        <f>+$F$20*q13a!$F$20</f>
        <v>305924472.06000012</v>
      </c>
      <c r="V20" s="8">
        <f>+$G$20*q13a!$G$20</f>
        <v>303429557.36999989</v>
      </c>
      <c r="W20" s="8">
        <f>+$H$20*q13a!$H$20</f>
        <v>305529440.0999999</v>
      </c>
      <c r="X20" s="8">
        <f>+$I$20*q13a!$I$20</f>
        <v>312156032.80999994</v>
      </c>
      <c r="Y20" s="8">
        <f>+$J$20*q13a!$J$20</f>
        <v>320429876.96999925</v>
      </c>
      <c r="Z20" s="8">
        <f>+$K$20*q13a!$K$20</f>
        <v>311965466.70000052</v>
      </c>
      <c r="AA20" s="8">
        <f>+$L$20*q13a!$L$20</f>
        <v>317207368.77999949</v>
      </c>
      <c r="AB20" s="8">
        <f>+$M$20*q13a!$M$20</f>
        <v>352762754.96999937</v>
      </c>
      <c r="AE20" s="46" t="s">
        <v>59</v>
      </c>
      <c r="AF20" s="44" t="s">
        <v>45</v>
      </c>
      <c r="AG20" s="8">
        <f>+$C$20*q13a!$C$20</f>
        <v>319864613.80000001</v>
      </c>
      <c r="AH20" s="8">
        <f>+$D$20*q13a!$D$20</f>
        <v>311892256.63</v>
      </c>
      <c r="AI20" s="8">
        <f>+$E$20*q13a!$E$20</f>
        <v>307150353.51000005</v>
      </c>
      <c r="AJ20" s="8">
        <f>+$F$20*q13a!$F$20</f>
        <v>305924472.06000012</v>
      </c>
      <c r="AK20" s="8">
        <f>+$G$20*q13a!$G$20</f>
        <v>303429557.36999989</v>
      </c>
      <c r="AL20" s="8">
        <f>+$H$20*q13a!$H$20</f>
        <v>305529440.0999999</v>
      </c>
      <c r="AM20" s="8">
        <f>+$I$20*q13a!$I$20</f>
        <v>312156032.80999994</v>
      </c>
      <c r="AN20" s="8">
        <f>+$J$20*q13a!$J$20</f>
        <v>320429876.96999925</v>
      </c>
      <c r="AO20" s="8">
        <f>+$K$20*q13a!$K$20</f>
        <v>311965466.70000052</v>
      </c>
      <c r="AP20" s="8">
        <f>+$L$20*q13a!$L$20</f>
        <v>317207368.77999949</v>
      </c>
      <c r="AQ20" s="8">
        <f>+$M$20*q13a!$M$20</f>
        <v>352762754.96999937</v>
      </c>
    </row>
    <row r="21" spans="1:43" s="8" customFormat="1" ht="12.75" customHeight="1">
      <c r="A21" s="47"/>
      <c r="B21" s="48" t="str">
        <f>+'q20'!B21</f>
        <v>H</v>
      </c>
      <c r="C21" s="279">
        <f>+'q20'!C21</f>
        <v>1029.21657006288</v>
      </c>
      <c r="D21" s="279">
        <f>+'q20'!D21</f>
        <v>1010.1658468108801</v>
      </c>
      <c r="E21" s="279">
        <f>+'q20'!E21</f>
        <v>993.53723208171311</v>
      </c>
      <c r="F21" s="279">
        <f>+'q20'!F21</f>
        <v>987.57056445114006</v>
      </c>
      <c r="G21" s="279">
        <f>+'q20'!G21</f>
        <v>992.66329244153712</v>
      </c>
      <c r="H21" s="279">
        <f>+'q20'!H21</f>
        <v>1003.7602139460201</v>
      </c>
      <c r="I21" s="279">
        <f>+'q20'!I21</f>
        <v>1027.1818406526802</v>
      </c>
      <c r="J21" s="279">
        <f>+'q20'!J21</f>
        <v>1066.0221173000002</v>
      </c>
      <c r="K21" s="279">
        <f>+'q20'!K21</f>
        <v>1097.28837884585</v>
      </c>
      <c r="L21" s="279">
        <f>+'q20'!L21</f>
        <v>1149.92509696416</v>
      </c>
      <c r="M21" s="279">
        <f>+'q20'!M21</f>
        <v>1230.6062884499602</v>
      </c>
      <c r="N21" s="110"/>
      <c r="O21" s="200"/>
      <c r="P21" s="47"/>
      <c r="Q21" s="48" t="s">
        <v>53</v>
      </c>
      <c r="R21" s="8">
        <f>+$C$21*q13a!$C$21</f>
        <v>180869373.94000021</v>
      </c>
      <c r="S21" s="8">
        <f>+$D$21*q13a!$D$21</f>
        <v>174325330.35000038</v>
      </c>
      <c r="T21" s="8">
        <f>+$E$21*q13a!$E$21</f>
        <v>171196400.45999998</v>
      </c>
      <c r="U21" s="8">
        <f>+$F$21*q13a!$F$21</f>
        <v>169117508.87999994</v>
      </c>
      <c r="V21" s="8">
        <f>+$G$21*q13a!$G$21</f>
        <v>167500018.6400001</v>
      </c>
      <c r="W21" s="8">
        <f>+$H$21*q13a!$H$21</f>
        <v>168852543.18999952</v>
      </c>
      <c r="X21" s="8">
        <f>+$I$21*q13a!$I$21</f>
        <v>173621464.98000059</v>
      </c>
      <c r="Y21" s="8">
        <f>+$J$21*q13a!$J$21</f>
        <v>179597010.19000024</v>
      </c>
      <c r="Z21" s="8">
        <f>+$K$21*q13a!$K$21</f>
        <v>176361674.68999925</v>
      </c>
      <c r="AA21" s="8">
        <f>+$L$21*q13a!$L$21</f>
        <v>181209796.4800002</v>
      </c>
      <c r="AB21" s="8">
        <f>+$M$21*q13a!$M$21</f>
        <v>204354480.26000038</v>
      </c>
      <c r="AE21" s="47"/>
      <c r="AF21" s="48" t="s">
        <v>53</v>
      </c>
      <c r="AG21" s="8">
        <f>+$C$21*q13a!$C$21</f>
        <v>180869373.94000021</v>
      </c>
      <c r="AH21" s="8">
        <f>+$D$21*q13a!$D$21</f>
        <v>174325330.35000038</v>
      </c>
      <c r="AI21" s="8">
        <f>+$E$21*q13a!$E$21</f>
        <v>171196400.45999998</v>
      </c>
      <c r="AJ21" s="8">
        <f>+$F$21*q13a!$F$21</f>
        <v>169117508.87999994</v>
      </c>
      <c r="AK21" s="8">
        <f>+$G$21*q13a!$G$21</f>
        <v>167500018.6400001</v>
      </c>
      <c r="AL21" s="8">
        <f>+$H$21*q13a!$H$21</f>
        <v>168852543.18999952</v>
      </c>
      <c r="AM21" s="8">
        <f>+$I$21*q13a!$I$21</f>
        <v>173621464.98000059</v>
      </c>
      <c r="AN21" s="8">
        <f>+$J$21*q13a!$J$21</f>
        <v>179597010.19000024</v>
      </c>
      <c r="AO21" s="8">
        <f>+$K$21*q13a!$K$21</f>
        <v>176361674.68999925</v>
      </c>
      <c r="AP21" s="8">
        <f>+$L$21*q13a!$L$21</f>
        <v>181209796.4800002</v>
      </c>
      <c r="AQ21" s="8">
        <f>+$M$21*q13a!$M$21</f>
        <v>204354480.26000038</v>
      </c>
    </row>
    <row r="22" spans="1:43" s="8" customFormat="1" ht="12.75" customHeight="1">
      <c r="A22" s="46"/>
      <c r="B22" s="48" t="str">
        <f>+'q20'!B22</f>
        <v>M</v>
      </c>
      <c r="C22" s="279">
        <f>+'q20'!C22</f>
        <v>887.91588056802993</v>
      </c>
      <c r="D22" s="279">
        <f>+'q20'!D22</f>
        <v>885.51757479787807</v>
      </c>
      <c r="E22" s="279">
        <f>+'q20'!E22</f>
        <v>880.86738488152901</v>
      </c>
      <c r="F22" s="279">
        <f>+'q20'!F22</f>
        <v>879.09218547387013</v>
      </c>
      <c r="G22" s="279">
        <f>+'q20'!G22</f>
        <v>889.00940961412709</v>
      </c>
      <c r="H22" s="279">
        <f>+'q20'!H22</f>
        <v>903.48762144939406</v>
      </c>
      <c r="I22" s="279">
        <f>+'q20'!I22</f>
        <v>925.18594489004113</v>
      </c>
      <c r="J22" s="279">
        <f>+'q20'!J22</f>
        <v>959.67881962521301</v>
      </c>
      <c r="K22" s="279">
        <f>+'q20'!K22</f>
        <v>992.67078079133307</v>
      </c>
      <c r="L22" s="279">
        <f>+'q20'!L22</f>
        <v>1025.2283985797301</v>
      </c>
      <c r="M22" s="279">
        <f>+'q20'!M22</f>
        <v>1081.4722557349803</v>
      </c>
      <c r="N22" s="110"/>
      <c r="O22" s="200"/>
      <c r="P22" s="46"/>
      <c r="Q22" s="48" t="s">
        <v>54</v>
      </c>
      <c r="R22" s="8">
        <f>+$C$22*q13a!$C$22</f>
        <v>138995239.85999998</v>
      </c>
      <c r="S22" s="8">
        <f>+$D$22*q13a!$D$22</f>
        <v>137566926.27999994</v>
      </c>
      <c r="T22" s="8">
        <f>+$E$22*q13a!$E$22</f>
        <v>135953953.05000007</v>
      </c>
      <c r="U22" s="8">
        <f>+$F$22*q13a!$F$22</f>
        <v>136806963.1800001</v>
      </c>
      <c r="V22" s="8">
        <f>+$G$22*q13a!$G$22</f>
        <v>135929538.73000002</v>
      </c>
      <c r="W22" s="8">
        <f>+$H$22*q13a!$H$22</f>
        <v>136676896.91</v>
      </c>
      <c r="X22" s="8">
        <f>+$I$22*q13a!$I$22</f>
        <v>138534567.8300001</v>
      </c>
      <c r="Y22" s="8">
        <f>+$J$22*q13a!$J$22</f>
        <v>140832866.78</v>
      </c>
      <c r="Z22" s="8">
        <f>+$K$22*q13a!$K$22</f>
        <v>135603792.01000005</v>
      </c>
      <c r="AA22" s="8">
        <f>+$L$22*q13a!$L$22</f>
        <v>135997572.29999977</v>
      </c>
      <c r="AB22" s="8">
        <f>+$M$22*q13a!$M$22</f>
        <v>148408274.70999989</v>
      </c>
      <c r="AE22" s="46"/>
      <c r="AF22" s="48" t="s">
        <v>54</v>
      </c>
      <c r="AG22" s="8">
        <f>+$C$22*q13a!$C$22</f>
        <v>138995239.85999998</v>
      </c>
      <c r="AH22" s="8">
        <f>+$D$22*q13a!$D$22</f>
        <v>137566926.27999994</v>
      </c>
      <c r="AI22" s="8">
        <f>+$E$22*q13a!$E$22</f>
        <v>135953953.05000007</v>
      </c>
      <c r="AJ22" s="8">
        <f>+$F$22*q13a!$F$22</f>
        <v>136806963.1800001</v>
      </c>
      <c r="AK22" s="8">
        <f>+$G$22*q13a!$G$22</f>
        <v>135929538.73000002</v>
      </c>
      <c r="AL22" s="8">
        <f>+$H$22*q13a!$H$22</f>
        <v>136676896.91</v>
      </c>
      <c r="AM22" s="8">
        <f>+$I$22*q13a!$I$22</f>
        <v>138534567.8300001</v>
      </c>
      <c r="AN22" s="8">
        <f>+$J$22*q13a!$J$22</f>
        <v>140832866.78</v>
      </c>
      <c r="AO22" s="8">
        <f>+$K$22*q13a!$K$22</f>
        <v>135603792.01000005</v>
      </c>
      <c r="AP22" s="8">
        <f>+$L$22*q13a!$L$22</f>
        <v>135997572.29999977</v>
      </c>
      <c r="AQ22" s="8">
        <f>+$M$22*q13a!$M$22</f>
        <v>148408274.70999989</v>
      </c>
    </row>
    <row r="23" spans="1:43" s="8" customFormat="1" ht="16.5" customHeight="1">
      <c r="A23" s="46" t="str">
        <f>+'q20'!A23</f>
        <v>40-44 anos</v>
      </c>
      <c r="B23" s="44" t="str">
        <f>+'q20'!B23</f>
        <v>T</v>
      </c>
      <c r="C23" s="277">
        <f>+'q20'!C23</f>
        <v>984.08133011689404</v>
      </c>
      <c r="D23" s="277">
        <f>+'q20'!D23</f>
        <v>988.37179366184603</v>
      </c>
      <c r="E23" s="277">
        <f>+'q20'!E23</f>
        <v>994.63033609369802</v>
      </c>
      <c r="F23" s="277">
        <f>+'q20'!F23</f>
        <v>999.48992851012508</v>
      </c>
      <c r="G23" s="277">
        <f>+'q20'!G23</f>
        <v>1009.31175486649</v>
      </c>
      <c r="H23" s="277">
        <f>+'q20'!H23</f>
        <v>1025.8404098645899</v>
      </c>
      <c r="I23" s="277">
        <f>+'q20'!I23</f>
        <v>1053.2729401455001</v>
      </c>
      <c r="J23" s="277">
        <f>+'q20'!J23</f>
        <v>1087.6084274813602</v>
      </c>
      <c r="K23" s="277">
        <f>+'q20'!K23</f>
        <v>1112.61103472476</v>
      </c>
      <c r="L23" s="277">
        <f>+'q20'!L23</f>
        <v>1153.3091482570999</v>
      </c>
      <c r="M23" s="277">
        <f>+'q20'!M23</f>
        <v>1212.3462573582799</v>
      </c>
      <c r="N23" s="110"/>
      <c r="O23" s="200"/>
      <c r="P23" s="46" t="s">
        <v>60</v>
      </c>
      <c r="Q23" s="44" t="s">
        <v>45</v>
      </c>
      <c r="R23" s="8">
        <f>+$C$23*q13a!$C$23</f>
        <v>280253569.75999993</v>
      </c>
      <c r="S23" s="8">
        <f>+$D$23*q13a!$D$23</f>
        <v>286742471.29000014</v>
      </c>
      <c r="T23" s="8">
        <f>+$E$23*q13a!$E$23</f>
        <v>301472454.86999989</v>
      </c>
      <c r="U23" s="8">
        <f>+$F$23*q13a!$F$23</f>
        <v>317924752.89000016</v>
      </c>
      <c r="V23" s="8">
        <f>+$G$23*q13a!$G$23</f>
        <v>334225513.12999922</v>
      </c>
      <c r="W23" s="8">
        <f>+$H$23*q13a!$H$23</f>
        <v>350828187.61000097</v>
      </c>
      <c r="X23" s="8">
        <f>+$I$23*q13a!$I$23</f>
        <v>366585327.18000042</v>
      </c>
      <c r="Y23" s="8">
        <f>+$J$23*q13a!$J$23</f>
        <v>374865996.70000041</v>
      </c>
      <c r="Z23" s="8">
        <f>+$K$23*q13a!$K$23</f>
        <v>367796942.35999864</v>
      </c>
      <c r="AA23" s="8">
        <f>+$L$23*q13a!$L$23</f>
        <v>373638718.07000089</v>
      </c>
      <c r="AB23" s="8">
        <f>+$M$23*q13a!$M$23</f>
        <v>407779937.74000162</v>
      </c>
      <c r="AE23" s="46" t="s">
        <v>60</v>
      </c>
      <c r="AF23" s="44" t="s">
        <v>45</v>
      </c>
      <c r="AG23" s="8">
        <f>+$C$23*q13a!$C$23</f>
        <v>280253569.75999993</v>
      </c>
      <c r="AH23" s="8">
        <f>+$D$23*q13a!$D$23</f>
        <v>286742471.29000014</v>
      </c>
      <c r="AI23" s="8">
        <f>+$E$23*q13a!$E$23</f>
        <v>301472454.86999989</v>
      </c>
      <c r="AJ23" s="8">
        <f>+$F$23*q13a!$F$23</f>
        <v>317924752.89000016</v>
      </c>
      <c r="AK23" s="8">
        <f>+$G$23*q13a!$G$23</f>
        <v>334225513.12999922</v>
      </c>
      <c r="AL23" s="8">
        <f>+$H$23*q13a!$H$23</f>
        <v>350828187.61000097</v>
      </c>
      <c r="AM23" s="8">
        <f>+$I$23*q13a!$I$23</f>
        <v>366585327.18000042</v>
      </c>
      <c r="AN23" s="8">
        <f>+$J$23*q13a!$J$23</f>
        <v>374865996.70000041</v>
      </c>
      <c r="AO23" s="8">
        <f>+$K$23*q13a!$K$23</f>
        <v>367796942.35999864</v>
      </c>
      <c r="AP23" s="8">
        <f>+$L$23*q13a!$L$23</f>
        <v>373638718.07000089</v>
      </c>
      <c r="AQ23" s="8">
        <f>+$M$23*q13a!$M$23</f>
        <v>407779937.74000162</v>
      </c>
    </row>
    <row r="24" spans="1:43" s="8" customFormat="1" ht="12.75" customHeight="1">
      <c r="A24" s="47"/>
      <c r="B24" s="48" t="str">
        <f>+'q20'!B24</f>
        <v>H</v>
      </c>
      <c r="C24" s="279">
        <f>+'q20'!C24</f>
        <v>1082.39173693883</v>
      </c>
      <c r="D24" s="279">
        <f>+'q20'!D24</f>
        <v>1081.28682508003</v>
      </c>
      <c r="E24" s="279">
        <f>+'q20'!E24</f>
        <v>1080.4799012563401</v>
      </c>
      <c r="F24" s="279">
        <f>+'q20'!F24</f>
        <v>1083.3750122460699</v>
      </c>
      <c r="G24" s="279">
        <f>+'q20'!G24</f>
        <v>1087.2766598651601</v>
      </c>
      <c r="H24" s="279">
        <f>+'q20'!H24</f>
        <v>1097.3347641645701</v>
      </c>
      <c r="I24" s="279">
        <f>+'q20'!I24</f>
        <v>1124.7541832499901</v>
      </c>
      <c r="J24" s="279">
        <f>+'q20'!J24</f>
        <v>1160.18554359975</v>
      </c>
      <c r="K24" s="279">
        <f>+'q20'!K24</f>
        <v>1180.13503644398</v>
      </c>
      <c r="L24" s="279">
        <f>+'q20'!L24</f>
        <v>1224.7996830045201</v>
      </c>
      <c r="M24" s="279">
        <f>+'q20'!M24</f>
        <v>1290.66920986782</v>
      </c>
      <c r="N24" s="110"/>
      <c r="O24" s="200"/>
      <c r="P24" s="47"/>
      <c r="Q24" s="48" t="s">
        <v>53</v>
      </c>
      <c r="R24" s="8">
        <f>+$C$24*q13a!$C$24</f>
        <v>164913205.04000014</v>
      </c>
      <c r="S24" s="8">
        <f>+$D$24*q13a!$D$24</f>
        <v>166866345.42000037</v>
      </c>
      <c r="T24" s="8">
        <f>+$E$24*q13a!$E$24</f>
        <v>173982115.13999966</v>
      </c>
      <c r="U24" s="8">
        <f>+$F$24*q13a!$F$24</f>
        <v>181800077.43000075</v>
      </c>
      <c r="V24" s="8">
        <f>+$G$24*q13a!$G$24</f>
        <v>189165480.56000042</v>
      </c>
      <c r="W24" s="8">
        <f>+$H$24*q13a!$H$24</f>
        <v>197471974.81999937</v>
      </c>
      <c r="X24" s="8">
        <f>+$I$24*q13a!$I$24</f>
        <v>206242800.32000095</v>
      </c>
      <c r="Y24" s="8">
        <f>+$J$24*q13a!$J$24</f>
        <v>211761706.16000077</v>
      </c>
      <c r="Z24" s="8">
        <f>+$K$24*q13a!$K$24</f>
        <v>207245874.02000022</v>
      </c>
      <c r="AA24" s="8">
        <f>+$L$24*q13a!$L$24</f>
        <v>209957611.26000085</v>
      </c>
      <c r="AB24" s="8">
        <f>+$M$24*q13a!$M$24</f>
        <v>230043717.29000077</v>
      </c>
      <c r="AE24" s="47"/>
      <c r="AF24" s="48" t="s">
        <v>53</v>
      </c>
      <c r="AG24" s="8">
        <f>+$C$24*q13a!$C$24</f>
        <v>164913205.04000014</v>
      </c>
      <c r="AH24" s="8">
        <f>+$D$24*q13a!$D$24</f>
        <v>166866345.42000037</v>
      </c>
      <c r="AI24" s="8">
        <f>+$E$24*q13a!$E$24</f>
        <v>173982115.13999966</v>
      </c>
      <c r="AJ24" s="8">
        <f>+$F$24*q13a!$F$24</f>
        <v>181800077.43000075</v>
      </c>
      <c r="AK24" s="8">
        <f>+$G$24*q13a!$G$24</f>
        <v>189165480.56000042</v>
      </c>
      <c r="AL24" s="8">
        <f>+$H$24*q13a!$H$24</f>
        <v>197471974.81999937</v>
      </c>
      <c r="AM24" s="8">
        <f>+$I$24*q13a!$I$24</f>
        <v>206242800.32000095</v>
      </c>
      <c r="AN24" s="8">
        <f>+$J$24*q13a!$J$24</f>
        <v>211761706.16000077</v>
      </c>
      <c r="AO24" s="8">
        <f>+$K$24*q13a!$K$24</f>
        <v>207245874.02000022</v>
      </c>
      <c r="AP24" s="8">
        <f>+$L$24*q13a!$L$24</f>
        <v>209957611.26000085</v>
      </c>
      <c r="AQ24" s="8">
        <f>+$M$24*q13a!$M$24</f>
        <v>230043717.29000077</v>
      </c>
    </row>
    <row r="25" spans="1:43" s="8" customFormat="1" ht="12.75" customHeight="1">
      <c r="A25" s="46"/>
      <c r="B25" s="48" t="str">
        <f>+'q20'!B25</f>
        <v>M</v>
      </c>
      <c r="C25" s="279">
        <f>+'q20'!C25</f>
        <v>870.97317556087501</v>
      </c>
      <c r="D25" s="279">
        <f>+'q20'!D25</f>
        <v>882.77925291250006</v>
      </c>
      <c r="E25" s="279">
        <f>+'q20'!E25</f>
        <v>897.33271205050812</v>
      </c>
      <c r="F25" s="279">
        <f>+'q20'!F25</f>
        <v>905.81905175741008</v>
      </c>
      <c r="G25" s="279">
        <f>+'q20'!G25</f>
        <v>923.00273331169899</v>
      </c>
      <c r="H25" s="279">
        <f>+'q20'!H25</f>
        <v>946.438811306199</v>
      </c>
      <c r="I25" s="279">
        <f>+'q20'!I25</f>
        <v>973.67894034989695</v>
      </c>
      <c r="J25" s="279">
        <f>+'q20'!J25</f>
        <v>1005.9100473647201</v>
      </c>
      <c r="K25" s="279">
        <f>+'q20'!K25</f>
        <v>1036.0874059590001</v>
      </c>
      <c r="L25" s="279">
        <f>+'q20'!L25</f>
        <v>1072.97397432956</v>
      </c>
      <c r="M25" s="279">
        <f>+'q20'!M25</f>
        <v>1124.0590719074098</v>
      </c>
      <c r="N25" s="110"/>
      <c r="O25" s="200"/>
      <c r="P25" s="46"/>
      <c r="Q25" s="48" t="s">
        <v>54</v>
      </c>
      <c r="R25" s="8">
        <f>+$C$25*q13a!$C$25</f>
        <v>115340364.72</v>
      </c>
      <c r="S25" s="8">
        <f>+$D$25*q13a!$D$25</f>
        <v>119876125.87000003</v>
      </c>
      <c r="T25" s="8">
        <f>+$E$25*q13a!$E$25</f>
        <v>127490339.73000005</v>
      </c>
      <c r="U25" s="8">
        <f>+$F$25*q13a!$F$25</f>
        <v>136124675.46000007</v>
      </c>
      <c r="V25" s="8">
        <f>+$G$25*q13a!$G$25</f>
        <v>145060032.56999993</v>
      </c>
      <c r="W25" s="8">
        <f>+$H$25*q13a!$H$25</f>
        <v>153356212.78999996</v>
      </c>
      <c r="X25" s="8">
        <f>+$I$25*q13a!$I$25</f>
        <v>160342526.85999998</v>
      </c>
      <c r="Y25" s="8">
        <f>+$J$25*q13a!$J$25</f>
        <v>163104290.5399999</v>
      </c>
      <c r="Z25" s="8">
        <f>+$K$25*q13a!$K$25</f>
        <v>160551068.34000069</v>
      </c>
      <c r="AA25" s="8">
        <f>+$L$25*q13a!$L$25</f>
        <v>163681106.81000003</v>
      </c>
      <c r="AB25" s="8">
        <f>+$M$25*q13a!$M$25</f>
        <v>177736220.44999963</v>
      </c>
      <c r="AE25" s="46"/>
      <c r="AF25" s="48" t="s">
        <v>54</v>
      </c>
      <c r="AG25" s="8">
        <f>+$C$25*q13a!$C$25</f>
        <v>115340364.72</v>
      </c>
      <c r="AH25" s="8">
        <f>+$D$25*q13a!$D$25</f>
        <v>119876125.87000003</v>
      </c>
      <c r="AI25" s="8">
        <f>+$E$25*q13a!$E$25</f>
        <v>127490339.73000005</v>
      </c>
      <c r="AJ25" s="8">
        <f>+$F$25*q13a!$F$25</f>
        <v>136124675.46000007</v>
      </c>
      <c r="AK25" s="8">
        <f>+$G$25*q13a!$G$25</f>
        <v>145060032.56999993</v>
      </c>
      <c r="AL25" s="8">
        <f>+$H$25*q13a!$H$25</f>
        <v>153356212.78999996</v>
      </c>
      <c r="AM25" s="8">
        <f>+$I$25*q13a!$I$25</f>
        <v>160342526.85999998</v>
      </c>
      <c r="AN25" s="8">
        <f>+$J$25*q13a!$J$25</f>
        <v>163104290.5399999</v>
      </c>
      <c r="AO25" s="8">
        <f>+$K$25*q13a!$K$25</f>
        <v>160551068.34000069</v>
      </c>
      <c r="AP25" s="8">
        <f>+$L$25*q13a!$L$25</f>
        <v>163681106.81000003</v>
      </c>
      <c r="AQ25" s="8">
        <f>+$M$25*q13a!$M$25</f>
        <v>177736220.44999963</v>
      </c>
    </row>
    <row r="26" spans="1:43" s="8" customFormat="1" ht="16.5" customHeight="1">
      <c r="A26" s="46" t="str">
        <f>+'q20'!A26</f>
        <v>45-49 anos</v>
      </c>
      <c r="B26" s="44" t="str">
        <f>+'q20'!B26</f>
        <v>T</v>
      </c>
      <c r="C26" s="277">
        <f>+'q20'!C26</f>
        <v>977.91799456743502</v>
      </c>
      <c r="D26" s="277">
        <f>+'q20'!D26</f>
        <v>977.00673164543502</v>
      </c>
      <c r="E26" s="277">
        <f>+'q20'!E26</f>
        <v>972.13637276042198</v>
      </c>
      <c r="F26" s="277">
        <f>+'q20'!F26</f>
        <v>978.89392169572102</v>
      </c>
      <c r="G26" s="277">
        <f>+'q20'!G26</f>
        <v>995.05402532705716</v>
      </c>
      <c r="H26" s="277">
        <f>+'q20'!H26</f>
        <v>1021.8318725832801</v>
      </c>
      <c r="I26" s="277">
        <f>+'q20'!I26</f>
        <v>1057.7018081782201</v>
      </c>
      <c r="J26" s="277">
        <f>+'q20'!J26</f>
        <v>1104.3530690867501</v>
      </c>
      <c r="K26" s="277">
        <f>+'q20'!K26</f>
        <v>1141.78247005256</v>
      </c>
      <c r="L26" s="277">
        <f>+'q20'!L26</f>
        <v>1180.9174414301001</v>
      </c>
      <c r="M26" s="277">
        <f>+'q20'!M26</f>
        <v>1242.5375369189003</v>
      </c>
      <c r="N26" s="110"/>
      <c r="O26" s="200"/>
      <c r="P26" s="46" t="s">
        <v>61</v>
      </c>
      <c r="Q26" s="44" t="s">
        <v>45</v>
      </c>
      <c r="R26" s="8">
        <f>+$C$26*q13a!$C$26</f>
        <v>237253662.57999998</v>
      </c>
      <c r="S26" s="8">
        <f>+$D$26*q13a!$D$26</f>
        <v>239520039.30999991</v>
      </c>
      <c r="T26" s="8">
        <f>+$E$26*q13a!$E$26</f>
        <v>246606694.36000004</v>
      </c>
      <c r="U26" s="8">
        <f>+$F$26*q13a!$F$26</f>
        <v>258248857.74000004</v>
      </c>
      <c r="V26" s="8">
        <f>+$G$26*q13a!$G$26</f>
        <v>275645885.88000005</v>
      </c>
      <c r="W26" s="8">
        <f>+$H$26*q13a!$H$26</f>
        <v>296500867.14000005</v>
      </c>
      <c r="X26" s="8">
        <f>+$I$26*q13a!$I$26</f>
        <v>321906256.81000036</v>
      </c>
      <c r="Y26" s="8">
        <f>+$J$26*q13a!$J$26</f>
        <v>343645961.92000037</v>
      </c>
      <c r="Z26" s="8">
        <f>+$K$26*q13a!$K$26</f>
        <v>357337950.73999947</v>
      </c>
      <c r="AA26" s="8">
        <f>+$L$26*q13a!$L$26</f>
        <v>380971052.10999888</v>
      </c>
      <c r="AB26" s="8">
        <f>+$M$26*q13a!$M$26</f>
        <v>429869528.80999964</v>
      </c>
      <c r="AE26" s="46" t="s">
        <v>61</v>
      </c>
      <c r="AF26" s="44" t="s">
        <v>45</v>
      </c>
      <c r="AG26" s="8">
        <f>+$C$26*q13a!$C$26</f>
        <v>237253662.57999998</v>
      </c>
      <c r="AH26" s="8">
        <f>+$D$26*q13a!$D$26</f>
        <v>239520039.30999991</v>
      </c>
      <c r="AI26" s="8">
        <f>+$E$26*q13a!$E$26</f>
        <v>246606694.36000004</v>
      </c>
      <c r="AJ26" s="8">
        <f>+$F$26*q13a!$F$26</f>
        <v>258248857.74000004</v>
      </c>
      <c r="AK26" s="8">
        <f>+$G$26*q13a!$G$26</f>
        <v>275645885.88000005</v>
      </c>
      <c r="AL26" s="8">
        <f>+$H$26*q13a!$H$26</f>
        <v>296500867.14000005</v>
      </c>
      <c r="AM26" s="8">
        <f>+$I$26*q13a!$I$26</f>
        <v>321906256.81000036</v>
      </c>
      <c r="AN26" s="8">
        <f>+$J$26*q13a!$J$26</f>
        <v>343645961.92000037</v>
      </c>
      <c r="AO26" s="8">
        <f>+$K$26*q13a!$K$26</f>
        <v>357337950.73999947</v>
      </c>
      <c r="AP26" s="8">
        <f>+$L$26*q13a!$L$26</f>
        <v>380971052.10999888</v>
      </c>
      <c r="AQ26" s="8">
        <f>+$M$26*q13a!$M$26</f>
        <v>429869528.80999964</v>
      </c>
    </row>
    <row r="27" spans="1:43" s="8" customFormat="1" ht="12.75" customHeight="1">
      <c r="A27" s="47"/>
      <c r="B27" s="48" t="str">
        <f>+'q20'!B27</f>
        <v>H</v>
      </c>
      <c r="C27" s="279">
        <f>+'q20'!C27</f>
        <v>1098.2202324963</v>
      </c>
      <c r="D27" s="279">
        <f>+'q20'!D27</f>
        <v>1091.1220279418801</v>
      </c>
      <c r="E27" s="279">
        <f>+'q20'!E27</f>
        <v>1076.2258139279302</v>
      </c>
      <c r="F27" s="279">
        <f>+'q20'!F27</f>
        <v>1082.2685395658402</v>
      </c>
      <c r="G27" s="279">
        <f>+'q20'!G27</f>
        <v>1093.8333766339301</v>
      </c>
      <c r="H27" s="279">
        <f>+'q20'!H27</f>
        <v>1116.7256301805999</v>
      </c>
      <c r="I27" s="279">
        <f>+'q20'!I27</f>
        <v>1150.4481744135301</v>
      </c>
      <c r="J27" s="279">
        <f>+'q20'!J27</f>
        <v>1199.7662344893001</v>
      </c>
      <c r="K27" s="279">
        <f>+'q20'!K27</f>
        <v>1236.25509516444</v>
      </c>
      <c r="L27" s="279">
        <f>+'q20'!L27</f>
        <v>1275.5707171156198</v>
      </c>
      <c r="M27" s="279">
        <f>+'q20'!M27</f>
        <v>1340.5116103430901</v>
      </c>
      <c r="N27" s="110"/>
      <c r="O27" s="200"/>
      <c r="P27" s="47"/>
      <c r="Q27" s="48" t="s">
        <v>53</v>
      </c>
      <c r="R27" s="8">
        <f>+$C$27*q13a!$C$27</f>
        <v>144542255.90000051</v>
      </c>
      <c r="S27" s="8">
        <f>+$D$27*q13a!$D$27</f>
        <v>144249605.46000037</v>
      </c>
      <c r="T27" s="8">
        <f>+$E$27*q13a!$E$27</f>
        <v>146876841.73000035</v>
      </c>
      <c r="U27" s="8">
        <f>+$F$27*q13a!$F$27</f>
        <v>152510035.78999951</v>
      </c>
      <c r="V27" s="8">
        <f>+$G$27*q13a!$G$27</f>
        <v>161504498.05999979</v>
      </c>
      <c r="W27" s="8">
        <f>+$H$27*q13a!$H$27</f>
        <v>173255514.61999935</v>
      </c>
      <c r="X27" s="8">
        <f>+$I$27*q13a!$I$27</f>
        <v>187289511.44999945</v>
      </c>
      <c r="Y27" s="8">
        <f>+$J$27*q13a!$J$27</f>
        <v>199758678.50999948</v>
      </c>
      <c r="Z27" s="8">
        <f>+$K$27*q13a!$K$27</f>
        <v>207007206.91999999</v>
      </c>
      <c r="AA27" s="8">
        <f>+$L$27*q13a!$L$27</f>
        <v>217968248.56999999</v>
      </c>
      <c r="AB27" s="8">
        <f>+$M$27*q13a!$M$27</f>
        <v>244745247.77000001</v>
      </c>
      <c r="AE27" s="47"/>
      <c r="AF27" s="48" t="s">
        <v>53</v>
      </c>
      <c r="AG27" s="8">
        <f>+$C$27*q13a!$C$27</f>
        <v>144542255.90000051</v>
      </c>
      <c r="AH27" s="8">
        <f>+$D$27*q13a!$D$27</f>
        <v>144249605.46000037</v>
      </c>
      <c r="AI27" s="8">
        <f>+$E$27*q13a!$E$27</f>
        <v>146876841.73000035</v>
      </c>
      <c r="AJ27" s="8">
        <f>+$F$27*q13a!$F$27</f>
        <v>152510035.78999951</v>
      </c>
      <c r="AK27" s="8">
        <f>+$G$27*q13a!$G$27</f>
        <v>161504498.05999979</v>
      </c>
      <c r="AL27" s="8">
        <f>+$H$27*q13a!$H$27</f>
        <v>173255514.61999935</v>
      </c>
      <c r="AM27" s="8">
        <f>+$I$27*q13a!$I$27</f>
        <v>187289511.44999945</v>
      </c>
      <c r="AN27" s="8">
        <f>+$J$27*q13a!$J$27</f>
        <v>199758678.50999948</v>
      </c>
      <c r="AO27" s="8">
        <f>+$K$27*q13a!$K$27</f>
        <v>207007206.91999999</v>
      </c>
      <c r="AP27" s="8">
        <f>+$L$27*q13a!$L$27</f>
        <v>217968248.56999999</v>
      </c>
      <c r="AQ27" s="8">
        <f>+$M$27*q13a!$M$27</f>
        <v>244745247.77000001</v>
      </c>
    </row>
    <row r="28" spans="1:43" s="8" customFormat="1" ht="12.75" customHeight="1">
      <c r="A28" s="46"/>
      <c r="B28" s="48" t="str">
        <f>+'q20'!B28</f>
        <v>M</v>
      </c>
      <c r="C28" s="279">
        <f>+'q20'!C28</f>
        <v>835.2679977656851</v>
      </c>
      <c r="D28" s="279">
        <f>+'q20'!D28</f>
        <v>843.44453361545402</v>
      </c>
      <c r="E28" s="279">
        <f>+'q20'!E28</f>
        <v>850.93004863439705</v>
      </c>
      <c r="F28" s="279">
        <f>+'q20'!F28</f>
        <v>860.36470260374313</v>
      </c>
      <c r="G28" s="279">
        <f>+'q20'!G28</f>
        <v>882.31365134579403</v>
      </c>
      <c r="H28" s="279">
        <f>+'q20'!H28</f>
        <v>912.79330854688203</v>
      </c>
      <c r="I28" s="279">
        <f>+'q20'!I28</f>
        <v>951.03247915901306</v>
      </c>
      <c r="J28" s="279">
        <f>+'q20'!J28</f>
        <v>994.54839372114202</v>
      </c>
      <c r="K28" s="279">
        <f>+'q20'!K28</f>
        <v>1033.07318558529</v>
      </c>
      <c r="L28" s="279">
        <f>+'q20'!L28</f>
        <v>1074.3163941816599</v>
      </c>
      <c r="M28" s="279">
        <f>+'q20'!M28</f>
        <v>1133.0555500198902</v>
      </c>
      <c r="N28" s="110"/>
      <c r="O28" s="200"/>
      <c r="P28" s="46"/>
      <c r="Q28" s="48" t="s">
        <v>54</v>
      </c>
      <c r="R28" s="8">
        <f>+$C$28*q13a!$C$28</f>
        <v>92711406.679999977</v>
      </c>
      <c r="S28" s="8">
        <f>+$D$28*q13a!$D$28</f>
        <v>95270433.849999994</v>
      </c>
      <c r="T28" s="8">
        <f>+$E$28*q13a!$E$28</f>
        <v>99729852.629999965</v>
      </c>
      <c r="U28" s="8">
        <f>+$F$28*q13a!$F$28</f>
        <v>105738821.95000003</v>
      </c>
      <c r="V28" s="8">
        <f>+$G$28*q13a!$G$28</f>
        <v>114141387.81999999</v>
      </c>
      <c r="W28" s="8">
        <f>+$H$28*q13a!$H$28</f>
        <v>123245352.52000001</v>
      </c>
      <c r="X28" s="8">
        <f>+$I$28*q13a!$I$28</f>
        <v>134616745.35999998</v>
      </c>
      <c r="Y28" s="8">
        <f>+$J$28*q13a!$J$28</f>
        <v>143887283.40999994</v>
      </c>
      <c r="Z28" s="8">
        <f>+$K$28*q13a!$K$28</f>
        <v>150330743.82000023</v>
      </c>
      <c r="AA28" s="8">
        <f>+$L$28*q13a!$L$28</f>
        <v>163002803.54000071</v>
      </c>
      <c r="AB28" s="8">
        <f>+$M$28*q13a!$M$28</f>
        <v>185124281.03999975</v>
      </c>
      <c r="AE28" s="46"/>
      <c r="AF28" s="48" t="s">
        <v>54</v>
      </c>
      <c r="AG28" s="8">
        <f>+$C$28*q13a!$C$28</f>
        <v>92711406.679999977</v>
      </c>
      <c r="AH28" s="8">
        <f>+$D$28*q13a!$D$28</f>
        <v>95270433.849999994</v>
      </c>
      <c r="AI28" s="8">
        <f>+$E$28*q13a!$E$28</f>
        <v>99729852.629999965</v>
      </c>
      <c r="AJ28" s="8">
        <f>+$F$28*q13a!$F$28</f>
        <v>105738821.95000003</v>
      </c>
      <c r="AK28" s="8">
        <f>+$G$28*q13a!$G$28</f>
        <v>114141387.81999999</v>
      </c>
      <c r="AL28" s="8">
        <f>+$H$28*q13a!$H$28</f>
        <v>123245352.52000001</v>
      </c>
      <c r="AM28" s="8">
        <f>+$I$28*q13a!$I$28</f>
        <v>134616745.35999998</v>
      </c>
      <c r="AN28" s="8">
        <f>+$J$28*q13a!$J$28</f>
        <v>143887283.40999994</v>
      </c>
      <c r="AO28" s="8">
        <f>+$K$28*q13a!$K$28</f>
        <v>150330743.82000023</v>
      </c>
      <c r="AP28" s="8">
        <f>+$L$28*q13a!$L$28</f>
        <v>163002803.54000071</v>
      </c>
      <c r="AQ28" s="8">
        <f>+$M$28*q13a!$M$28</f>
        <v>185124281.03999975</v>
      </c>
    </row>
    <row r="29" spans="1:43" s="8" customFormat="1" ht="16.5" customHeight="1">
      <c r="A29" s="46" t="str">
        <f>+'q20'!A29</f>
        <v>50-54 anos</v>
      </c>
      <c r="B29" s="44" t="str">
        <f>+'q20'!B29</f>
        <v>T</v>
      </c>
      <c r="C29" s="277">
        <f>+'q20'!C29</f>
        <v>996.46286896650906</v>
      </c>
      <c r="D29" s="277">
        <f>+'q20'!D29</f>
        <v>988.10204662975616</v>
      </c>
      <c r="E29" s="277">
        <f>+'q20'!E29</f>
        <v>978.40448726893101</v>
      </c>
      <c r="F29" s="277">
        <f>+'q20'!F29</f>
        <v>979.79165825231905</v>
      </c>
      <c r="G29" s="277">
        <f>+'q20'!G29</f>
        <v>986.95585469730804</v>
      </c>
      <c r="H29" s="277">
        <f>+'q20'!H29</f>
        <v>999.99563900164412</v>
      </c>
      <c r="I29" s="277">
        <f>+'q20'!I29</f>
        <v>1025.4965974996599</v>
      </c>
      <c r="J29" s="277">
        <f>+'q20'!J29</f>
        <v>1054.3567919294601</v>
      </c>
      <c r="K29" s="277">
        <f>+'q20'!K29</f>
        <v>1089.8512218171702</v>
      </c>
      <c r="L29" s="277">
        <f>+'q20'!L29</f>
        <v>1131.56070495924</v>
      </c>
      <c r="M29" s="277">
        <f>+'q20'!M29</f>
        <v>1202.09956775824</v>
      </c>
      <c r="N29" s="110"/>
      <c r="O29" s="200"/>
      <c r="P29" s="46" t="s">
        <v>62</v>
      </c>
      <c r="Q29" s="44" t="s">
        <v>45</v>
      </c>
      <c r="R29" s="8">
        <f>+$C$29*q13a!$C$29</f>
        <v>194078083.60000008</v>
      </c>
      <c r="S29" s="8">
        <f>+$D$29*q13a!$D$29</f>
        <v>194527649.92000011</v>
      </c>
      <c r="T29" s="8">
        <f>+$E$29*q13a!$E$29</f>
        <v>200544546.16000006</v>
      </c>
      <c r="U29" s="8">
        <f>+$F$29*q13a!$F$29</f>
        <v>211344000.05999997</v>
      </c>
      <c r="V29" s="8">
        <f>+$G$29*q13a!$G$29</f>
        <v>225942816.86000004</v>
      </c>
      <c r="W29" s="8">
        <f>+$H$29*q13a!$H$29</f>
        <v>240193952.5099999</v>
      </c>
      <c r="X29" s="8">
        <f>+$I$29*q13a!$I$29</f>
        <v>258226196.22999936</v>
      </c>
      <c r="Y29" s="8">
        <f>+$J$29*q13a!$J$29</f>
        <v>267974267.87999964</v>
      </c>
      <c r="Z29" s="8">
        <f>+$K$29*q13a!$K$29</f>
        <v>275045752.84999925</v>
      </c>
      <c r="AA29" s="8">
        <f>+$L$29*q13a!$L$29</f>
        <v>297079947.47999889</v>
      </c>
      <c r="AB29" s="8">
        <f>+$M$29*q13a!$M$29</f>
        <v>341461190.61999911</v>
      </c>
      <c r="AE29" s="46" t="s">
        <v>62</v>
      </c>
      <c r="AF29" s="44" t="s">
        <v>45</v>
      </c>
      <c r="AG29" s="8">
        <f>+$C$29*q13a!$C$29</f>
        <v>194078083.60000008</v>
      </c>
      <c r="AH29" s="8">
        <f>+$D$29*q13a!$D$29</f>
        <v>194527649.92000011</v>
      </c>
      <c r="AI29" s="8">
        <f>+$E$29*q13a!$E$29</f>
        <v>200544546.16000006</v>
      </c>
      <c r="AJ29" s="8">
        <f>+$F$29*q13a!$F$29</f>
        <v>211344000.05999997</v>
      </c>
      <c r="AK29" s="8">
        <f>+$G$29*q13a!$G$29</f>
        <v>225942816.86000004</v>
      </c>
      <c r="AL29" s="8">
        <f>+$H$29*q13a!$H$29</f>
        <v>240193952.5099999</v>
      </c>
      <c r="AM29" s="8">
        <f>+$I$29*q13a!$I$29</f>
        <v>258226196.22999936</v>
      </c>
      <c r="AN29" s="8">
        <f>+$J$29*q13a!$J$29</f>
        <v>267974267.87999964</v>
      </c>
      <c r="AO29" s="8">
        <f>+$K$29*q13a!$K$29</f>
        <v>275045752.84999925</v>
      </c>
      <c r="AP29" s="8">
        <f>+$L$29*q13a!$L$29</f>
        <v>297079947.47999889</v>
      </c>
      <c r="AQ29" s="8">
        <f>+$M$29*q13a!$M$29</f>
        <v>341461190.61999911</v>
      </c>
    </row>
    <row r="30" spans="1:43" s="8" customFormat="1" ht="12.75" customHeight="1">
      <c r="A30" s="47"/>
      <c r="B30" s="48" t="str">
        <f>+'q20'!B30</f>
        <v>H</v>
      </c>
      <c r="C30" s="279">
        <f>+'q20'!C30</f>
        <v>1125.9384932656901</v>
      </c>
      <c r="D30" s="279">
        <f>+'q20'!D30</f>
        <v>1114.0680934373299</v>
      </c>
      <c r="E30" s="279">
        <f>+'q20'!E30</f>
        <v>1098.4847190132698</v>
      </c>
      <c r="F30" s="279">
        <f>+'q20'!F30</f>
        <v>1097.5380897725499</v>
      </c>
      <c r="G30" s="279">
        <f>+'q20'!G30</f>
        <v>1097.4691329333</v>
      </c>
      <c r="H30" s="279">
        <f>+'q20'!H30</f>
        <v>1104.90239192844</v>
      </c>
      <c r="I30" s="279">
        <f>+'q20'!I30</f>
        <v>1126.5087623951599</v>
      </c>
      <c r="J30" s="279">
        <f>+'q20'!J30</f>
        <v>1153.1724448986902</v>
      </c>
      <c r="K30" s="279">
        <f>+'q20'!K30</f>
        <v>1187.7416359543399</v>
      </c>
      <c r="L30" s="279">
        <f>+'q20'!L30</f>
        <v>1230.9016071842702</v>
      </c>
      <c r="M30" s="279">
        <f>+'q20'!M30</f>
        <v>1309.6837672623801</v>
      </c>
      <c r="N30" s="110"/>
      <c r="O30" s="200"/>
      <c r="P30" s="47"/>
      <c r="Q30" s="48" t="s">
        <v>53</v>
      </c>
      <c r="R30" s="8">
        <f>+$C$30*q13a!$C$30</f>
        <v>123389347.60000044</v>
      </c>
      <c r="S30" s="8">
        <f>+$D$30*q13a!$D$30</f>
        <v>122260060.70999946</v>
      </c>
      <c r="T30" s="8">
        <f>+$E$30*q13a!$E$30</f>
        <v>125041614.04999952</v>
      </c>
      <c r="U30" s="8">
        <f>+$F$30*q13a!$F$30</f>
        <v>130717884.03000046</v>
      </c>
      <c r="V30" s="8">
        <f>+$G$30*q13a!$G$30</f>
        <v>138267941.1200006</v>
      </c>
      <c r="W30" s="8">
        <f>+$H$30*q13a!$H$30</f>
        <v>146251510.0099999</v>
      </c>
      <c r="X30" s="8">
        <f>+$I$30*q13a!$I$30</f>
        <v>156205084.52000007</v>
      </c>
      <c r="Y30" s="8">
        <f>+$J$30*q13a!$J$30</f>
        <v>160781068.12999988</v>
      </c>
      <c r="Z30" s="8">
        <f>+$K$30*q13a!$K$30</f>
        <v>164618615.2599996</v>
      </c>
      <c r="AA30" s="8">
        <f>+$L$30*q13a!$L$30</f>
        <v>175170838.62000069</v>
      </c>
      <c r="AB30" s="8">
        <f>+$M$30*q13a!$M$30</f>
        <v>200579378.64000079</v>
      </c>
      <c r="AE30" s="47"/>
      <c r="AF30" s="48" t="s">
        <v>53</v>
      </c>
      <c r="AG30" s="8">
        <f>+$C$30*q13a!$C$30</f>
        <v>123389347.60000044</v>
      </c>
      <c r="AH30" s="8">
        <f>+$D$30*q13a!$D$30</f>
        <v>122260060.70999946</v>
      </c>
      <c r="AI30" s="8">
        <f>+$E$30*q13a!$E$30</f>
        <v>125041614.04999952</v>
      </c>
      <c r="AJ30" s="8">
        <f>+$F$30*q13a!$F$30</f>
        <v>130717884.03000046</v>
      </c>
      <c r="AK30" s="8">
        <f>+$G$30*q13a!$G$30</f>
        <v>138267941.1200006</v>
      </c>
      <c r="AL30" s="8">
        <f>+$H$30*q13a!$H$30</f>
        <v>146251510.0099999</v>
      </c>
      <c r="AM30" s="8">
        <f>+$I$30*q13a!$I$30</f>
        <v>156205084.52000007</v>
      </c>
      <c r="AN30" s="8">
        <f>+$J$30*q13a!$J$30</f>
        <v>160781068.12999988</v>
      </c>
      <c r="AO30" s="8">
        <f>+$K$30*q13a!$K$30</f>
        <v>164618615.2599996</v>
      </c>
      <c r="AP30" s="8">
        <f>+$L$30*q13a!$L$30</f>
        <v>175170838.62000069</v>
      </c>
      <c r="AQ30" s="8">
        <f>+$M$30*q13a!$M$30</f>
        <v>200579378.64000079</v>
      </c>
    </row>
    <row r="31" spans="1:43" s="8" customFormat="1" ht="12.75" customHeight="1">
      <c r="A31" s="46"/>
      <c r="B31" s="48" t="str">
        <f>+'q20'!B31</f>
        <v>M</v>
      </c>
      <c r="C31" s="279">
        <f>+'q20'!C31</f>
        <v>829.884549008558</v>
      </c>
      <c r="D31" s="279">
        <f>+'q20'!D31</f>
        <v>829.441617046185</v>
      </c>
      <c r="E31" s="279">
        <f>+'q20'!E31</f>
        <v>828.428045973228</v>
      </c>
      <c r="F31" s="279">
        <f>+'q20'!F31</f>
        <v>834.62160234777707</v>
      </c>
      <c r="G31" s="279">
        <f>+'q20'!G31</f>
        <v>851.700252960434</v>
      </c>
      <c r="H31" s="279">
        <f>+'q20'!H31</f>
        <v>871.21685724619499</v>
      </c>
      <c r="I31" s="279">
        <f>+'q20'!I31</f>
        <v>901.70060640074905</v>
      </c>
      <c r="J31" s="279">
        <f>+'q20'!J31</f>
        <v>934.27580098314399</v>
      </c>
      <c r="K31" s="279">
        <f>+'q20'!K31</f>
        <v>970.6003022712091</v>
      </c>
      <c r="L31" s="279">
        <f>+'q20'!L31</f>
        <v>1013.97423965932</v>
      </c>
      <c r="M31" s="279">
        <f>+'q20'!M31</f>
        <v>1076.2305827979501</v>
      </c>
      <c r="N31" s="110"/>
      <c r="O31" s="200"/>
      <c r="P31" s="46"/>
      <c r="Q31" s="48" t="s">
        <v>54</v>
      </c>
      <c r="R31" s="8">
        <f>+$C$31*q13a!$C$31</f>
        <v>70688735.999999955</v>
      </c>
      <c r="S31" s="8">
        <f>+$D$31*q13a!$D$31</f>
        <v>72267589.210000008</v>
      </c>
      <c r="T31" s="8">
        <f>+$E$31*q13a!$E$31</f>
        <v>75502932.109999999</v>
      </c>
      <c r="U31" s="8">
        <f>+$F$31*q13a!$F$31</f>
        <v>80626116.029999956</v>
      </c>
      <c r="V31" s="8">
        <f>+$G$31*q13a!$G$31</f>
        <v>87674875.740000039</v>
      </c>
      <c r="W31" s="8">
        <f>+$H$31*q13a!$H$31</f>
        <v>93942442.499999955</v>
      </c>
      <c r="X31" s="8">
        <f>+$I$31*q13a!$I$31</f>
        <v>102021111.70999995</v>
      </c>
      <c r="Y31" s="8">
        <f>+$J$31*q13a!$J$31</f>
        <v>107193199.75000004</v>
      </c>
      <c r="Z31" s="8">
        <f>+$K$31*q13a!$K$31</f>
        <v>110427137.59</v>
      </c>
      <c r="AA31" s="8">
        <f>+$L$31*q13a!$L$31</f>
        <v>121909108.86000039</v>
      </c>
      <c r="AB31" s="8">
        <f>+$M$31*q13a!$M$31</f>
        <v>140881811.98000005</v>
      </c>
      <c r="AE31" s="46"/>
      <c r="AF31" s="48" t="s">
        <v>54</v>
      </c>
      <c r="AG31" s="8">
        <f>+$C$31*q13a!$C$31</f>
        <v>70688735.999999955</v>
      </c>
      <c r="AH31" s="8">
        <f>+$D$31*q13a!$D$31</f>
        <v>72267589.210000008</v>
      </c>
      <c r="AI31" s="8">
        <f>+$E$31*q13a!$E$31</f>
        <v>75502932.109999999</v>
      </c>
      <c r="AJ31" s="8">
        <f>+$F$31*q13a!$F$31</f>
        <v>80626116.029999956</v>
      </c>
      <c r="AK31" s="8">
        <f>+$G$31*q13a!$G$31</f>
        <v>87674875.740000039</v>
      </c>
      <c r="AL31" s="8">
        <f>+$H$31*q13a!$H$31</f>
        <v>93942442.499999955</v>
      </c>
      <c r="AM31" s="8">
        <f>+$I$31*q13a!$I$31</f>
        <v>102021111.70999995</v>
      </c>
      <c r="AN31" s="8">
        <f>+$J$31*q13a!$J$31</f>
        <v>107193199.75000004</v>
      </c>
      <c r="AO31" s="8">
        <f>+$K$31*q13a!$K$31</f>
        <v>110427137.59</v>
      </c>
      <c r="AP31" s="8">
        <f>+$L$31*q13a!$L$31</f>
        <v>121909108.86000039</v>
      </c>
      <c r="AQ31" s="8">
        <f>+$M$31*q13a!$M$31</f>
        <v>140881811.98000005</v>
      </c>
    </row>
    <row r="32" spans="1:43" s="8" customFormat="1" ht="16.5" customHeight="1">
      <c r="A32" s="46" t="str">
        <f>+'q20'!A32</f>
        <v>55-59 anos</v>
      </c>
      <c r="B32" s="44" t="str">
        <f>+'q20'!B32</f>
        <v>T</v>
      </c>
      <c r="C32" s="277">
        <f>+'q20'!C32</f>
        <v>1052.71298171688</v>
      </c>
      <c r="D32" s="277">
        <f>+'q20'!D32</f>
        <v>1043.6559770662</v>
      </c>
      <c r="E32" s="277">
        <f>+'q20'!E32</f>
        <v>1018.8392607818399</v>
      </c>
      <c r="F32" s="277">
        <f>+'q20'!F32</f>
        <v>1012.15983471554</v>
      </c>
      <c r="G32" s="277">
        <f>+'q20'!G32</f>
        <v>1007.4025915254201</v>
      </c>
      <c r="H32" s="277">
        <f>+'q20'!H32</f>
        <v>1005.95456443911</v>
      </c>
      <c r="I32" s="277">
        <f>+'q20'!I32</f>
        <v>1021.52725284321</v>
      </c>
      <c r="J32" s="277">
        <f>+'q20'!J32</f>
        <v>1037.1257051358002</v>
      </c>
      <c r="K32" s="277">
        <f>+'q20'!K32</f>
        <v>1071.1831305563799</v>
      </c>
      <c r="L32" s="277">
        <f>+'q20'!L32</f>
        <v>1100.1356998494202</v>
      </c>
      <c r="M32" s="277">
        <f>+'q20'!M32</f>
        <v>1152.2431545377201</v>
      </c>
      <c r="N32" s="110"/>
      <c r="O32" s="200"/>
      <c r="P32" s="46" t="s">
        <v>63</v>
      </c>
      <c r="Q32" s="44" t="s">
        <v>45</v>
      </c>
      <c r="R32" s="8">
        <f>+$C$32*q13a!$C$32</f>
        <v>135654700.2500006</v>
      </c>
      <c r="S32" s="8">
        <f>+$D$32*q13a!$D$32</f>
        <v>140344593.86000016</v>
      </c>
      <c r="T32" s="8">
        <f>+$E$32*q13a!$E$32</f>
        <v>147956856.28999957</v>
      </c>
      <c r="U32" s="8">
        <f>+$F$32*q13a!$F$32</f>
        <v>157074048.27000052</v>
      </c>
      <c r="V32" s="8">
        <f>+$G$32*q13a!$G$32</f>
        <v>166422908.11999941</v>
      </c>
      <c r="W32" s="8">
        <f>+$H$32*q13a!$H$32</f>
        <v>178425155.14000049</v>
      </c>
      <c r="X32" s="8">
        <f>+$I$32*q13a!$I$32</f>
        <v>193026768.17000014</v>
      </c>
      <c r="Y32" s="8">
        <f>+$J$32*q13a!$J$32</f>
        <v>201435740.08000079</v>
      </c>
      <c r="Z32" s="8">
        <f>+$K$32*q13a!$K$32</f>
        <v>209894049.70000041</v>
      </c>
      <c r="AA32" s="8">
        <f>+$L$32*q13a!$L$32</f>
        <v>225026156.58999982</v>
      </c>
      <c r="AB32" s="8">
        <f>+$M$32*q13a!$M$32</f>
        <v>254535121.81000051</v>
      </c>
      <c r="AE32" s="46" t="s">
        <v>63</v>
      </c>
      <c r="AF32" s="44" t="s">
        <v>45</v>
      </c>
      <c r="AG32" s="8">
        <f>+$C$32*q13a!$C$32</f>
        <v>135654700.2500006</v>
      </c>
      <c r="AH32" s="8">
        <f>+$D$32*q13a!$D$32</f>
        <v>140344593.86000016</v>
      </c>
      <c r="AI32" s="8">
        <f>+$E$32*q13a!$E$32</f>
        <v>147956856.28999957</v>
      </c>
      <c r="AJ32" s="8">
        <f>+$F$32*q13a!$F$32</f>
        <v>157074048.27000052</v>
      </c>
      <c r="AK32" s="8">
        <f>+$G$32*q13a!$G$32</f>
        <v>166422908.11999941</v>
      </c>
      <c r="AL32" s="8">
        <f>+$H$32*q13a!$H$32</f>
        <v>178425155.14000049</v>
      </c>
      <c r="AM32" s="8">
        <f>+$I$32*q13a!$I$32</f>
        <v>193026768.17000014</v>
      </c>
      <c r="AN32" s="8">
        <f>+$J$32*q13a!$J$32</f>
        <v>201435740.08000079</v>
      </c>
      <c r="AO32" s="8">
        <f>+$K$32*q13a!$K$32</f>
        <v>209894049.70000041</v>
      </c>
      <c r="AP32" s="8">
        <f>+$L$32*q13a!$L$32</f>
        <v>225026156.58999982</v>
      </c>
      <c r="AQ32" s="8">
        <f>+$M$32*q13a!$M$32</f>
        <v>254535121.81000051</v>
      </c>
    </row>
    <row r="33" spans="1:43" s="8" customFormat="1" ht="12.75" customHeight="1">
      <c r="A33" s="47"/>
      <c r="B33" s="48" t="str">
        <f>+'q20'!B33</f>
        <v>H</v>
      </c>
      <c r="C33" s="279">
        <f>+'q20'!C33</f>
        <v>1194.9671100697101</v>
      </c>
      <c r="D33" s="279">
        <f>+'q20'!D33</f>
        <v>1184.6907110274301</v>
      </c>
      <c r="E33" s="279">
        <f>+'q20'!E33</f>
        <v>1145.0215935849101</v>
      </c>
      <c r="F33" s="279">
        <f>+'q20'!F33</f>
        <v>1133.4722459767302</v>
      </c>
      <c r="G33" s="279">
        <f>+'q20'!G33</f>
        <v>1123.4438666327799</v>
      </c>
      <c r="H33" s="279">
        <f>+'q20'!H33</f>
        <v>1112.03247814728</v>
      </c>
      <c r="I33" s="279">
        <f>+'q20'!I33</f>
        <v>1125.80433827405</v>
      </c>
      <c r="J33" s="279">
        <f>+'q20'!J33</f>
        <v>1142.6523000703901</v>
      </c>
      <c r="K33" s="279">
        <f>+'q20'!K33</f>
        <v>1177.13904406032</v>
      </c>
      <c r="L33" s="279">
        <f>+'q20'!L33</f>
        <v>1202.8666437290901</v>
      </c>
      <c r="M33" s="279">
        <f>+'q20'!M33</f>
        <v>1262.47511215912</v>
      </c>
      <c r="N33" s="110"/>
      <c r="O33" s="200"/>
      <c r="P33" s="47"/>
      <c r="Q33" s="48" t="s">
        <v>53</v>
      </c>
      <c r="R33" s="8">
        <f>+$C$33*q13a!$C$33</f>
        <v>92051901.389999971</v>
      </c>
      <c r="S33" s="8">
        <f>+$D$33*q13a!$D$33</f>
        <v>93755238.179999784</v>
      </c>
      <c r="T33" s="8">
        <f>+$E$33*q13a!$E$33</f>
        <v>96669593.059999615</v>
      </c>
      <c r="U33" s="8">
        <f>+$F$33*q13a!$F$33</f>
        <v>101211137.26000017</v>
      </c>
      <c r="V33" s="8">
        <f>+$G$33*q13a!$G$33</f>
        <v>106087927.77000004</v>
      </c>
      <c r="W33" s="8">
        <f>+$H$33*q13a!$H$33</f>
        <v>113224922.85999976</v>
      </c>
      <c r="X33" s="8">
        <f>+$I$33*q13a!$I$33</f>
        <v>121754613.38000023</v>
      </c>
      <c r="Y33" s="8">
        <f>+$J$33*q13a!$J$33</f>
        <v>126621871.98000021</v>
      </c>
      <c r="Z33" s="8">
        <f>+$K$33*q13a!$K$33</f>
        <v>131365185.89999953</v>
      </c>
      <c r="AA33" s="8">
        <f>+$L$33*q13a!$L$33</f>
        <v>138443936.35999963</v>
      </c>
      <c r="AB33" s="8">
        <f>+$M$33*q13a!$M$33</f>
        <v>154996594.46999949</v>
      </c>
      <c r="AE33" s="47"/>
      <c r="AF33" s="48" t="s">
        <v>53</v>
      </c>
      <c r="AG33" s="8">
        <f>+$C$33*q13a!$C$33</f>
        <v>92051901.389999971</v>
      </c>
      <c r="AH33" s="8">
        <f>+$D$33*q13a!$D$33</f>
        <v>93755238.179999784</v>
      </c>
      <c r="AI33" s="8">
        <f>+$E$33*q13a!$E$33</f>
        <v>96669593.059999615</v>
      </c>
      <c r="AJ33" s="8">
        <f>+$F$33*q13a!$F$33</f>
        <v>101211137.26000017</v>
      </c>
      <c r="AK33" s="8">
        <f>+$G$33*q13a!$G$33</f>
        <v>106087927.77000004</v>
      </c>
      <c r="AL33" s="8">
        <f>+$H$33*q13a!$H$33</f>
        <v>113224922.85999976</v>
      </c>
      <c r="AM33" s="8">
        <f>+$I$33*q13a!$I$33</f>
        <v>121754613.38000023</v>
      </c>
      <c r="AN33" s="8">
        <f>+$J$33*q13a!$J$33</f>
        <v>126621871.98000021</v>
      </c>
      <c r="AO33" s="8">
        <f>+$K$33*q13a!$K$33</f>
        <v>131365185.89999953</v>
      </c>
      <c r="AP33" s="8">
        <f>+$L$33*q13a!$L$33</f>
        <v>138443936.35999963</v>
      </c>
      <c r="AQ33" s="8">
        <f>+$M$33*q13a!$M$33</f>
        <v>154996594.46999949</v>
      </c>
    </row>
    <row r="34" spans="1:43" s="8" customFormat="1" ht="12.75" customHeight="1">
      <c r="A34" s="46"/>
      <c r="B34" s="48" t="str">
        <f>+'q20'!B34</f>
        <v>M</v>
      </c>
      <c r="C34" s="279">
        <f>+'q20'!C34</f>
        <v>841.28188581682116</v>
      </c>
      <c r="D34" s="279">
        <f>+'q20'!D34</f>
        <v>841.95094750158103</v>
      </c>
      <c r="E34" s="279">
        <f>+'q20'!E34</f>
        <v>843.60988946459406</v>
      </c>
      <c r="F34" s="279">
        <f>+'q20'!F34</f>
        <v>847.76931146993707</v>
      </c>
      <c r="G34" s="279">
        <f>+'q20'!G34</f>
        <v>852.56228504006015</v>
      </c>
      <c r="H34" s="279">
        <f>+'q20'!H34</f>
        <v>862.99628436420403</v>
      </c>
      <c r="I34" s="279">
        <f>+'q20'!I34</f>
        <v>881.97196869199399</v>
      </c>
      <c r="J34" s="279">
        <f>+'q20'!J34</f>
        <v>896.93047799450903</v>
      </c>
      <c r="K34" s="279">
        <f>+'q20'!K34</f>
        <v>930.99934557611812</v>
      </c>
      <c r="L34" s="279">
        <f>+'q20'!L34</f>
        <v>967.95067837538704</v>
      </c>
      <c r="M34" s="279">
        <f>+'q20'!M34</f>
        <v>1014.3330141034501</v>
      </c>
      <c r="N34" s="110"/>
      <c r="O34" s="200"/>
      <c r="P34" s="46"/>
      <c r="Q34" s="48" t="s">
        <v>54</v>
      </c>
      <c r="R34" s="8">
        <f>+$C$34*q13a!$C$34</f>
        <v>43602798.860000022</v>
      </c>
      <c r="S34" s="8">
        <f>+$D$34*q13a!$D$34</f>
        <v>46589355.679999985</v>
      </c>
      <c r="T34" s="8">
        <f>+$E$34*q13a!$E$34</f>
        <v>51287263.229999997</v>
      </c>
      <c r="U34" s="8">
        <f>+$F$34*q13a!$F$34</f>
        <v>55862911.010000035</v>
      </c>
      <c r="V34" s="8">
        <f>+$G$34*q13a!$G$34</f>
        <v>60334980.350000016</v>
      </c>
      <c r="W34" s="8">
        <f>+$H$34*q13a!$H$34</f>
        <v>65200232.279999979</v>
      </c>
      <c r="X34" s="8">
        <f>+$I$34*q13a!$I$34</f>
        <v>71272154.790000036</v>
      </c>
      <c r="Y34" s="8">
        <f>+$J$34*q13a!$J$34</f>
        <v>74813868.099999994</v>
      </c>
      <c r="Z34" s="8">
        <f>+$K$34*q13a!$K$34</f>
        <v>78528863.799999982</v>
      </c>
      <c r="AA34" s="8">
        <f>+$L$34*q13a!$L$34</f>
        <v>86582220.229999989</v>
      </c>
      <c r="AB34" s="8">
        <f>+$M$34*q13a!$M$34</f>
        <v>99538527.339999765</v>
      </c>
      <c r="AE34" s="46"/>
      <c r="AF34" s="48" t="s">
        <v>54</v>
      </c>
      <c r="AG34" s="8">
        <f>+$C$34*q13a!$C$34</f>
        <v>43602798.860000022</v>
      </c>
      <c r="AH34" s="8">
        <f>+$D$34*q13a!$D$34</f>
        <v>46589355.679999985</v>
      </c>
      <c r="AI34" s="8">
        <f>+$E$34*q13a!$E$34</f>
        <v>51287263.229999997</v>
      </c>
      <c r="AJ34" s="8">
        <f>+$F$34*q13a!$F$34</f>
        <v>55862911.010000035</v>
      </c>
      <c r="AK34" s="8">
        <f>+$G$34*q13a!$G$34</f>
        <v>60334980.350000016</v>
      </c>
      <c r="AL34" s="8">
        <f>+$H$34*q13a!$H$34</f>
        <v>65200232.279999979</v>
      </c>
      <c r="AM34" s="8">
        <f>+$I$34*q13a!$I$34</f>
        <v>71272154.790000036</v>
      </c>
      <c r="AN34" s="8">
        <f>+$J$34*q13a!$J$34</f>
        <v>74813868.099999994</v>
      </c>
      <c r="AO34" s="8">
        <f>+$K$34*q13a!$K$34</f>
        <v>78528863.799999982</v>
      </c>
      <c r="AP34" s="8">
        <f>+$L$34*q13a!$L$34</f>
        <v>86582220.229999989</v>
      </c>
      <c r="AQ34" s="8">
        <f>+$M$34*q13a!$M$34</f>
        <v>99538527.339999765</v>
      </c>
    </row>
    <row r="35" spans="1:43" s="8" customFormat="1" ht="16.5" customHeight="1">
      <c r="A35" s="46" t="str">
        <f>+'q20'!A35</f>
        <v>60-64 anos</v>
      </c>
      <c r="B35" s="44" t="str">
        <f>+'q20'!B35</f>
        <v>T</v>
      </c>
      <c r="C35" s="277">
        <f>+'q20'!C35</f>
        <v>1061.5141745451899</v>
      </c>
      <c r="D35" s="277">
        <f>+'q20'!D35</f>
        <v>1051.7088265357302</v>
      </c>
      <c r="E35" s="277">
        <f>+'q20'!E35</f>
        <v>1050.3920436053502</v>
      </c>
      <c r="F35" s="277">
        <f>+'q20'!F35</f>
        <v>1059.0642469207198</v>
      </c>
      <c r="G35" s="277">
        <f>+'q20'!G35</f>
        <v>1057.9931437252403</v>
      </c>
      <c r="H35" s="277">
        <f>+'q20'!H35</f>
        <v>1062.2563450008602</v>
      </c>
      <c r="I35" s="277">
        <f>+'q20'!I35</f>
        <v>1075.2958885221101</v>
      </c>
      <c r="J35" s="277">
        <f>+'q20'!J35</f>
        <v>1087.13065963902</v>
      </c>
      <c r="K35" s="277">
        <f>+'q20'!K35</f>
        <v>1112.2083395116399</v>
      </c>
      <c r="L35" s="277">
        <f>+'q20'!L35</f>
        <v>1124.0855872945801</v>
      </c>
      <c r="M35" s="277">
        <f>+'q20'!M35</f>
        <v>1158.8746805641401</v>
      </c>
      <c r="N35" s="110"/>
      <c r="O35" s="200"/>
      <c r="P35" s="46" t="s">
        <v>64</v>
      </c>
      <c r="Q35" s="44" t="s">
        <v>45</v>
      </c>
      <c r="R35" s="8">
        <f>+$C$35*q13a!$C$35</f>
        <v>59283443.619999766</v>
      </c>
      <c r="S35" s="8">
        <f>+$D$35*q13a!$D$35</f>
        <v>62970014.280000307</v>
      </c>
      <c r="T35" s="8">
        <f>+$E$35*q13a!$E$35</f>
        <v>69712419.149999887</v>
      </c>
      <c r="U35" s="8">
        <f>+$F$35*q13a!$F$35</f>
        <v>76869001.169999689</v>
      </c>
      <c r="V35" s="8">
        <f>+$G$35*q13a!$G$35</f>
        <v>82526639.189999923</v>
      </c>
      <c r="W35" s="8">
        <f>+$H$35*q13a!$H$35</f>
        <v>93016476.850000322</v>
      </c>
      <c r="X35" s="8">
        <f>+$I$35*q13a!$I$35</f>
        <v>99351963.620000362</v>
      </c>
      <c r="Y35" s="8">
        <f>+$J$35*q13a!$J$35</f>
        <v>105707149.6900001</v>
      </c>
      <c r="Z35" s="8">
        <f>+$K$35*q13a!$K$35</f>
        <v>110411146.27999951</v>
      </c>
      <c r="AA35" s="8">
        <f>+$L$35*q13a!$L$35</f>
        <v>122305008.2399995</v>
      </c>
      <c r="AB35" s="8">
        <f>+$M$35*q13a!$M$35</f>
        <v>144371448.83000001</v>
      </c>
      <c r="AE35" s="46" t="s">
        <v>64</v>
      </c>
      <c r="AF35" s="44" t="s">
        <v>45</v>
      </c>
      <c r="AG35" s="8">
        <f>+$C$35*q13a!$C$35</f>
        <v>59283443.619999766</v>
      </c>
      <c r="AH35" s="8">
        <f>+$D$35*q13a!$D$35</f>
        <v>62970014.280000307</v>
      </c>
      <c r="AI35" s="8">
        <f>+$E$35*q13a!$E$35</f>
        <v>69712419.149999887</v>
      </c>
      <c r="AJ35" s="8">
        <f>+$F$35*q13a!$F$35</f>
        <v>76869001.169999689</v>
      </c>
      <c r="AK35" s="8">
        <f>+$G$35*q13a!$G$35</f>
        <v>82526639.189999923</v>
      </c>
      <c r="AL35" s="8">
        <f>+$H$35*q13a!$H$35</f>
        <v>93016476.850000322</v>
      </c>
      <c r="AM35" s="8">
        <f>+$I$35*q13a!$I$35</f>
        <v>99351963.620000362</v>
      </c>
      <c r="AN35" s="8">
        <f>+$J$35*q13a!$J$35</f>
        <v>105707149.6900001</v>
      </c>
      <c r="AO35" s="8">
        <f>+$K$35*q13a!$K$35</f>
        <v>110411146.27999951</v>
      </c>
      <c r="AP35" s="8">
        <f>+$L$35*q13a!$L$35</f>
        <v>122305008.2399995</v>
      </c>
      <c r="AQ35" s="8">
        <f>+$M$35*q13a!$M$35</f>
        <v>144371448.83000001</v>
      </c>
    </row>
    <row r="36" spans="1:43" s="8" customFormat="1" ht="12.75" customHeight="1">
      <c r="A36" s="47"/>
      <c r="B36" s="48" t="str">
        <f>+'q20'!B36</f>
        <v>H</v>
      </c>
      <c r="C36" s="279">
        <f>+'q20'!C36</f>
        <v>1223.6730748646999</v>
      </c>
      <c r="D36" s="279">
        <f>+'q20'!D36</f>
        <v>1211.8686267645101</v>
      </c>
      <c r="E36" s="279">
        <f>+'q20'!E36</f>
        <v>1205.13236584381</v>
      </c>
      <c r="F36" s="279">
        <f>+'q20'!F36</f>
        <v>1214.8526596361103</v>
      </c>
      <c r="G36" s="279">
        <f>+'q20'!G36</f>
        <v>1207.74159017748</v>
      </c>
      <c r="H36" s="279">
        <f>+'q20'!H36</f>
        <v>1195.3999072553402</v>
      </c>
      <c r="I36" s="279">
        <f>+'q20'!I36</f>
        <v>1199.9234508685502</v>
      </c>
      <c r="J36" s="279">
        <f>+'q20'!J36</f>
        <v>1200.59869000975</v>
      </c>
      <c r="K36" s="279">
        <f>+'q20'!K36</f>
        <v>1222.1895151051399</v>
      </c>
      <c r="L36" s="279">
        <f>+'q20'!L36</f>
        <v>1227.85681150394</v>
      </c>
      <c r="M36" s="279">
        <f>+'q20'!M36</f>
        <v>1264.9647824441399</v>
      </c>
      <c r="N36" s="110"/>
      <c r="O36" s="200"/>
      <c r="P36" s="47"/>
      <c r="Q36" s="48" t="s">
        <v>53</v>
      </c>
      <c r="R36" s="8">
        <f>+$C$36*q13a!$C$36</f>
        <v>40699366.469999917</v>
      </c>
      <c r="S36" s="8">
        <f>+$D$36*q13a!$D$36</f>
        <v>43268557.45000007</v>
      </c>
      <c r="T36" s="8">
        <f>+$E$36*q13a!$E$36</f>
        <v>47744934.070000067</v>
      </c>
      <c r="U36" s="8">
        <f>+$F$36*q13a!$F$36</f>
        <v>52414817.999999978</v>
      </c>
      <c r="V36" s="8">
        <f>+$G$36*q13a!$G$36</f>
        <v>55527127.349999823</v>
      </c>
      <c r="W36" s="8">
        <f>+$H$36*q13a!$H$36</f>
        <v>61867922.20000013</v>
      </c>
      <c r="X36" s="8">
        <f>+$I$36*q13a!$I$36</f>
        <v>64793466.49999997</v>
      </c>
      <c r="Y36" s="8">
        <f>+$J$36*q13a!$J$36</f>
        <v>67719769.109999955</v>
      </c>
      <c r="Z36" s="8">
        <f>+$K$36*q13a!$K$36</f>
        <v>70272230.550000235</v>
      </c>
      <c r="AA36" s="8">
        <f>+$L$36*q13a!$L$36</f>
        <v>76890849.249999732</v>
      </c>
      <c r="AB36" s="8">
        <f>+$M$36*q13a!$M$36</f>
        <v>90240057.650000051</v>
      </c>
      <c r="AE36" s="47"/>
      <c r="AF36" s="48" t="s">
        <v>53</v>
      </c>
      <c r="AG36" s="8">
        <f>+$C$36*q13a!$C$36</f>
        <v>40699366.469999917</v>
      </c>
      <c r="AH36" s="8">
        <f>+$D$36*q13a!$D$36</f>
        <v>43268557.45000007</v>
      </c>
      <c r="AI36" s="8">
        <f>+$E$36*q13a!$E$36</f>
        <v>47744934.070000067</v>
      </c>
      <c r="AJ36" s="8">
        <f>+$F$36*q13a!$F$36</f>
        <v>52414817.999999978</v>
      </c>
      <c r="AK36" s="8">
        <f>+$G$36*q13a!$G$36</f>
        <v>55527127.349999823</v>
      </c>
      <c r="AL36" s="8">
        <f>+$H$36*q13a!$H$36</f>
        <v>61867922.20000013</v>
      </c>
      <c r="AM36" s="8">
        <f>+$I$36*q13a!$I$36</f>
        <v>64793466.49999997</v>
      </c>
      <c r="AN36" s="8">
        <f>+$J$36*q13a!$J$36</f>
        <v>67719769.109999955</v>
      </c>
      <c r="AO36" s="8">
        <f>+$K$36*q13a!$K$36</f>
        <v>70272230.550000235</v>
      </c>
      <c r="AP36" s="8">
        <f>+$L$36*q13a!$L$36</f>
        <v>76890849.249999732</v>
      </c>
      <c r="AQ36" s="8">
        <f>+$M$36*q13a!$M$36</f>
        <v>90240057.650000051</v>
      </c>
    </row>
    <row r="37" spans="1:43" s="8" customFormat="1" ht="12.75" customHeight="1">
      <c r="A37" s="46"/>
      <c r="B37" s="48" t="str">
        <f>+'q20'!B37</f>
        <v>M</v>
      </c>
      <c r="C37" s="279">
        <f>+'q20'!C37</f>
        <v>822.74115238179604</v>
      </c>
      <c r="D37" s="279">
        <f>+'q20'!D37</f>
        <v>815.12026603227105</v>
      </c>
      <c r="E37" s="279">
        <f>+'q20'!E37</f>
        <v>821.21439551401909</v>
      </c>
      <c r="F37" s="279">
        <f>+'q20'!F37</f>
        <v>830.72946190168807</v>
      </c>
      <c r="G37" s="279">
        <f>+'q20'!G37</f>
        <v>843.023443969151</v>
      </c>
      <c r="H37" s="279">
        <f>+'q20'!H37</f>
        <v>869.828390114493</v>
      </c>
      <c r="I37" s="279">
        <f>+'q20'!I37</f>
        <v>900.03117743573705</v>
      </c>
      <c r="J37" s="279">
        <f>+'q20'!J37</f>
        <v>930.37914719568903</v>
      </c>
      <c r="K37" s="279">
        <f>+'q20'!K37</f>
        <v>960.83580442848609</v>
      </c>
      <c r="L37" s="279">
        <f>+'q20'!L37</f>
        <v>983.37358689532698</v>
      </c>
      <c r="M37" s="279">
        <f>+'q20'!M37</f>
        <v>1016.72378768243</v>
      </c>
      <c r="N37" s="110"/>
      <c r="O37" s="200"/>
      <c r="P37" s="46"/>
      <c r="Q37" s="48" t="s">
        <v>54</v>
      </c>
      <c r="R37" s="8">
        <f>+$C$37*q13a!$C$37</f>
        <v>18584077.15000001</v>
      </c>
      <c r="S37" s="8">
        <f>+$D$37*q13a!$D$37</f>
        <v>19701456.829999991</v>
      </c>
      <c r="T37" s="8">
        <f>+$E$37*q13a!$E$37</f>
        <v>21967485.080000009</v>
      </c>
      <c r="U37" s="8">
        <f>+$F$37*q13a!$F$37</f>
        <v>24454183.169999991</v>
      </c>
      <c r="V37" s="8">
        <f>+$G$37*q13a!$G$37</f>
        <v>26999511.84</v>
      </c>
      <c r="W37" s="8">
        <f>+$H$37*q13a!$H$37</f>
        <v>31148554.649999995</v>
      </c>
      <c r="X37" s="8">
        <f>+$I$37*q13a!$I$37</f>
        <v>34558497.119999997</v>
      </c>
      <c r="Y37" s="8">
        <f>+$J$37*q13a!$J$37</f>
        <v>37987380.579999983</v>
      </c>
      <c r="Z37" s="8">
        <f>+$K$37*q13a!$K$37</f>
        <v>40138915.730000004</v>
      </c>
      <c r="AA37" s="8">
        <f>+$L$37*q13a!$L$37</f>
        <v>45414158.989999987</v>
      </c>
      <c r="AB37" s="8">
        <f>+$M$37*q13a!$M$37</f>
        <v>54131391.18000026</v>
      </c>
      <c r="AE37" s="46"/>
      <c r="AF37" s="48" t="s">
        <v>54</v>
      </c>
      <c r="AG37" s="8">
        <f>+$C$37*q13a!$C$37</f>
        <v>18584077.15000001</v>
      </c>
      <c r="AH37" s="8">
        <f>+$D$37*q13a!$D$37</f>
        <v>19701456.829999991</v>
      </c>
      <c r="AI37" s="8">
        <f>+$E$37*q13a!$E$37</f>
        <v>21967485.080000009</v>
      </c>
      <c r="AJ37" s="8">
        <f>+$F$37*q13a!$F$37</f>
        <v>24454183.169999991</v>
      </c>
      <c r="AK37" s="8">
        <f>+$G$37*q13a!$G$37</f>
        <v>26999511.84</v>
      </c>
      <c r="AL37" s="8">
        <f>+$H$37*q13a!$H$37</f>
        <v>31148554.649999995</v>
      </c>
      <c r="AM37" s="8">
        <f>+$I$37*q13a!$I$37</f>
        <v>34558497.119999997</v>
      </c>
      <c r="AN37" s="8">
        <f>+$J$37*q13a!$J$37</f>
        <v>37987380.579999983</v>
      </c>
      <c r="AO37" s="8">
        <f>+$K$37*q13a!$K$37</f>
        <v>40138915.730000004</v>
      </c>
      <c r="AP37" s="8">
        <f>+$L$37*q13a!$L$37</f>
        <v>45414158.989999987</v>
      </c>
      <c r="AQ37" s="8">
        <f>+$M$37*q13a!$M$37</f>
        <v>54131391.18000026</v>
      </c>
    </row>
    <row r="38" spans="1:43" s="8" customFormat="1" ht="16.5" customHeight="1">
      <c r="A38" s="46" t="str">
        <f>+'q20'!A38</f>
        <v>65 e + anos</v>
      </c>
      <c r="B38" s="44" t="str">
        <f>+'q20'!B38</f>
        <v>T</v>
      </c>
      <c r="C38" s="277">
        <f>+'q20'!C38</f>
        <v>1228.0240006460501</v>
      </c>
      <c r="D38" s="277">
        <f>+'q20'!D38</f>
        <v>1220.4288603242203</v>
      </c>
      <c r="E38" s="277">
        <f>+'q20'!E38</f>
        <v>1170.0147182075898</v>
      </c>
      <c r="F38" s="277">
        <f>+'q20'!F38</f>
        <v>1185.02429247286</v>
      </c>
      <c r="G38" s="277">
        <f>+'q20'!G38</f>
        <v>1181.9358861067499</v>
      </c>
      <c r="H38" s="277">
        <f>+'q20'!H38</f>
        <v>1181.46910780847</v>
      </c>
      <c r="I38" s="277">
        <f>+'q20'!I38</f>
        <v>1177.6918516831602</v>
      </c>
      <c r="J38" s="277">
        <f>+'q20'!J38</f>
        <v>1219.7258250373802</v>
      </c>
      <c r="K38" s="277">
        <f>+'q20'!K38</f>
        <v>1280.7867853076202</v>
      </c>
      <c r="L38" s="277">
        <f>+'q20'!L38</f>
        <v>1291.35140024618</v>
      </c>
      <c r="M38" s="277">
        <f>+'q20'!M38</f>
        <v>1297.99535680387</v>
      </c>
      <c r="N38" s="110"/>
      <c r="O38" s="200"/>
      <c r="P38" s="46" t="s">
        <v>65</v>
      </c>
      <c r="Q38" s="44" t="s">
        <v>45</v>
      </c>
      <c r="R38" s="408">
        <f>+$C$38</f>
        <v>1228.0240006460501</v>
      </c>
      <c r="S38" s="408">
        <f>+$D$38</f>
        <v>1220.4288603242203</v>
      </c>
      <c r="T38" s="408">
        <f>+$E$38</f>
        <v>1170.0147182075898</v>
      </c>
      <c r="U38" s="408">
        <f>+$F$38</f>
        <v>1185.02429247286</v>
      </c>
      <c r="V38" s="408">
        <f>+$G$38</f>
        <v>1181.9358861067499</v>
      </c>
      <c r="W38" s="408">
        <f>+$H$38</f>
        <v>1181.46910780847</v>
      </c>
      <c r="X38" s="408">
        <f>+$I$38</f>
        <v>1177.6918516831602</v>
      </c>
      <c r="Y38" s="408">
        <f>+$J$38</f>
        <v>1219.7258250373802</v>
      </c>
      <c r="Z38" s="408">
        <f>+$K$38</f>
        <v>1280.7867853076202</v>
      </c>
      <c r="AA38" s="408">
        <f>+$L$38</f>
        <v>1291.35140024618</v>
      </c>
      <c r="AB38" s="408">
        <f>+$M$38</f>
        <v>1297.99535680387</v>
      </c>
      <c r="AE38" s="46" t="s">
        <v>65</v>
      </c>
      <c r="AF38" s="44" t="s">
        <v>45</v>
      </c>
      <c r="AG38" s="408">
        <f>+$C$38*q13a!$C$38</f>
        <v>15206621.200000038</v>
      </c>
      <c r="AH38" s="408">
        <f>+$D$38*q13a!$D$38</f>
        <v>14906318.100000028</v>
      </c>
      <c r="AI38" s="408">
        <f>+$E$38*q13a!$E$38</f>
        <v>16919582.839999955</v>
      </c>
      <c r="AJ38" s="408">
        <f>+$F$38*q13a!$F$38</f>
        <v>19537495.510000043</v>
      </c>
      <c r="AK38" s="408">
        <f>+$G$38*q13a!$G$38</f>
        <v>21855176.469999913</v>
      </c>
      <c r="AL38" s="408">
        <f>+$H$38*q13a!$H$38</f>
        <v>24723422.550000042</v>
      </c>
      <c r="AM38" s="408">
        <f>+$I$38*q13a!$I$38</f>
        <v>28442435.91</v>
      </c>
      <c r="AN38" s="408">
        <f>+$J$38*q13a!$J$38</f>
        <v>33448541.300000079</v>
      </c>
      <c r="AO38" s="408">
        <f>+$K$38*q13a!$K$38</f>
        <v>34869420.229999959</v>
      </c>
      <c r="AP38" s="408">
        <f>+$L$38*q13a!$L$38</f>
        <v>38816731.739999928</v>
      </c>
      <c r="AQ38" s="408">
        <f>+$M$38*q13a!$M$38</f>
        <v>45127404.570000149</v>
      </c>
    </row>
    <row r="39" spans="1:43" s="8" customFormat="1" ht="12.75" customHeight="1">
      <c r="A39" s="47"/>
      <c r="B39" s="48" t="str">
        <f>+'q20'!B39</f>
        <v>H</v>
      </c>
      <c r="C39" s="279">
        <f>+'q20'!C39</f>
        <v>1387.1417493599902</v>
      </c>
      <c r="D39" s="279">
        <f>+'q20'!D39</f>
        <v>1379.78553602593</v>
      </c>
      <c r="E39" s="279">
        <f>+'q20'!E39</f>
        <v>1342.7108091218101</v>
      </c>
      <c r="F39" s="279">
        <f>+'q20'!F39</f>
        <v>1365.2170270270301</v>
      </c>
      <c r="G39" s="279">
        <f>+'q20'!G39</f>
        <v>1356.00896940133</v>
      </c>
      <c r="H39" s="279">
        <f>+'q20'!H39</f>
        <v>1353.7296364756601</v>
      </c>
      <c r="I39" s="279">
        <f>+'q20'!I39</f>
        <v>1329.7835700922099</v>
      </c>
      <c r="J39" s="279">
        <f>+'q20'!J39</f>
        <v>1356.3880227677801</v>
      </c>
      <c r="K39" s="279">
        <f>+'q20'!K39</f>
        <v>1428.2856375838901</v>
      </c>
      <c r="L39" s="279">
        <f>+'q20'!L39</f>
        <v>1426.2362800701001</v>
      </c>
      <c r="M39" s="279">
        <f>+'q20'!M39</f>
        <v>1419.42393265128</v>
      </c>
      <c r="N39" s="110"/>
      <c r="O39" s="200"/>
      <c r="P39" s="47"/>
      <c r="Q39" s="48" t="s">
        <v>53</v>
      </c>
      <c r="R39" s="408">
        <f>+$C$39</f>
        <v>1387.1417493599902</v>
      </c>
      <c r="S39" s="408">
        <f>+$D$39</f>
        <v>1379.78553602593</v>
      </c>
      <c r="T39" s="408">
        <f>+$E$39</f>
        <v>1342.7108091218101</v>
      </c>
      <c r="U39" s="408">
        <f>+$F$39</f>
        <v>1365.2170270270301</v>
      </c>
      <c r="V39" s="408">
        <f>+$G$39</f>
        <v>1356.00896940133</v>
      </c>
      <c r="W39" s="408">
        <f>+$H$39</f>
        <v>1353.7296364756601</v>
      </c>
      <c r="X39" s="408">
        <f>+$I$39</f>
        <v>1329.7835700922099</v>
      </c>
      <c r="Y39" s="408">
        <f>+$J$39</f>
        <v>1356.3880227677801</v>
      </c>
      <c r="Z39" s="408">
        <f>+$K$39</f>
        <v>1428.2856375838901</v>
      </c>
      <c r="AA39" s="408">
        <f>+$L$39</f>
        <v>1426.2362800701001</v>
      </c>
      <c r="AB39" s="408">
        <f>+$M$39</f>
        <v>1419.42393265128</v>
      </c>
      <c r="AE39" s="47"/>
      <c r="AF39" s="48" t="s">
        <v>53</v>
      </c>
      <c r="AG39" s="408">
        <f>+$C$39*q13a!$C$39</f>
        <v>11378723.77</v>
      </c>
      <c r="AH39" s="408">
        <f>+$D$39*q13a!$D$39</f>
        <v>11068639.570000011</v>
      </c>
      <c r="AI39" s="408">
        <f>+$E$39*q13a!$E$39</f>
        <v>12246865.290000031</v>
      </c>
      <c r="AJ39" s="408">
        <f>+$F$39*q13a!$F$39</f>
        <v>13891083.250000032</v>
      </c>
      <c r="AK39" s="408">
        <f>+$G$39*q13a!$G$39</f>
        <v>15289001.129999995</v>
      </c>
      <c r="AL39" s="408">
        <f>+$H$39*q13a!$H$39</f>
        <v>17576825.599999972</v>
      </c>
      <c r="AM39" s="408">
        <f>+$I$39*q13a!$I$39</f>
        <v>19901540.910000011</v>
      </c>
      <c r="AN39" s="408">
        <f>+$J$39*q13a!$J$39</f>
        <v>23591656.879999999</v>
      </c>
      <c r="AO39" s="408">
        <f>+$K$39*q13a!$K$39</f>
        <v>24686488.959999956</v>
      </c>
      <c r="AP39" s="408">
        <f>+$L$39*q13a!$L$39</f>
        <v>26857455.390000053</v>
      </c>
      <c r="AQ39" s="408">
        <f>+$M$39*q13a!$M$39</f>
        <v>30939183.459999949</v>
      </c>
    </row>
    <row r="40" spans="1:43" s="8" customFormat="1" ht="12.75" customHeight="1">
      <c r="A40" s="46"/>
      <c r="B40" s="48" t="str">
        <f>+'q20'!B40</f>
        <v>M</v>
      </c>
      <c r="C40" s="279">
        <f>+'q20'!C40</f>
        <v>915.76493540669901</v>
      </c>
      <c r="D40" s="279">
        <f>+'q20'!D40</f>
        <v>915.47674856870208</v>
      </c>
      <c r="E40" s="279">
        <f>+'q20'!E40</f>
        <v>875.04073970037507</v>
      </c>
      <c r="F40" s="279">
        <f>+'q20'!F40</f>
        <v>894.55200570342197</v>
      </c>
      <c r="G40" s="279">
        <f>+'q20'!G40</f>
        <v>909.94669345898001</v>
      </c>
      <c r="H40" s="279">
        <f>+'q20'!H40</f>
        <v>899.84852052379813</v>
      </c>
      <c r="I40" s="279">
        <f>+'q20'!I40</f>
        <v>929.87425149700607</v>
      </c>
      <c r="J40" s="279">
        <f>+'q20'!J40</f>
        <v>982.74022133599203</v>
      </c>
      <c r="K40" s="279">
        <f>+'q20'!K40</f>
        <v>1024.3367136103</v>
      </c>
      <c r="L40" s="279">
        <f>+'q20'!L40</f>
        <v>1065.12970698254</v>
      </c>
      <c r="M40" s="279">
        <f>+'q20'!M40</f>
        <v>1093.9260686198902</v>
      </c>
      <c r="N40" s="110"/>
      <c r="O40" s="200"/>
      <c r="P40" s="46"/>
      <c r="Q40" s="48" t="s">
        <v>54</v>
      </c>
      <c r="R40" s="408">
        <f>+$C$40</f>
        <v>915.76493540669901</v>
      </c>
      <c r="S40" s="408">
        <f>+$D$40</f>
        <v>915.47674856870208</v>
      </c>
      <c r="T40" s="408">
        <f>+$E$40</f>
        <v>875.04073970037507</v>
      </c>
      <c r="U40" s="408">
        <f>+$F$40</f>
        <v>894.55200570342197</v>
      </c>
      <c r="V40" s="408">
        <f>+$G$40</f>
        <v>909.94669345898001</v>
      </c>
      <c r="W40" s="408">
        <f>+$H$40</f>
        <v>899.84852052379813</v>
      </c>
      <c r="X40" s="408">
        <f>+$I$40</f>
        <v>929.87425149700607</v>
      </c>
      <c r="Y40" s="408">
        <f>+$J$40</f>
        <v>982.74022133599203</v>
      </c>
      <c r="Z40" s="408">
        <f>+$K$40</f>
        <v>1024.3367136103</v>
      </c>
      <c r="AA40" s="408">
        <f>+$L$40</f>
        <v>1065.12970698254</v>
      </c>
      <c r="AB40" s="408">
        <f>+$M$40</f>
        <v>1093.9260686198902</v>
      </c>
      <c r="AE40" s="46"/>
      <c r="AF40" s="48" t="s">
        <v>54</v>
      </c>
      <c r="AG40" s="408">
        <f>+$C$40*q13a!$C$40</f>
        <v>3827897.430000002</v>
      </c>
      <c r="AH40" s="408">
        <f>+$D$40*q13a!$D$40</f>
        <v>3837678.5299999993</v>
      </c>
      <c r="AI40" s="408">
        <f>+$E$40*q13a!$E$40</f>
        <v>4672717.5500000026</v>
      </c>
      <c r="AJ40" s="408">
        <f>+$F$40*q13a!$F$40</f>
        <v>5646412.2599999998</v>
      </c>
      <c r="AK40" s="408">
        <f>+$G$40*q13a!$G$40</f>
        <v>6566175.3399999999</v>
      </c>
      <c r="AL40" s="408">
        <f>+$H$40*q13a!$H$40</f>
        <v>7146596.9500000048</v>
      </c>
      <c r="AM40" s="408">
        <f>+$I$40*q13a!$I$40</f>
        <v>8540895</v>
      </c>
      <c r="AN40" s="408">
        <f>+$J$40*q13a!$J$40</f>
        <v>9856884.4199999999</v>
      </c>
      <c r="AO40" s="408">
        <f>+$K$40*q13a!$K$40</f>
        <v>10182931.269999992</v>
      </c>
      <c r="AP40" s="408">
        <f>+$L$40*q13a!$L$40</f>
        <v>11959276.349999959</v>
      </c>
      <c r="AQ40" s="408">
        <f>+$M$40*q13a!$M$40</f>
        <v>14188221.109999975</v>
      </c>
    </row>
    <row r="41" spans="1:43" s="8" customFormat="1" ht="16.5" customHeight="1">
      <c r="A41" s="46" t="str">
        <f>+'q20'!A41</f>
        <v>Ignorado</v>
      </c>
      <c r="B41" s="44" t="str">
        <f>+'q20'!B41</f>
        <v>T</v>
      </c>
      <c r="C41" s="277">
        <f>+'q20'!C41</f>
        <v>1322.7584630606902</v>
      </c>
      <c r="D41" s="277">
        <f>+'q20'!D41</f>
        <v>1469.5464905660401</v>
      </c>
      <c r="E41" s="277">
        <f>+'q20'!E41</f>
        <v>1473.7920821325602</v>
      </c>
      <c r="F41" s="277">
        <f>+'q20'!F41</f>
        <v>1438.4632142857101</v>
      </c>
      <c r="G41" s="277">
        <f>+'q20'!G41</f>
        <v>1460.64371313673</v>
      </c>
      <c r="H41" s="277">
        <f>+'q20'!H41</f>
        <v>1507.0881841933401</v>
      </c>
      <c r="I41" s="277">
        <f>+'q20'!I41</f>
        <v>1538.69214410227</v>
      </c>
      <c r="J41" s="277">
        <f>+'q20'!J41</f>
        <v>919.633503836317</v>
      </c>
      <c r="K41" s="277">
        <f>+'q20'!K41</f>
        <v>1018.57675889328</v>
      </c>
      <c r="L41" s="277">
        <f>+'q20'!L41</f>
        <v>961.42434554973806</v>
      </c>
      <c r="M41" s="277">
        <f>+'q20'!M41</f>
        <v>1084.8565968586402</v>
      </c>
      <c r="N41" s="110"/>
      <c r="O41" s="200"/>
      <c r="P41" s="46" t="s">
        <v>13</v>
      </c>
      <c r="Q41" s="44" t="s">
        <v>45</v>
      </c>
      <c r="R41" s="408">
        <f>+$C$41</f>
        <v>1322.7584630606902</v>
      </c>
      <c r="S41" s="408">
        <f>+$D$41</f>
        <v>1469.5464905660401</v>
      </c>
      <c r="T41" s="408">
        <f>+$E$41</f>
        <v>1473.7920821325602</v>
      </c>
      <c r="U41" s="408">
        <f>+$F$41</f>
        <v>1438.4632142857101</v>
      </c>
      <c r="V41" s="408">
        <f>+$G$41</f>
        <v>1460.64371313673</v>
      </c>
      <c r="W41" s="408">
        <f>+$H$41</f>
        <v>1507.0881841933401</v>
      </c>
      <c r="X41" s="408">
        <f>+$I$41</f>
        <v>1538.69214410227</v>
      </c>
      <c r="Y41" s="408">
        <f>+$J$41</f>
        <v>919.633503836317</v>
      </c>
      <c r="Z41" s="408">
        <f>+$K$41</f>
        <v>1018.57675889328</v>
      </c>
      <c r="AA41" s="408">
        <f>+$L$41</f>
        <v>961.42434554973806</v>
      </c>
      <c r="AB41" s="408">
        <f>+$M$41</f>
        <v>1084.8565968586402</v>
      </c>
      <c r="AE41" s="46" t="s">
        <v>13</v>
      </c>
      <c r="AF41" s="44" t="s">
        <v>45</v>
      </c>
      <c r="AG41" s="408">
        <f>+$C$41*q13a!$C$41</f>
        <v>2005301.8300000064</v>
      </c>
      <c r="AH41" s="408">
        <f>+$D$41*q13a!$D$41</f>
        <v>1947149.1000000031</v>
      </c>
      <c r="AI41" s="408">
        <f>+$E$41*q13a!$E$41</f>
        <v>2045623.4099999934</v>
      </c>
      <c r="AJ41" s="408">
        <f>+$F$41*q13a!$F$41</f>
        <v>2054125.4699999942</v>
      </c>
      <c r="AK41" s="408">
        <f>+$G$41*q13a!$G$41</f>
        <v>2179280.4200000013</v>
      </c>
      <c r="AL41" s="408">
        <f>+$H$41*q13a!$H$41</f>
        <v>2307352.0100000035</v>
      </c>
      <c r="AM41" s="408">
        <f>+$I$41*q13a!$I$41</f>
        <v>2648089.1800000067</v>
      </c>
      <c r="AN41" s="408">
        <f>+$J$41*q13a!$J$41</f>
        <v>359576.69999999995</v>
      </c>
      <c r="AO41" s="408">
        <f>+$K$41*q13a!$K$41</f>
        <v>257699.91999999984</v>
      </c>
      <c r="AP41" s="408">
        <f>+$L$41*q13a!$L$41</f>
        <v>367264.09999999992</v>
      </c>
      <c r="AQ41" s="408">
        <f>+$M$41*q13a!$M$41</f>
        <v>207207.61000000028</v>
      </c>
    </row>
    <row r="42" spans="1:43" s="8" customFormat="1" ht="12.75" customHeight="1">
      <c r="A42" s="47"/>
      <c r="B42" s="48" t="str">
        <f>+'q20'!B42</f>
        <v>H</v>
      </c>
      <c r="C42" s="279">
        <f>+'q20'!C42</f>
        <v>1520.0148993963801</v>
      </c>
      <c r="D42" s="279">
        <f>+'q20'!D42</f>
        <v>1631.23810400867</v>
      </c>
      <c r="E42" s="279">
        <f>+'q20'!E42</f>
        <v>1670.2502162162202</v>
      </c>
      <c r="F42" s="279">
        <f>+'q20'!F42</f>
        <v>1597.7619978746</v>
      </c>
      <c r="G42" s="279">
        <f>+'q20'!G42</f>
        <v>1632.8887524950098</v>
      </c>
      <c r="H42" s="279">
        <f>+'q20'!H42</f>
        <v>1681.04612304688</v>
      </c>
      <c r="I42" s="279">
        <f>+'q20'!I42</f>
        <v>1715.2067376490602</v>
      </c>
      <c r="J42" s="279">
        <f>+'q20'!J42</f>
        <v>937.32677777777815</v>
      </c>
      <c r="K42" s="279">
        <f>+'q20'!K42</f>
        <v>1041.0855862069002</v>
      </c>
      <c r="L42" s="279">
        <f>+'q20'!L42</f>
        <v>988.08886010362698</v>
      </c>
      <c r="M42" s="279">
        <f>+'q20'!M42</f>
        <v>1133.5212962963003</v>
      </c>
      <c r="N42" s="110"/>
      <c r="O42" s="200"/>
      <c r="P42" s="47"/>
      <c r="Q42" s="48" t="s">
        <v>53</v>
      </c>
      <c r="R42" s="408">
        <f>+$C$42</f>
        <v>1520.0148993963801</v>
      </c>
      <c r="S42" s="408">
        <f>+$D$42</f>
        <v>1631.23810400867</v>
      </c>
      <c r="T42" s="408">
        <f>+$E$42</f>
        <v>1670.2502162162202</v>
      </c>
      <c r="U42" s="408">
        <f>+$F$42</f>
        <v>1597.7619978746</v>
      </c>
      <c r="V42" s="408">
        <f>+$G$42</f>
        <v>1632.8887524950098</v>
      </c>
      <c r="W42" s="408">
        <f>+$H$42</f>
        <v>1681.04612304688</v>
      </c>
      <c r="X42" s="408">
        <f>+$I$42</f>
        <v>1715.2067376490602</v>
      </c>
      <c r="Y42" s="408">
        <f>+$J$42</f>
        <v>937.32677777777815</v>
      </c>
      <c r="Z42" s="408">
        <f>+$K$42</f>
        <v>1041.0855862069002</v>
      </c>
      <c r="AA42" s="408">
        <f>+$L$42</f>
        <v>988.08886010362698</v>
      </c>
      <c r="AB42" s="408">
        <f>+$M$42</f>
        <v>1133.5212962963003</v>
      </c>
      <c r="AE42" s="47"/>
      <c r="AF42" s="48" t="s">
        <v>53</v>
      </c>
      <c r="AG42" s="408">
        <f>+$C$42*q13a!$C$42</f>
        <v>1510894.8100000019</v>
      </c>
      <c r="AH42" s="408">
        <f>+$D$42*q13a!$D$42</f>
        <v>1505632.7700000023</v>
      </c>
      <c r="AI42" s="408">
        <f>+$E$42*q13a!$E$42</f>
        <v>1544981.4500000037</v>
      </c>
      <c r="AJ42" s="408">
        <f>+$F$42*q13a!$F$42</f>
        <v>1503494.0399999986</v>
      </c>
      <c r="AK42" s="408">
        <f>+$G$42*q13a!$G$42</f>
        <v>1636154.5299999998</v>
      </c>
      <c r="AL42" s="408">
        <f>+$H$42*q13a!$H$42</f>
        <v>1721391.2300000051</v>
      </c>
      <c r="AM42" s="408">
        <f>+$I$42*q13a!$I$42</f>
        <v>2013652.7099999967</v>
      </c>
      <c r="AN42" s="408">
        <f>+$J$42*q13a!$J$42</f>
        <v>168718.82000000007</v>
      </c>
      <c r="AO42" s="408">
        <f>+$K$42*q13a!$K$42</f>
        <v>150957.41000000053</v>
      </c>
      <c r="AP42" s="408">
        <f>+$L$42*q13a!$L$42</f>
        <v>190701.15</v>
      </c>
      <c r="AQ42" s="408">
        <f>+$M$42*q13a!$M$42</f>
        <v>122420.30000000044</v>
      </c>
    </row>
    <row r="43" spans="1:43" s="8" customFormat="1" ht="12.75" customHeight="1">
      <c r="A43" s="18"/>
      <c r="B43" s="49" t="str">
        <f>+'q20'!B43</f>
        <v>M</v>
      </c>
      <c r="C43" s="275">
        <f>+'q20'!C43</f>
        <v>947.13988505747102</v>
      </c>
      <c r="D43" s="275">
        <f>+'q20'!D43</f>
        <v>1098.2993283582102</v>
      </c>
      <c r="E43" s="275">
        <f>+'q20'!E43</f>
        <v>1081.3001295896302</v>
      </c>
      <c r="F43" s="275">
        <f>+'q20'!F43</f>
        <v>1130.66002053388</v>
      </c>
      <c r="G43" s="275">
        <f>+'q20'!G43</f>
        <v>1108.4201836734699</v>
      </c>
      <c r="H43" s="275">
        <f>+'q20'!H43</f>
        <v>1155.7411834319498</v>
      </c>
      <c r="I43" s="275">
        <f>+'q20'!I43</f>
        <v>1159.8472943327201</v>
      </c>
      <c r="J43" s="275">
        <f>+'q20'!J43</f>
        <v>904.53971563981008</v>
      </c>
      <c r="K43" s="275">
        <f>+'q20'!K43</f>
        <v>988.35657407407405</v>
      </c>
      <c r="L43" s="275">
        <f>+'q20'!L43</f>
        <v>934.1955026455031</v>
      </c>
      <c r="M43" s="275">
        <f>+'q20'!M43</f>
        <v>1021.5338554216901</v>
      </c>
      <c r="N43" s="110"/>
      <c r="O43" s="200"/>
      <c r="P43" s="18"/>
      <c r="Q43" s="49" t="s">
        <v>54</v>
      </c>
      <c r="R43" s="408">
        <f>+$C$43</f>
        <v>947.13988505747102</v>
      </c>
      <c r="S43" s="408">
        <f>+$D$43</f>
        <v>1098.2993283582102</v>
      </c>
      <c r="T43" s="408">
        <f>+$E$43</f>
        <v>1081.3001295896302</v>
      </c>
      <c r="U43" s="408">
        <f>+$F$43</f>
        <v>1130.66002053388</v>
      </c>
      <c r="V43" s="408">
        <f>+$G$43</f>
        <v>1108.4201836734699</v>
      </c>
      <c r="W43" s="408">
        <f>+$H$43</f>
        <v>1155.7411834319498</v>
      </c>
      <c r="X43" s="408">
        <f>+$I$43</f>
        <v>1159.8472943327201</v>
      </c>
      <c r="Y43" s="408">
        <f>+$J$43</f>
        <v>904.53971563981008</v>
      </c>
      <c r="Z43" s="408">
        <f>+$K$43</f>
        <v>988.35657407407405</v>
      </c>
      <c r="AA43" s="408">
        <f>+$L$43</f>
        <v>934.1955026455031</v>
      </c>
      <c r="AB43" s="408">
        <f>+$M$43</f>
        <v>1021.5338554216901</v>
      </c>
      <c r="AE43" s="18"/>
      <c r="AF43" s="49" t="s">
        <v>54</v>
      </c>
      <c r="AG43" s="408">
        <f>+$C$43*q13a!$C$43</f>
        <v>494407.01999999984</v>
      </c>
      <c r="AH43" s="408">
        <f>+$D$43*q13a!$D$43</f>
        <v>441516.33000000054</v>
      </c>
      <c r="AI43" s="408">
        <f>+$E$43*q13a!$E$43</f>
        <v>500641.95999999874</v>
      </c>
      <c r="AJ43" s="408">
        <f>+$F$43*q13a!$F$43</f>
        <v>550631.42999999959</v>
      </c>
      <c r="AK43" s="408">
        <f>+$G$43*q13a!$G$43</f>
        <v>543125.89000000025</v>
      </c>
      <c r="AL43" s="408">
        <f>+$H$43*q13a!$H$43</f>
        <v>585960.77999999851</v>
      </c>
      <c r="AM43" s="408">
        <f>+$I$43*q13a!$I$43</f>
        <v>634436.46999999788</v>
      </c>
      <c r="AN43" s="408">
        <f>+$J$43*q13a!$J$43</f>
        <v>190857.87999999992</v>
      </c>
      <c r="AO43" s="408">
        <f>+$K$43*q13a!$K$43</f>
        <v>106742.51</v>
      </c>
      <c r="AP43" s="408">
        <f>+$L$43*q13a!$L$43</f>
        <v>176562.9500000001</v>
      </c>
      <c r="AQ43" s="408">
        <f>+$M$43*q13a!$M$43</f>
        <v>84787.310000000274</v>
      </c>
    </row>
    <row r="44" spans="1:43" s="165" customFormat="1" ht="15" customHeight="1">
      <c r="A44" s="20" t="str">
        <f>+'q20'!A44</f>
        <v>Fonte: GEP/MTSSS, Quadros de Pessoal.</v>
      </c>
      <c r="B44" s="176">
        <f>+'q20'!B44</f>
        <v>0</v>
      </c>
      <c r="C44" s="164"/>
      <c r="D44" s="68"/>
      <c r="E44" s="68"/>
      <c r="F44" s="68"/>
      <c r="G44" s="160"/>
      <c r="H44" s="160"/>
      <c r="I44" s="160"/>
      <c r="J44" s="160"/>
      <c r="K44" s="160"/>
      <c r="L44" s="160"/>
      <c r="M44" s="160"/>
      <c r="N44" s="163"/>
      <c r="AF44" s="44"/>
    </row>
    <row r="45" spans="1:43" s="170" customFormat="1" ht="21.75" customHeight="1">
      <c r="A45" s="599" t="s">
        <v>100</v>
      </c>
      <c r="B45" s="599"/>
      <c r="C45" s="599"/>
      <c r="D45" s="599"/>
      <c r="E45" s="599"/>
      <c r="F45" s="599"/>
      <c r="G45" s="599"/>
      <c r="H45" s="599"/>
      <c r="I45" s="599"/>
      <c r="J45" s="599"/>
      <c r="K45" s="599"/>
      <c r="L45" s="599"/>
      <c r="M45" s="599"/>
      <c r="N45" s="187"/>
      <c r="AF45" s="48"/>
    </row>
    <row r="46" spans="1:43" ht="15" customHeight="1">
      <c r="AF46" s="49"/>
    </row>
  </sheetData>
  <mergeCells count="2">
    <mergeCell ref="A1:M1"/>
    <mergeCell ref="A45:M45"/>
  </mergeCells>
  <conditionalFormatting sqref="A1 N1:O43 A5:B42 C5:F43 AR5:XFD46 N44:AE46 N47:XFD1048576">
    <cfRule type="cellIs" dxfId="98" priority="118" operator="equal">
      <formula>0</formula>
    </cfRule>
  </conditionalFormatting>
  <conditionalFormatting sqref="A43:A45">
    <cfRule type="cellIs" dxfId="97" priority="114" operator="equal">
      <formula>0</formula>
    </cfRule>
  </conditionalFormatting>
  <conditionalFormatting sqref="A4:F4">
    <cfRule type="cellIs" dxfId="96" priority="112" operator="equal">
      <formula>0</formula>
    </cfRule>
  </conditionalFormatting>
  <conditionalFormatting sqref="A2:M3 A46:M1048576">
    <cfRule type="cellIs" dxfId="95" priority="37" operator="equal">
      <formula>0</formula>
    </cfRule>
  </conditionalFormatting>
  <conditionalFormatting sqref="B43">
    <cfRule type="cellIs" dxfId="94" priority="115" operator="equal">
      <formula>0</formula>
    </cfRule>
  </conditionalFormatting>
  <conditionalFormatting sqref="B44:I44">
    <cfRule type="cellIs" dxfId="93" priority="94" operator="equal">
      <formula>0</formula>
    </cfRule>
  </conditionalFormatting>
  <conditionalFormatting sqref="G4:I43">
    <cfRule type="cellIs" dxfId="92" priority="95" operator="equal">
      <formula>0</formula>
    </cfRule>
  </conditionalFormatting>
  <conditionalFormatting sqref="J4:M44">
    <cfRule type="cellIs" dxfId="91" priority="22" operator="equal">
      <formula>0</formula>
    </cfRule>
  </conditionalFormatting>
  <conditionalFormatting sqref="P1:AB1 Q2:AB2">
    <cfRule type="cellIs" dxfId="90" priority="21" operator="equal">
      <formula>0</formula>
    </cfRule>
  </conditionalFormatting>
  <conditionalFormatting sqref="P3:AB4">
    <cfRule type="cellIs" dxfId="89" priority="20" operator="equal">
      <formula>0</formula>
    </cfRule>
  </conditionalFormatting>
  <conditionalFormatting sqref="P5:AE43">
    <cfRule type="cellIs" dxfId="88" priority="6" operator="equal">
      <formula>0</formula>
    </cfRule>
  </conditionalFormatting>
  <conditionalFormatting sqref="AC1:XFD4">
    <cfRule type="cellIs" dxfId="87" priority="1" operator="equal">
      <formula>0</formula>
    </cfRule>
  </conditionalFormatting>
  <conditionalFormatting sqref="AF5:AF46">
    <cfRule type="cellIs" dxfId="86" priority="2" operator="equal">
      <formula>0</formula>
    </cfRule>
  </conditionalFormatting>
  <conditionalFormatting sqref="AG5:AQ43">
    <cfRule type="cellIs" dxfId="85" priority="9"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8F70B-D91D-4046-B212-C2CE4E75B0ED}">
  <sheetPr>
    <tabColor rgb="FFFFFF00"/>
    <pageSetUpPr fitToPage="1"/>
  </sheetPr>
  <dimension ref="A1:BB45"/>
  <sheetViews>
    <sheetView showGridLines="0" topLeftCell="C1" workbookViewId="0">
      <selection activeCell="AK18" sqref="AK18"/>
    </sheetView>
  </sheetViews>
  <sheetFormatPr defaultColWidth="9.140625" defaultRowHeight="17.25" customHeight="1"/>
  <cols>
    <col min="1" max="1" width="14.7109375" style="62" customWidth="1"/>
    <col min="2" max="2" width="2.7109375" style="97" customWidth="1"/>
    <col min="3" max="13" width="6.42578125" style="67" customWidth="1"/>
    <col min="14" max="16384" width="9.140625" style="62"/>
  </cols>
  <sheetData>
    <row r="1" spans="1:54" s="78" customFormat="1" ht="28.5" customHeight="1">
      <c r="A1" s="587" t="str">
        <f>+'q28'!A1:M1</f>
        <v>Quadro 28 - Remuneração média mensal ganho(1) por grupo etário e sexo</v>
      </c>
      <c r="B1" s="587"/>
      <c r="C1" s="587"/>
      <c r="D1" s="587"/>
      <c r="E1" s="587"/>
      <c r="F1" s="587"/>
      <c r="G1" s="587"/>
      <c r="H1" s="587"/>
      <c r="I1" s="587"/>
      <c r="J1" s="587"/>
      <c r="K1" s="587"/>
      <c r="L1" s="587"/>
      <c r="M1" s="587"/>
      <c r="P1" s="360" t="s">
        <v>439</v>
      </c>
    </row>
    <row r="2" spans="1:54" s="61" customFormat="1" ht="15" customHeight="1">
      <c r="A2" s="75"/>
      <c r="B2" s="75"/>
      <c r="C2" s="80"/>
      <c r="D2" s="80"/>
      <c r="E2" s="80"/>
      <c r="F2" s="80"/>
      <c r="G2" s="80"/>
      <c r="H2" s="80"/>
      <c r="I2" s="80"/>
      <c r="J2" s="80"/>
      <c r="K2" s="80"/>
      <c r="L2" s="80"/>
      <c r="M2" s="80"/>
      <c r="P2" s="62" t="s">
        <v>438</v>
      </c>
    </row>
    <row r="3" spans="1:54" s="36" customFormat="1" ht="15" customHeight="1">
      <c r="A3" s="35" t="str">
        <f>+'q28'!A3</f>
        <v>Continente</v>
      </c>
      <c r="B3" s="35"/>
      <c r="C3" s="35"/>
      <c r="D3" s="35"/>
      <c r="E3" s="35"/>
      <c r="F3" s="35"/>
      <c r="G3" s="35"/>
      <c r="H3" s="35"/>
      <c r="I3" s="35"/>
      <c r="J3" s="35"/>
      <c r="K3" s="35"/>
      <c r="L3" s="35"/>
      <c r="M3" s="35" t="str">
        <f>+'q28'!M3</f>
        <v>Euros</v>
      </c>
      <c r="P3" s="165" t="s">
        <v>437</v>
      </c>
      <c r="Q3" s="170"/>
      <c r="R3" s="170"/>
      <c r="S3" s="170"/>
      <c r="T3" s="170"/>
      <c r="U3" s="170"/>
      <c r="V3" s="170"/>
      <c r="W3" s="170"/>
      <c r="X3" s="170"/>
      <c r="Y3" s="170"/>
      <c r="Z3" s="170"/>
      <c r="AA3" s="170"/>
      <c r="AB3" s="170"/>
      <c r="AE3" s="511" t="s">
        <v>616</v>
      </c>
      <c r="AF3" s="165"/>
      <c r="AG3" s="165"/>
      <c r="AH3" s="165"/>
      <c r="AI3" s="165"/>
      <c r="AJ3" s="165"/>
      <c r="AK3" s="165"/>
      <c r="AL3" s="165"/>
      <c r="AM3" s="165"/>
      <c r="AN3" s="165"/>
      <c r="AO3" s="165"/>
      <c r="AP3" s="165"/>
      <c r="AQ3" s="165"/>
      <c r="AR3" s="165"/>
      <c r="AS3" s="165"/>
      <c r="AT3" s="165"/>
      <c r="AU3" s="165"/>
      <c r="AV3" s="165"/>
      <c r="AW3" s="165"/>
      <c r="AX3" s="165"/>
      <c r="AY3" s="165"/>
      <c r="AZ3" s="165"/>
      <c r="BA3" s="165"/>
      <c r="BB3" s="165"/>
    </row>
    <row r="4" spans="1:54" s="93" customFormat="1" ht="28.5" customHeight="1" thickBot="1">
      <c r="A4" s="54"/>
      <c r="B4" s="54"/>
      <c r="C4" s="54">
        <f>+'q28'!C4</f>
        <v>2012</v>
      </c>
      <c r="D4" s="54">
        <f>+'q28'!D4</f>
        <v>2013</v>
      </c>
      <c r="E4" s="54">
        <f>+'q28'!E4</f>
        <v>2014</v>
      </c>
      <c r="F4" s="54">
        <f>+'q28'!F4</f>
        <v>2015</v>
      </c>
      <c r="G4" s="54">
        <f>+'q28'!G4</f>
        <v>2016</v>
      </c>
      <c r="H4" s="54">
        <f>+'q28'!H4</f>
        <v>2017</v>
      </c>
      <c r="I4" s="54">
        <f>+'q28'!I4</f>
        <v>2018</v>
      </c>
      <c r="J4" s="54">
        <f>+'q28'!J4</f>
        <v>2019</v>
      </c>
      <c r="K4" s="54">
        <f>+'q28'!K4</f>
        <v>2020</v>
      </c>
      <c r="L4" s="54">
        <f>+'q28'!L4</f>
        <v>2021</v>
      </c>
      <c r="M4" s="54">
        <f>+'q28'!M4</f>
        <v>2022</v>
      </c>
      <c r="P4" s="178"/>
      <c r="Q4" s="178"/>
      <c r="R4" s="167">
        <v>2011</v>
      </c>
      <c r="S4" s="167">
        <v>2012</v>
      </c>
      <c r="T4" s="167">
        <v>2013</v>
      </c>
      <c r="U4" s="167">
        <v>2014</v>
      </c>
      <c r="V4" s="167">
        <v>2015</v>
      </c>
      <c r="W4" s="167">
        <v>2016</v>
      </c>
      <c r="X4" s="167">
        <v>2017</v>
      </c>
      <c r="Y4" s="167">
        <v>2018</v>
      </c>
      <c r="Z4" s="167">
        <v>2019</v>
      </c>
      <c r="AA4" s="167">
        <v>2020</v>
      </c>
      <c r="AB4" s="167">
        <v>2021</v>
      </c>
      <c r="AE4" s="178"/>
      <c r="AF4" s="178"/>
      <c r="AG4" s="167">
        <f>+$R$4</f>
        <v>2011</v>
      </c>
      <c r="AH4" s="167">
        <f t="shared" ref="AH4:AQ4" si="0">+S4</f>
        <v>2012</v>
      </c>
      <c r="AI4" s="167">
        <f t="shared" si="0"/>
        <v>2013</v>
      </c>
      <c r="AJ4" s="167">
        <f t="shared" si="0"/>
        <v>2014</v>
      </c>
      <c r="AK4" s="167">
        <f t="shared" si="0"/>
        <v>2015</v>
      </c>
      <c r="AL4" s="167">
        <f t="shared" si="0"/>
        <v>2016</v>
      </c>
      <c r="AM4" s="167">
        <f t="shared" si="0"/>
        <v>2017</v>
      </c>
      <c r="AN4" s="167">
        <f t="shared" si="0"/>
        <v>2018</v>
      </c>
      <c r="AO4" s="167">
        <f t="shared" si="0"/>
        <v>2019</v>
      </c>
      <c r="AP4" s="167">
        <f t="shared" si="0"/>
        <v>2020</v>
      </c>
      <c r="AQ4" s="167">
        <f t="shared" si="0"/>
        <v>2021</v>
      </c>
      <c r="AR4" s="167">
        <f>+C4</f>
        <v>2012</v>
      </c>
      <c r="AS4" s="167">
        <f t="shared" ref="AS4:AY4" si="1">+D4</f>
        <v>2013</v>
      </c>
      <c r="AT4" s="167">
        <f t="shared" si="1"/>
        <v>2014</v>
      </c>
      <c r="AU4" s="167">
        <f t="shared" si="1"/>
        <v>2015</v>
      </c>
      <c r="AV4" s="167">
        <f t="shared" si="1"/>
        <v>2016</v>
      </c>
      <c r="AW4" s="167">
        <f t="shared" si="1"/>
        <v>2017</v>
      </c>
      <c r="AX4" s="167">
        <f t="shared" si="1"/>
        <v>2018</v>
      </c>
      <c r="AY4" s="167">
        <f t="shared" si="1"/>
        <v>2019</v>
      </c>
      <c r="AZ4" s="167">
        <f>+K4</f>
        <v>2020</v>
      </c>
      <c r="BA4" s="167">
        <f t="shared" ref="BA4:BB4" si="2">+L4</f>
        <v>2021</v>
      </c>
      <c r="BB4" s="167">
        <f t="shared" si="2"/>
        <v>2022</v>
      </c>
    </row>
    <row r="5" spans="1:54" s="79" customFormat="1" ht="16.5" customHeight="1" thickTop="1">
      <c r="A5" s="44" t="str">
        <f>+'q28'!A5</f>
        <v>Total</v>
      </c>
      <c r="B5" s="44" t="str">
        <f>+'q28'!B5</f>
        <v>T</v>
      </c>
      <c r="C5" s="276">
        <f>+'q28'!C5</f>
        <v>1095.58619281857</v>
      </c>
      <c r="D5" s="276">
        <f>+'q28'!D5</f>
        <v>1093.8178723953499</v>
      </c>
      <c r="E5" s="276">
        <f>+'q28'!E5</f>
        <v>1093.20854089105</v>
      </c>
      <c r="F5" s="276">
        <f>+'q28'!F5</f>
        <v>1096.65734127991</v>
      </c>
      <c r="G5" s="276">
        <f>+'q28'!G5</f>
        <v>1107.85636561875</v>
      </c>
      <c r="H5" s="276">
        <f>+'q28'!H5</f>
        <v>1133.34288689707</v>
      </c>
      <c r="I5" s="276">
        <f>+'q28'!I5</f>
        <v>1170.2525051678801</v>
      </c>
      <c r="J5" s="276">
        <f>+'q28'!J5</f>
        <v>1209.93900485576</v>
      </c>
      <c r="K5" s="276">
        <f>+'q28'!K5</f>
        <v>1250.75197084447</v>
      </c>
      <c r="L5" s="276">
        <f>+'q28'!L5</f>
        <v>1294.10894067238</v>
      </c>
      <c r="M5" s="276">
        <f>+'q28'!M5</f>
        <v>1367.9952489883699</v>
      </c>
      <c r="N5" s="93"/>
      <c r="O5" s="93"/>
      <c r="P5" s="174" t="s">
        <v>12</v>
      </c>
      <c r="Q5" s="176" t="s">
        <v>45</v>
      </c>
      <c r="AE5" s="174" t="s">
        <v>12</v>
      </c>
      <c r="AF5" s="176" t="s">
        <v>45</v>
      </c>
      <c r="AG5" s="509">
        <f>+(AG8+AG11+AG14+AG17+AG20+AG23+AG26+AG29+AG32+AG35+AG38+AG41)/q13a!C5</f>
        <v>1095.5861928185725</v>
      </c>
      <c r="AH5" s="509">
        <f>+(AH8+AH11+AH14+AH17+AH20+AH23+AH26+AH29+AH32+AH35+AH38+AH41)/q13a!D5</f>
        <v>1093.8178723953467</v>
      </c>
      <c r="AI5" s="509">
        <f>+(AI8+AI11+AI14+AI17+AI20+AI23+AI26+AI29+AI32+AI35+AI38+AI41)/q13a!E5</f>
        <v>1093.2085408910511</v>
      </c>
      <c r="AJ5" s="509">
        <f>+(AJ8+AJ11+AJ14+AJ17+AJ20+AJ23+AJ26+AJ29+AJ32+AJ35+AJ38+AJ41)/q13a!F5</f>
        <v>1096.6573412799053</v>
      </c>
      <c r="AK5" s="509">
        <f>+(AK8+AK11+AK14+AK17+AK20+AK23+AK26+AK29+AK32+AK35+AK38+AK41)/q13a!G5</f>
        <v>1107.8563656187553</v>
      </c>
      <c r="AL5" s="509">
        <f>+(AL8+AL11+AL14+AL17+AL20+AL23+AL26+AL29+AL32+AL35+AL38+AL41)/q13a!H5</f>
        <v>1133.3428868970695</v>
      </c>
      <c r="AM5" s="509">
        <f>+(AM8+AM11+AM14+AM17+AM20+AM23+AM26+AM29+AM32+AM35+AM38+AM41)/q13a!I5</f>
        <v>1170.252505167882</v>
      </c>
      <c r="AN5" s="509">
        <f>+(AN8+AN11+AN14+AN17+AN20+AN23+AN26+AN29+AN32+AN35+AN38+AN41)/q13a!J5</f>
        <v>1209.9390048557593</v>
      </c>
      <c r="AO5" s="509">
        <f>+(AO8+AO11+AO14+AO17+AO20+AO23+AO26+AO29+AO32+AO35+AO38+AO41)/q13a!K5</f>
        <v>1250.7519708444725</v>
      </c>
      <c r="AP5" s="509">
        <f>+(AP8+AP11+AP14+AP17+AP20+AP23+AP26+AP29+AP32+AP35+AP38+AP41)/q13a!L5</f>
        <v>1294.1089406723825</v>
      </c>
      <c r="AQ5" s="509">
        <f>+(AQ8+AQ11+AQ14+AQ17+AQ20+AQ23+AQ26+AQ29+AQ32+AQ35+AQ38+AQ41)/q13a!M5</f>
        <v>1367.9952489883699</v>
      </c>
      <c r="AR5" s="510">
        <f>+AG5-C5</f>
        <v>2.5011104298755527E-12</v>
      </c>
      <c r="AS5" s="510">
        <f t="shared" ref="AS5:BB7" si="3">+AH5-D5</f>
        <v>-3.1832314562052488E-12</v>
      </c>
      <c r="AT5" s="510">
        <f t="shared" si="3"/>
        <v>0</v>
      </c>
      <c r="AU5" s="510">
        <f t="shared" si="3"/>
        <v>-4.7748471843078732E-12</v>
      </c>
      <c r="AV5" s="510">
        <f t="shared" si="3"/>
        <v>5.2295945351943374E-12</v>
      </c>
      <c r="AW5" s="510">
        <f t="shared" si="3"/>
        <v>0</v>
      </c>
      <c r="AX5" s="510">
        <f t="shared" si="3"/>
        <v>1.8189894035458565E-12</v>
      </c>
      <c r="AY5" s="510">
        <f t="shared" si="3"/>
        <v>0</v>
      </c>
      <c r="AZ5" s="510">
        <f t="shared" si="3"/>
        <v>2.5011104298755527E-12</v>
      </c>
      <c r="BA5" s="510">
        <f t="shared" si="3"/>
        <v>2.5011104298755527E-12</v>
      </c>
      <c r="BB5" s="510">
        <f t="shared" si="3"/>
        <v>0</v>
      </c>
    </row>
    <row r="6" spans="1:54" s="79" customFormat="1" ht="12.75" customHeight="1">
      <c r="A6" s="44"/>
      <c r="B6" s="44" t="str">
        <f>+'q28'!B6</f>
        <v>H</v>
      </c>
      <c r="C6" s="276">
        <f>+'q28'!C6</f>
        <v>1213.0207353340002</v>
      </c>
      <c r="D6" s="276">
        <f>+'q28'!D6</f>
        <v>1209.2112926836</v>
      </c>
      <c r="E6" s="276">
        <f>+'q28'!E6</f>
        <v>1203.3163954215399</v>
      </c>
      <c r="F6" s="276">
        <f>+'q28'!F6</f>
        <v>1207.7620848918802</v>
      </c>
      <c r="G6" s="276">
        <f>+'q28'!G6</f>
        <v>1215.1073571470499</v>
      </c>
      <c r="H6" s="276">
        <f>+'q28'!H6</f>
        <v>1236.8510439336801</v>
      </c>
      <c r="I6" s="276">
        <f>+'q28'!I6</f>
        <v>1273.9856646448</v>
      </c>
      <c r="J6" s="276">
        <f>+'q28'!J6</f>
        <v>1312.4262476007902</v>
      </c>
      <c r="K6" s="276">
        <f>+'q28'!K6</f>
        <v>1349.3525335819299</v>
      </c>
      <c r="L6" s="276">
        <f>+'q28'!L6</f>
        <v>1395.6950744819503</v>
      </c>
      <c r="M6" s="276">
        <f>+'q28'!M6</f>
        <v>1476.20345437132</v>
      </c>
      <c r="O6" s="93"/>
      <c r="P6" s="164"/>
      <c r="Q6" s="176" t="s">
        <v>53</v>
      </c>
      <c r="AE6" s="164"/>
      <c r="AF6" s="176" t="s">
        <v>53</v>
      </c>
      <c r="AG6" s="509">
        <f>+(AG9+AG12+AG15+AG18+AG21+AG24+AG27+AG30+AG33+AG36+AG39+AG42)/q13a!C6</f>
        <v>1213.0207353340011</v>
      </c>
      <c r="AH6" s="509">
        <f>+(AH9+AH12+AH15+AH18+AH21+AH24+AH27+AH30+AH33+AH36+AH39+AH42)/q13a!D6</f>
        <v>1209.2112926835932</v>
      </c>
      <c r="AI6" s="509">
        <f>+(AI9+AI12+AI15+AI18+AI21+AI24+AI27+AI30+AI33+AI36+AI39+AI42)/q13a!E6</f>
        <v>1203.3163954215415</v>
      </c>
      <c r="AJ6" s="509">
        <f>+(AJ9+AJ12+AJ15+AJ18+AJ21+AJ24+AJ27+AJ30+AJ33+AJ36+AJ39+AJ42)/q13a!F6</f>
        <v>1207.7620848918807</v>
      </c>
      <c r="AK6" s="509">
        <f>+(AK9+AK12+AK15+AK18+AK21+AK24+AK27+AK30+AK33+AK36+AK39+AK42)/q13a!G6</f>
        <v>1215.1073571470499</v>
      </c>
      <c r="AL6" s="509">
        <f>+(AL9+AL12+AL15+AL18+AL21+AL24+AL27+AL30+AL33+AL36+AL39+AL42)/q13a!H6</f>
        <v>1236.8510439336815</v>
      </c>
      <c r="AM6" s="509">
        <f>+(AM9+AM12+AM15+AM18+AM21+AM24+AM27+AM30+AM33+AM36+AM39+AM42)/q13a!I6</f>
        <v>1273.9856646447961</v>
      </c>
      <c r="AN6" s="509">
        <f>+(AN9+AN12+AN15+AN18+AN21+AN24+AN27+AN30+AN33+AN36+AN39+AN42)/q13a!J6</f>
        <v>1312.4262476007921</v>
      </c>
      <c r="AO6" s="509">
        <f>+(AO9+AO12+AO15+AO18+AO21+AO24+AO27+AO30+AO33+AO36+AO39+AO42)/q13a!K6</f>
        <v>1349.3525335819306</v>
      </c>
      <c r="AP6" s="509">
        <f>+(AP9+AP12+AP15+AP18+AP21+AP24+AP27+AP30+AP33+AP36+AP39+AP42)/q13a!L6</f>
        <v>1395.6950744819487</v>
      </c>
      <c r="AQ6" s="509">
        <f>+(AQ9+AQ12+AQ15+AQ18+AQ21+AQ24+AQ27+AQ30+AQ33+AQ36+AQ39+AQ42)/q13a!M6</f>
        <v>1476.2034543713182</v>
      </c>
      <c r="AR6" s="510">
        <f t="shared" ref="AR6:AR7" si="4">+AG6-C6</f>
        <v>0</v>
      </c>
      <c r="AS6" s="510">
        <f t="shared" si="3"/>
        <v>-6.8212102632969618E-12</v>
      </c>
      <c r="AT6" s="510">
        <f t="shared" si="3"/>
        <v>0</v>
      </c>
      <c r="AU6" s="510">
        <f t="shared" si="3"/>
        <v>0</v>
      </c>
      <c r="AV6" s="510">
        <f t="shared" si="3"/>
        <v>0</v>
      </c>
      <c r="AW6" s="510">
        <f t="shared" si="3"/>
        <v>0</v>
      </c>
      <c r="AX6" s="510">
        <f t="shared" si="3"/>
        <v>-3.865352482534945E-12</v>
      </c>
      <c r="AY6" s="510">
        <f t="shared" si="3"/>
        <v>1.8189894035458565E-12</v>
      </c>
      <c r="AZ6" s="510">
        <f t="shared" si="3"/>
        <v>0</v>
      </c>
      <c r="BA6" s="510">
        <f t="shared" si="3"/>
        <v>0</v>
      </c>
      <c r="BB6" s="510">
        <f t="shared" si="3"/>
        <v>-1.8189894035458565E-12</v>
      </c>
    </row>
    <row r="7" spans="1:54" s="79" customFormat="1" ht="12.75" customHeight="1">
      <c r="A7" s="44"/>
      <c r="B7" s="44" t="str">
        <f>+'q28'!B7</f>
        <v>M</v>
      </c>
      <c r="C7" s="276">
        <f>+'q28'!C7</f>
        <v>956.51135558425801</v>
      </c>
      <c r="D7" s="276">
        <f>+'q28'!D7</f>
        <v>958.1169410237261</v>
      </c>
      <c r="E7" s="276">
        <f>+'q28'!E7</f>
        <v>963.11657750883012</v>
      </c>
      <c r="F7" s="276">
        <f>+'q28'!F7</f>
        <v>966.85175731037509</v>
      </c>
      <c r="G7" s="276">
        <f>+'q28'!G7</f>
        <v>982.48629518294808</v>
      </c>
      <c r="H7" s="276">
        <f>+'q28'!H7</f>
        <v>1011.0188687181301</v>
      </c>
      <c r="I7" s="276">
        <f>+'q28'!I7</f>
        <v>1046.5864208241201</v>
      </c>
      <c r="J7" s="276">
        <f>+'q28'!J7</f>
        <v>1086.9729161883299</v>
      </c>
      <c r="K7" s="276">
        <f>+'q28'!K7</f>
        <v>1130.8674354246</v>
      </c>
      <c r="L7" s="276">
        <f>+'q28'!L7</f>
        <v>1172.0779291766798</v>
      </c>
      <c r="M7" s="276">
        <f>+'q28'!M7</f>
        <v>1237.52369998673</v>
      </c>
      <c r="O7" s="93"/>
      <c r="P7" s="164"/>
      <c r="Q7" s="176" t="s">
        <v>54</v>
      </c>
      <c r="AE7" s="164"/>
      <c r="AF7" s="176" t="s">
        <v>54</v>
      </c>
      <c r="AG7" s="509">
        <f>+(AG10+AG13+AG16+AG19+AG22+AG25+AG28+AG31+AG34+AG37+AG40+AG43)/q13a!C7</f>
        <v>956.51135558425869</v>
      </c>
      <c r="AH7" s="509">
        <f>+(AH10+AH13+AH16+AH19+AH22+AH25+AH28+AH31+AH34+AH37+AH40+AH43)/q13a!D7</f>
        <v>958.11694102372599</v>
      </c>
      <c r="AI7" s="509">
        <f>+(AI10+AI13+AI16+AI19+AI22+AI25+AI28+AI31+AI34+AI37+AI40+AI43)/q13a!E7</f>
        <v>963.11657750883069</v>
      </c>
      <c r="AJ7" s="509">
        <f>+(AJ10+AJ13+AJ16+AJ19+AJ22+AJ25+AJ28+AJ31+AJ34+AJ37+AJ40+AJ43)/q13a!F7</f>
        <v>966.85175731037407</v>
      </c>
      <c r="AK7" s="509">
        <f>+(AK10+AK13+AK16+AK19+AK22+AK25+AK28+AK31+AK34+AK37+AK40+AK43)/q13a!G7</f>
        <v>982.48629518294899</v>
      </c>
      <c r="AL7" s="509">
        <f>+(AL10+AL13+AL16+AL19+AL22+AL25+AL28+AL31+AL34+AL37+AL40+AL43)/q13a!H7</f>
        <v>1011.0188687181296</v>
      </c>
      <c r="AM7" s="509">
        <f>+(AM10+AM13+AM16+AM19+AM22+AM25+AM28+AM31+AM34+AM37+AM40+AM43)/q13a!I7</f>
        <v>1046.5864208241233</v>
      </c>
      <c r="AN7" s="509">
        <f>+(AN10+AN13+AN16+AN19+AN22+AN25+AN28+AN31+AN34+AN37+AN40+AN43)/q13a!J7</f>
        <v>1086.9729161883338</v>
      </c>
      <c r="AO7" s="509">
        <f>+(AO10+AO13+AO16+AO19+AO22+AO25+AO28+AO31+AO34+AO37+AO40+AO43)/q13a!K7</f>
        <v>1130.8674354246011</v>
      </c>
      <c r="AP7" s="509">
        <f>+(AP10+AP13+AP16+AP19+AP22+AP25+AP28+AP31+AP34+AP37+AP40+AP43)/q13a!L7</f>
        <v>1172.0779291766823</v>
      </c>
      <c r="AQ7" s="509">
        <f>+(AQ10+AQ13+AQ16+AQ19+AQ22+AQ25+AQ28+AQ31+AQ34+AQ37+AQ40+AQ43)/q13a!M7</f>
        <v>1237.5236999867236</v>
      </c>
      <c r="AR7" s="510">
        <f t="shared" si="4"/>
        <v>0</v>
      </c>
      <c r="AS7" s="510">
        <f t="shared" si="3"/>
        <v>0</v>
      </c>
      <c r="AT7" s="510">
        <f t="shared" si="3"/>
        <v>0</v>
      </c>
      <c r="AU7" s="510">
        <f t="shared" si="3"/>
        <v>-1.0231815394945443E-12</v>
      </c>
      <c r="AV7" s="510">
        <f t="shared" si="3"/>
        <v>9.0949470177292824E-13</v>
      </c>
      <c r="AW7" s="510">
        <f t="shared" si="3"/>
        <v>0</v>
      </c>
      <c r="AX7" s="510">
        <f t="shared" si="3"/>
        <v>3.1832314562052488E-12</v>
      </c>
      <c r="AY7" s="510">
        <f t="shared" si="3"/>
        <v>3.865352482534945E-12</v>
      </c>
      <c r="AZ7" s="510">
        <f t="shared" si="3"/>
        <v>0</v>
      </c>
      <c r="BA7" s="510">
        <f t="shared" si="3"/>
        <v>2.5011104298755527E-12</v>
      </c>
      <c r="BB7" s="510">
        <f t="shared" si="3"/>
        <v>-6.3664629124104977E-12</v>
      </c>
    </row>
    <row r="8" spans="1:54" s="8" customFormat="1" ht="16.5" customHeight="1">
      <c r="A8" s="46" t="str">
        <f>+'q28'!A8</f>
        <v>&lt; 18 anos</v>
      </c>
      <c r="B8" s="44" t="str">
        <f>+'q28'!B8</f>
        <v>T</v>
      </c>
      <c r="C8" s="276">
        <f>+'q28'!C8</f>
        <v>579.52568067226912</v>
      </c>
      <c r="D8" s="276">
        <f>+'q28'!D8</f>
        <v>626.53287804878005</v>
      </c>
      <c r="E8" s="276">
        <f>+'q28'!E8</f>
        <v>752.91372623574102</v>
      </c>
      <c r="F8" s="276">
        <f>+'q28'!F8</f>
        <v>711.88108333333309</v>
      </c>
      <c r="G8" s="276">
        <f>+'q28'!G8</f>
        <v>759.20947565543111</v>
      </c>
      <c r="H8" s="276">
        <f>+'q28'!H8</f>
        <v>761.63557894736812</v>
      </c>
      <c r="I8" s="276">
        <f>+'q28'!I8</f>
        <v>775.7415860215051</v>
      </c>
      <c r="J8" s="276">
        <f>+'q28'!J8</f>
        <v>1016.7592550143301</v>
      </c>
      <c r="K8" s="276">
        <f>+'q28'!K8</f>
        <v>1233.4969264069302</v>
      </c>
      <c r="L8" s="276">
        <f>+'q28'!L8</f>
        <v>1171.6421631205699</v>
      </c>
      <c r="M8" s="276">
        <f>+'q28'!M8</f>
        <v>1142.1032360742699</v>
      </c>
      <c r="P8" s="46" t="s">
        <v>55</v>
      </c>
      <c r="Q8" s="44" t="s">
        <v>45</v>
      </c>
      <c r="R8" s="408">
        <f>+$C$8</f>
        <v>579.52568067226912</v>
      </c>
      <c r="S8" s="408">
        <f>+$D$8</f>
        <v>626.53287804878005</v>
      </c>
      <c r="T8" s="408">
        <f>+$E$8</f>
        <v>752.91372623574102</v>
      </c>
      <c r="U8" s="408">
        <f>+$F$8</f>
        <v>711.88108333333309</v>
      </c>
      <c r="V8" s="408">
        <f>+$G$8</f>
        <v>759.20947565543111</v>
      </c>
      <c r="W8" s="408">
        <f>+$H$8</f>
        <v>761.63557894736812</v>
      </c>
      <c r="X8" s="408">
        <f>+$I$8</f>
        <v>775.7415860215051</v>
      </c>
      <c r="Y8" s="408">
        <f>+$J$8</f>
        <v>1016.7592550143301</v>
      </c>
      <c r="Z8" s="408">
        <f>+$K$8</f>
        <v>1233.4969264069302</v>
      </c>
      <c r="AA8" s="408">
        <f>+$L$8</f>
        <v>1171.6421631205699</v>
      </c>
      <c r="AB8" s="408">
        <f>+$M$8</f>
        <v>1142.1032360742699</v>
      </c>
      <c r="AE8" s="46" t="s">
        <v>55</v>
      </c>
      <c r="AF8" s="44" t="s">
        <v>45</v>
      </c>
      <c r="AG8" s="408">
        <f>+$C$8*q13a!$C$8</f>
        <v>344817.78000000014</v>
      </c>
      <c r="AH8" s="408">
        <f>+$D$8*q13a!$D$8</f>
        <v>256878.47999999981</v>
      </c>
      <c r="AI8" s="408">
        <f>+$E$8*q13a!$E$8</f>
        <v>198016.30999999988</v>
      </c>
      <c r="AJ8" s="408">
        <f>+$F$8*q13a!$F$8</f>
        <v>170851.45999999993</v>
      </c>
      <c r="AK8" s="408">
        <f>+$G$8*q13a!$G$8</f>
        <v>202708.93000000011</v>
      </c>
      <c r="AL8" s="408">
        <f>+$H$8*q13a!$H$8</f>
        <v>289421.5199999999</v>
      </c>
      <c r="AM8" s="408">
        <f>+$I$8*q13a!$I$8</f>
        <v>288575.86999999988</v>
      </c>
      <c r="AN8" s="408">
        <f>+$J$8*q13a!$J$8</f>
        <v>354848.9800000012</v>
      </c>
      <c r="AO8" s="408">
        <f>+$K$8*q13a!$K$8</f>
        <v>284937.79000000091</v>
      </c>
      <c r="AP8" s="408">
        <f>+$L$8*q13a!$L$8</f>
        <v>330403.09000000072</v>
      </c>
      <c r="AQ8" s="408">
        <f>+$M$8*q13a!$M$8</f>
        <v>430572.91999999975</v>
      </c>
    </row>
    <row r="9" spans="1:54" s="8" customFormat="1" ht="12.75" customHeight="1">
      <c r="A9" s="47"/>
      <c r="B9" s="48" t="str">
        <f>+'q28'!B9</f>
        <v>H</v>
      </c>
      <c r="C9" s="278">
        <f>+'q28'!C9</f>
        <v>592.12341067285411</v>
      </c>
      <c r="D9" s="278">
        <f>+'q28'!D9</f>
        <v>652.37886861313905</v>
      </c>
      <c r="E9" s="278">
        <f>+'q28'!E9</f>
        <v>837.33664739884409</v>
      </c>
      <c r="F9" s="278">
        <f>+'q28'!F9</f>
        <v>767.93542682926807</v>
      </c>
      <c r="G9" s="278">
        <f>+'q28'!G9</f>
        <v>814.53664921466009</v>
      </c>
      <c r="H9" s="278">
        <f>+'q28'!H9</f>
        <v>805.09781818181796</v>
      </c>
      <c r="I9" s="278">
        <f>+'q28'!I9</f>
        <v>813.30253968253999</v>
      </c>
      <c r="J9" s="278">
        <f>+'q28'!J9</f>
        <v>1105.51102766798</v>
      </c>
      <c r="K9" s="278">
        <f>+'q28'!K9</f>
        <v>1339.0742631578898</v>
      </c>
      <c r="L9" s="278">
        <f>+'q28'!L9</f>
        <v>1291.67564220183</v>
      </c>
      <c r="M9" s="278">
        <f>+'q28'!M9</f>
        <v>1255.1913043478301</v>
      </c>
      <c r="P9" s="47"/>
      <c r="Q9" s="48" t="s">
        <v>53</v>
      </c>
      <c r="R9" s="408">
        <f>+$C$9</f>
        <v>592.12341067285411</v>
      </c>
      <c r="S9" s="408">
        <f>+$D$9</f>
        <v>652.37886861313905</v>
      </c>
      <c r="T9" s="408">
        <f>+$E$9</f>
        <v>837.33664739884409</v>
      </c>
      <c r="U9" s="408">
        <f>+$F$9</f>
        <v>767.93542682926807</v>
      </c>
      <c r="V9" s="408">
        <f>+$G$9</f>
        <v>814.53664921466009</v>
      </c>
      <c r="W9" s="408">
        <f>+$H$9</f>
        <v>805.09781818181796</v>
      </c>
      <c r="X9" s="408">
        <f>+$I$9</f>
        <v>813.30253968253999</v>
      </c>
      <c r="Y9" s="408">
        <f>+$J$9</f>
        <v>1105.51102766798</v>
      </c>
      <c r="Z9" s="408">
        <f>+$K$9</f>
        <v>1339.0742631578898</v>
      </c>
      <c r="AA9" s="408">
        <f>+$L$9</f>
        <v>1291.67564220183</v>
      </c>
      <c r="AB9" s="408">
        <f>+$M$9</f>
        <v>1255.1913043478301</v>
      </c>
      <c r="AE9" s="47"/>
      <c r="AF9" s="48" t="s">
        <v>53</v>
      </c>
      <c r="AG9" s="408">
        <f>+$C$9*q13a!$C$9</f>
        <v>255205.19000000012</v>
      </c>
      <c r="AH9" s="408">
        <f>+$D$9*q13a!$D$9</f>
        <v>178751.81000000008</v>
      </c>
      <c r="AI9" s="408">
        <f>+$E$9*q13a!$E$9</f>
        <v>144859.24000000002</v>
      </c>
      <c r="AJ9" s="408">
        <f>+$F$9*q13a!$F$9</f>
        <v>125941.40999999996</v>
      </c>
      <c r="AK9" s="408">
        <f>+$G$9*q13a!$G$9</f>
        <v>155576.50000000009</v>
      </c>
      <c r="AL9" s="408">
        <f>+$H$9*q13a!$H$9</f>
        <v>221401.89999999994</v>
      </c>
      <c r="AM9" s="408">
        <f>+$I$9*q13a!$I$9</f>
        <v>204952.24000000008</v>
      </c>
      <c r="AN9" s="408">
        <f>+$J$9*q13a!$J$9</f>
        <v>279694.28999999893</v>
      </c>
      <c r="AO9" s="408">
        <f>+$K$9*q13a!$K$9</f>
        <v>254424.10999999908</v>
      </c>
      <c r="AP9" s="408">
        <f>+$L$9*q13a!$L$9</f>
        <v>281585.28999999893</v>
      </c>
      <c r="AQ9" s="408">
        <f>+$M$9*q13a!$M$9</f>
        <v>346432.80000000109</v>
      </c>
    </row>
    <row r="10" spans="1:54" s="8" customFormat="1" ht="12.75" customHeight="1">
      <c r="A10" s="46"/>
      <c r="B10" s="48" t="str">
        <f>+'q28'!B10</f>
        <v>M</v>
      </c>
      <c r="C10" s="278">
        <f>+'q28'!C10</f>
        <v>546.41823170731709</v>
      </c>
      <c r="D10" s="278">
        <f>+'q28'!D10</f>
        <v>574.46080882352908</v>
      </c>
      <c r="E10" s="278">
        <f>+'q28'!E10</f>
        <v>590.634111111111</v>
      </c>
      <c r="F10" s="278">
        <f>+'q28'!F10</f>
        <v>590.92171052631602</v>
      </c>
      <c r="G10" s="278">
        <f>+'q28'!G10</f>
        <v>620.16355263157902</v>
      </c>
      <c r="H10" s="278">
        <f>+'q28'!H10</f>
        <v>647.80590476190514</v>
      </c>
      <c r="I10" s="278">
        <f>+'q28'!I10</f>
        <v>696.86358333333305</v>
      </c>
      <c r="J10" s="278">
        <f>+'q28'!J10</f>
        <v>782.86135416666707</v>
      </c>
      <c r="K10" s="278">
        <f>+'q28'!K10</f>
        <v>744.23609756097596</v>
      </c>
      <c r="L10" s="278">
        <f>+'q28'!L10</f>
        <v>762.77812500000005</v>
      </c>
      <c r="M10" s="278">
        <f>+'q28'!M10</f>
        <v>833.0704950495051</v>
      </c>
      <c r="P10" s="46"/>
      <c r="Q10" s="48" t="s">
        <v>54</v>
      </c>
      <c r="R10" s="408">
        <f>+$C$10</f>
        <v>546.41823170731709</v>
      </c>
      <c r="S10" s="408">
        <f>+$D$10</f>
        <v>574.46080882352908</v>
      </c>
      <c r="T10" s="408">
        <f>+$E$10</f>
        <v>590.634111111111</v>
      </c>
      <c r="U10" s="408">
        <f>+$F$10</f>
        <v>590.92171052631602</v>
      </c>
      <c r="V10" s="408">
        <f>+$G$10</f>
        <v>620.16355263157902</v>
      </c>
      <c r="W10" s="408">
        <f>+$H$10</f>
        <v>647.80590476190514</v>
      </c>
      <c r="X10" s="408">
        <f>+$I$10</f>
        <v>696.86358333333305</v>
      </c>
      <c r="Y10" s="408">
        <f>+$J$10</f>
        <v>782.86135416666707</v>
      </c>
      <c r="Z10" s="408">
        <f>+$K$10</f>
        <v>744.23609756097596</v>
      </c>
      <c r="AA10" s="408">
        <f>+$L$10</f>
        <v>762.77812500000005</v>
      </c>
      <c r="AB10" s="408">
        <f>+$M$10</f>
        <v>833.0704950495051</v>
      </c>
      <c r="AE10" s="46"/>
      <c r="AF10" s="48" t="s">
        <v>54</v>
      </c>
      <c r="AG10" s="408">
        <f>+$C$10*q13a!$C$10</f>
        <v>89612.59</v>
      </c>
      <c r="AH10" s="408">
        <f>+$D$10*q13a!$D$10</f>
        <v>78126.669999999955</v>
      </c>
      <c r="AI10" s="408">
        <f>+$E$10*q13a!$E$10</f>
        <v>53157.069999999992</v>
      </c>
      <c r="AJ10" s="408">
        <f>+$F$10*q13a!$F$10</f>
        <v>44910.050000000017</v>
      </c>
      <c r="AK10" s="408">
        <f>+$G$10*q13a!$G$10</f>
        <v>47132.430000000008</v>
      </c>
      <c r="AL10" s="408">
        <f>+$H$10*q13a!$H$10</f>
        <v>68019.620000000039</v>
      </c>
      <c r="AM10" s="408">
        <f>+$I$10*q13a!$I$10</f>
        <v>83623.629999999961</v>
      </c>
      <c r="AN10" s="408">
        <f>+$J$10*q13a!$J$10</f>
        <v>75154.690000000031</v>
      </c>
      <c r="AO10" s="408">
        <f>+$K$10*q13a!$K$10</f>
        <v>30513.680000000015</v>
      </c>
      <c r="AP10" s="408">
        <f>+$L$10*q13a!$L$10</f>
        <v>48817.8</v>
      </c>
      <c r="AQ10" s="408">
        <f>+$M$10*q13a!$M$10</f>
        <v>84140.12000000001</v>
      </c>
    </row>
    <row r="11" spans="1:54" s="8" customFormat="1" ht="16.5" customHeight="1">
      <c r="A11" s="46" t="str">
        <f>+'q28'!A11</f>
        <v>18-24 anos</v>
      </c>
      <c r="B11" s="44" t="str">
        <f>+'q28'!B11</f>
        <v>T</v>
      </c>
      <c r="C11" s="276">
        <f>+'q28'!C11</f>
        <v>725.36360949234006</v>
      </c>
      <c r="D11" s="276">
        <f>+'q28'!D11</f>
        <v>715.26038767845102</v>
      </c>
      <c r="E11" s="276">
        <f>+'q28'!E11</f>
        <v>719.19943383557609</v>
      </c>
      <c r="F11" s="276">
        <f>+'q28'!F11</f>
        <v>733.68816429448304</v>
      </c>
      <c r="G11" s="276">
        <f>+'q28'!G11</f>
        <v>753.40961690834013</v>
      </c>
      <c r="H11" s="276">
        <f>+'q28'!H11</f>
        <v>788.29137384927412</v>
      </c>
      <c r="I11" s="276">
        <f>+'q28'!I11</f>
        <v>827.84147240876302</v>
      </c>
      <c r="J11" s="276">
        <f>+'q28'!J11</f>
        <v>871.35192145880296</v>
      </c>
      <c r="K11" s="276">
        <f>+'q28'!K11</f>
        <v>910.79519282836304</v>
      </c>
      <c r="L11" s="276">
        <f>+'q28'!L11</f>
        <v>948.81305868554409</v>
      </c>
      <c r="M11" s="276">
        <f>+'q28'!M11</f>
        <v>1015.84021545265</v>
      </c>
      <c r="P11" s="46" t="s">
        <v>56</v>
      </c>
      <c r="Q11" s="44" t="s">
        <v>45</v>
      </c>
      <c r="R11" s="408">
        <f>+$C$11</f>
        <v>725.36360949234006</v>
      </c>
      <c r="S11" s="408">
        <f>+$D$11</f>
        <v>715.26038767845102</v>
      </c>
      <c r="T11" s="408">
        <f>+$E$11</f>
        <v>719.19943383557609</v>
      </c>
      <c r="U11" s="408">
        <f>+$F$11</f>
        <v>733.68816429448304</v>
      </c>
      <c r="V11" s="408">
        <f>+$G$11</f>
        <v>753.40961690834013</v>
      </c>
      <c r="W11" s="408">
        <f>+$H$11</f>
        <v>788.29137384927412</v>
      </c>
      <c r="X11" s="408">
        <f>+$I$11</f>
        <v>827.84147240876302</v>
      </c>
      <c r="Y11" s="408">
        <f>+$J$11</f>
        <v>871.35192145880296</v>
      </c>
      <c r="Z11" s="408">
        <f>+$K$11</f>
        <v>910.79519282836304</v>
      </c>
      <c r="AA11" s="408">
        <f>+$L$11</f>
        <v>948.81305868554409</v>
      </c>
      <c r="AB11" s="408">
        <f>+$M$11</f>
        <v>1015.84021545265</v>
      </c>
      <c r="AE11" s="46" t="s">
        <v>56</v>
      </c>
      <c r="AF11" s="44" t="s">
        <v>45</v>
      </c>
      <c r="AG11" s="408">
        <f>+$C$11*q13a!$C$11</f>
        <v>84515740.960000008</v>
      </c>
      <c r="AH11" s="408">
        <f>+$D$11*q13a!$D$11</f>
        <v>77507761.389999986</v>
      </c>
      <c r="AI11" s="408">
        <f>+$E$11*q13a!$E$11</f>
        <v>80333857.560000017</v>
      </c>
      <c r="AJ11" s="408">
        <f>+$F$11*q13a!$F$11</f>
        <v>88456379.840000048</v>
      </c>
      <c r="AK11" s="408">
        <f>+$G$11*q13a!$G$11</f>
        <v>97369152.070000067</v>
      </c>
      <c r="AL11" s="408">
        <f>+$H$11*q13a!$H$11</f>
        <v>111147507.12999995</v>
      </c>
      <c r="AM11" s="408">
        <f>+$I$11*q13a!$I$11</f>
        <v>125985882.32000001</v>
      </c>
      <c r="AN11" s="408">
        <f>+$J$11*q13a!$J$11</f>
        <v>137523731.05999994</v>
      </c>
      <c r="AO11" s="408">
        <f>+$K$11*q13a!$K$11</f>
        <v>128168010.33000007</v>
      </c>
      <c r="AP11" s="408">
        <f>+$L$11*q13a!$L$11</f>
        <v>135906084.89999998</v>
      </c>
      <c r="AQ11" s="408">
        <f>+$M$11*q13a!$M$11</f>
        <v>165399103.88000047</v>
      </c>
    </row>
    <row r="12" spans="1:54" s="8" customFormat="1" ht="12.75" customHeight="1">
      <c r="A12" s="47"/>
      <c r="B12" s="48" t="str">
        <f>+'q28'!B12</f>
        <v>H</v>
      </c>
      <c r="C12" s="278">
        <f>+'q28'!C12</f>
        <v>766.451616617539</v>
      </c>
      <c r="D12" s="278">
        <f>+'q28'!D12</f>
        <v>753.12304447313807</v>
      </c>
      <c r="E12" s="278">
        <f>+'q28'!E12</f>
        <v>752.86332712992498</v>
      </c>
      <c r="F12" s="278">
        <f>+'q28'!F12</f>
        <v>768.955694107618</v>
      </c>
      <c r="G12" s="278">
        <f>+'q28'!G12</f>
        <v>785.58874369310104</v>
      </c>
      <c r="H12" s="278">
        <f>+'q28'!H12</f>
        <v>818.24742516097513</v>
      </c>
      <c r="I12" s="278">
        <f>+'q28'!I12</f>
        <v>858.87286539014406</v>
      </c>
      <c r="J12" s="278">
        <f>+'q28'!J12</f>
        <v>904.01852112597908</v>
      </c>
      <c r="K12" s="278">
        <f>+'q28'!K12</f>
        <v>939.88988105144608</v>
      </c>
      <c r="L12" s="278">
        <f>+'q28'!L12</f>
        <v>975.74688528596005</v>
      </c>
      <c r="M12" s="278">
        <f>+'q28'!M12</f>
        <v>1047.1973240606901</v>
      </c>
      <c r="P12" s="47"/>
      <c r="Q12" s="48" t="s">
        <v>53</v>
      </c>
      <c r="R12" s="408">
        <f>+$C$12</f>
        <v>766.451616617539</v>
      </c>
      <c r="S12" s="408">
        <f>+$D$12</f>
        <v>753.12304447313807</v>
      </c>
      <c r="T12" s="408">
        <f>+$E$12</f>
        <v>752.86332712992498</v>
      </c>
      <c r="U12" s="408">
        <f>+$F$12</f>
        <v>768.955694107618</v>
      </c>
      <c r="V12" s="408">
        <f>+$G$12</f>
        <v>785.58874369310104</v>
      </c>
      <c r="W12" s="408">
        <f>+$H$12</f>
        <v>818.24742516097513</v>
      </c>
      <c r="X12" s="408">
        <f>+$I$12</f>
        <v>858.87286539014406</v>
      </c>
      <c r="Y12" s="408">
        <f>+$J$12</f>
        <v>904.01852112597908</v>
      </c>
      <c r="Z12" s="408">
        <f>+$K$12</f>
        <v>939.88988105144608</v>
      </c>
      <c r="AA12" s="408">
        <f>+$L$12</f>
        <v>975.74688528596005</v>
      </c>
      <c r="AB12" s="408">
        <f>+$M$12</f>
        <v>1047.1973240606901</v>
      </c>
      <c r="AE12" s="47"/>
      <c r="AF12" s="48" t="s">
        <v>53</v>
      </c>
      <c r="AG12" s="408">
        <f>+$C$12*q13a!$C$12</f>
        <v>49923592.500000022</v>
      </c>
      <c r="AH12" s="408">
        <f>+$D$12*q13a!$D$12</f>
        <v>46078327.230000004</v>
      </c>
      <c r="AI12" s="408">
        <f>+$E$12*q13a!$E$12</f>
        <v>47736052.120000027</v>
      </c>
      <c r="AJ12" s="408">
        <f>+$F$12*q13a!$F$12</f>
        <v>52317438.560000002</v>
      </c>
      <c r="AK12" s="408">
        <f>+$G$12*q13a!$G$12</f>
        <v>57297700.610000014</v>
      </c>
      <c r="AL12" s="408">
        <f>+$H$12*q13a!$H$12</f>
        <v>65190590.610000052</v>
      </c>
      <c r="AM12" s="408">
        <f>+$I$12*q13a!$I$12</f>
        <v>74683290.009999976</v>
      </c>
      <c r="AN12" s="408">
        <f>+$J$12*q13a!$J$12</f>
        <v>81411387.920000046</v>
      </c>
      <c r="AO12" s="408">
        <f>+$K$12*q13a!$K$12</f>
        <v>76804041.519999966</v>
      </c>
      <c r="AP12" s="408">
        <f>+$L$12*q13a!$L$12</f>
        <v>79861955.319999978</v>
      </c>
      <c r="AQ12" s="408">
        <f>+$M$12*q13a!$M$12</f>
        <v>97047964.81000039</v>
      </c>
    </row>
    <row r="13" spans="1:54" s="8" customFormat="1" ht="12.75" customHeight="1">
      <c r="A13" s="46"/>
      <c r="B13" s="48" t="str">
        <f>+'q28'!B13</f>
        <v>M</v>
      </c>
      <c r="C13" s="278">
        <f>+'q28'!C13</f>
        <v>673.27407034002204</v>
      </c>
      <c r="D13" s="278">
        <f>+'q28'!D13</f>
        <v>666.16011360746108</v>
      </c>
      <c r="E13" s="278">
        <f>+'q28'!E13</f>
        <v>675.00063031909406</v>
      </c>
      <c r="F13" s="278">
        <f>+'q28'!F13</f>
        <v>688.00695413787207</v>
      </c>
      <c r="G13" s="278">
        <f>+'q28'!G13</f>
        <v>711.72341053603816</v>
      </c>
      <c r="H13" s="278">
        <f>+'q28'!H13</f>
        <v>749.37493306374006</v>
      </c>
      <c r="I13" s="278">
        <f>+'q28'!I13</f>
        <v>786.475637503641</v>
      </c>
      <c r="J13" s="278">
        <f>+'q28'!J13</f>
        <v>827.94539329821612</v>
      </c>
      <c r="K13" s="278">
        <f>+'q28'!K13</f>
        <v>870.50197118888207</v>
      </c>
      <c r="L13" s="278">
        <f>+'q28'!L13</f>
        <v>912.90465345083214</v>
      </c>
      <c r="M13" s="278">
        <f>+'q28'!M13</f>
        <v>974.41249779032307</v>
      </c>
      <c r="P13" s="46"/>
      <c r="Q13" s="48" t="s">
        <v>54</v>
      </c>
      <c r="R13" s="408">
        <f>+$C$13</f>
        <v>673.27407034002204</v>
      </c>
      <c r="S13" s="408">
        <f>+$D$13</f>
        <v>666.16011360746108</v>
      </c>
      <c r="T13" s="408">
        <f>+$E$13</f>
        <v>675.00063031909406</v>
      </c>
      <c r="U13" s="408">
        <f>+$F$13</f>
        <v>688.00695413787207</v>
      </c>
      <c r="V13" s="408">
        <f>+$G$13</f>
        <v>711.72341053603816</v>
      </c>
      <c r="W13" s="408">
        <f>+$H$13</f>
        <v>749.37493306374006</v>
      </c>
      <c r="X13" s="408">
        <f>+$I$13</f>
        <v>786.475637503641</v>
      </c>
      <c r="Y13" s="408">
        <f>+$J$13</f>
        <v>827.94539329821612</v>
      </c>
      <c r="Z13" s="408">
        <f>+$K$13</f>
        <v>870.50197118888207</v>
      </c>
      <c r="AA13" s="408">
        <f>+$L$13</f>
        <v>912.90465345083214</v>
      </c>
      <c r="AB13" s="408">
        <f>+$M$13</f>
        <v>974.41249779032307</v>
      </c>
      <c r="AE13" s="46"/>
      <c r="AF13" s="48" t="s">
        <v>54</v>
      </c>
      <c r="AG13" s="408">
        <f>+$C$13*q13a!$C$13</f>
        <v>34592148.459999993</v>
      </c>
      <c r="AH13" s="408">
        <f>+$D$13*q13a!$D$13</f>
        <v>31429434.160000015</v>
      </c>
      <c r="AI13" s="408">
        <f>+$E$13*q13a!$E$13</f>
        <v>32597805.440000009</v>
      </c>
      <c r="AJ13" s="408">
        <f>+$F$13*q13a!$F$13</f>
        <v>36138941.280000009</v>
      </c>
      <c r="AK13" s="408">
        <f>+$G$13*q13a!$G$13</f>
        <v>40071451.460000023</v>
      </c>
      <c r="AL13" s="408">
        <f>+$H$13*q13a!$H$13</f>
        <v>45956916.519999988</v>
      </c>
      <c r="AM13" s="408">
        <f>+$I$13*q13a!$I$13</f>
        <v>51302592.310000002</v>
      </c>
      <c r="AN13" s="408">
        <f>+$J$13*q13a!$J$13</f>
        <v>56112343.140000001</v>
      </c>
      <c r="AO13" s="408">
        <f>+$K$13*q13a!$K$13</f>
        <v>51363968.809999987</v>
      </c>
      <c r="AP13" s="408">
        <f>+$L$13*q13a!$L$13</f>
        <v>56044129.580000035</v>
      </c>
      <c r="AQ13" s="408">
        <f>+$M$13*q13a!$M$13</f>
        <v>68351139.070000008</v>
      </c>
    </row>
    <row r="14" spans="1:54" s="8" customFormat="1" ht="16.5" customHeight="1">
      <c r="A14" s="46" t="str">
        <f>+'q28'!A14</f>
        <v>25-29 anos</v>
      </c>
      <c r="B14" s="44" t="str">
        <f>+'q28'!B14</f>
        <v>T</v>
      </c>
      <c r="C14" s="276">
        <f>+'q28'!C14</f>
        <v>876.15164491889004</v>
      </c>
      <c r="D14" s="276">
        <f>+'q28'!D14</f>
        <v>865.88542855200205</v>
      </c>
      <c r="E14" s="276">
        <f>+'q28'!E14</f>
        <v>862.51239979343711</v>
      </c>
      <c r="F14" s="276">
        <f>+'q28'!F14</f>
        <v>871.57959064838906</v>
      </c>
      <c r="G14" s="276">
        <f>+'q28'!G14</f>
        <v>893.30964622452905</v>
      </c>
      <c r="H14" s="276">
        <f>+'q28'!H14</f>
        <v>935.64690023586411</v>
      </c>
      <c r="I14" s="276">
        <f>+'q28'!I14</f>
        <v>980.03467699590408</v>
      </c>
      <c r="J14" s="276">
        <f>+'q28'!J14</f>
        <v>1030.85516188815</v>
      </c>
      <c r="K14" s="276">
        <f>+'q28'!K14</f>
        <v>1074.4946862765198</v>
      </c>
      <c r="L14" s="276">
        <f>+'q28'!L14</f>
        <v>1126.1219897304202</v>
      </c>
      <c r="M14" s="276">
        <f>+'q28'!M14</f>
        <v>1206.3490720214502</v>
      </c>
      <c r="P14" s="46" t="s">
        <v>57</v>
      </c>
      <c r="Q14" s="44" t="s">
        <v>45</v>
      </c>
      <c r="R14" s="8">
        <f>+$C$14*q13a!$C$14</f>
        <v>207074936.66999999</v>
      </c>
      <c r="S14" s="8">
        <f>+$D$14*q13a!$D$14</f>
        <v>191027313.81999993</v>
      </c>
      <c r="T14" s="8">
        <f>+$E$14*q13a!$E$14</f>
        <v>183723766.28000003</v>
      </c>
      <c r="U14" s="8">
        <f>+$F$14*q13a!$F$14</f>
        <v>189347179.74999994</v>
      </c>
      <c r="V14" s="8">
        <f>+$G$14*q13a!$G$14</f>
        <v>201046482.36000004</v>
      </c>
      <c r="W14" s="8">
        <f>+$H$14*q13a!$H$14</f>
        <v>220162393.86000001</v>
      </c>
      <c r="X14" s="8">
        <f>+$I$14*q13a!$I$14</f>
        <v>242638945.39999992</v>
      </c>
      <c r="Y14" s="8">
        <f>+$J$14*q13a!$J$14</f>
        <v>263654608.76999891</v>
      </c>
      <c r="Z14" s="8">
        <f>+$K$14*q13a!$K$14</f>
        <v>262096116.35000008</v>
      </c>
      <c r="AA14" s="8">
        <f>+$L$14*q13a!$L$14</f>
        <v>278965191.53999913</v>
      </c>
      <c r="AB14" s="8">
        <f>+$M$14*q13a!$M$14</f>
        <v>329335709.35999995</v>
      </c>
      <c r="AE14" s="46" t="s">
        <v>57</v>
      </c>
      <c r="AF14" s="44" t="s">
        <v>45</v>
      </c>
      <c r="AG14" s="8">
        <f>+$C$14*q13a!$C$14</f>
        <v>207074936.66999999</v>
      </c>
      <c r="AH14" s="8">
        <f>+$D$14*q13a!$D$14</f>
        <v>191027313.81999993</v>
      </c>
      <c r="AI14" s="8">
        <f>+$E$14*q13a!$E$14</f>
        <v>183723766.28000003</v>
      </c>
      <c r="AJ14" s="8">
        <f>+$F$14*q13a!$F$14</f>
        <v>189347179.74999994</v>
      </c>
      <c r="AK14" s="8">
        <f>+$G$14*q13a!$G$14</f>
        <v>201046482.36000004</v>
      </c>
      <c r="AL14" s="8">
        <f>+$H$14*q13a!$H$14</f>
        <v>220162393.86000001</v>
      </c>
      <c r="AM14" s="8">
        <f>+$I$14*q13a!$I$14</f>
        <v>242638945.39999992</v>
      </c>
      <c r="AN14" s="8">
        <f>+$J$14*q13a!$J$14</f>
        <v>263654608.76999891</v>
      </c>
      <c r="AO14" s="8">
        <f>+$K$14*q13a!$K$14</f>
        <v>262096116.35000008</v>
      </c>
      <c r="AP14" s="8">
        <f>+$L$14*q13a!$L$14</f>
        <v>278965191.53999913</v>
      </c>
      <c r="AQ14" s="8">
        <f>+$M$14*q13a!$M$14</f>
        <v>329335709.35999995</v>
      </c>
    </row>
    <row r="15" spans="1:54" s="8" customFormat="1" ht="12.75" customHeight="1">
      <c r="A15" s="47"/>
      <c r="B15" s="48" t="str">
        <f>+'q28'!B15</f>
        <v>H</v>
      </c>
      <c r="C15" s="278">
        <f>+'q28'!C15</f>
        <v>911.66736574395907</v>
      </c>
      <c r="D15" s="278">
        <f>+'q28'!D15</f>
        <v>906.40771357157212</v>
      </c>
      <c r="E15" s="278">
        <f>+'q28'!E15</f>
        <v>901.54740505876202</v>
      </c>
      <c r="F15" s="278">
        <f>+'q28'!F15</f>
        <v>917.10462202263</v>
      </c>
      <c r="G15" s="278">
        <f>+'q28'!G15</f>
        <v>938.39715844318209</v>
      </c>
      <c r="H15" s="278">
        <f>+'q28'!H15</f>
        <v>982.9300194296361</v>
      </c>
      <c r="I15" s="278">
        <f>+'q28'!I15</f>
        <v>1028.6203875692499</v>
      </c>
      <c r="J15" s="278">
        <f>+'q28'!J15</f>
        <v>1078.1627305112399</v>
      </c>
      <c r="K15" s="278">
        <f>+'q28'!K15</f>
        <v>1116.1989601080199</v>
      </c>
      <c r="L15" s="278">
        <f>+'q28'!L15</f>
        <v>1172.8121950689399</v>
      </c>
      <c r="M15" s="278">
        <f>+'q28'!M15</f>
        <v>1256.5231891761002</v>
      </c>
      <c r="P15" s="47"/>
      <c r="Q15" s="48" t="s">
        <v>53</v>
      </c>
      <c r="R15" s="8">
        <f>+$C$15*q13a!$C$15</f>
        <v>111483243.82000004</v>
      </c>
      <c r="S15" s="8">
        <f>+$D$15*q13a!$D$15</f>
        <v>103713889.81</v>
      </c>
      <c r="T15" s="8">
        <f>+$E$15*q13a!$E$15</f>
        <v>100798409.16999994</v>
      </c>
      <c r="U15" s="8">
        <f>+$F$15*q13a!$F$15</f>
        <v>104150986.39999998</v>
      </c>
      <c r="V15" s="8">
        <f>+$G$15*q13a!$G$15</f>
        <v>111125929.90000007</v>
      </c>
      <c r="W15" s="8">
        <f>+$H$15*q13a!$H$15</f>
        <v>122425899.78000003</v>
      </c>
      <c r="X15" s="8">
        <f>+$I$15*q13a!$I$15</f>
        <v>135541308.47000006</v>
      </c>
      <c r="Y15" s="8">
        <f>+$J$15*q13a!$J$15</f>
        <v>147392392.40000007</v>
      </c>
      <c r="Z15" s="8">
        <f>+$K$15*q13a!$K$15</f>
        <v>147149625.11000037</v>
      </c>
      <c r="AA15" s="8">
        <f>+$L$15*q13a!$L$15</f>
        <v>156500059.30999935</v>
      </c>
      <c r="AB15" s="8">
        <f>+$M$15*q13a!$M$15</f>
        <v>186762067.70000049</v>
      </c>
      <c r="AE15" s="47"/>
      <c r="AF15" s="48" t="s">
        <v>53</v>
      </c>
      <c r="AG15" s="8">
        <f>+$C$15*q13a!$C$15</f>
        <v>111483243.82000004</v>
      </c>
      <c r="AH15" s="8">
        <f>+$D$15*q13a!$D$15</f>
        <v>103713889.81</v>
      </c>
      <c r="AI15" s="8">
        <f>+$E$15*q13a!$E$15</f>
        <v>100798409.16999994</v>
      </c>
      <c r="AJ15" s="8">
        <f>+$F$15*q13a!$F$15</f>
        <v>104150986.39999998</v>
      </c>
      <c r="AK15" s="8">
        <f>+$G$15*q13a!$G$15</f>
        <v>111125929.90000007</v>
      </c>
      <c r="AL15" s="8">
        <f>+$H$15*q13a!$H$15</f>
        <v>122425899.78000003</v>
      </c>
      <c r="AM15" s="8">
        <f>+$I$15*q13a!$I$15</f>
        <v>135541308.47000006</v>
      </c>
      <c r="AN15" s="8">
        <f>+$J$15*q13a!$J$15</f>
        <v>147392392.40000007</v>
      </c>
      <c r="AO15" s="8">
        <f>+$K$15*q13a!$K$15</f>
        <v>147149625.11000037</v>
      </c>
      <c r="AP15" s="8">
        <f>+$L$15*q13a!$L$15</f>
        <v>156500059.30999935</v>
      </c>
      <c r="AQ15" s="8">
        <f>+$M$15*q13a!$M$15</f>
        <v>186762067.70000049</v>
      </c>
    </row>
    <row r="16" spans="1:54" s="8" customFormat="1" ht="12.75" customHeight="1">
      <c r="A16" s="46"/>
      <c r="B16" s="48" t="str">
        <f>+'q28'!B16</f>
        <v>M</v>
      </c>
      <c r="C16" s="278">
        <f>+'q28'!C16</f>
        <v>838.07517775576207</v>
      </c>
      <c r="D16" s="278">
        <f>+'q28'!D16</f>
        <v>822.22223905755607</v>
      </c>
      <c r="E16" s="278">
        <f>+'q28'!E16</f>
        <v>819.38813791945006</v>
      </c>
      <c r="F16" s="278">
        <f>+'q28'!F16</f>
        <v>821.71461839681297</v>
      </c>
      <c r="G16" s="278">
        <f>+'q28'!G16</f>
        <v>843.23970535555213</v>
      </c>
      <c r="H16" s="278">
        <f>+'q28'!H16</f>
        <v>882.47265609058013</v>
      </c>
      <c r="I16" s="278">
        <f>+'q28'!I16</f>
        <v>924.7542303906331</v>
      </c>
      <c r="J16" s="278">
        <f>+'q28'!J16</f>
        <v>976.53386952358608</v>
      </c>
      <c r="K16" s="278">
        <f>+'q28'!K16</f>
        <v>1025.4473142184202</v>
      </c>
      <c r="L16" s="278">
        <f>+'q28'!L16</f>
        <v>1071.60473416636</v>
      </c>
      <c r="M16" s="278">
        <f>+'q28'!M16</f>
        <v>1146.3852571401001</v>
      </c>
      <c r="P16" s="46"/>
      <c r="Q16" s="48" t="s">
        <v>54</v>
      </c>
      <c r="R16" s="8">
        <f>+$C$16*q13a!$C$16</f>
        <v>95591692.849999979</v>
      </c>
      <c r="S16" s="8">
        <f>+$D$16*q13a!$D$16</f>
        <v>87313424.00999999</v>
      </c>
      <c r="T16" s="8">
        <f>+$E$16*q13a!$E$16</f>
        <v>82925357.110000029</v>
      </c>
      <c r="U16" s="8">
        <f>+$F$16*q13a!$F$16</f>
        <v>85196193.349999964</v>
      </c>
      <c r="V16" s="8">
        <f>+$G$16*q13a!$G$16</f>
        <v>89920552.460000008</v>
      </c>
      <c r="W16" s="8">
        <f>+$H$16*q13a!$H$16</f>
        <v>97736494.080000028</v>
      </c>
      <c r="X16" s="8">
        <f>+$I$16*q13a!$I$16</f>
        <v>107097636.93000001</v>
      </c>
      <c r="Y16" s="8">
        <f>+$J$16*q13a!$J$16</f>
        <v>116262216.37000006</v>
      </c>
      <c r="Z16" s="8">
        <f>+$K$16*q13a!$K$16</f>
        <v>114946491.23999959</v>
      </c>
      <c r="AA16" s="8">
        <f>+$L$16*q13a!$L$16</f>
        <v>122465132.22999996</v>
      </c>
      <c r="AB16" s="8">
        <f>+$M$16*q13a!$M$16</f>
        <v>142573641.65999997</v>
      </c>
      <c r="AE16" s="46"/>
      <c r="AF16" s="48" t="s">
        <v>54</v>
      </c>
      <c r="AG16" s="8">
        <f>+$C$16*q13a!$C$16</f>
        <v>95591692.849999979</v>
      </c>
      <c r="AH16" s="8">
        <f>+$D$16*q13a!$D$16</f>
        <v>87313424.00999999</v>
      </c>
      <c r="AI16" s="8">
        <f>+$E$16*q13a!$E$16</f>
        <v>82925357.110000029</v>
      </c>
      <c r="AJ16" s="8">
        <f>+$F$16*q13a!$F$16</f>
        <v>85196193.349999964</v>
      </c>
      <c r="AK16" s="8">
        <f>+$G$16*q13a!$G$16</f>
        <v>89920552.460000008</v>
      </c>
      <c r="AL16" s="8">
        <f>+$H$16*q13a!$H$16</f>
        <v>97736494.080000028</v>
      </c>
      <c r="AM16" s="8">
        <f>+$I$16*q13a!$I$16</f>
        <v>107097636.93000001</v>
      </c>
      <c r="AN16" s="8">
        <f>+$J$16*q13a!$J$16</f>
        <v>116262216.37000006</v>
      </c>
      <c r="AO16" s="8">
        <f>+$K$16*q13a!$K$16</f>
        <v>114946491.23999959</v>
      </c>
      <c r="AP16" s="8">
        <f>+$L$16*q13a!$L$16</f>
        <v>122465132.22999996</v>
      </c>
      <c r="AQ16" s="8">
        <f>+$M$16*q13a!$M$16</f>
        <v>142573641.65999997</v>
      </c>
    </row>
    <row r="17" spans="1:43" s="8" customFormat="1" ht="16.5" customHeight="1">
      <c r="A17" s="46" t="str">
        <f>+'q28'!A17</f>
        <v>30-34 anos</v>
      </c>
      <c r="B17" s="44" t="str">
        <f>+'q28'!B17</f>
        <v>T</v>
      </c>
      <c r="C17" s="276">
        <f>+'q28'!C17</f>
        <v>1015.25037434595</v>
      </c>
      <c r="D17" s="276">
        <f>+'q28'!D17</f>
        <v>997.83089565780904</v>
      </c>
      <c r="E17" s="276">
        <f>+'q28'!E17</f>
        <v>987.52666890434807</v>
      </c>
      <c r="F17" s="276">
        <f>+'q28'!F17</f>
        <v>991.06379561785809</v>
      </c>
      <c r="G17" s="276">
        <f>+'q28'!G17</f>
        <v>1003.61450690821</v>
      </c>
      <c r="H17" s="276">
        <f>+'q28'!H17</f>
        <v>1034.77980628215</v>
      </c>
      <c r="I17" s="276">
        <f>+'q28'!I17</f>
        <v>1081.34847479682</v>
      </c>
      <c r="J17" s="276">
        <f>+'q28'!J17</f>
        <v>1135.04892998587</v>
      </c>
      <c r="K17" s="276">
        <f>+'q28'!K17</f>
        <v>1176.05112795233</v>
      </c>
      <c r="L17" s="276">
        <f>+'q28'!L17</f>
        <v>1234.8667332304101</v>
      </c>
      <c r="M17" s="276">
        <f>+'q28'!M17</f>
        <v>1319.2813515816902</v>
      </c>
      <c r="P17" s="46" t="s">
        <v>58</v>
      </c>
      <c r="Q17" s="44" t="s">
        <v>45</v>
      </c>
      <c r="R17" s="8">
        <f>+$C$17*q13a!$C$17</f>
        <v>309093991.71999884</v>
      </c>
      <c r="S17" s="8">
        <f>+$D$17*q13a!$D$17</f>
        <v>292534083.67999989</v>
      </c>
      <c r="T17" s="8">
        <f>+$E$17*q13a!$E$17</f>
        <v>283913917.31000006</v>
      </c>
      <c r="U17" s="8">
        <f>+$F$17*q13a!$F$17</f>
        <v>280392760.12</v>
      </c>
      <c r="V17" s="8">
        <f>+$G$17*q13a!$G$17</f>
        <v>279443412.46000129</v>
      </c>
      <c r="W17" s="8">
        <f>+$H$17*q13a!$H$17</f>
        <v>285619922.12999904</v>
      </c>
      <c r="X17" s="8">
        <f>+$I$17*q13a!$I$17</f>
        <v>297504917.78000033</v>
      </c>
      <c r="Y17" s="8">
        <f>+$J$17*q13a!$J$17</f>
        <v>310956869.80999899</v>
      </c>
      <c r="Z17" s="8">
        <f>+$K$17*q13a!$K$17</f>
        <v>309664846.45000005</v>
      </c>
      <c r="AA17" s="8">
        <f>+$L$17*q13a!$L$17</f>
        <v>328735107.92000067</v>
      </c>
      <c r="AB17" s="8">
        <f>+$M$17*q13a!$M$17</f>
        <v>382348844.1899991</v>
      </c>
      <c r="AE17" s="46" t="s">
        <v>58</v>
      </c>
      <c r="AF17" s="44" t="s">
        <v>45</v>
      </c>
      <c r="AG17" s="8">
        <f>+$C$17*q13a!$C$17</f>
        <v>309093991.71999884</v>
      </c>
      <c r="AH17" s="8">
        <f>+$D$17*q13a!$D$17</f>
        <v>292534083.67999989</v>
      </c>
      <c r="AI17" s="8">
        <f>+$E$17*q13a!$E$17</f>
        <v>283913917.31000006</v>
      </c>
      <c r="AJ17" s="8">
        <f>+$F$17*q13a!$F$17</f>
        <v>280392760.12</v>
      </c>
      <c r="AK17" s="8">
        <f>+$G$17*q13a!$G$17</f>
        <v>279443412.46000129</v>
      </c>
      <c r="AL17" s="8">
        <f>+$H$17*q13a!$H$17</f>
        <v>285619922.12999904</v>
      </c>
      <c r="AM17" s="8">
        <f>+$I$17*q13a!$I$17</f>
        <v>297504917.78000033</v>
      </c>
      <c r="AN17" s="8">
        <f>+$J$17*q13a!$J$17</f>
        <v>310956869.80999899</v>
      </c>
      <c r="AO17" s="8">
        <f>+$K$17*q13a!$K$17</f>
        <v>309664846.45000005</v>
      </c>
      <c r="AP17" s="8">
        <f>+$L$17*q13a!$L$17</f>
        <v>328735107.92000067</v>
      </c>
      <c r="AQ17" s="8">
        <f>+$M$17*q13a!$M$17</f>
        <v>382348844.1899991</v>
      </c>
    </row>
    <row r="18" spans="1:43" s="8" customFormat="1" ht="12.75" customHeight="1">
      <c r="A18" s="47"/>
      <c r="B18" s="48" t="str">
        <f>+'q28'!B18</f>
        <v>H</v>
      </c>
      <c r="C18" s="278">
        <f>+'q28'!C18</f>
        <v>1075.1518025425401</v>
      </c>
      <c r="D18" s="278">
        <f>+'q28'!D18</f>
        <v>1053.0039878457901</v>
      </c>
      <c r="E18" s="278">
        <f>+'q28'!E18</f>
        <v>1036.9852602872002</v>
      </c>
      <c r="F18" s="278">
        <f>+'q28'!F18</f>
        <v>1043.90744755951</v>
      </c>
      <c r="G18" s="278">
        <f>+'q28'!G18</f>
        <v>1054.6308817122301</v>
      </c>
      <c r="H18" s="278">
        <f>+'q28'!H18</f>
        <v>1089.10196253545</v>
      </c>
      <c r="I18" s="278">
        <f>+'q28'!I18</f>
        <v>1145.5087133347301</v>
      </c>
      <c r="J18" s="278">
        <f>+'q28'!J18</f>
        <v>1199.1634039137202</v>
      </c>
      <c r="K18" s="278">
        <f>+'q28'!K18</f>
        <v>1236.2666421316503</v>
      </c>
      <c r="L18" s="278">
        <f>+'q28'!L18</f>
        <v>1296.9965525458699</v>
      </c>
      <c r="M18" s="278">
        <f>+'q28'!M18</f>
        <v>1382.6885251838701</v>
      </c>
      <c r="P18" s="47"/>
      <c r="Q18" s="48" t="s">
        <v>53</v>
      </c>
      <c r="R18" s="8">
        <f>+$C$18*q13a!$C$18</f>
        <v>171429729.4600004</v>
      </c>
      <c r="S18" s="8">
        <f>+$D$18*q13a!$D$18</f>
        <v>161318104.92999935</v>
      </c>
      <c r="T18" s="8">
        <f>+$E$18*q13a!$E$18</f>
        <v>156850242.53000075</v>
      </c>
      <c r="U18" s="8">
        <f>+$F$18*q13a!$F$18</f>
        <v>154972236.21999949</v>
      </c>
      <c r="V18" s="8">
        <f>+$G$18*q13a!$G$18</f>
        <v>154921057.99999976</v>
      </c>
      <c r="W18" s="8">
        <f>+$H$18*q13a!$H$18</f>
        <v>160118681.42999932</v>
      </c>
      <c r="X18" s="8">
        <f>+$I$18*q13a!$I$18</f>
        <v>169841140.40000042</v>
      </c>
      <c r="Y18" s="8">
        <f>+$J$18*q13a!$J$18</f>
        <v>178508663.4700003</v>
      </c>
      <c r="Z18" s="8">
        <f>+$K$18*q13a!$K$18</f>
        <v>179044788.98000053</v>
      </c>
      <c r="AA18" s="8">
        <f>+$L$18*q13a!$L$18</f>
        <v>189949036.11000028</v>
      </c>
      <c r="AB18" s="8">
        <f>+$M$18*q13a!$M$18</f>
        <v>222964055.43999979</v>
      </c>
      <c r="AE18" s="47"/>
      <c r="AF18" s="48" t="s">
        <v>53</v>
      </c>
      <c r="AG18" s="8">
        <f>+$C$18*q13a!$C$18</f>
        <v>171429729.4600004</v>
      </c>
      <c r="AH18" s="8">
        <f>+$D$18*q13a!$D$18</f>
        <v>161318104.92999935</v>
      </c>
      <c r="AI18" s="8">
        <f>+$E$18*q13a!$E$18</f>
        <v>156850242.53000075</v>
      </c>
      <c r="AJ18" s="8">
        <f>+$F$18*q13a!$F$18</f>
        <v>154972236.21999949</v>
      </c>
      <c r="AK18" s="8">
        <f>+$G$18*q13a!$G$18</f>
        <v>154921057.99999976</v>
      </c>
      <c r="AL18" s="8">
        <f>+$H$18*q13a!$H$18</f>
        <v>160118681.42999932</v>
      </c>
      <c r="AM18" s="8">
        <f>+$I$18*q13a!$I$18</f>
        <v>169841140.40000042</v>
      </c>
      <c r="AN18" s="8">
        <f>+$J$18*q13a!$J$18</f>
        <v>178508663.4700003</v>
      </c>
      <c r="AO18" s="8">
        <f>+$K$18*q13a!$K$18</f>
        <v>179044788.98000053</v>
      </c>
      <c r="AP18" s="8">
        <f>+$L$18*q13a!$L$18</f>
        <v>189949036.11000028</v>
      </c>
      <c r="AQ18" s="8">
        <f>+$M$18*q13a!$M$18</f>
        <v>222964055.43999979</v>
      </c>
    </row>
    <row r="19" spans="1:43" s="8" customFormat="1" ht="12.75" customHeight="1">
      <c r="A19" s="46"/>
      <c r="B19" s="48" t="str">
        <f>+'q28'!B19</f>
        <v>M</v>
      </c>
      <c r="C19" s="278">
        <f>+'q28'!C19</f>
        <v>949.38251537888607</v>
      </c>
      <c r="D19" s="278">
        <f>+'q28'!D19</f>
        <v>937.44447996742213</v>
      </c>
      <c r="E19" s="278">
        <f>+'q28'!E19</f>
        <v>932.61849901647008</v>
      </c>
      <c r="F19" s="278">
        <f>+'q28'!F19</f>
        <v>932.72344813225504</v>
      </c>
      <c r="G19" s="278">
        <f>+'q28'!G19</f>
        <v>946.64290571000708</v>
      </c>
      <c r="H19" s="278">
        <f>+'q28'!H19</f>
        <v>972.87029325354104</v>
      </c>
      <c r="I19" s="278">
        <f>+'q28'!I19</f>
        <v>1006.35973876097</v>
      </c>
      <c r="J19" s="278">
        <f>+'q28'!J19</f>
        <v>1058.7555863403099</v>
      </c>
      <c r="K19" s="278">
        <f>+'q28'!K19</f>
        <v>1102.4464262082001</v>
      </c>
      <c r="L19" s="278">
        <f>+'q28'!L19</f>
        <v>1158.88768858865</v>
      </c>
      <c r="M19" s="278">
        <f>+'q28'!M19</f>
        <v>1239.7503830836501</v>
      </c>
      <c r="P19" s="46"/>
      <c r="Q19" s="48" t="s">
        <v>54</v>
      </c>
      <c r="R19" s="8">
        <f>+$C$19*q13a!$C$19</f>
        <v>137664262.25999999</v>
      </c>
      <c r="S19" s="8">
        <f>+$D$19*q13a!$D$19</f>
        <v>131215978.75000001</v>
      </c>
      <c r="T19" s="8">
        <f>+$E$19*q13a!$E$19</f>
        <v>127063674.77999996</v>
      </c>
      <c r="U19" s="8">
        <f>+$F$19*q13a!$F$19</f>
        <v>125420523.89999995</v>
      </c>
      <c r="V19" s="8">
        <f>+$G$19*q13a!$G$19</f>
        <v>124522354.46000004</v>
      </c>
      <c r="W19" s="8">
        <f>+$H$19*q13a!$H$19</f>
        <v>125501240.70000005</v>
      </c>
      <c r="X19" s="8">
        <f>+$I$19*q13a!$I$19</f>
        <v>127663777.38000037</v>
      </c>
      <c r="Y19" s="8">
        <f>+$J$19*q13a!$J$19</f>
        <v>132448206.34000009</v>
      </c>
      <c r="Z19" s="8">
        <f>+$K$19*q13a!$K$19</f>
        <v>130620057.46999997</v>
      </c>
      <c r="AA19" s="8">
        <f>+$L$19*q13a!$L$19</f>
        <v>138786071.80999956</v>
      </c>
      <c r="AB19" s="8">
        <f>+$M$19*q13a!$M$19</f>
        <v>159384788.75000024</v>
      </c>
      <c r="AE19" s="46"/>
      <c r="AF19" s="48" t="s">
        <v>54</v>
      </c>
      <c r="AG19" s="8">
        <f>+$C$19*q13a!$C$19</f>
        <v>137664262.25999999</v>
      </c>
      <c r="AH19" s="8">
        <f>+$D$19*q13a!$D$19</f>
        <v>131215978.75000001</v>
      </c>
      <c r="AI19" s="8">
        <f>+$E$19*q13a!$E$19</f>
        <v>127063674.77999996</v>
      </c>
      <c r="AJ19" s="8">
        <f>+$F$19*q13a!$F$19</f>
        <v>125420523.89999995</v>
      </c>
      <c r="AK19" s="8">
        <f>+$G$19*q13a!$G$19</f>
        <v>124522354.46000004</v>
      </c>
      <c r="AL19" s="8">
        <f>+$H$19*q13a!$H$19</f>
        <v>125501240.70000005</v>
      </c>
      <c r="AM19" s="8">
        <f>+$I$19*q13a!$I$19</f>
        <v>127663777.38000037</v>
      </c>
      <c r="AN19" s="8">
        <f>+$J$19*q13a!$J$19</f>
        <v>132448206.34000009</v>
      </c>
      <c r="AO19" s="8">
        <f>+$K$19*q13a!$K$19</f>
        <v>130620057.46999997</v>
      </c>
      <c r="AP19" s="8">
        <f>+$L$19*q13a!$L$19</f>
        <v>138786071.80999956</v>
      </c>
      <c r="AQ19" s="8">
        <f>+$M$19*q13a!$M$19</f>
        <v>159384788.75000024</v>
      </c>
    </row>
    <row r="20" spans="1:43" s="8" customFormat="1" ht="16.5" customHeight="1">
      <c r="A20" s="46" t="str">
        <f>+'q28'!A20</f>
        <v>35-39 anos</v>
      </c>
      <c r="B20" s="44" t="str">
        <f>+'q28'!B20</f>
        <v>T</v>
      </c>
      <c r="C20" s="276">
        <f>+'q28'!C20</f>
        <v>1150.5448351972502</v>
      </c>
      <c r="D20" s="276">
        <f>+'q28'!D20</f>
        <v>1137.8678355894499</v>
      </c>
      <c r="E20" s="276">
        <f>+'q28'!E20</f>
        <v>1125.56210478462</v>
      </c>
      <c r="F20" s="276">
        <f>+'q28'!F20</f>
        <v>1118.14712447494</v>
      </c>
      <c r="G20" s="276">
        <f>+'q28'!G20</f>
        <v>1123.6743478693402</v>
      </c>
      <c r="H20" s="276">
        <f>+'q28'!H20</f>
        <v>1143.1950956973001</v>
      </c>
      <c r="I20" s="276">
        <f>+'q28'!I20</f>
        <v>1176.18954144759</v>
      </c>
      <c r="J20" s="276">
        <f>+'q28'!J20</f>
        <v>1219.46655305434</v>
      </c>
      <c r="K20" s="276">
        <f>+'q28'!K20</f>
        <v>1255.86697649077</v>
      </c>
      <c r="L20" s="276">
        <f>+'q28'!L20</f>
        <v>1302.6058505693702</v>
      </c>
      <c r="M20" s="276">
        <f>+'q28'!M20</f>
        <v>1386.2472105721299</v>
      </c>
      <c r="P20" s="46" t="s">
        <v>59</v>
      </c>
      <c r="Q20" s="44" t="s">
        <v>45</v>
      </c>
      <c r="R20" s="8">
        <f>+$C$20*q13a!$C$20</f>
        <v>382298435.66000152</v>
      </c>
      <c r="S20" s="8">
        <f>+$D$20*q13a!$D$20</f>
        <v>373133034.24999917</v>
      </c>
      <c r="T20" s="8">
        <f>+$E$20*q13a!$E$20</f>
        <v>367665987.09000093</v>
      </c>
      <c r="U20" s="8">
        <f>+$F$20*q13a!$F$20</f>
        <v>365487632.42999917</v>
      </c>
      <c r="V20" s="8">
        <f>+$G$20*q13a!$G$20</f>
        <v>361416369.89999884</v>
      </c>
      <c r="W20" s="8">
        <f>+$H$20*q13a!$H$20</f>
        <v>365247403.49000031</v>
      </c>
      <c r="X20" s="8">
        <f>+$I$20*q13a!$I$20</f>
        <v>374926882.98999959</v>
      </c>
      <c r="Y20" s="8">
        <f>+$J$20*q13a!$J$20</f>
        <v>384405124.72000128</v>
      </c>
      <c r="Z20" s="8">
        <f>+$K$20*q13a!$K$20</f>
        <v>373406928.12000066</v>
      </c>
      <c r="AA20" s="8">
        <f>+$L$20*q13a!$L$20</f>
        <v>378061809.04000115</v>
      </c>
      <c r="AB20" s="8">
        <f>+$M$20*q13a!$M$20</f>
        <v>420432144.00000012</v>
      </c>
      <c r="AE20" s="46" t="s">
        <v>59</v>
      </c>
      <c r="AF20" s="44" t="s">
        <v>45</v>
      </c>
      <c r="AG20" s="8">
        <f>+$C$20*q13a!$C$20</f>
        <v>382298435.66000152</v>
      </c>
      <c r="AH20" s="8">
        <f>+$D$20*q13a!$D$20</f>
        <v>373133034.24999917</v>
      </c>
      <c r="AI20" s="8">
        <f>+$E$20*q13a!$E$20</f>
        <v>367665987.09000093</v>
      </c>
      <c r="AJ20" s="8">
        <f>+$F$20*q13a!$F$20</f>
        <v>365487632.42999917</v>
      </c>
      <c r="AK20" s="8">
        <f>+$G$20*q13a!$G$20</f>
        <v>361416369.89999884</v>
      </c>
      <c r="AL20" s="8">
        <f>+$H$20*q13a!$H$20</f>
        <v>365247403.49000031</v>
      </c>
      <c r="AM20" s="8">
        <f>+$I$20*q13a!$I$20</f>
        <v>374926882.98999959</v>
      </c>
      <c r="AN20" s="8">
        <f>+$J$20*q13a!$J$20</f>
        <v>384405124.72000128</v>
      </c>
      <c r="AO20" s="8">
        <f>+$K$20*q13a!$K$20</f>
        <v>373406928.12000066</v>
      </c>
      <c r="AP20" s="8">
        <f>+$L$20*q13a!$L$20</f>
        <v>378061809.04000115</v>
      </c>
      <c r="AQ20" s="8">
        <f>+$M$20*q13a!$M$20</f>
        <v>420432144.00000012</v>
      </c>
    </row>
    <row r="21" spans="1:43" s="8" customFormat="1" ht="12.75" customHeight="1">
      <c r="A21" s="47"/>
      <c r="B21" s="48" t="str">
        <f>+'q28'!B21</f>
        <v>H</v>
      </c>
      <c r="C21" s="278">
        <f>+'q28'!C21</f>
        <v>1245.6454495689502</v>
      </c>
      <c r="D21" s="278">
        <f>+'q28'!D21</f>
        <v>1225.79558639632</v>
      </c>
      <c r="E21" s="278">
        <f>+'q28'!E21</f>
        <v>1207.94193186698</v>
      </c>
      <c r="F21" s="278">
        <f>+'q28'!F21</f>
        <v>1199.21215082396</v>
      </c>
      <c r="G21" s="278">
        <f>+'q28'!G21</f>
        <v>1203.0458791736301</v>
      </c>
      <c r="H21" s="278">
        <f>+'q28'!H21</f>
        <v>1220.7860014861499</v>
      </c>
      <c r="I21" s="278">
        <f>+'q28'!I21</f>
        <v>1256.2839007377502</v>
      </c>
      <c r="J21" s="278">
        <f>+'q28'!J21</f>
        <v>1300.36182384225</v>
      </c>
      <c r="K21" s="278">
        <f>+'q28'!K21</f>
        <v>1332.6232628402599</v>
      </c>
      <c r="L21" s="278">
        <f>+'q28'!L21</f>
        <v>1389.0522193243003</v>
      </c>
      <c r="M21" s="278">
        <f>+'q28'!M21</f>
        <v>1486.0356095387201</v>
      </c>
      <c r="P21" s="47"/>
      <c r="Q21" s="48" t="s">
        <v>53</v>
      </c>
      <c r="R21" s="8">
        <f>+$C$21*q13a!$C$21</f>
        <v>218903503.07999948</v>
      </c>
      <c r="S21" s="8">
        <f>+$D$21*q13a!$D$21</f>
        <v>211536770.13999933</v>
      </c>
      <c r="T21" s="8">
        <f>+$E$21*q13a!$E$21</f>
        <v>208140474.27999932</v>
      </c>
      <c r="U21" s="8">
        <f>+$F$21*q13a!$F$21</f>
        <v>205360283.97999984</v>
      </c>
      <c r="V21" s="8">
        <f>+$G$21*q13a!$G$21</f>
        <v>202999555.56</v>
      </c>
      <c r="W21" s="8">
        <f>+$H$21*q13a!$H$21</f>
        <v>205360621.17000014</v>
      </c>
      <c r="X21" s="8">
        <f>+$I$21*q13a!$I$21</f>
        <v>212345898.88999969</v>
      </c>
      <c r="Y21" s="8">
        <f>+$J$21*q13a!$J$21</f>
        <v>219077157.90999922</v>
      </c>
      <c r="Z21" s="8">
        <f>+$K$21*q13a!$K$21</f>
        <v>214185873.92000079</v>
      </c>
      <c r="AA21" s="8">
        <f>+$L$21*q13a!$L$21</f>
        <v>218892404.93000054</v>
      </c>
      <c r="AB21" s="8">
        <f>+$M$21*q13a!$M$21</f>
        <v>246771073.31999987</v>
      </c>
      <c r="AE21" s="47"/>
      <c r="AF21" s="48" t="s">
        <v>53</v>
      </c>
      <c r="AG21" s="8">
        <f>+$C$21*q13a!$C$21</f>
        <v>218903503.07999948</v>
      </c>
      <c r="AH21" s="8">
        <f>+$D$21*q13a!$D$21</f>
        <v>211536770.13999933</v>
      </c>
      <c r="AI21" s="8">
        <f>+$E$21*q13a!$E$21</f>
        <v>208140474.27999932</v>
      </c>
      <c r="AJ21" s="8">
        <f>+$F$21*q13a!$F$21</f>
        <v>205360283.97999984</v>
      </c>
      <c r="AK21" s="8">
        <f>+$G$21*q13a!$G$21</f>
        <v>202999555.56</v>
      </c>
      <c r="AL21" s="8">
        <f>+$H$21*q13a!$H$21</f>
        <v>205360621.17000014</v>
      </c>
      <c r="AM21" s="8">
        <f>+$I$21*q13a!$I$21</f>
        <v>212345898.88999969</v>
      </c>
      <c r="AN21" s="8">
        <f>+$J$21*q13a!$J$21</f>
        <v>219077157.90999922</v>
      </c>
      <c r="AO21" s="8">
        <f>+$K$21*q13a!$K$21</f>
        <v>214185873.92000079</v>
      </c>
      <c r="AP21" s="8">
        <f>+$L$21*q13a!$L$21</f>
        <v>218892404.93000054</v>
      </c>
      <c r="AQ21" s="8">
        <f>+$M$21*q13a!$M$21</f>
        <v>246771073.31999987</v>
      </c>
    </row>
    <row r="22" spans="1:43" s="8" customFormat="1" ht="12.75" customHeight="1">
      <c r="A22" s="46"/>
      <c r="B22" s="48" t="str">
        <f>+'q28'!B22</f>
        <v>M</v>
      </c>
      <c r="C22" s="278">
        <f>+'q28'!C22</f>
        <v>1043.78362588715</v>
      </c>
      <c r="D22" s="278">
        <f>+'q28'!D22</f>
        <v>1040.1942949559702</v>
      </c>
      <c r="E22" s="278">
        <f>+'q28'!E22</f>
        <v>1033.5912868907201</v>
      </c>
      <c r="F22" s="278">
        <f>+'q28'!F22</f>
        <v>1028.94397646877</v>
      </c>
      <c r="G22" s="278">
        <f>+'q28'!G22</f>
        <v>1036.0811925441501</v>
      </c>
      <c r="H22" s="278">
        <f>+'q28'!H22</f>
        <v>1056.9140207698501</v>
      </c>
      <c r="I22" s="278">
        <f>+'q28'!I22</f>
        <v>1085.77695626332</v>
      </c>
      <c r="J22" s="278">
        <f>+'q28'!J22</f>
        <v>1126.5960259625201</v>
      </c>
      <c r="K22" s="278">
        <f>+'q28'!K22</f>
        <v>1165.55802642656</v>
      </c>
      <c r="L22" s="278">
        <f>+'q28'!L22</f>
        <v>1199.91107575518</v>
      </c>
      <c r="M22" s="278">
        <f>+'q28'!M22</f>
        <v>1265.4929801498199</v>
      </c>
      <c r="P22" s="46"/>
      <c r="Q22" s="48" t="s">
        <v>54</v>
      </c>
      <c r="R22" s="8">
        <f>+$C$22*q13a!$C$22</f>
        <v>163394932.58000034</v>
      </c>
      <c r="S22" s="8">
        <f>+$D$22*q13a!$D$22</f>
        <v>161596264.1099999</v>
      </c>
      <c r="T22" s="8">
        <f>+$E$22*q13a!$E$22</f>
        <v>159525512.81000063</v>
      </c>
      <c r="U22" s="8">
        <f>+$F$22*q13a!$F$22</f>
        <v>160127348.44999939</v>
      </c>
      <c r="V22" s="8">
        <f>+$G$22*q13a!$G$22</f>
        <v>158416814.34000054</v>
      </c>
      <c r="W22" s="8">
        <f>+$H$22*q13a!$H$22</f>
        <v>159886782.32000062</v>
      </c>
      <c r="X22" s="8">
        <f>+$I$22*q13a!$I$22</f>
        <v>162580984.10000074</v>
      </c>
      <c r="Y22" s="8">
        <f>+$J$22*q13a!$J$22</f>
        <v>165327966.80999982</v>
      </c>
      <c r="Z22" s="8">
        <f>+$K$22*q13a!$K$22</f>
        <v>159221054.20000023</v>
      </c>
      <c r="AA22" s="8">
        <f>+$L$22*q13a!$L$22</f>
        <v>159169404.1100004</v>
      </c>
      <c r="AB22" s="8">
        <f>+$M$22*q13a!$M$22</f>
        <v>173661070.6799995</v>
      </c>
      <c r="AE22" s="46"/>
      <c r="AF22" s="48" t="s">
        <v>54</v>
      </c>
      <c r="AG22" s="8">
        <f>+$C$22*q13a!$C$22</f>
        <v>163394932.58000034</v>
      </c>
      <c r="AH22" s="8">
        <f>+$D$22*q13a!$D$22</f>
        <v>161596264.1099999</v>
      </c>
      <c r="AI22" s="8">
        <f>+$E$22*q13a!$E$22</f>
        <v>159525512.81000063</v>
      </c>
      <c r="AJ22" s="8">
        <f>+$F$22*q13a!$F$22</f>
        <v>160127348.44999939</v>
      </c>
      <c r="AK22" s="8">
        <f>+$G$22*q13a!$G$22</f>
        <v>158416814.34000054</v>
      </c>
      <c r="AL22" s="8">
        <f>+$H$22*q13a!$H$22</f>
        <v>159886782.32000062</v>
      </c>
      <c r="AM22" s="8">
        <f>+$I$22*q13a!$I$22</f>
        <v>162580984.10000074</v>
      </c>
      <c r="AN22" s="8">
        <f>+$J$22*q13a!$J$22</f>
        <v>165327966.80999982</v>
      </c>
      <c r="AO22" s="8">
        <f>+$K$22*q13a!$K$22</f>
        <v>159221054.20000023</v>
      </c>
      <c r="AP22" s="8">
        <f>+$L$22*q13a!$L$22</f>
        <v>159169404.1100004</v>
      </c>
      <c r="AQ22" s="8">
        <f>+$M$22*q13a!$M$22</f>
        <v>173661070.6799995</v>
      </c>
    </row>
    <row r="23" spans="1:43" s="8" customFormat="1" ht="16.5" customHeight="1">
      <c r="A23" s="46" t="str">
        <f>+'q28'!A23</f>
        <v>40-44 anos</v>
      </c>
      <c r="B23" s="44" t="str">
        <f>+'q28'!B23</f>
        <v>T</v>
      </c>
      <c r="C23" s="276">
        <f>+'q28'!C23</f>
        <v>1182.65171991699</v>
      </c>
      <c r="D23" s="276">
        <f>+'q28'!D23</f>
        <v>1188.8892561251403</v>
      </c>
      <c r="E23" s="276">
        <f>+'q28'!E23</f>
        <v>1199.29160108875</v>
      </c>
      <c r="F23" s="276">
        <f>+'q28'!F23</f>
        <v>1202.7685113192301</v>
      </c>
      <c r="G23" s="276">
        <f>+'q28'!G23</f>
        <v>1213.0108721032102</v>
      </c>
      <c r="H23" s="276">
        <f>+'q28'!H23</f>
        <v>1237.06960709492</v>
      </c>
      <c r="I23" s="276">
        <f>+'q28'!I23</f>
        <v>1273.5222937617102</v>
      </c>
      <c r="J23" s="276">
        <f>+'q28'!J23</f>
        <v>1312.01888238025</v>
      </c>
      <c r="K23" s="276">
        <f>+'q28'!K23</f>
        <v>1336.15931461017</v>
      </c>
      <c r="L23" s="276">
        <f>+'q28'!L23</f>
        <v>1379.1635161171801</v>
      </c>
      <c r="M23" s="276">
        <f>+'q28'!M23</f>
        <v>1451.8154341828301</v>
      </c>
      <c r="P23" s="46" t="s">
        <v>60</v>
      </c>
      <c r="Q23" s="44" t="s">
        <v>45</v>
      </c>
      <c r="R23" s="8">
        <f>+$C$23*q13a!$C$23</f>
        <v>336803835.35999984</v>
      </c>
      <c r="S23" s="8">
        <f>+$D$23*q13a!$D$23</f>
        <v>344915795.4300012</v>
      </c>
      <c r="T23" s="8">
        <f>+$E$23*q13a!$E$23</f>
        <v>363505284.29000014</v>
      </c>
      <c r="U23" s="8">
        <f>+$F$23*q13a!$F$23</f>
        <v>382585027.45999998</v>
      </c>
      <c r="V23" s="8">
        <f>+$G$23*q13a!$G$23</f>
        <v>401678846.21000123</v>
      </c>
      <c r="W23" s="8">
        <f>+$H$23*q13a!$H$23</f>
        <v>423066671.99999881</v>
      </c>
      <c r="X23" s="8">
        <f>+$I$23*q13a!$I$23</f>
        <v>443241793.21000069</v>
      </c>
      <c r="Y23" s="8">
        <f>+$J$23*q13a!$J$23</f>
        <v>452213548.19000077</v>
      </c>
      <c r="Z23" s="8">
        <f>+$K$23*q13a!$K$23</f>
        <v>441695520.78999853</v>
      </c>
      <c r="AA23" s="8">
        <f>+$L$23*q13a!$L$23</f>
        <v>446808983.47999895</v>
      </c>
      <c r="AB23" s="8">
        <f>+$M$23*q13a!$M$23</f>
        <v>488326832.18000001</v>
      </c>
      <c r="AE23" s="46" t="s">
        <v>60</v>
      </c>
      <c r="AF23" s="44" t="s">
        <v>45</v>
      </c>
      <c r="AG23" s="8">
        <f>+$C$23*q13a!$C$23</f>
        <v>336803835.35999984</v>
      </c>
      <c r="AH23" s="8">
        <f>+$D$23*q13a!$D$23</f>
        <v>344915795.4300012</v>
      </c>
      <c r="AI23" s="8">
        <f>+$E$23*q13a!$E$23</f>
        <v>363505284.29000014</v>
      </c>
      <c r="AJ23" s="8">
        <f>+$F$23*q13a!$F$23</f>
        <v>382585027.45999998</v>
      </c>
      <c r="AK23" s="8">
        <f>+$G$23*q13a!$G$23</f>
        <v>401678846.21000123</v>
      </c>
      <c r="AL23" s="8">
        <f>+$H$23*q13a!$H$23</f>
        <v>423066671.99999881</v>
      </c>
      <c r="AM23" s="8">
        <f>+$I$23*q13a!$I$23</f>
        <v>443241793.21000069</v>
      </c>
      <c r="AN23" s="8">
        <f>+$J$23*q13a!$J$23</f>
        <v>452213548.19000077</v>
      </c>
      <c r="AO23" s="8">
        <f>+$K$23*q13a!$K$23</f>
        <v>441695520.78999853</v>
      </c>
      <c r="AP23" s="8">
        <f>+$L$23*q13a!$L$23</f>
        <v>446808983.47999895</v>
      </c>
      <c r="AQ23" s="8">
        <f>+$M$23*q13a!$M$23</f>
        <v>488326832.18000001</v>
      </c>
    </row>
    <row r="24" spans="1:43" s="8" customFormat="1" ht="12.75" customHeight="1">
      <c r="A24" s="47"/>
      <c r="B24" s="48" t="str">
        <f>+'q28'!B24</f>
        <v>H</v>
      </c>
      <c r="C24" s="278">
        <f>+'q28'!C24</f>
        <v>1318.7246921764199</v>
      </c>
      <c r="D24" s="278">
        <f>+'q28'!D24</f>
        <v>1319.64519640751</v>
      </c>
      <c r="E24" s="278">
        <f>+'q28'!E24</f>
        <v>1322.5866727113503</v>
      </c>
      <c r="F24" s="278">
        <f>+'q28'!F24</f>
        <v>1324.1118137287001</v>
      </c>
      <c r="G24" s="278">
        <f>+'q28'!G24</f>
        <v>1328.88853800128</v>
      </c>
      <c r="H24" s="278">
        <f>+'q28'!H24</f>
        <v>1345.4762205205702</v>
      </c>
      <c r="I24" s="278">
        <f>+'q28'!I24</f>
        <v>1383.5613208483501</v>
      </c>
      <c r="J24" s="278">
        <f>+'q28'!J24</f>
        <v>1423.2120440599599</v>
      </c>
      <c r="K24" s="278">
        <f>+'q28'!K24</f>
        <v>1438.5347602669501</v>
      </c>
      <c r="L24" s="278">
        <f>+'q28'!L24</f>
        <v>1488.13780203241</v>
      </c>
      <c r="M24" s="278">
        <f>+'q28'!M24</f>
        <v>1570.4546630310399</v>
      </c>
      <c r="P24" s="47"/>
      <c r="Q24" s="48" t="s">
        <v>53</v>
      </c>
      <c r="R24" s="8">
        <f>+$C$24*q13a!$C$24</f>
        <v>200920894.09999934</v>
      </c>
      <c r="S24" s="8">
        <f>+$D$24*q13a!$D$24</f>
        <v>203650285.99999976</v>
      </c>
      <c r="T24" s="8">
        <f>+$E$24*q13a!$E$24</f>
        <v>212966873.79999974</v>
      </c>
      <c r="U24" s="8">
        <f>+$F$24*q13a!$F$24</f>
        <v>222197879.34999943</v>
      </c>
      <c r="V24" s="8">
        <f>+$G$24*q13a!$G$24</f>
        <v>231201356.7300007</v>
      </c>
      <c r="W24" s="8">
        <f>+$H$24*q13a!$H$24</f>
        <v>242126518.73999974</v>
      </c>
      <c r="X24" s="8">
        <f>+$I$24*q13a!$I$24</f>
        <v>253699488.7199994</v>
      </c>
      <c r="Y24" s="8">
        <f>+$J$24*q13a!$J$24</f>
        <v>259770355.13000011</v>
      </c>
      <c r="Z24" s="8">
        <f>+$K$24*q13a!$K$24</f>
        <v>252623966.31999964</v>
      </c>
      <c r="AA24" s="8">
        <f>+$L$24*q13a!$L$24</f>
        <v>255099558.2999998</v>
      </c>
      <c r="AB24" s="8">
        <f>+$M$24*q13a!$M$24</f>
        <v>279911557.32000041</v>
      </c>
      <c r="AE24" s="47"/>
      <c r="AF24" s="48" t="s">
        <v>53</v>
      </c>
      <c r="AG24" s="8">
        <f>+$C$24*q13a!$C$24</f>
        <v>200920894.09999934</v>
      </c>
      <c r="AH24" s="8">
        <f>+$D$24*q13a!$D$24</f>
        <v>203650285.99999976</v>
      </c>
      <c r="AI24" s="8">
        <f>+$E$24*q13a!$E$24</f>
        <v>212966873.79999974</v>
      </c>
      <c r="AJ24" s="8">
        <f>+$F$24*q13a!$F$24</f>
        <v>222197879.34999943</v>
      </c>
      <c r="AK24" s="8">
        <f>+$G$24*q13a!$G$24</f>
        <v>231201356.7300007</v>
      </c>
      <c r="AL24" s="8">
        <f>+$H$24*q13a!$H$24</f>
        <v>242126518.73999974</v>
      </c>
      <c r="AM24" s="8">
        <f>+$I$24*q13a!$I$24</f>
        <v>253699488.7199994</v>
      </c>
      <c r="AN24" s="8">
        <f>+$J$24*q13a!$J$24</f>
        <v>259770355.13000011</v>
      </c>
      <c r="AO24" s="8">
        <f>+$K$24*q13a!$K$24</f>
        <v>252623966.31999964</v>
      </c>
      <c r="AP24" s="8">
        <f>+$L$24*q13a!$L$24</f>
        <v>255099558.2999998</v>
      </c>
      <c r="AQ24" s="8">
        <f>+$M$24*q13a!$M$24</f>
        <v>279911557.32000041</v>
      </c>
    </row>
    <row r="25" spans="1:43" s="8" customFormat="1" ht="12.75" customHeight="1">
      <c r="A25" s="46"/>
      <c r="B25" s="48" t="str">
        <f>+'q28'!B25</f>
        <v>M</v>
      </c>
      <c r="C25" s="278">
        <f>+'q28'!C25</f>
        <v>1026.09695349136</v>
      </c>
      <c r="D25" s="278">
        <f>+'q28'!D25</f>
        <v>1040.29271860318</v>
      </c>
      <c r="E25" s="278">
        <f>+'q28'!E25</f>
        <v>1059.5551038521401</v>
      </c>
      <c r="F25" s="278">
        <f>+'q28'!F25</f>
        <v>1067.2696476530202</v>
      </c>
      <c r="G25" s="278">
        <f>+'q28'!G25</f>
        <v>1084.7315140524702</v>
      </c>
      <c r="H25" s="278">
        <f>+'q28'!H25</f>
        <v>1116.67326972568</v>
      </c>
      <c r="I25" s="278">
        <f>+'q28'!I25</f>
        <v>1150.9943980640899</v>
      </c>
      <c r="J25" s="278">
        <f>+'q28'!J25</f>
        <v>1186.85131338423</v>
      </c>
      <c r="K25" s="278">
        <f>+'q28'!K25</f>
        <v>1220.13922695681</v>
      </c>
      <c r="L25" s="278">
        <f>+'q28'!L25</f>
        <v>1256.7071903454</v>
      </c>
      <c r="M25" s="278">
        <f>+'q28'!M25</f>
        <v>1318.0829424487702</v>
      </c>
      <c r="P25" s="46"/>
      <c r="Q25" s="48" t="s">
        <v>54</v>
      </c>
      <c r="R25" s="8">
        <f>+$C$25*q13a!$C$25</f>
        <v>135882941.26000032</v>
      </c>
      <c r="S25" s="8">
        <f>+$D$25*q13a!$D$25</f>
        <v>141265509.43000022</v>
      </c>
      <c r="T25" s="8">
        <f>+$E$25*q13a!$E$25</f>
        <v>150538410.49000052</v>
      </c>
      <c r="U25" s="8">
        <f>+$F$25*q13a!$F$25</f>
        <v>160387148.11000058</v>
      </c>
      <c r="V25" s="8">
        <f>+$G$25*q13a!$G$25</f>
        <v>170477489.48000026</v>
      </c>
      <c r="W25" s="8">
        <f>+$H$25*q13a!$H$25</f>
        <v>180940153.26000056</v>
      </c>
      <c r="X25" s="8">
        <f>+$I$25*q13a!$I$25</f>
        <v>189542304.49000013</v>
      </c>
      <c r="Y25" s="8">
        <f>+$J$25*q13a!$J$25</f>
        <v>192443193.05999935</v>
      </c>
      <c r="Z25" s="8">
        <f>+$K$25*q13a!$K$25</f>
        <v>189071554.47000033</v>
      </c>
      <c r="AA25" s="8">
        <f>+$L$25*q13a!$L$25</f>
        <v>191709425.18000042</v>
      </c>
      <c r="AB25" s="8">
        <f>+$M$25*q13a!$M$25</f>
        <v>208415274.85999954</v>
      </c>
      <c r="AE25" s="46"/>
      <c r="AF25" s="48" t="s">
        <v>54</v>
      </c>
      <c r="AG25" s="8">
        <f>+$C$25*q13a!$C$25</f>
        <v>135882941.26000032</v>
      </c>
      <c r="AH25" s="8">
        <f>+$D$25*q13a!$D$25</f>
        <v>141265509.43000022</v>
      </c>
      <c r="AI25" s="8">
        <f>+$E$25*q13a!$E$25</f>
        <v>150538410.49000052</v>
      </c>
      <c r="AJ25" s="8">
        <f>+$F$25*q13a!$F$25</f>
        <v>160387148.11000058</v>
      </c>
      <c r="AK25" s="8">
        <f>+$G$25*q13a!$G$25</f>
        <v>170477489.48000026</v>
      </c>
      <c r="AL25" s="8">
        <f>+$H$25*q13a!$H$25</f>
        <v>180940153.26000056</v>
      </c>
      <c r="AM25" s="8">
        <f>+$I$25*q13a!$I$25</f>
        <v>189542304.49000013</v>
      </c>
      <c r="AN25" s="8">
        <f>+$J$25*q13a!$J$25</f>
        <v>192443193.05999935</v>
      </c>
      <c r="AO25" s="8">
        <f>+$K$25*q13a!$K$25</f>
        <v>189071554.47000033</v>
      </c>
      <c r="AP25" s="8">
        <f>+$L$25*q13a!$L$25</f>
        <v>191709425.18000042</v>
      </c>
      <c r="AQ25" s="8">
        <f>+$M$25*q13a!$M$25</f>
        <v>208415274.85999954</v>
      </c>
    </row>
    <row r="26" spans="1:43" s="8" customFormat="1" ht="16.5" customHeight="1">
      <c r="A26" s="46" t="str">
        <f>+'q28'!A26</f>
        <v>45-49 anos</v>
      </c>
      <c r="B26" s="44" t="str">
        <f>+'q28'!B26</f>
        <v>T</v>
      </c>
      <c r="C26" s="276">
        <f>+'q28'!C26</f>
        <v>1180.2590372242</v>
      </c>
      <c r="D26" s="276">
        <f>+'q28'!D26</f>
        <v>1183.1525754516501</v>
      </c>
      <c r="E26" s="276">
        <f>+'q28'!E26</f>
        <v>1181.0115469005602</v>
      </c>
      <c r="F26" s="276">
        <f>+'q28'!F26</f>
        <v>1187.8847376401102</v>
      </c>
      <c r="G26" s="276">
        <f>+'q28'!G26</f>
        <v>1205.0934430863199</v>
      </c>
      <c r="H26" s="276">
        <f>+'q28'!H26</f>
        <v>1239.5690069477498</v>
      </c>
      <c r="I26" s="276">
        <f>+'q28'!I26</f>
        <v>1285.8046184428902</v>
      </c>
      <c r="J26" s="276">
        <f>+'q28'!J26</f>
        <v>1339.3785974085201</v>
      </c>
      <c r="K26" s="276">
        <f>+'q28'!K26</f>
        <v>1380.5058453501201</v>
      </c>
      <c r="L26" s="276">
        <f>+'q28'!L26</f>
        <v>1422.4468186890504</v>
      </c>
      <c r="M26" s="276">
        <f>+'q28'!M26</f>
        <v>1499.9100899523401</v>
      </c>
      <c r="P26" s="46" t="s">
        <v>61</v>
      </c>
      <c r="Q26" s="44" t="s">
        <v>45</v>
      </c>
      <c r="R26" s="8">
        <f>+$C$26*q13a!$C$26</f>
        <v>286343825.28000039</v>
      </c>
      <c r="S26" s="8">
        <f>+$D$26*q13a!$D$26</f>
        <v>290058135.94000018</v>
      </c>
      <c r="T26" s="8">
        <f>+$E$26*q13a!$E$26</f>
        <v>299593104.15999961</v>
      </c>
      <c r="U26" s="8">
        <f>+$F$26*q13a!$F$26</f>
        <v>313384187.83000094</v>
      </c>
      <c r="V26" s="8">
        <f>+$G$26*q13a!$G$26</f>
        <v>333830165.23000002</v>
      </c>
      <c r="W26" s="8">
        <f>+$H$26*q13a!$H$26</f>
        <v>359680780.47000074</v>
      </c>
      <c r="X26" s="8">
        <f>+$I$26*q13a!$I$26</f>
        <v>391328206.60000139</v>
      </c>
      <c r="Y26" s="8">
        <f>+$J$26*q13a!$J$26</f>
        <v>416779795.66999882</v>
      </c>
      <c r="Z26" s="8">
        <f>+$K$26*q13a!$K$26</f>
        <v>432050011.89000034</v>
      </c>
      <c r="AA26" s="8">
        <f>+$L$26*q13a!$L$26</f>
        <v>458889878.38999981</v>
      </c>
      <c r="AB26" s="8">
        <f>+$M$26*q13a!$M$26</f>
        <v>518910394.63000154</v>
      </c>
      <c r="AE26" s="46" t="s">
        <v>61</v>
      </c>
      <c r="AF26" s="44" t="s">
        <v>45</v>
      </c>
      <c r="AG26" s="8">
        <f>+$C$26*q13a!$C$26</f>
        <v>286343825.28000039</v>
      </c>
      <c r="AH26" s="8">
        <f>+$D$26*q13a!$D$26</f>
        <v>290058135.94000018</v>
      </c>
      <c r="AI26" s="8">
        <f>+$E$26*q13a!$E$26</f>
        <v>299593104.15999961</v>
      </c>
      <c r="AJ26" s="8">
        <f>+$F$26*q13a!$F$26</f>
        <v>313384187.83000094</v>
      </c>
      <c r="AK26" s="8">
        <f>+$G$26*q13a!$G$26</f>
        <v>333830165.23000002</v>
      </c>
      <c r="AL26" s="8">
        <f>+$H$26*q13a!$H$26</f>
        <v>359680780.47000074</v>
      </c>
      <c r="AM26" s="8">
        <f>+$I$26*q13a!$I$26</f>
        <v>391328206.60000139</v>
      </c>
      <c r="AN26" s="8">
        <f>+$J$26*q13a!$J$26</f>
        <v>416779795.66999882</v>
      </c>
      <c r="AO26" s="8">
        <f>+$K$26*q13a!$K$26</f>
        <v>432050011.89000034</v>
      </c>
      <c r="AP26" s="8">
        <f>+$L$26*q13a!$L$26</f>
        <v>458889878.38999981</v>
      </c>
      <c r="AQ26" s="8">
        <f>+$M$26*q13a!$M$26</f>
        <v>518910394.63000154</v>
      </c>
    </row>
    <row r="27" spans="1:43" s="8" customFormat="1" ht="12.75" customHeight="1">
      <c r="A27" s="47"/>
      <c r="B27" s="48" t="str">
        <f>+'q28'!B27</f>
        <v>H</v>
      </c>
      <c r="C27" s="278">
        <f>+'q28'!C27</f>
        <v>1347.45569327204</v>
      </c>
      <c r="D27" s="278">
        <f>+'q28'!D27</f>
        <v>1344.8975927172601</v>
      </c>
      <c r="E27" s="278">
        <f>+'q28'!E27</f>
        <v>1332.0538948078001</v>
      </c>
      <c r="F27" s="278">
        <f>+'q28'!F27</f>
        <v>1338.4676732402802</v>
      </c>
      <c r="G27" s="278">
        <f>+'q28'!G27</f>
        <v>1349.4990457162201</v>
      </c>
      <c r="H27" s="278">
        <f>+'q28'!H27</f>
        <v>1378.9126492465202</v>
      </c>
      <c r="I27" s="278">
        <f>+'q28'!I27</f>
        <v>1423.6221445112601</v>
      </c>
      <c r="J27" s="278">
        <f>+'q28'!J27</f>
        <v>1479.4835790219699</v>
      </c>
      <c r="K27" s="278">
        <f>+'q28'!K27</f>
        <v>1515.4517838480201</v>
      </c>
      <c r="L27" s="278">
        <f>+'q28'!L27</f>
        <v>1559.2824845651</v>
      </c>
      <c r="M27" s="278">
        <f>+'q28'!M27</f>
        <v>1643.3215092345099</v>
      </c>
      <c r="P27" s="47"/>
      <c r="Q27" s="48" t="s">
        <v>53</v>
      </c>
      <c r="R27" s="8">
        <f>+$C$27*q13a!$C$27</f>
        <v>177345381.06999955</v>
      </c>
      <c r="S27" s="8">
        <f>+$D$27*q13a!$D$27</f>
        <v>177799496.44999993</v>
      </c>
      <c r="T27" s="8">
        <f>+$E$27*q13a!$E$27</f>
        <v>181790723.23999971</v>
      </c>
      <c r="U27" s="8">
        <f>+$F$27*q13a!$F$27</f>
        <v>188612849.11000055</v>
      </c>
      <c r="V27" s="8">
        <f>+$G$27*q13a!$G$27</f>
        <v>199253534.0999999</v>
      </c>
      <c r="W27" s="8">
        <f>+$H$27*q13a!$H$27</f>
        <v>213932781.88000062</v>
      </c>
      <c r="X27" s="8">
        <f>+$I$27*q13a!$I$27</f>
        <v>231761414.2599996</v>
      </c>
      <c r="Y27" s="8">
        <f>+$J$27*q13a!$J$27</f>
        <v>246331056.93999994</v>
      </c>
      <c r="Z27" s="8">
        <f>+$K$27*q13a!$K$27</f>
        <v>253757854.84999943</v>
      </c>
      <c r="AA27" s="8">
        <f>+$L$27*q13a!$L$27</f>
        <v>266448631.67999974</v>
      </c>
      <c r="AB27" s="8">
        <f>+$M$27*q13a!$M$27</f>
        <v>300031067.86999989</v>
      </c>
      <c r="AE27" s="47"/>
      <c r="AF27" s="48" t="s">
        <v>53</v>
      </c>
      <c r="AG27" s="8">
        <f>+$C$27*q13a!$C$27</f>
        <v>177345381.06999955</v>
      </c>
      <c r="AH27" s="8">
        <f>+$D$27*q13a!$D$27</f>
        <v>177799496.44999993</v>
      </c>
      <c r="AI27" s="8">
        <f>+$E$27*q13a!$E$27</f>
        <v>181790723.23999971</v>
      </c>
      <c r="AJ27" s="8">
        <f>+$F$27*q13a!$F$27</f>
        <v>188612849.11000055</v>
      </c>
      <c r="AK27" s="8">
        <f>+$G$27*q13a!$G$27</f>
        <v>199253534.0999999</v>
      </c>
      <c r="AL27" s="8">
        <f>+$H$27*q13a!$H$27</f>
        <v>213932781.88000062</v>
      </c>
      <c r="AM27" s="8">
        <f>+$I$27*q13a!$I$27</f>
        <v>231761414.2599996</v>
      </c>
      <c r="AN27" s="8">
        <f>+$J$27*q13a!$J$27</f>
        <v>246331056.93999994</v>
      </c>
      <c r="AO27" s="8">
        <f>+$K$27*q13a!$K$27</f>
        <v>253757854.84999943</v>
      </c>
      <c r="AP27" s="8">
        <f>+$L$27*q13a!$L$27</f>
        <v>266448631.67999974</v>
      </c>
      <c r="AQ27" s="8">
        <f>+$M$27*q13a!$M$27</f>
        <v>300031067.86999989</v>
      </c>
    </row>
    <row r="28" spans="1:43" s="8" customFormat="1" ht="12.75" customHeight="1">
      <c r="A28" s="46"/>
      <c r="B28" s="48" t="str">
        <f>+'q28'!B28</f>
        <v>M</v>
      </c>
      <c r="C28" s="278">
        <f>+'q28'!C28</f>
        <v>982.00335336408511</v>
      </c>
      <c r="D28" s="278">
        <f>+'q28'!D28</f>
        <v>993.84386112930906</v>
      </c>
      <c r="E28" s="278">
        <f>+'q28'!E28</f>
        <v>1005.1311927372601</v>
      </c>
      <c r="F28" s="278">
        <f>+'q28'!F28</f>
        <v>1015.2265152156201</v>
      </c>
      <c r="G28" s="278">
        <f>+'q28'!G28</f>
        <v>1040.2782116630301</v>
      </c>
      <c r="H28" s="278">
        <f>+'q28'!H28</f>
        <v>1079.4548851281299</v>
      </c>
      <c r="I28" s="278">
        <f>+'q28'!I28</f>
        <v>1127.2981062254501</v>
      </c>
      <c r="J28" s="278">
        <f>+'q28'!J28</f>
        <v>1178.14107889353</v>
      </c>
      <c r="K28" s="278">
        <f>+'q28'!K28</f>
        <v>1225.2240756470003</v>
      </c>
      <c r="L28" s="278">
        <f>+'q28'!L28</f>
        <v>1268.33883692421</v>
      </c>
      <c r="M28" s="278">
        <f>+'q28'!M28</f>
        <v>1339.6537427548401</v>
      </c>
      <c r="P28" s="46"/>
      <c r="Q28" s="48" t="s">
        <v>54</v>
      </c>
      <c r="R28" s="8">
        <f>+$C$28*q13a!$C$28</f>
        <v>108998444.20999999</v>
      </c>
      <c r="S28" s="8">
        <f>+$D$28*q13a!$D$28</f>
        <v>112258639.48999998</v>
      </c>
      <c r="T28" s="8">
        <f>+$E$28*q13a!$E$28</f>
        <v>117802380.91999963</v>
      </c>
      <c r="U28" s="8">
        <f>+$F$28*q13a!$F$28</f>
        <v>124771338.71999972</v>
      </c>
      <c r="V28" s="8">
        <f>+$G$28*q13a!$G$28</f>
        <v>134576631.12999955</v>
      </c>
      <c r="W28" s="8">
        <f>+$H$28*q13a!$H$28</f>
        <v>145747998.59000009</v>
      </c>
      <c r="X28" s="8">
        <f>+$I$28*q13a!$I$28</f>
        <v>159566792.34</v>
      </c>
      <c r="Y28" s="8">
        <f>+$J$28*q13a!$J$28</f>
        <v>170448738.73000035</v>
      </c>
      <c r="Z28" s="8">
        <f>+$K$28*q13a!$K$28</f>
        <v>178292157.0400002</v>
      </c>
      <c r="AA28" s="8">
        <f>+$L$28*q13a!$L$28</f>
        <v>192441246.70999962</v>
      </c>
      <c r="AB28" s="8">
        <f>+$M$28*q13a!$M$28</f>
        <v>218879326.75999954</v>
      </c>
      <c r="AE28" s="46"/>
      <c r="AF28" s="48" t="s">
        <v>54</v>
      </c>
      <c r="AG28" s="8">
        <f>+$C$28*q13a!$C$28</f>
        <v>108998444.20999999</v>
      </c>
      <c r="AH28" s="8">
        <f>+$D$28*q13a!$D$28</f>
        <v>112258639.48999998</v>
      </c>
      <c r="AI28" s="8">
        <f>+$E$28*q13a!$E$28</f>
        <v>117802380.91999963</v>
      </c>
      <c r="AJ28" s="8">
        <f>+$F$28*q13a!$F$28</f>
        <v>124771338.71999972</v>
      </c>
      <c r="AK28" s="8">
        <f>+$G$28*q13a!$G$28</f>
        <v>134576631.12999955</v>
      </c>
      <c r="AL28" s="8">
        <f>+$H$28*q13a!$H$28</f>
        <v>145747998.59000009</v>
      </c>
      <c r="AM28" s="8">
        <f>+$I$28*q13a!$I$28</f>
        <v>159566792.34</v>
      </c>
      <c r="AN28" s="8">
        <f>+$J$28*q13a!$J$28</f>
        <v>170448738.73000035</v>
      </c>
      <c r="AO28" s="8">
        <f>+$K$28*q13a!$K$28</f>
        <v>178292157.0400002</v>
      </c>
      <c r="AP28" s="8">
        <f>+$L$28*q13a!$L$28</f>
        <v>192441246.70999962</v>
      </c>
      <c r="AQ28" s="8">
        <f>+$M$28*q13a!$M$28</f>
        <v>218879326.75999954</v>
      </c>
    </row>
    <row r="29" spans="1:43" s="8" customFormat="1" ht="16.5" customHeight="1">
      <c r="A29" s="46" t="str">
        <f>+'q28'!A29</f>
        <v>50-54 anos</v>
      </c>
      <c r="B29" s="44" t="str">
        <f>+'q28'!B29</f>
        <v>T</v>
      </c>
      <c r="C29" s="276">
        <f>+'q28'!C29</f>
        <v>1204.0537149003701</v>
      </c>
      <c r="D29" s="276">
        <f>+'q28'!D29</f>
        <v>1196.1293766952801</v>
      </c>
      <c r="E29" s="276">
        <f>+'q28'!E29</f>
        <v>1190.3386919125101</v>
      </c>
      <c r="F29" s="276">
        <f>+'q28'!F29</f>
        <v>1189.6382748037802</v>
      </c>
      <c r="G29" s="276">
        <f>+'q28'!G29</f>
        <v>1198.5365402810501</v>
      </c>
      <c r="H29" s="276">
        <f>+'q28'!H29</f>
        <v>1218.0278840941701</v>
      </c>
      <c r="I29" s="276">
        <f>+'q28'!I29</f>
        <v>1252.9285720356099</v>
      </c>
      <c r="J29" s="276">
        <f>+'q28'!J29</f>
        <v>1283.5954451740802</v>
      </c>
      <c r="K29" s="276">
        <f>+'q28'!K29</f>
        <v>1324.3216801917802</v>
      </c>
      <c r="L29" s="276">
        <f>+'q28'!L29</f>
        <v>1369.0109617962999</v>
      </c>
      <c r="M29" s="276">
        <f>+'q28'!M29</f>
        <v>1457.11338579988</v>
      </c>
      <c r="P29" s="46" t="s">
        <v>62</v>
      </c>
      <c r="Q29" s="44" t="s">
        <v>45</v>
      </c>
      <c r="R29" s="8">
        <f>+$C$29*q13a!$C$29</f>
        <v>234509929.89000037</v>
      </c>
      <c r="S29" s="8">
        <f>+$D$29*q13a!$D$29</f>
        <v>235481990.38999981</v>
      </c>
      <c r="T29" s="8">
        <f>+$E$29*q13a!$E$29</f>
        <v>243984912.01999909</v>
      </c>
      <c r="U29" s="8">
        <f>+$F$29*q13a!$F$29</f>
        <v>256608544.78999978</v>
      </c>
      <c r="V29" s="8">
        <f>+$G$29*q13a!$G$29</f>
        <v>274379771.63000053</v>
      </c>
      <c r="W29" s="8">
        <f>+$H$29*q13a!$H$29</f>
        <v>292564207.61999917</v>
      </c>
      <c r="X29" s="8">
        <f>+$I$29*q13a!$I$29</f>
        <v>315494932.0099988</v>
      </c>
      <c r="Y29" s="8">
        <f>+$J$29*q13a!$J$29</f>
        <v>326237334.74999905</v>
      </c>
      <c r="Z29" s="8">
        <f>+$K$29*q13a!$K$29</f>
        <v>334219062.42999953</v>
      </c>
      <c r="AA29" s="8">
        <f>+$L$29*q13a!$L$29</f>
        <v>359420137.91000056</v>
      </c>
      <c r="AB29" s="8">
        <f>+$M$29*q13a!$M$29</f>
        <v>413898885.6899991</v>
      </c>
      <c r="AE29" s="46" t="s">
        <v>62</v>
      </c>
      <c r="AF29" s="44" t="s">
        <v>45</v>
      </c>
      <c r="AG29" s="8">
        <f>+$C$29*q13a!$C$29</f>
        <v>234509929.89000037</v>
      </c>
      <c r="AH29" s="8">
        <f>+$D$29*q13a!$D$29</f>
        <v>235481990.38999981</v>
      </c>
      <c r="AI29" s="8">
        <f>+$E$29*q13a!$E$29</f>
        <v>243984912.01999909</v>
      </c>
      <c r="AJ29" s="8">
        <f>+$F$29*q13a!$F$29</f>
        <v>256608544.78999978</v>
      </c>
      <c r="AK29" s="8">
        <f>+$G$29*q13a!$G$29</f>
        <v>274379771.63000053</v>
      </c>
      <c r="AL29" s="8">
        <f>+$H$29*q13a!$H$29</f>
        <v>292564207.61999917</v>
      </c>
      <c r="AM29" s="8">
        <f>+$I$29*q13a!$I$29</f>
        <v>315494932.0099988</v>
      </c>
      <c r="AN29" s="8">
        <f>+$J$29*q13a!$J$29</f>
        <v>326237334.74999905</v>
      </c>
      <c r="AO29" s="8">
        <f>+$K$29*q13a!$K$29</f>
        <v>334219062.42999953</v>
      </c>
      <c r="AP29" s="8">
        <f>+$L$29*q13a!$L$29</f>
        <v>359420137.91000056</v>
      </c>
      <c r="AQ29" s="8">
        <f>+$M$29*q13a!$M$29</f>
        <v>413898885.6899991</v>
      </c>
    </row>
    <row r="30" spans="1:43" s="8" customFormat="1" ht="12.75" customHeight="1">
      <c r="A30" s="47"/>
      <c r="B30" s="48" t="str">
        <f>+'q28'!B30</f>
        <v>H</v>
      </c>
      <c r="C30" s="278">
        <f>+'q28'!C30</f>
        <v>1381.0578406394902</v>
      </c>
      <c r="D30" s="278">
        <f>+'q28'!D30</f>
        <v>1371.7710563868</v>
      </c>
      <c r="E30" s="278">
        <f>+'q28'!E30</f>
        <v>1362.30931855119</v>
      </c>
      <c r="F30" s="278">
        <f>+'q28'!F30</f>
        <v>1359.5764647652002</v>
      </c>
      <c r="G30" s="278">
        <f>+'q28'!G30</f>
        <v>1361.4007300695303</v>
      </c>
      <c r="H30" s="278">
        <f>+'q28'!H30</f>
        <v>1373.3959450312</v>
      </c>
      <c r="I30" s="278">
        <f>+'q28'!I30</f>
        <v>1404.53582137989</v>
      </c>
      <c r="J30" s="278">
        <f>+'q28'!J30</f>
        <v>1430.1815368119103</v>
      </c>
      <c r="K30" s="278">
        <f>+'q28'!K30</f>
        <v>1468.5699589460201</v>
      </c>
      <c r="L30" s="278">
        <f>+'q28'!L30</f>
        <v>1515.0942939056001</v>
      </c>
      <c r="M30" s="278">
        <f>+'q28'!M30</f>
        <v>1615.1937278241701</v>
      </c>
      <c r="P30" s="47"/>
      <c r="Q30" s="48" t="s">
        <v>53</v>
      </c>
      <c r="R30" s="8">
        <f>+$C$30*q13a!$C$30</f>
        <v>151347366.64000046</v>
      </c>
      <c r="S30" s="8">
        <f>+$D$30*q13a!$D$30</f>
        <v>150540899.27000019</v>
      </c>
      <c r="T30" s="8">
        <f>+$E$30*q13a!$E$30</f>
        <v>155073032.0400005</v>
      </c>
      <c r="U30" s="8">
        <f>+$F$30*q13a!$F$30</f>
        <v>161926916.53000012</v>
      </c>
      <c r="V30" s="8">
        <f>+$G$30*q13a!$G$30</f>
        <v>171520155.17999998</v>
      </c>
      <c r="W30" s="8">
        <f>+$H$30*q13a!$H$30</f>
        <v>181790927.65999982</v>
      </c>
      <c r="X30" s="8">
        <f>+$I$30*q13a!$I$30</f>
        <v>194757150.5999997</v>
      </c>
      <c r="Y30" s="8">
        <f>+$J$30*q13a!$J$30</f>
        <v>199403060.77000061</v>
      </c>
      <c r="Z30" s="8">
        <f>+$K$30*q13a!$K$30</f>
        <v>203540859.17000049</v>
      </c>
      <c r="AA30" s="8">
        <f>+$L$30*q13a!$L$30</f>
        <v>215614584.05999985</v>
      </c>
      <c r="AB30" s="8">
        <f>+$M$30*q13a!$M$30</f>
        <v>247368534.60999948</v>
      </c>
      <c r="AE30" s="47"/>
      <c r="AF30" s="48" t="s">
        <v>53</v>
      </c>
      <c r="AG30" s="8">
        <f>+$C$30*q13a!$C$30</f>
        <v>151347366.64000046</v>
      </c>
      <c r="AH30" s="8">
        <f>+$D$30*q13a!$D$30</f>
        <v>150540899.27000019</v>
      </c>
      <c r="AI30" s="8">
        <f>+$E$30*q13a!$E$30</f>
        <v>155073032.0400005</v>
      </c>
      <c r="AJ30" s="8">
        <f>+$F$30*q13a!$F$30</f>
        <v>161926916.53000012</v>
      </c>
      <c r="AK30" s="8">
        <f>+$G$30*q13a!$G$30</f>
        <v>171520155.17999998</v>
      </c>
      <c r="AL30" s="8">
        <f>+$H$30*q13a!$H$30</f>
        <v>181790927.65999982</v>
      </c>
      <c r="AM30" s="8">
        <f>+$I$30*q13a!$I$30</f>
        <v>194757150.5999997</v>
      </c>
      <c r="AN30" s="8">
        <f>+$J$30*q13a!$J$30</f>
        <v>199403060.77000061</v>
      </c>
      <c r="AO30" s="8">
        <f>+$K$30*q13a!$K$30</f>
        <v>203540859.17000049</v>
      </c>
      <c r="AP30" s="8">
        <f>+$L$30*q13a!$L$30</f>
        <v>215614584.05999985</v>
      </c>
      <c r="AQ30" s="8">
        <f>+$M$30*q13a!$M$30</f>
        <v>247368534.60999948</v>
      </c>
    </row>
    <row r="31" spans="1:43" s="8" customFormat="1" ht="12.75" customHeight="1">
      <c r="A31" s="46"/>
      <c r="B31" s="48" t="str">
        <f>+'q28'!B31</f>
        <v>M</v>
      </c>
      <c r="C31" s="278">
        <f>+'q28'!C31</f>
        <v>976.32706711748199</v>
      </c>
      <c r="D31" s="278">
        <f>+'q28'!D31</f>
        <v>974.90004499127713</v>
      </c>
      <c r="E31" s="278">
        <f>+'q28'!E31</f>
        <v>975.55277572964712</v>
      </c>
      <c r="F31" s="278">
        <f>+'q28'!F31</f>
        <v>980.1207869402291</v>
      </c>
      <c r="G31" s="278">
        <f>+'q28'!G31</f>
        <v>999.20941558757011</v>
      </c>
      <c r="H31" s="278">
        <f>+'q28'!H31</f>
        <v>1027.3050845319901</v>
      </c>
      <c r="I31" s="278">
        <f>+'q28'!I31</f>
        <v>1067.12550851577</v>
      </c>
      <c r="J31" s="278">
        <f>+'q28'!J31</f>
        <v>1105.4637158993798</v>
      </c>
      <c r="K31" s="278">
        <f>+'q28'!K31</f>
        <v>1148.5972230425803</v>
      </c>
      <c r="L31" s="278">
        <f>+'q28'!L31</f>
        <v>1196.0970635204501</v>
      </c>
      <c r="M31" s="278">
        <f>+'q28'!M31</f>
        <v>1272.1660395865601</v>
      </c>
      <c r="P31" s="46"/>
      <c r="Q31" s="48" t="s">
        <v>54</v>
      </c>
      <c r="R31" s="8">
        <f>+$C$31*q13a!$C$31</f>
        <v>83162563.25</v>
      </c>
      <c r="S31" s="8">
        <f>+$D$31*q13a!$D$31</f>
        <v>84941091.11999999</v>
      </c>
      <c r="T31" s="8">
        <f>+$E$31*q13a!$E$31</f>
        <v>88911879.980000034</v>
      </c>
      <c r="U31" s="8">
        <f>+$F$31*q13a!$F$31</f>
        <v>94681628.260000005</v>
      </c>
      <c r="V31" s="8">
        <f>+$G$31*q13a!$G$31</f>
        <v>102859616.45000005</v>
      </c>
      <c r="W31" s="8">
        <f>+$H$31*q13a!$H$31</f>
        <v>110773279.95999996</v>
      </c>
      <c r="X31" s="8">
        <f>+$I$31*q13a!$I$31</f>
        <v>120737781.40999976</v>
      </c>
      <c r="Y31" s="8">
        <f>+$J$31*q13a!$J$31</f>
        <v>126834273.97999945</v>
      </c>
      <c r="Z31" s="8">
        <f>+$K$31*q13a!$K$31</f>
        <v>130678203.26000044</v>
      </c>
      <c r="AA31" s="8">
        <f>+$L$31*q13a!$L$31</f>
        <v>143805553.8500002</v>
      </c>
      <c r="AB31" s="8">
        <f>+$M$31*q13a!$M$31</f>
        <v>166530351.07999948</v>
      </c>
      <c r="AE31" s="46"/>
      <c r="AF31" s="48" t="s">
        <v>54</v>
      </c>
      <c r="AG31" s="8">
        <f>+$C$31*q13a!$C$31</f>
        <v>83162563.25</v>
      </c>
      <c r="AH31" s="8">
        <f>+$D$31*q13a!$D$31</f>
        <v>84941091.11999999</v>
      </c>
      <c r="AI31" s="8">
        <f>+$E$31*q13a!$E$31</f>
        <v>88911879.980000034</v>
      </c>
      <c r="AJ31" s="8">
        <f>+$F$31*q13a!$F$31</f>
        <v>94681628.260000005</v>
      </c>
      <c r="AK31" s="8">
        <f>+$G$31*q13a!$G$31</f>
        <v>102859616.45000005</v>
      </c>
      <c r="AL31" s="8">
        <f>+$H$31*q13a!$H$31</f>
        <v>110773279.95999996</v>
      </c>
      <c r="AM31" s="8">
        <f>+$I$31*q13a!$I$31</f>
        <v>120737781.40999976</v>
      </c>
      <c r="AN31" s="8">
        <f>+$J$31*q13a!$J$31</f>
        <v>126834273.97999945</v>
      </c>
      <c r="AO31" s="8">
        <f>+$K$31*q13a!$K$31</f>
        <v>130678203.26000044</v>
      </c>
      <c r="AP31" s="8">
        <f>+$L$31*q13a!$L$31</f>
        <v>143805553.8500002</v>
      </c>
      <c r="AQ31" s="8">
        <f>+$M$31*q13a!$M$31</f>
        <v>166530351.07999948</v>
      </c>
    </row>
    <row r="32" spans="1:43" s="8" customFormat="1" ht="16.5" customHeight="1">
      <c r="A32" s="46" t="str">
        <f>+'q28'!A32</f>
        <v>55-59 anos</v>
      </c>
      <c r="B32" s="44" t="str">
        <f>+'q28'!B32</f>
        <v>T</v>
      </c>
      <c r="C32" s="276">
        <f>+'q28'!C32</f>
        <v>1267.21539810029</v>
      </c>
      <c r="D32" s="276">
        <f>+'q28'!D32</f>
        <v>1260.4833702425701</v>
      </c>
      <c r="E32" s="276">
        <f>+'q28'!E32</f>
        <v>1243.6967887564499</v>
      </c>
      <c r="F32" s="276">
        <f>+'q28'!F32</f>
        <v>1231.8288324408602</v>
      </c>
      <c r="G32" s="276">
        <f>+'q28'!G32</f>
        <v>1222.2620513317202</v>
      </c>
      <c r="H32" s="276">
        <f>+'q28'!H32</f>
        <v>1222.04364263203</v>
      </c>
      <c r="I32" s="276">
        <f>+'q28'!I32</f>
        <v>1243.2051063987401</v>
      </c>
      <c r="J32" s="276">
        <f>+'q28'!J32</f>
        <v>1254.19408366585</v>
      </c>
      <c r="K32" s="276">
        <f>+'q28'!K32</f>
        <v>1291.3439607851101</v>
      </c>
      <c r="L32" s="276">
        <f>+'q28'!L32</f>
        <v>1322.8365869935101</v>
      </c>
      <c r="M32" s="276">
        <f>+'q28'!M32</f>
        <v>1391.4448831166499</v>
      </c>
      <c r="P32" s="46" t="s">
        <v>63</v>
      </c>
      <c r="Q32" s="44" t="s">
        <v>45</v>
      </c>
      <c r="R32" s="8">
        <f>+$C$32*q13a!$C$32</f>
        <v>163295910.62999958</v>
      </c>
      <c r="S32" s="8">
        <f>+$D$32*q13a!$D$32</f>
        <v>169502240.72999936</v>
      </c>
      <c r="T32" s="8">
        <f>+$E$32*q13a!$E$32</f>
        <v>180610891.3600004</v>
      </c>
      <c r="U32" s="8">
        <f>+$F$32*q13a!$F$32</f>
        <v>191163821.01999977</v>
      </c>
      <c r="V32" s="8">
        <f>+$G$32*q13a!$G$32</f>
        <v>201917690.88000017</v>
      </c>
      <c r="W32" s="8">
        <f>+$H$32*q13a!$H$32</f>
        <v>216752658.85000053</v>
      </c>
      <c r="X32" s="8">
        <f>+$I$32*q13a!$I$32</f>
        <v>234914793.69999954</v>
      </c>
      <c r="Y32" s="8">
        <f>+$J$32*q13a!$J$32</f>
        <v>243595845.89999971</v>
      </c>
      <c r="Z32" s="8">
        <f>+$K$32*q13a!$K$32</f>
        <v>253033683.73999918</v>
      </c>
      <c r="AA32" s="8">
        <f>+$L$32*q13a!$L$32</f>
        <v>270578286.8500005</v>
      </c>
      <c r="AB32" s="8">
        <f>+$M$32*q13a!$M$32</f>
        <v>307375740.4600004</v>
      </c>
      <c r="AE32" s="46" t="s">
        <v>63</v>
      </c>
      <c r="AF32" s="44" t="s">
        <v>45</v>
      </c>
      <c r="AG32" s="8">
        <f>+$C$32*q13a!$C$32</f>
        <v>163295910.62999958</v>
      </c>
      <c r="AH32" s="8">
        <f>+$D$32*q13a!$D$32</f>
        <v>169502240.72999936</v>
      </c>
      <c r="AI32" s="8">
        <f>+$E$32*q13a!$E$32</f>
        <v>180610891.3600004</v>
      </c>
      <c r="AJ32" s="8">
        <f>+$F$32*q13a!$F$32</f>
        <v>191163821.01999977</v>
      </c>
      <c r="AK32" s="8">
        <f>+$G$32*q13a!$G$32</f>
        <v>201917690.88000017</v>
      </c>
      <c r="AL32" s="8">
        <f>+$H$32*q13a!$H$32</f>
        <v>216752658.85000053</v>
      </c>
      <c r="AM32" s="8">
        <f>+$I$32*q13a!$I$32</f>
        <v>234914793.69999954</v>
      </c>
      <c r="AN32" s="8">
        <f>+$J$32*q13a!$J$32</f>
        <v>243595845.89999971</v>
      </c>
      <c r="AO32" s="8">
        <f>+$K$32*q13a!$K$32</f>
        <v>253033683.73999918</v>
      </c>
      <c r="AP32" s="8">
        <f>+$L$32*q13a!$L$32</f>
        <v>270578286.8500005</v>
      </c>
      <c r="AQ32" s="8">
        <f>+$M$32*q13a!$M$32</f>
        <v>307375740.4600004</v>
      </c>
    </row>
    <row r="33" spans="1:54" s="8" customFormat="1" ht="12.75" customHeight="1">
      <c r="A33" s="47"/>
      <c r="B33" s="48" t="str">
        <f>+'q28'!B33</f>
        <v>H</v>
      </c>
      <c r="C33" s="278">
        <f>+'q28'!C33</f>
        <v>1455.2462021471301</v>
      </c>
      <c r="D33" s="278">
        <f>+'q28'!D33</f>
        <v>1449.6701396277401</v>
      </c>
      <c r="E33" s="278">
        <f>+'q28'!E33</f>
        <v>1421.029978798</v>
      </c>
      <c r="F33" s="278">
        <f>+'q28'!F33</f>
        <v>1403.84167448736</v>
      </c>
      <c r="G33" s="278">
        <f>+'q28'!G33</f>
        <v>1388.6554972413701</v>
      </c>
      <c r="H33" s="278">
        <f>+'q28'!H33</f>
        <v>1378.0529539963502</v>
      </c>
      <c r="I33" s="278">
        <f>+'q28'!I33</f>
        <v>1397.9563951585301</v>
      </c>
      <c r="J33" s="278">
        <f>+'q28'!J33</f>
        <v>1408.1625217932801</v>
      </c>
      <c r="K33" s="278">
        <f>+'q28'!K33</f>
        <v>1443.49085539934</v>
      </c>
      <c r="L33" s="278">
        <f>+'q28'!L33</f>
        <v>1472.7332255962501</v>
      </c>
      <c r="M33" s="278">
        <f>+'q28'!M33</f>
        <v>1554.1487229987299</v>
      </c>
      <c r="P33" s="47"/>
      <c r="Q33" s="48" t="s">
        <v>53</v>
      </c>
      <c r="R33" s="8">
        <f>+$C$33*q13a!$C$33</f>
        <v>112101980.68999988</v>
      </c>
      <c r="S33" s="8">
        <f>+$D$33*q13a!$D$33</f>
        <v>114725445.17999972</v>
      </c>
      <c r="T33" s="8">
        <f>+$E$33*q13a!$E$33</f>
        <v>119971876.98999995</v>
      </c>
      <c r="U33" s="8">
        <f>+$F$33*q13a!$F$33</f>
        <v>125353234.63999984</v>
      </c>
      <c r="V33" s="8">
        <f>+$G$33*q13a!$G$33</f>
        <v>131132127.25999981</v>
      </c>
      <c r="W33" s="8">
        <f>+$H$33*q13a!$H$33</f>
        <v>140310595.67000037</v>
      </c>
      <c r="X33" s="8">
        <f>+$I$33*q13a!$I$33</f>
        <v>151187586.17999986</v>
      </c>
      <c r="Y33" s="8">
        <f>+$J$33*q13a!$J$33</f>
        <v>156044121.69000053</v>
      </c>
      <c r="Z33" s="8">
        <f>+$K$33*q13a!$K$33</f>
        <v>161089248.99000016</v>
      </c>
      <c r="AA33" s="8">
        <f>+$L$33*q13a!$L$33</f>
        <v>169504230.60000041</v>
      </c>
      <c r="AB33" s="8">
        <f>+$M$33*q13a!$M$33</f>
        <v>190805947.02000007</v>
      </c>
      <c r="AE33" s="47"/>
      <c r="AF33" s="48" t="s">
        <v>53</v>
      </c>
      <c r="AG33" s="8">
        <f>+$C$33*q13a!$C$33</f>
        <v>112101980.68999988</v>
      </c>
      <c r="AH33" s="8">
        <f>+$D$33*q13a!$D$33</f>
        <v>114725445.17999972</v>
      </c>
      <c r="AI33" s="8">
        <f>+$E$33*q13a!$E$33</f>
        <v>119971876.98999995</v>
      </c>
      <c r="AJ33" s="8">
        <f>+$F$33*q13a!$F$33</f>
        <v>125353234.63999984</v>
      </c>
      <c r="AK33" s="8">
        <f>+$G$33*q13a!$G$33</f>
        <v>131132127.25999981</v>
      </c>
      <c r="AL33" s="8">
        <f>+$H$33*q13a!$H$33</f>
        <v>140310595.67000037</v>
      </c>
      <c r="AM33" s="8">
        <f>+$I$33*q13a!$I$33</f>
        <v>151187586.17999986</v>
      </c>
      <c r="AN33" s="8">
        <f>+$J$33*q13a!$J$33</f>
        <v>156044121.69000053</v>
      </c>
      <c r="AO33" s="8">
        <f>+$K$33*q13a!$K$33</f>
        <v>161089248.99000016</v>
      </c>
      <c r="AP33" s="8">
        <f>+$L$33*q13a!$L$33</f>
        <v>169504230.60000041</v>
      </c>
      <c r="AQ33" s="8">
        <f>+$M$33*q13a!$M$33</f>
        <v>190805947.02000007</v>
      </c>
    </row>
    <row r="34" spans="1:54" s="8" customFormat="1" ht="12.75" customHeight="1">
      <c r="A34" s="46"/>
      <c r="B34" s="48" t="str">
        <f>+'q28'!B34</f>
        <v>M</v>
      </c>
      <c r="C34" s="278">
        <f>+'q28'!C34</f>
        <v>987.74682012001006</v>
      </c>
      <c r="D34" s="278">
        <f>+'q28'!D34</f>
        <v>989.91227161832512</v>
      </c>
      <c r="E34" s="278">
        <f>+'q28'!E34</f>
        <v>997.43423587466111</v>
      </c>
      <c r="F34" s="278">
        <f>+'q28'!F34</f>
        <v>998.73412419947203</v>
      </c>
      <c r="G34" s="278">
        <f>+'q28'!G34</f>
        <v>1000.2340519153901</v>
      </c>
      <c r="H34" s="278">
        <f>+'q28'!H34</f>
        <v>1011.7941943852501</v>
      </c>
      <c r="I34" s="278">
        <f>+'q28'!I34</f>
        <v>1036.09958569484</v>
      </c>
      <c r="J34" s="278">
        <f>+'q28'!J34</f>
        <v>1049.64242378104</v>
      </c>
      <c r="K34" s="278">
        <f>+'q28'!K34</f>
        <v>1090.0477154441701</v>
      </c>
      <c r="L34" s="278">
        <f>+'q28'!L34</f>
        <v>1129.9629537501801</v>
      </c>
      <c r="M34" s="278">
        <f>+'q28'!M34</f>
        <v>1187.88767619125</v>
      </c>
      <c r="P34" s="46"/>
      <c r="Q34" s="48" t="s">
        <v>54</v>
      </c>
      <c r="R34" s="8">
        <f>+$C$34*q13a!$C$34</f>
        <v>51193929.939999998</v>
      </c>
      <c r="S34" s="8">
        <f>+$D$34*q13a!$D$34</f>
        <v>54776795.550000019</v>
      </c>
      <c r="T34" s="8">
        <f>+$E$34*q13a!$E$34</f>
        <v>60639014.37000002</v>
      </c>
      <c r="U34" s="8">
        <f>+$F$34*q13a!$F$34</f>
        <v>65810586.38000001</v>
      </c>
      <c r="V34" s="8">
        <f>+$G$34*q13a!$G$34</f>
        <v>70785563.620000243</v>
      </c>
      <c r="W34" s="8">
        <f>+$H$34*q13a!$H$34</f>
        <v>76442063.180000022</v>
      </c>
      <c r="X34" s="8">
        <f>+$I$34*q13a!$I$34</f>
        <v>83727207.520000026</v>
      </c>
      <c r="Y34" s="8">
        <f>+$J$34*q13a!$J$34</f>
        <v>87551724.210000321</v>
      </c>
      <c r="Z34" s="8">
        <f>+$K$34*q13a!$K$34</f>
        <v>91944434.750000298</v>
      </c>
      <c r="AA34" s="8">
        <f>+$L$34*q13a!$L$34</f>
        <v>101074056.24999985</v>
      </c>
      <c r="AB34" s="8">
        <f>+$M$34*q13a!$M$34</f>
        <v>116569793.43999974</v>
      </c>
      <c r="AE34" s="46"/>
      <c r="AF34" s="48" t="s">
        <v>54</v>
      </c>
      <c r="AG34" s="8">
        <f>+$C$34*q13a!$C$34</f>
        <v>51193929.939999998</v>
      </c>
      <c r="AH34" s="8">
        <f>+$D$34*q13a!$D$34</f>
        <v>54776795.550000019</v>
      </c>
      <c r="AI34" s="8">
        <f>+$E$34*q13a!$E$34</f>
        <v>60639014.37000002</v>
      </c>
      <c r="AJ34" s="8">
        <f>+$F$34*q13a!$F$34</f>
        <v>65810586.38000001</v>
      </c>
      <c r="AK34" s="8">
        <f>+$G$34*q13a!$G$34</f>
        <v>70785563.620000243</v>
      </c>
      <c r="AL34" s="8">
        <f>+$H$34*q13a!$H$34</f>
        <v>76442063.180000022</v>
      </c>
      <c r="AM34" s="8">
        <f>+$I$34*q13a!$I$34</f>
        <v>83727207.520000026</v>
      </c>
      <c r="AN34" s="8">
        <f>+$J$34*q13a!$J$34</f>
        <v>87551724.210000321</v>
      </c>
      <c r="AO34" s="8">
        <f>+$K$34*q13a!$K$34</f>
        <v>91944434.750000298</v>
      </c>
      <c r="AP34" s="8">
        <f>+$L$34*q13a!$L$34</f>
        <v>101074056.24999985</v>
      </c>
      <c r="AQ34" s="8">
        <f>+$M$34*q13a!$M$34</f>
        <v>116569793.43999974</v>
      </c>
    </row>
    <row r="35" spans="1:54" s="8" customFormat="1" ht="16.5" customHeight="1">
      <c r="A35" s="46" t="str">
        <f>+'q28'!A35</f>
        <v>60-64 anos</v>
      </c>
      <c r="B35" s="44" t="str">
        <f>+'q28'!B35</f>
        <v>T</v>
      </c>
      <c r="C35" s="276">
        <f>+'q28'!C35</f>
        <v>1253.7823119896902</v>
      </c>
      <c r="D35" s="276">
        <f>+'q28'!D35</f>
        <v>1246.00797374486</v>
      </c>
      <c r="E35" s="276">
        <f>+'q28'!E35</f>
        <v>1252.2867796227101</v>
      </c>
      <c r="F35" s="276">
        <f>+'q28'!F35</f>
        <v>1263.1217753713001</v>
      </c>
      <c r="G35" s="276">
        <f>+'q28'!G35</f>
        <v>1258.94643770111</v>
      </c>
      <c r="H35" s="276">
        <f>+'q28'!H35</f>
        <v>1268.0130981556601</v>
      </c>
      <c r="I35" s="276">
        <f>+'q28'!I35</f>
        <v>1288.8983279398201</v>
      </c>
      <c r="J35" s="276">
        <f>+'q28'!J35</f>
        <v>1302.31085915565</v>
      </c>
      <c r="K35" s="276">
        <f>+'q28'!K35</f>
        <v>1330.0449674631302</v>
      </c>
      <c r="L35" s="276">
        <f>+'q28'!L35</f>
        <v>1336.89599711408</v>
      </c>
      <c r="M35" s="276">
        <f>+'q28'!M35</f>
        <v>1381.2081063421601</v>
      </c>
      <c r="P35" s="46" t="s">
        <v>64</v>
      </c>
      <c r="Q35" s="44" t="s">
        <v>45</v>
      </c>
      <c r="R35" s="8">
        <f>+$C$35*q13a!$C$35</f>
        <v>70021234.560000226</v>
      </c>
      <c r="S35" s="8">
        <f>+$D$35*q13a!$D$35</f>
        <v>74603481.419999748</v>
      </c>
      <c r="T35" s="8">
        <f>+$E$35*q13a!$E$35</f>
        <v>83111768.990000024</v>
      </c>
      <c r="U35" s="8">
        <f>+$F$35*q13a!$F$35</f>
        <v>91679904.699999705</v>
      </c>
      <c r="V35" s="8">
        <f>+$G$35*q13a!$G$35</f>
        <v>98201598.979999676</v>
      </c>
      <c r="W35" s="8">
        <f>+$H$35*q13a!$H$35</f>
        <v>111033566.94000039</v>
      </c>
      <c r="X35" s="8">
        <f>+$I$35*q13a!$I$35</f>
        <v>119087761.00999968</v>
      </c>
      <c r="Y35" s="8">
        <f>+$J$35*q13a!$J$35</f>
        <v>126630196.38999963</v>
      </c>
      <c r="Z35" s="8">
        <f>+$K$35*q13a!$K$35</f>
        <v>132036224.00999986</v>
      </c>
      <c r="AA35" s="8">
        <f>+$L$35*q13a!$L$35</f>
        <v>145459632.07000035</v>
      </c>
      <c r="AB35" s="8">
        <f>+$M$35*q13a!$M$35</f>
        <v>172069524.67999998</v>
      </c>
      <c r="AE35" s="46" t="s">
        <v>64</v>
      </c>
      <c r="AF35" s="44" t="s">
        <v>45</v>
      </c>
      <c r="AG35" s="8">
        <f>+$C$35*q13a!$C$35</f>
        <v>70021234.560000226</v>
      </c>
      <c r="AH35" s="8">
        <f>+$D$35*q13a!$D$35</f>
        <v>74603481.419999748</v>
      </c>
      <c r="AI35" s="8">
        <f>+$E$35*q13a!$E$35</f>
        <v>83111768.990000024</v>
      </c>
      <c r="AJ35" s="8">
        <f>+$F$35*q13a!$F$35</f>
        <v>91679904.699999705</v>
      </c>
      <c r="AK35" s="8">
        <f>+$G$35*q13a!$G$35</f>
        <v>98201598.979999676</v>
      </c>
      <c r="AL35" s="8">
        <f>+$H$35*q13a!$H$35</f>
        <v>111033566.94000039</v>
      </c>
      <c r="AM35" s="8">
        <f>+$I$35*q13a!$I$35</f>
        <v>119087761.00999968</v>
      </c>
      <c r="AN35" s="8">
        <f>+$J$35*q13a!$J$35</f>
        <v>126630196.38999963</v>
      </c>
      <c r="AO35" s="8">
        <f>+$K$35*q13a!$K$35</f>
        <v>132036224.00999986</v>
      </c>
      <c r="AP35" s="8">
        <f>+$L$35*q13a!$L$35</f>
        <v>145459632.07000035</v>
      </c>
      <c r="AQ35" s="8">
        <f>+$M$35*q13a!$M$35</f>
        <v>172069524.67999998</v>
      </c>
    </row>
    <row r="36" spans="1:54" s="8" customFormat="1" ht="12.75" customHeight="1">
      <c r="A36" s="47"/>
      <c r="B36" s="48" t="str">
        <f>+'q28'!B36</f>
        <v>H</v>
      </c>
      <c r="C36" s="278">
        <f>+'q28'!C36</f>
        <v>1460.7360453998799</v>
      </c>
      <c r="D36" s="278">
        <f>+'q28'!D36</f>
        <v>1452.1544140712501</v>
      </c>
      <c r="E36" s="278">
        <f>+'q28'!E36</f>
        <v>1455.0601739108502</v>
      </c>
      <c r="F36" s="278">
        <f>+'q28'!F36</f>
        <v>1469.17290555105</v>
      </c>
      <c r="G36" s="278">
        <f>+'q28'!G36</f>
        <v>1457.8600402383902</v>
      </c>
      <c r="H36" s="278">
        <f>+'q28'!H36</f>
        <v>1446.99095198532</v>
      </c>
      <c r="I36" s="278">
        <f>+'q28'!I36</f>
        <v>1460.4292916404302</v>
      </c>
      <c r="J36" s="278">
        <f>+'q28'!J36</f>
        <v>1461.58226788405</v>
      </c>
      <c r="K36" s="278">
        <f>+'q28'!K36</f>
        <v>1484.5383919161002</v>
      </c>
      <c r="L36" s="278">
        <f>+'q28'!L36</f>
        <v>1484.8373303311903</v>
      </c>
      <c r="M36" s="278">
        <f>+'q28'!M36</f>
        <v>1536.22712383302</v>
      </c>
      <c r="P36" s="47"/>
      <c r="Q36" s="48" t="s">
        <v>53</v>
      </c>
      <c r="R36" s="8">
        <f>+$C$36*q13a!$C$36</f>
        <v>48584080.870000005</v>
      </c>
      <c r="S36" s="8">
        <f>+$D$36*q13a!$D$36</f>
        <v>51847721.199999914</v>
      </c>
      <c r="T36" s="8">
        <f>+$E$36*q13a!$E$36</f>
        <v>57646573.970000058</v>
      </c>
      <c r="U36" s="8">
        <f>+$F$36*q13a!$F$36</f>
        <v>63387465.01000005</v>
      </c>
      <c r="V36" s="8">
        <f>+$G$36*q13a!$G$36</f>
        <v>67026573.210000224</v>
      </c>
      <c r="W36" s="8">
        <f>+$H$36*q13a!$H$36</f>
        <v>74889016.720000237</v>
      </c>
      <c r="X36" s="8">
        <f>+$I$36*q13a!$I$36</f>
        <v>78860260.889999941</v>
      </c>
      <c r="Y36" s="8">
        <f>+$J$36*q13a!$J$36</f>
        <v>82440547.819999844</v>
      </c>
      <c r="Z36" s="8">
        <f>+$K$36*q13a!$K$36</f>
        <v>85356503.920000017</v>
      </c>
      <c r="AA36" s="8">
        <f>+$L$36*q13a!$L$36</f>
        <v>92983483.299999803</v>
      </c>
      <c r="AB36" s="8">
        <f>+$M$36*q13a!$M$36</f>
        <v>109591370.55999997</v>
      </c>
      <c r="AE36" s="47"/>
      <c r="AF36" s="48" t="s">
        <v>53</v>
      </c>
      <c r="AG36" s="8">
        <f>+$C$36*q13a!$C$36</f>
        <v>48584080.870000005</v>
      </c>
      <c r="AH36" s="8">
        <f>+$D$36*q13a!$D$36</f>
        <v>51847721.199999914</v>
      </c>
      <c r="AI36" s="8">
        <f>+$E$36*q13a!$E$36</f>
        <v>57646573.970000058</v>
      </c>
      <c r="AJ36" s="8">
        <f>+$F$36*q13a!$F$36</f>
        <v>63387465.01000005</v>
      </c>
      <c r="AK36" s="8">
        <f>+$G$36*q13a!$G$36</f>
        <v>67026573.210000224</v>
      </c>
      <c r="AL36" s="8">
        <f>+$H$36*q13a!$H$36</f>
        <v>74889016.720000237</v>
      </c>
      <c r="AM36" s="8">
        <f>+$I$36*q13a!$I$36</f>
        <v>78860260.889999941</v>
      </c>
      <c r="AN36" s="8">
        <f>+$J$36*q13a!$J$36</f>
        <v>82440547.819999844</v>
      </c>
      <c r="AO36" s="8">
        <f>+$K$36*q13a!$K$36</f>
        <v>85356503.920000017</v>
      </c>
      <c r="AP36" s="8">
        <f>+$L$36*q13a!$L$36</f>
        <v>92983483.299999803</v>
      </c>
      <c r="AQ36" s="8">
        <f>+$M$36*q13a!$M$36</f>
        <v>109591370.55999997</v>
      </c>
    </row>
    <row r="37" spans="1:54" s="8" customFormat="1" ht="12.75" customHeight="1">
      <c r="A37" s="46"/>
      <c r="B37" s="48" t="str">
        <f>+'q28'!B37</f>
        <v>M</v>
      </c>
      <c r="C37" s="278">
        <f>+'q28'!C37</f>
        <v>949.05054409420904</v>
      </c>
      <c r="D37" s="278">
        <f>+'q28'!D37</f>
        <v>941.48780388911905</v>
      </c>
      <c r="E37" s="278">
        <f>+'q28'!E37</f>
        <v>951.96990728972003</v>
      </c>
      <c r="F37" s="278">
        <f>+'q28'!F37</f>
        <v>961.11830995006312</v>
      </c>
      <c r="G37" s="278">
        <f>+'q28'!G37</f>
        <v>973.39825053860807</v>
      </c>
      <c r="H37" s="278">
        <f>+'q28'!H37</f>
        <v>1009.34236861212</v>
      </c>
      <c r="I37" s="278">
        <f>+'q28'!I37</f>
        <v>1047.6729984113299</v>
      </c>
      <c r="J37" s="278">
        <f>+'q28'!J37</f>
        <v>1082.2838248836601</v>
      </c>
      <c r="K37" s="278">
        <f>+'q28'!K37</f>
        <v>1117.4080213046102</v>
      </c>
      <c r="L37" s="278">
        <f>+'q28'!L37</f>
        <v>1136.2900863973</v>
      </c>
      <c r="M37" s="278">
        <f>+'q28'!M37</f>
        <v>1173.4970064424001</v>
      </c>
      <c r="P37" s="46"/>
      <c r="Q37" s="48" t="s">
        <v>54</v>
      </c>
      <c r="R37" s="8">
        <f>+$C$37*q13a!$C$37</f>
        <v>21437153.689999994</v>
      </c>
      <c r="S37" s="8">
        <f>+$D$37*q13a!$D$37</f>
        <v>22755760.220000006</v>
      </c>
      <c r="T37" s="8">
        <f>+$E$37*q13a!$E$37</f>
        <v>25465195.020000011</v>
      </c>
      <c r="U37" s="8">
        <f>+$F$37*q13a!$F$37</f>
        <v>28292439.690000009</v>
      </c>
      <c r="V37" s="8">
        <f>+$G$37*q13a!$G$37</f>
        <v>31175025.77</v>
      </c>
      <c r="W37" s="8">
        <f>+$H$37*q13a!$H$37</f>
        <v>36144550.220000021</v>
      </c>
      <c r="X37" s="8">
        <f>+$I$37*q13a!$I$37</f>
        <v>40227500.119999833</v>
      </c>
      <c r="Y37" s="8">
        <f>+$J$37*q13a!$J$37</f>
        <v>44189648.569999844</v>
      </c>
      <c r="Z37" s="8">
        <f>+$K$37*q13a!$K$37</f>
        <v>46679720.090000093</v>
      </c>
      <c r="AA37" s="8">
        <f>+$L$37*q13a!$L$37</f>
        <v>52476148.770000108</v>
      </c>
      <c r="AB37" s="8">
        <f>+$M$37*q13a!$M$37</f>
        <v>62478154.119999826</v>
      </c>
      <c r="AE37" s="46"/>
      <c r="AF37" s="48" t="s">
        <v>54</v>
      </c>
      <c r="AG37" s="8">
        <f>+$C$37*q13a!$C$37</f>
        <v>21437153.689999994</v>
      </c>
      <c r="AH37" s="8">
        <f>+$D$37*q13a!$D$37</f>
        <v>22755760.220000006</v>
      </c>
      <c r="AI37" s="8">
        <f>+$E$37*q13a!$E$37</f>
        <v>25465195.020000011</v>
      </c>
      <c r="AJ37" s="8">
        <f>+$F$37*q13a!$F$37</f>
        <v>28292439.690000009</v>
      </c>
      <c r="AK37" s="8">
        <f>+$G$37*q13a!$G$37</f>
        <v>31175025.77</v>
      </c>
      <c r="AL37" s="8">
        <f>+$H$37*q13a!$H$37</f>
        <v>36144550.220000021</v>
      </c>
      <c r="AM37" s="8">
        <f>+$I$37*q13a!$I$37</f>
        <v>40227500.119999833</v>
      </c>
      <c r="AN37" s="8">
        <f>+$J$37*q13a!$J$37</f>
        <v>44189648.569999844</v>
      </c>
      <c r="AO37" s="8">
        <f>+$K$37*q13a!$K$37</f>
        <v>46679720.090000093</v>
      </c>
      <c r="AP37" s="8">
        <f>+$L$37*q13a!$L$37</f>
        <v>52476148.770000108</v>
      </c>
      <c r="AQ37" s="8">
        <f>+$M$37*q13a!$M$37</f>
        <v>62478154.119999826</v>
      </c>
    </row>
    <row r="38" spans="1:54" s="110" customFormat="1" ht="16.5" customHeight="1">
      <c r="A38" s="112" t="str">
        <f>+'q28'!A38</f>
        <v>65 e mais anos</v>
      </c>
      <c r="B38" s="156" t="str">
        <f>+'q28'!B38</f>
        <v>T</v>
      </c>
      <c r="C38" s="277">
        <f>+'q28'!C38</f>
        <v>1384.9261148348501</v>
      </c>
      <c r="D38" s="277">
        <f>+'q28'!D38</f>
        <v>1372.6688267561801</v>
      </c>
      <c r="E38" s="277">
        <f>+'q28'!E38</f>
        <v>1328.6060058087301</v>
      </c>
      <c r="F38" s="277">
        <f>+'q28'!F38</f>
        <v>1341.6343658640101</v>
      </c>
      <c r="G38" s="277">
        <f>+'q28'!G38</f>
        <v>1337.5630869071399</v>
      </c>
      <c r="H38" s="277">
        <f>+'q28'!H38</f>
        <v>1346.8281692631201</v>
      </c>
      <c r="I38" s="277">
        <f>+'q28'!I38</f>
        <v>1353.01839758188</v>
      </c>
      <c r="J38" s="277">
        <f>+'q28'!J38</f>
        <v>1396.5481289428601</v>
      </c>
      <c r="K38" s="277">
        <f>+'q28'!K38</f>
        <v>1462.63048044077</v>
      </c>
      <c r="L38" s="277">
        <f>+'q28'!L38</f>
        <v>1470.9722608869201</v>
      </c>
      <c r="M38" s="277">
        <f>+'q28'!M38</f>
        <v>1488.53987488135</v>
      </c>
      <c r="P38" s="46" t="s">
        <v>65</v>
      </c>
      <c r="Q38" s="44" t="s">
        <v>45</v>
      </c>
      <c r="R38" s="408">
        <f>+$C$38</f>
        <v>1384.9261148348501</v>
      </c>
      <c r="S38" s="408">
        <f>+$D$38</f>
        <v>1372.6688267561801</v>
      </c>
      <c r="T38" s="408">
        <f>+$E$38</f>
        <v>1328.6060058087301</v>
      </c>
      <c r="U38" s="408">
        <f>+$F$38</f>
        <v>1341.6343658640101</v>
      </c>
      <c r="V38" s="408">
        <f>+$G$38</f>
        <v>1337.5630869071399</v>
      </c>
      <c r="W38" s="408">
        <f>+$H$38</f>
        <v>1346.8281692631201</v>
      </c>
      <c r="X38" s="408">
        <f>+$I$38</f>
        <v>1353.01839758188</v>
      </c>
      <c r="Y38" s="408">
        <f>+$J$38</f>
        <v>1396.5481289428601</v>
      </c>
      <c r="Z38" s="408">
        <f>+$K$38</f>
        <v>1462.63048044077</v>
      </c>
      <c r="AA38" s="408">
        <f>+$L$38</f>
        <v>1470.9722608869201</v>
      </c>
      <c r="AB38" s="408">
        <f>+$M$38</f>
        <v>1488.53987488135</v>
      </c>
      <c r="AE38" s="46" t="s">
        <v>65</v>
      </c>
      <c r="AF38" s="44" t="s">
        <v>45</v>
      </c>
      <c r="AG38" s="408">
        <f>+$C$38*q13a!$C$38</f>
        <v>17149540.07999995</v>
      </c>
      <c r="AH38" s="408">
        <f>+$D$38*q13a!$D$38</f>
        <v>16765777.049999984</v>
      </c>
      <c r="AI38" s="408">
        <f>+$E$38*q13a!$E$38</f>
        <v>19212971.450000044</v>
      </c>
      <c r="AJ38" s="408">
        <f>+$F$38*q13a!$F$38</f>
        <v>22119525.789999936</v>
      </c>
      <c r="AK38" s="408">
        <f>+$G$38*q13a!$G$38</f>
        <v>24732879.039999925</v>
      </c>
      <c r="AL38" s="408">
        <f>+$H$38*q13a!$H$38</f>
        <v>28183726.270000052</v>
      </c>
      <c r="AM38" s="408">
        <f>+$I$38*q13a!$I$38</f>
        <v>32676747.319999982</v>
      </c>
      <c r="AN38" s="408">
        <f>+$J$38*q13a!$J$38</f>
        <v>38297539.340000056</v>
      </c>
      <c r="AO38" s="408">
        <f>+$K$38*q13a!$K$38</f>
        <v>39820114.829999961</v>
      </c>
      <c r="AP38" s="408">
        <f>+$L$38*q13a!$L$38</f>
        <v>44215955.189999931</v>
      </c>
      <c r="AQ38" s="408">
        <f>+$M$38*q13a!$M$38</f>
        <v>51752065.829999894</v>
      </c>
      <c r="AR38" s="8"/>
      <c r="AS38" s="8"/>
      <c r="AT38" s="8"/>
      <c r="AU38" s="8"/>
      <c r="AV38" s="8"/>
      <c r="AW38" s="8"/>
      <c r="AX38" s="8"/>
      <c r="AY38" s="8"/>
      <c r="AZ38" s="8"/>
      <c r="BA38" s="8"/>
      <c r="BB38" s="8"/>
    </row>
    <row r="39" spans="1:54" s="8" customFormat="1" ht="12.75" customHeight="1">
      <c r="A39" s="47"/>
      <c r="B39" s="48" t="str">
        <f>+'q28'!B39</f>
        <v>H</v>
      </c>
      <c r="C39" s="278">
        <f>+'q28'!C39</f>
        <v>1568.8957003535299</v>
      </c>
      <c r="D39" s="278">
        <f>+'q28'!D39</f>
        <v>1552.8663450511101</v>
      </c>
      <c r="E39" s="278">
        <f>+'q28'!E39</f>
        <v>1528.6631959214999</v>
      </c>
      <c r="F39" s="278">
        <f>+'q28'!F39</f>
        <v>1547.1708255528301</v>
      </c>
      <c r="G39" s="278">
        <f>+'q28'!G39</f>
        <v>1537.8553152993302</v>
      </c>
      <c r="H39" s="278">
        <f>+'q28'!H39</f>
        <v>1547.8221634319202</v>
      </c>
      <c r="I39" s="278">
        <f>+'q28'!I39</f>
        <v>1534.45845917413</v>
      </c>
      <c r="J39" s="278">
        <f>+'q28'!J39</f>
        <v>1560.3654636922902</v>
      </c>
      <c r="K39" s="278">
        <f>+'q28'!K39</f>
        <v>1639.1636357324701</v>
      </c>
      <c r="L39" s="278">
        <f>+'q28'!L39</f>
        <v>1631.3487594923301</v>
      </c>
      <c r="M39" s="278">
        <f>+'q28'!M39</f>
        <v>1636.3038519062302</v>
      </c>
      <c r="P39" s="47"/>
      <c r="Q39" s="48" t="s">
        <v>53</v>
      </c>
      <c r="R39" s="408">
        <f>+$C$39</f>
        <v>1568.8957003535299</v>
      </c>
      <c r="S39" s="408">
        <f>+$D$39</f>
        <v>1552.8663450511101</v>
      </c>
      <c r="T39" s="408">
        <f>+$E$39</f>
        <v>1528.6631959214999</v>
      </c>
      <c r="U39" s="408">
        <f>+$F$39</f>
        <v>1547.1708255528301</v>
      </c>
      <c r="V39" s="408">
        <f>+$G$39</f>
        <v>1537.8553152993302</v>
      </c>
      <c r="W39" s="408">
        <f>+$H$39</f>
        <v>1547.8221634319202</v>
      </c>
      <c r="X39" s="408">
        <f>+$I$39</f>
        <v>1534.45845917413</v>
      </c>
      <c r="Y39" s="408">
        <f>+$J$39</f>
        <v>1560.3654636922902</v>
      </c>
      <c r="Z39" s="408">
        <f>+$K$39</f>
        <v>1639.1636357324701</v>
      </c>
      <c r="AA39" s="408">
        <f>+$L$39</f>
        <v>1631.3487594923301</v>
      </c>
      <c r="AB39" s="408">
        <f>+$M$39</f>
        <v>1636.3038519062302</v>
      </c>
      <c r="AE39" s="47"/>
      <c r="AF39" s="48" t="s">
        <v>53</v>
      </c>
      <c r="AG39" s="408">
        <f>+$C$39*q13a!$C$39</f>
        <v>12869651.430000005</v>
      </c>
      <c r="AH39" s="408">
        <f>+$D$39*q13a!$D$39</f>
        <v>12457093.820000006</v>
      </c>
      <c r="AI39" s="408">
        <f>+$E$39*q13a!$E$39</f>
        <v>13942937.01</v>
      </c>
      <c r="AJ39" s="408">
        <f>+$F$39*q13a!$F$39</f>
        <v>15742463.150000047</v>
      </c>
      <c r="AK39" s="408">
        <f>+$G$39*q13a!$G$39</f>
        <v>17339318.679999948</v>
      </c>
      <c r="AL39" s="408">
        <f>+$H$39*q13a!$H$39</f>
        <v>20096922.970000051</v>
      </c>
      <c r="AM39" s="408">
        <f>+$I$39*q13a!$I$39</f>
        <v>22964705.300000031</v>
      </c>
      <c r="AN39" s="408">
        <f>+$J$39*q13a!$J$39</f>
        <v>27139436.510000002</v>
      </c>
      <c r="AO39" s="408">
        <f>+$K$39*q13a!$K$39</f>
        <v>28331304.280000012</v>
      </c>
      <c r="AP39" s="408">
        <f>+$L$39*q13a!$L$39</f>
        <v>30719928.490000069</v>
      </c>
      <c r="AQ39" s="408">
        <f>+$M$39*q13a!$M$39</f>
        <v>35666515.060000099</v>
      </c>
    </row>
    <row r="40" spans="1:54" s="8" customFormat="1" ht="12.75" customHeight="1">
      <c r="A40" s="46"/>
      <c r="B40" s="48" t="str">
        <f>+'q28'!B40</f>
        <v>M</v>
      </c>
      <c r="C40" s="278">
        <f>+'q28'!C40</f>
        <v>1023.8968062201001</v>
      </c>
      <c r="D40" s="278">
        <f>+'q28'!D40</f>
        <v>1027.8347399809202</v>
      </c>
      <c r="E40" s="278">
        <f>+'q28'!E40</f>
        <v>986.89783520599315</v>
      </c>
      <c r="F40" s="278">
        <f>+'q28'!F40</f>
        <v>1010.3077693282601</v>
      </c>
      <c r="G40" s="278">
        <f>+'q28'!G40</f>
        <v>1024.6064800443501</v>
      </c>
      <c r="H40" s="278">
        <f>+'q28'!H40</f>
        <v>1018.2325988416001</v>
      </c>
      <c r="I40" s="278">
        <f>+'q28'!I40</f>
        <v>1057.3807316276502</v>
      </c>
      <c r="J40" s="278">
        <f>+'q28'!J40</f>
        <v>1112.47286440678</v>
      </c>
      <c r="K40" s="278">
        <f>+'q28'!K40</f>
        <v>1155.69968313047</v>
      </c>
      <c r="L40" s="278">
        <f>+'q28'!L40</f>
        <v>1201.99739045244</v>
      </c>
      <c r="M40" s="278">
        <f>+'q28'!M40</f>
        <v>1240.21208712413</v>
      </c>
      <c r="P40" s="46"/>
      <c r="Q40" s="48" t="s">
        <v>54</v>
      </c>
      <c r="R40" s="408">
        <f>+$C$40</f>
        <v>1023.8968062201001</v>
      </c>
      <c r="S40" s="408">
        <f>+$D$40</f>
        <v>1027.8347399809202</v>
      </c>
      <c r="T40" s="408">
        <f>+$E$40</f>
        <v>986.89783520599315</v>
      </c>
      <c r="U40" s="408">
        <f>+$F$40</f>
        <v>1010.3077693282601</v>
      </c>
      <c r="V40" s="408">
        <f>+$G$40</f>
        <v>1024.6064800443501</v>
      </c>
      <c r="W40" s="408">
        <f>+$H$40</f>
        <v>1018.2325988416001</v>
      </c>
      <c r="X40" s="408">
        <f>+$I$40</f>
        <v>1057.3807316276502</v>
      </c>
      <c r="Y40" s="408">
        <f>+$J$40</f>
        <v>1112.47286440678</v>
      </c>
      <c r="Z40" s="408">
        <f>+$K$40</f>
        <v>1155.69968313047</v>
      </c>
      <c r="AA40" s="408">
        <f>+$L$40</f>
        <v>1201.99739045244</v>
      </c>
      <c r="AB40" s="408">
        <f>+$M$40</f>
        <v>1240.21208712413</v>
      </c>
      <c r="AE40" s="46"/>
      <c r="AF40" s="48" t="s">
        <v>54</v>
      </c>
      <c r="AG40" s="408">
        <f>+$C$40*q13a!$C$40</f>
        <v>4279888.6500000181</v>
      </c>
      <c r="AH40" s="408">
        <f>+$D$40*q13a!$D$40</f>
        <v>4308683.2300000172</v>
      </c>
      <c r="AI40" s="408">
        <f>+$E$40*q13a!$E$40</f>
        <v>5270034.4400000032</v>
      </c>
      <c r="AJ40" s="408">
        <f>+$F$40*q13a!$F$40</f>
        <v>6377062.6399999773</v>
      </c>
      <c r="AK40" s="408">
        <f>+$G$40*q13a!$G$40</f>
        <v>7393560.3600000301</v>
      </c>
      <c r="AL40" s="408">
        <f>+$H$40*q13a!$H$40</f>
        <v>8086803.2999999877</v>
      </c>
      <c r="AM40" s="408">
        <f>+$I$40*q13a!$I$40</f>
        <v>9712042.0199999679</v>
      </c>
      <c r="AN40" s="408">
        <f>+$J$40*q13a!$J$40</f>
        <v>11158102.830000004</v>
      </c>
      <c r="AO40" s="408">
        <f>+$K$40*q13a!$K$40</f>
        <v>11488810.550000003</v>
      </c>
      <c r="AP40" s="408">
        <f>+$L$40*q13a!$L$40</f>
        <v>13496026.699999996</v>
      </c>
      <c r="AQ40" s="408">
        <f>+$M$40*q13a!$M$40</f>
        <v>16085550.769999966</v>
      </c>
    </row>
    <row r="41" spans="1:54" s="8" customFormat="1" ht="16.5" customHeight="1">
      <c r="A41" s="46" t="str">
        <f>+'q28'!A41</f>
        <v>Ignorado</v>
      </c>
      <c r="B41" s="44" t="str">
        <f>+'q28'!B41</f>
        <v>T</v>
      </c>
      <c r="C41" s="276">
        <f>+'q28'!C41</f>
        <v>1428.69767810026</v>
      </c>
      <c r="D41" s="276">
        <f>+'q28'!D41</f>
        <v>1576.02051320755</v>
      </c>
      <c r="E41" s="276">
        <f>+'q28'!E41</f>
        <v>1575.7961383285301</v>
      </c>
      <c r="F41" s="276">
        <f>+'q28'!F41</f>
        <v>1535.4435644257701</v>
      </c>
      <c r="G41" s="276">
        <f>+'q28'!G41</f>
        <v>1559.7549865951701</v>
      </c>
      <c r="H41" s="276">
        <f>+'q28'!H41</f>
        <v>1616.0509732201201</v>
      </c>
      <c r="I41" s="276">
        <f>+'q28'!I41</f>
        <v>1651.8181638582203</v>
      </c>
      <c r="J41" s="276">
        <f>+'q28'!J41</f>
        <v>1070.0533503836302</v>
      </c>
      <c r="K41" s="276">
        <f>+'q28'!K41</f>
        <v>1183.3869960474299</v>
      </c>
      <c r="L41" s="276">
        <f>+'q28'!L41</f>
        <v>1143.7167801047099</v>
      </c>
      <c r="M41" s="276">
        <f>+'q28'!M41</f>
        <v>1226.24727748691</v>
      </c>
      <c r="P41" s="46" t="s">
        <v>13</v>
      </c>
      <c r="Q41" s="44" t="s">
        <v>45</v>
      </c>
      <c r="R41" s="408">
        <f>+$C$41</f>
        <v>1428.69767810026</v>
      </c>
      <c r="S41" s="408">
        <f>+$D$41</f>
        <v>1576.02051320755</v>
      </c>
      <c r="T41" s="408">
        <f>+$E$41</f>
        <v>1575.7961383285301</v>
      </c>
      <c r="U41" s="408">
        <f>+$F$41</f>
        <v>1535.4435644257701</v>
      </c>
      <c r="V41" s="408">
        <f>+$G$41</f>
        <v>1559.7549865951701</v>
      </c>
      <c r="W41" s="408">
        <f>+$H$41</f>
        <v>1616.0509732201201</v>
      </c>
      <c r="X41" s="408">
        <f>+$I$41</f>
        <v>1651.8181638582203</v>
      </c>
      <c r="Y41" s="408">
        <f>+$J$41</f>
        <v>1070.0533503836302</v>
      </c>
      <c r="Z41" s="408">
        <f>+$K$41</f>
        <v>1183.3869960474299</v>
      </c>
      <c r="AA41" s="408">
        <f>+$L$41</f>
        <v>1143.7167801047099</v>
      </c>
      <c r="AB41" s="408">
        <f>+$M$41</f>
        <v>1226.24727748691</v>
      </c>
      <c r="AE41" s="46" t="s">
        <v>13</v>
      </c>
      <c r="AF41" s="44" t="s">
        <v>45</v>
      </c>
      <c r="AG41" s="408">
        <f>+$C$41*q13a!$C$41</f>
        <v>2165905.6799999941</v>
      </c>
      <c r="AH41" s="408">
        <f>+$D$41*q13a!$D$41</f>
        <v>2088227.1800000039</v>
      </c>
      <c r="AI41" s="408">
        <f>+$E$41*q13a!$E$41</f>
        <v>2187205.0399999996</v>
      </c>
      <c r="AJ41" s="408">
        <f>+$F$41*q13a!$F$41</f>
        <v>2192613.4099999997</v>
      </c>
      <c r="AK41" s="408">
        <f>+$G$41*q13a!$G$41</f>
        <v>2327154.4399999939</v>
      </c>
      <c r="AL41" s="408">
        <f>+$H$41*q13a!$H$41</f>
        <v>2474174.0400000038</v>
      </c>
      <c r="AM41" s="408">
        <f>+$I$41*q13a!$I$41</f>
        <v>2842779.0599999973</v>
      </c>
      <c r="AN41" s="408">
        <f>+$J$41*q13a!$J$41</f>
        <v>418390.8599999994</v>
      </c>
      <c r="AO41" s="408">
        <f>+$K$41*q13a!$K$41</f>
        <v>299396.90999999974</v>
      </c>
      <c r="AP41" s="408">
        <f>+$L$41*q13a!$L$41</f>
        <v>436899.80999999918</v>
      </c>
      <c r="AQ41" s="408">
        <f>+$M$41*q13a!$M$41</f>
        <v>234213.22999999981</v>
      </c>
    </row>
    <row r="42" spans="1:54" s="8" customFormat="1" ht="12.75" customHeight="1">
      <c r="A42" s="47"/>
      <c r="B42" s="48" t="str">
        <f>+'q28'!B42</f>
        <v>H</v>
      </c>
      <c r="C42" s="278">
        <f>+'q28'!C42</f>
        <v>1640.2271227364201</v>
      </c>
      <c r="D42" s="278">
        <f>+'q28'!D42</f>
        <v>1743.4764247020601</v>
      </c>
      <c r="E42" s="278">
        <f>+'q28'!E42</f>
        <v>1777.6066810810801</v>
      </c>
      <c r="F42" s="278">
        <f>+'q28'!F42</f>
        <v>1696.31788522848</v>
      </c>
      <c r="G42" s="278">
        <f>+'q28'!G42</f>
        <v>1736.8120758483001</v>
      </c>
      <c r="H42" s="278">
        <f>+'q28'!H42</f>
        <v>1791.3194238281301</v>
      </c>
      <c r="I42" s="278">
        <f>+'q28'!I42</f>
        <v>1833.1349488926699</v>
      </c>
      <c r="J42" s="278">
        <f>+'q28'!J42</f>
        <v>1099.3752222222199</v>
      </c>
      <c r="K42" s="278">
        <f>+'q28'!K42</f>
        <v>1212.50020689655</v>
      </c>
      <c r="L42" s="278">
        <f>+'q28'!L42</f>
        <v>1180.20248704663</v>
      </c>
      <c r="M42" s="278">
        <f>+'q28'!M42</f>
        <v>1283.8100925925901</v>
      </c>
      <c r="P42" s="47"/>
      <c r="Q42" s="48" t="s">
        <v>53</v>
      </c>
      <c r="R42" s="408">
        <f>+$C$42</f>
        <v>1640.2271227364201</v>
      </c>
      <c r="S42" s="408">
        <f>+$D$42</f>
        <v>1743.4764247020601</v>
      </c>
      <c r="T42" s="408">
        <f>+$E$42</f>
        <v>1777.6066810810801</v>
      </c>
      <c r="U42" s="408">
        <f>+$F$42</f>
        <v>1696.31788522848</v>
      </c>
      <c r="V42" s="408">
        <f>+$G$42</f>
        <v>1736.8120758483001</v>
      </c>
      <c r="W42" s="408">
        <f>+$H$42</f>
        <v>1791.3194238281301</v>
      </c>
      <c r="X42" s="408">
        <f>+$I$42</f>
        <v>1833.1349488926699</v>
      </c>
      <c r="Y42" s="408">
        <f>+$J$42</f>
        <v>1099.3752222222199</v>
      </c>
      <c r="Z42" s="408">
        <f>+$K$42</f>
        <v>1212.50020689655</v>
      </c>
      <c r="AA42" s="408">
        <f>+$L$42</f>
        <v>1180.20248704663</v>
      </c>
      <c r="AB42" s="408">
        <f>+$M$42</f>
        <v>1283.8100925925901</v>
      </c>
      <c r="AE42" s="47"/>
      <c r="AF42" s="48" t="s">
        <v>53</v>
      </c>
      <c r="AG42" s="408">
        <f>+$C$42*q13a!$C$42</f>
        <v>1630385.7600000016</v>
      </c>
      <c r="AH42" s="408">
        <f>+$D$42*q13a!$D$42</f>
        <v>1609228.7400000014</v>
      </c>
      <c r="AI42" s="408">
        <f>+$E$42*q13a!$E$42</f>
        <v>1644286.179999999</v>
      </c>
      <c r="AJ42" s="408">
        <f>+$F$42*q13a!$F$42</f>
        <v>1596235.1299999997</v>
      </c>
      <c r="AK42" s="408">
        <f>+$G$42*q13a!$G$42</f>
        <v>1740285.6999999967</v>
      </c>
      <c r="AL42" s="408">
        <f>+$H$42*q13a!$H$42</f>
        <v>1834311.0900000052</v>
      </c>
      <c r="AM42" s="408">
        <f>+$I$42*q13a!$I$42</f>
        <v>2152100.4299999946</v>
      </c>
      <c r="AN42" s="408">
        <f>+$J$42*q13a!$J$42</f>
        <v>197887.53999999957</v>
      </c>
      <c r="AO42" s="408">
        <f>+$K$42*q13a!$K$42</f>
        <v>175812.52999999977</v>
      </c>
      <c r="AP42" s="408">
        <f>+$L$42*q13a!$L$42</f>
        <v>227779.07999999961</v>
      </c>
      <c r="AQ42" s="408">
        <f>+$M$42*q13a!$M$42</f>
        <v>138651.48999999973</v>
      </c>
    </row>
    <row r="43" spans="1:54" s="8" customFormat="1" ht="12.75" customHeight="1">
      <c r="A43" s="9"/>
      <c r="B43" s="49" t="str">
        <f>+'q28'!B43</f>
        <v>M</v>
      </c>
      <c r="C43" s="293">
        <f>+'q28'!C43</f>
        <v>1025.9002298850601</v>
      </c>
      <c r="D43" s="293">
        <f>+'q28'!D43</f>
        <v>1191.5384079601999</v>
      </c>
      <c r="E43" s="293">
        <f>+'q28'!E43</f>
        <v>1172.6109287257002</v>
      </c>
      <c r="F43" s="293">
        <f>+'q28'!F43</f>
        <v>1224.5960574948701</v>
      </c>
      <c r="G43" s="293">
        <f>+'q28'!G43</f>
        <v>1197.69130612245</v>
      </c>
      <c r="H43" s="293">
        <f>+'q28'!H43</f>
        <v>1262.05710059172</v>
      </c>
      <c r="I43" s="293">
        <f>+'q28'!I43</f>
        <v>1262.66659963437</v>
      </c>
      <c r="J43" s="293">
        <f>+'q28'!J43</f>
        <v>1045.0394312796202</v>
      </c>
      <c r="K43" s="293">
        <f>+'q28'!K43</f>
        <v>1144.2998148148099</v>
      </c>
      <c r="L43" s="293">
        <f>+'q28'!L43</f>
        <v>1106.4588888888902</v>
      </c>
      <c r="M43" s="293">
        <f>+'q28'!M43</f>
        <v>1151.3462650602401</v>
      </c>
      <c r="P43" s="18"/>
      <c r="Q43" s="49" t="s">
        <v>54</v>
      </c>
      <c r="R43" s="408">
        <f>+$C$43</f>
        <v>1025.9002298850601</v>
      </c>
      <c r="S43" s="408">
        <f>+$D$43</f>
        <v>1191.5384079601999</v>
      </c>
      <c r="T43" s="408">
        <f>+$E$43</f>
        <v>1172.6109287257002</v>
      </c>
      <c r="U43" s="408">
        <f>+$F$43</f>
        <v>1224.5960574948701</v>
      </c>
      <c r="V43" s="408">
        <f>+$G$43</f>
        <v>1197.69130612245</v>
      </c>
      <c r="W43" s="408">
        <f>+$H$43</f>
        <v>1262.05710059172</v>
      </c>
      <c r="X43" s="408">
        <f>+$I$43</f>
        <v>1262.66659963437</v>
      </c>
      <c r="Y43" s="408">
        <f>+$J$43</f>
        <v>1045.0394312796202</v>
      </c>
      <c r="Z43" s="408">
        <f>+$K$43</f>
        <v>1144.2998148148099</v>
      </c>
      <c r="AA43" s="408">
        <f>+$L$43</f>
        <v>1106.4588888888902</v>
      </c>
      <c r="AB43" s="408">
        <f>+$M$43</f>
        <v>1151.3462650602401</v>
      </c>
      <c r="AE43" s="18"/>
      <c r="AF43" s="49" t="s">
        <v>54</v>
      </c>
      <c r="AG43" s="408">
        <f>+$C$43*q13a!$C$43</f>
        <v>535519.92000000132</v>
      </c>
      <c r="AH43" s="408">
        <f>+$D$43*q13a!$D$43</f>
        <v>478998.44000000035</v>
      </c>
      <c r="AI43" s="408">
        <f>+$E$43*q13a!$E$43</f>
        <v>542918.85999999917</v>
      </c>
      <c r="AJ43" s="408">
        <f>+$F$43*q13a!$F$43</f>
        <v>596378.28000000177</v>
      </c>
      <c r="AK43" s="408">
        <f>+$G$43*q13a!$G$43</f>
        <v>586868.74000000046</v>
      </c>
      <c r="AL43" s="408">
        <f>+$H$43*q13a!$H$43</f>
        <v>639862.95000000205</v>
      </c>
      <c r="AM43" s="408">
        <f>+$I$43*q13a!$I$43</f>
        <v>690678.63000000035</v>
      </c>
      <c r="AN43" s="408">
        <f>+$J$43*q13a!$J$43</f>
        <v>220503.31999999986</v>
      </c>
      <c r="AO43" s="408">
        <f>+$K$43*q13a!$K$43</f>
        <v>123584.37999999947</v>
      </c>
      <c r="AP43" s="408">
        <f>+$L$43*q13a!$L$43</f>
        <v>209120.73000000024</v>
      </c>
      <c r="AQ43" s="408">
        <f>+$M$43*q13a!$M$43</f>
        <v>95561.739999999918</v>
      </c>
    </row>
    <row r="44" spans="1:54" s="36" customFormat="1" ht="15" customHeight="1">
      <c r="A44" s="20" t="str">
        <f>+'q28'!A44</f>
        <v>Fonte: GEP/MTSSS, Quadros de Pessoal.</v>
      </c>
      <c r="B44" s="53"/>
      <c r="C44" s="43"/>
      <c r="D44" s="43"/>
      <c r="E44" s="43"/>
      <c r="F44" s="43"/>
      <c r="G44" s="68"/>
      <c r="H44" s="68"/>
      <c r="I44" s="68"/>
      <c r="J44" s="68"/>
      <c r="K44" s="68"/>
      <c r="L44" s="68"/>
      <c r="M44" s="68"/>
    </row>
    <row r="45" spans="1:54" s="36" customFormat="1" ht="23.25" customHeight="1">
      <c r="A45" s="600" t="s">
        <v>6</v>
      </c>
      <c r="B45" s="600"/>
      <c r="C45" s="600"/>
      <c r="D45" s="600"/>
      <c r="E45" s="600"/>
      <c r="F45" s="600"/>
      <c r="G45" s="600"/>
      <c r="H45" s="600"/>
      <c r="I45" s="600"/>
      <c r="J45" s="600"/>
      <c r="K45" s="600"/>
      <c r="L45" s="600"/>
      <c r="M45" s="600"/>
    </row>
  </sheetData>
  <mergeCells count="2">
    <mergeCell ref="A1:M1"/>
    <mergeCell ref="A45:M45"/>
  </mergeCells>
  <conditionalFormatting sqref="A1 N1:O43 N44:XFD1048576">
    <cfRule type="cellIs" dxfId="84" priority="65" operator="equal">
      <formula>0</formula>
    </cfRule>
  </conditionalFormatting>
  <conditionalFormatting sqref="A44:A45">
    <cfRule type="cellIs" dxfId="83" priority="62" operator="equal">
      <formula>0</formula>
    </cfRule>
  </conditionalFormatting>
  <conditionalFormatting sqref="A4:I43">
    <cfRule type="cellIs" dxfId="82" priority="58" operator="equal">
      <formula>0</formula>
    </cfRule>
  </conditionalFormatting>
  <conditionalFormatting sqref="A2:M3 A46:M1048576">
    <cfRule type="cellIs" dxfId="81" priority="23" operator="equal">
      <formula>0</formula>
    </cfRule>
  </conditionalFormatting>
  <conditionalFormatting sqref="B44:I44">
    <cfRule type="cellIs" dxfId="80" priority="53" operator="equal">
      <formula>0</formula>
    </cfRule>
  </conditionalFormatting>
  <conditionalFormatting sqref="J4:M44">
    <cfRule type="cellIs" dxfId="79" priority="25" operator="equal">
      <formula>0</formula>
    </cfRule>
  </conditionalFormatting>
  <conditionalFormatting sqref="P1">
    <cfRule type="cellIs" dxfId="78" priority="14" operator="equal">
      <formula>0</formula>
    </cfRule>
  </conditionalFormatting>
  <conditionalFormatting sqref="P3:XFD43">
    <cfRule type="cellIs" dxfId="77" priority="1" operator="equal">
      <formula>0</formula>
    </cfRule>
  </conditionalFormatting>
  <conditionalFormatting sqref="Q1:XFD2">
    <cfRule type="cellIs" dxfId="76" priority="22"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35814-13B2-4F6E-AC73-177FDEC28026}">
  <dimension ref="A3:AG55"/>
  <sheetViews>
    <sheetView showGridLines="0" topLeftCell="H1" zoomScale="120" zoomScaleNormal="120" workbookViewId="0">
      <selection activeCell="AK18" sqref="AK18"/>
    </sheetView>
  </sheetViews>
  <sheetFormatPr defaultColWidth="8.7109375" defaultRowHeight="12"/>
  <cols>
    <col min="1" max="1" width="17.7109375" style="404" bestFit="1" customWidth="1"/>
    <col min="2" max="16384" width="8.7109375" style="404"/>
  </cols>
  <sheetData>
    <row r="3" spans="1:16">
      <c r="A3" s="375" t="s">
        <v>466</v>
      </c>
      <c r="N3" s="437"/>
    </row>
    <row r="4" spans="1:16">
      <c r="A4" s="375" t="s">
        <v>464</v>
      </c>
      <c r="N4" s="437"/>
    </row>
    <row r="5" spans="1:16">
      <c r="B5" s="375">
        <f>+'q16'!$B$4</f>
        <v>2012</v>
      </c>
      <c r="C5" s="375">
        <f>+'q16'!$C$4</f>
        <v>2013</v>
      </c>
      <c r="D5" s="375">
        <f>+'q16'!$D$4</f>
        <v>2014</v>
      </c>
      <c r="E5" s="375">
        <f>+'q16'!$E$4</f>
        <v>2015</v>
      </c>
      <c r="F5" s="375">
        <f>+'q16'!$F$4</f>
        <v>2016</v>
      </c>
      <c r="G5" s="375">
        <f>+'q16'!$G$4</f>
        <v>2017</v>
      </c>
      <c r="H5" s="375">
        <f>+'q16'!$H$4</f>
        <v>2018</v>
      </c>
      <c r="I5" s="375">
        <f>+'q16'!$I$4</f>
        <v>2019</v>
      </c>
      <c r="J5" s="375">
        <f>+'q16'!$J$4</f>
        <v>2020</v>
      </c>
      <c r="K5" s="375">
        <f>+'q16'!$K$4</f>
        <v>2021</v>
      </c>
      <c r="L5" s="375">
        <f>+'q16'!$L$4</f>
        <v>2022</v>
      </c>
      <c r="N5" s="437"/>
    </row>
    <row r="6" spans="1:16">
      <c r="A6" s="375" t="s">
        <v>469</v>
      </c>
      <c r="B6" s="426">
        <f>((+'q16'!$B$6)/(+'q16'!$B$5))</f>
        <v>5.4716040183007781E-3</v>
      </c>
      <c r="C6" s="426">
        <f>((+'q16'!C6)/(+'q16'!C$5))</f>
        <v>5.1753203234469409E-3</v>
      </c>
      <c r="D6" s="426">
        <f>((+'q16'!D6)/(+'q16'!D$5))</f>
        <v>7.5470347823245985E-3</v>
      </c>
      <c r="E6" s="426">
        <f>((+'q16'!E6)/(+'q16'!E$5))</f>
        <v>5.8283457994476508E-3</v>
      </c>
      <c r="F6" s="426">
        <f>((+'q16'!F6)/(+'q16'!F$5))</f>
        <v>5.3890411798856496E-3</v>
      </c>
      <c r="G6" s="426">
        <f>((+'q16'!G6)/(+'q16'!G$5))</f>
        <v>5.3899189612480261E-3</v>
      </c>
      <c r="H6" s="426">
        <f>((+'q16'!H6)/(+'q16'!H$5))</f>
        <v>4.6670768628066213E-3</v>
      </c>
      <c r="I6" s="426">
        <f>((+'q16'!I6)/(+'q16'!I$5))</f>
        <v>4.9964164128292422E-3</v>
      </c>
      <c r="J6" s="426">
        <f>((+'q16'!J6)/(+'q16'!J$5))</f>
        <v>4.6522416984656105E-3</v>
      </c>
      <c r="K6" s="426">
        <f>((+'q16'!K6)/(+'q16'!K$5))</f>
        <v>5.0086476651304149E-3</v>
      </c>
      <c r="L6" s="426">
        <f>((+'q16'!L6)/(+'q16'!L$5))</f>
        <v>4.7863844973833336E-3</v>
      </c>
      <c r="M6" s="436">
        <f>+L6-B6</f>
        <v>-6.8521952091744453E-4</v>
      </c>
      <c r="N6" s="424"/>
      <c r="O6" s="424"/>
    </row>
    <row r="7" spans="1:16">
      <c r="A7" s="375" t="s">
        <v>119</v>
      </c>
      <c r="B7" s="426">
        <f>((+'q16'!$B$7)/(+'q16'!$B$5))</f>
        <v>0.14410266688366091</v>
      </c>
      <c r="C7" s="426">
        <f>((+'q16'!C7)/(+'q16'!C$5))</f>
        <v>0.14163154829567243</v>
      </c>
      <c r="D7" s="426">
        <f>((+'q16'!D7)/(+'q16'!D$5))</f>
        <v>0.20369215067932647</v>
      </c>
      <c r="E7" s="426">
        <f>((+'q16'!E7)/(+'q16'!E$5))</f>
        <v>0.18384224845075486</v>
      </c>
      <c r="F7" s="426">
        <f>((+'q16'!F7)/(+'q16'!F$5))</f>
        <v>0.22109181370872022</v>
      </c>
      <c r="G7" s="426">
        <f>((+'q16'!G7)/(+'q16'!G$5))</f>
        <v>0.22888510621531627</v>
      </c>
      <c r="H7" s="426">
        <f>((+'q16'!H7)/(+'q16'!H$5))</f>
        <v>0.22317088266380225</v>
      </c>
      <c r="I7" s="426">
        <f>((+'q16'!I7)/(+'q16'!I$5))</f>
        <v>0.20974556531087618</v>
      </c>
      <c r="J7" s="426">
        <f>((+'q16'!J7)/(+'q16'!J$5))</f>
        <v>0.23879843890213009</v>
      </c>
      <c r="K7" s="426">
        <f>((+'q16'!K7)/(+'q16'!K$5))</f>
        <v>0.23485068122516012</v>
      </c>
      <c r="L7" s="426">
        <f>((+'q16'!L7)/(+'q16'!L$5))</f>
        <v>0.23346050170130656</v>
      </c>
      <c r="M7" s="436">
        <f>+L7-B7</f>
        <v>8.9357834817645643E-2</v>
      </c>
      <c r="N7" s="434">
        <f>+(L7-B7)*100</f>
        <v>8.9357834817645649</v>
      </c>
      <c r="O7" s="434">
        <f>+(L8-B8)*100</f>
        <v>-34.202603979114308</v>
      </c>
    </row>
    <row r="8" spans="1:16">
      <c r="A8" s="375" t="s">
        <v>236</v>
      </c>
      <c r="B8" s="426">
        <f>((+'q16'!$B$8)/(+'q16'!$B$5))</f>
        <v>0.457331065010882</v>
      </c>
      <c r="C8" s="426">
        <f>((+'q16'!C8)/(+'q16'!C$5))</f>
        <v>0.46114674815433498</v>
      </c>
      <c r="D8" s="426">
        <f>((+'q16'!D8)/(+'q16'!D$5))</f>
        <v>0.39890380525507607</v>
      </c>
      <c r="E8" s="426">
        <f>((+'q16'!E8)/(+'q16'!E$5))</f>
        <v>0.41744666724590196</v>
      </c>
      <c r="F8" s="426">
        <f>((+'q16'!F8)/(+'q16'!F$5))</f>
        <v>0.37589851823266313</v>
      </c>
      <c r="G8" s="426">
        <f>((+'q16'!G8)/(+'q16'!G$5))</f>
        <v>0.3542205396673363</v>
      </c>
      <c r="H8" s="426">
        <f>((+'q16'!H8)/(+'q16'!H$5))</f>
        <v>0.33804953095718832</v>
      </c>
      <c r="I8" s="426">
        <f>((+'q16'!I8)/(+'q16'!I$5))</f>
        <v>0.31896389535925462</v>
      </c>
      <c r="J8" s="426">
        <f>((+'q16'!J8)/(+'q16'!J$5))</f>
        <v>0.24575785608732981</v>
      </c>
      <c r="K8" s="426">
        <f>((+'q16'!K8)/(+'q16'!K$5))</f>
        <v>0.20550905800888306</v>
      </c>
      <c r="L8" s="426">
        <f>((+'q16'!L8)/(+'q16'!L$5))</f>
        <v>0.11530502521973894</v>
      </c>
      <c r="M8" s="436">
        <f t="shared" ref="M8:M14" si="0">+L8-B8</f>
        <v>-0.34202603979114304</v>
      </c>
      <c r="N8" s="486">
        <f>+(L7+L8)</f>
        <v>0.34876552692104551</v>
      </c>
      <c r="O8" s="485">
        <f>+B7+B8</f>
        <v>0.60143373189454286</v>
      </c>
      <c r="P8" s="424">
        <f>+(N8-O8)*100</f>
        <v>-25.266820497349734</v>
      </c>
    </row>
    <row r="9" spans="1:16">
      <c r="A9" s="375" t="s">
        <v>176</v>
      </c>
      <c r="B9" s="426">
        <f>((+'q16'!$B$9)/(+'q16'!$B$5))</f>
        <v>0.14300269446146616</v>
      </c>
      <c r="C9" s="426">
        <f>((+'q16'!C9)/(+'q16'!C$5))</f>
        <v>0.14204677994468162</v>
      </c>
      <c r="D9" s="426">
        <f>((+'q16'!D9)/(+'q16'!D$5))</f>
        <v>0.14285173470821813</v>
      </c>
      <c r="E9" s="426">
        <f>((+'q16'!E9)/(+'q16'!E$5))</f>
        <v>0.14394733445463909</v>
      </c>
      <c r="F9" s="426">
        <f>((+'q16'!F9)/(+'q16'!F$5))</f>
        <v>0.14788085712714566</v>
      </c>
      <c r="G9" s="426">
        <f>((+'q16'!G9)/(+'q16'!G$5))</f>
        <v>0.15575932377178939</v>
      </c>
      <c r="H9" s="426">
        <f>((+'q16'!H9)/(+'q16'!H$5))</f>
        <v>0.16489250034800171</v>
      </c>
      <c r="I9" s="426">
        <f>((+'q16'!I9)/(+'q16'!I$5))</f>
        <v>0.18004389894284178</v>
      </c>
      <c r="J9" s="426">
        <f>((+'q16'!J9)/(+'q16'!J$5))</f>
        <v>0.20400089089411946</v>
      </c>
      <c r="K9" s="426">
        <f>((+'q16'!K9)/(+'q16'!K$5))</f>
        <v>0.22772442349656502</v>
      </c>
      <c r="L9" s="426">
        <f>((+'q16'!L9)/(+'q16'!L$5))</f>
        <v>0.28898390860711709</v>
      </c>
      <c r="M9" s="436">
        <f t="shared" si="0"/>
        <v>0.14598121414565093</v>
      </c>
      <c r="N9" s="424"/>
      <c r="O9" s="424"/>
    </row>
    <row r="10" spans="1:16">
      <c r="A10" s="375" t="s">
        <v>177</v>
      </c>
      <c r="B10" s="426">
        <f>((+'q16'!$B$10)/(+'q16'!$B$5))</f>
        <v>0.13555354725407218</v>
      </c>
      <c r="C10" s="426">
        <f>((+'q16'!C10)/(+'q16'!C$5))</f>
        <v>0.13618645963974821</v>
      </c>
      <c r="D10" s="426">
        <f>((+'q16'!D10)/(+'q16'!D$5))</f>
        <v>0.13515638329373902</v>
      </c>
      <c r="E10" s="426">
        <f>((+'q16'!E10)/(+'q16'!E$5))</f>
        <v>0.13673033065127307</v>
      </c>
      <c r="F10" s="426">
        <f>((+'q16'!F10)/(+'q16'!F$5))</f>
        <v>0.13732516882726309</v>
      </c>
      <c r="G10" s="426">
        <f>((+'q16'!G10)/(+'q16'!G$5))</f>
        <v>0.1414573466551404</v>
      </c>
      <c r="H10" s="426">
        <f>((+'q16'!H10)/(+'q16'!H$5))</f>
        <v>0.14863141246975106</v>
      </c>
      <c r="I10" s="426">
        <f>((+'q16'!I10)/(+'q16'!I$5))</f>
        <v>0.15694678373051424</v>
      </c>
      <c r="J10" s="426">
        <f>((+'q16'!J10)/(+'q16'!J$5))</f>
        <v>0.16926526187573876</v>
      </c>
      <c r="K10" s="426">
        <f>((+'q16'!K10)/(+'q16'!K$5))</f>
        <v>0.17971693097409155</v>
      </c>
      <c r="L10" s="426">
        <f>((+'q16'!L10)/(+'q16'!L$5))</f>
        <v>0.19453183031966045</v>
      </c>
      <c r="M10" s="436">
        <f t="shared" si="0"/>
        <v>5.8978283065588277E-2</v>
      </c>
      <c r="N10" s="424"/>
      <c r="O10" s="424"/>
    </row>
    <row r="11" spans="1:16">
      <c r="A11" s="375" t="s">
        <v>178</v>
      </c>
      <c r="B11" s="426">
        <f>((+'q16'!$B$11)/(+'q16'!$B$5))</f>
        <v>7.8092285697689695E-2</v>
      </c>
      <c r="C11" s="426">
        <f>((+'q16'!C11)/(+'q16'!C$5))</f>
        <v>7.7581669717869936E-2</v>
      </c>
      <c r="D11" s="426">
        <f>((+'q16'!D11)/(+'q16'!D$5))</f>
        <v>7.6610207814419587E-2</v>
      </c>
      <c r="E11" s="426">
        <f>((+'q16'!E11)/(+'q16'!E$5))</f>
        <v>7.6416368385605976E-2</v>
      </c>
      <c r="F11" s="426">
        <f>((+'q16'!F11)/(+'q16'!F$5))</f>
        <v>7.5857299902526196E-2</v>
      </c>
      <c r="G11" s="426">
        <f>((+'q16'!G11)/(+'q16'!G$5))</f>
        <v>7.7197654909160335E-2</v>
      </c>
      <c r="H11" s="426">
        <f>((+'q16'!H11)/(+'q16'!H$5))</f>
        <v>8.1324936554869331E-2</v>
      </c>
      <c r="I11" s="426">
        <f>((+'q16'!I11)/(+'q16'!I$5))</f>
        <v>8.6777011288299594E-2</v>
      </c>
      <c r="J11" s="426">
        <f>((+'q16'!J11)/(+'q16'!J$5))</f>
        <v>9.2550406216296899E-2</v>
      </c>
      <c r="K11" s="426">
        <f>((+'q16'!K11)/(+'q16'!K$5))</f>
        <v>9.8043982670133603E-2</v>
      </c>
      <c r="L11" s="426">
        <f>((+'q16'!L11)/(+'q16'!L$5))</f>
        <v>0.10679828206968098</v>
      </c>
      <c r="M11" s="436">
        <f t="shared" si="0"/>
        <v>2.8705996371991283E-2</v>
      </c>
      <c r="N11" s="424"/>
      <c r="O11" s="424"/>
    </row>
    <row r="12" spans="1:16">
      <c r="A12" s="375" t="s">
        <v>179</v>
      </c>
      <c r="B12" s="426">
        <f>((+'q16'!$B$12)/(+'q16'!$B$5))</f>
        <v>2.3689701024146539E-2</v>
      </c>
      <c r="C12" s="426">
        <f>((+'q16'!C12)/(+'q16'!C$5))</f>
        <v>2.3744902833149343E-2</v>
      </c>
      <c r="D12" s="426">
        <f>((+'q16'!D12)/(+'q16'!D$5))</f>
        <v>2.339357788982771E-2</v>
      </c>
      <c r="E12" s="426">
        <f>((+'q16'!E12)/(+'q16'!E$5))</f>
        <v>2.3905006752443711E-2</v>
      </c>
      <c r="F12" s="426">
        <f>((+'q16'!F12)/(+'q16'!F$5))</f>
        <v>2.4396190394620498E-2</v>
      </c>
      <c r="G12" s="426">
        <f>((+'q16'!G12)/(+'q16'!G$5))</f>
        <v>2.4870739977569757E-2</v>
      </c>
      <c r="H12" s="426">
        <f>((+'q16'!H12)/(+'q16'!H$5))</f>
        <v>2.6643100792627713E-2</v>
      </c>
      <c r="I12" s="426">
        <f>((+'q16'!I12)/(+'q16'!I$5))</f>
        <v>2.8876545421967388E-2</v>
      </c>
      <c r="J12" s="426">
        <f>((+'q16'!J12)/(+'q16'!J$5))</f>
        <v>3.0903582891505917E-2</v>
      </c>
      <c r="K12" s="426">
        <f>((+'q16'!K12)/(+'q16'!K$5))</f>
        <v>3.3638190415860442E-2</v>
      </c>
      <c r="L12" s="426">
        <f>((+'q16'!L12)/(+'q16'!L$5))</f>
        <v>3.7576464102116271E-2</v>
      </c>
      <c r="M12" s="436">
        <f t="shared" si="0"/>
        <v>1.3886763077969731E-2</v>
      </c>
      <c r="N12" s="424"/>
      <c r="O12" s="424"/>
    </row>
    <row r="13" spans="1:16">
      <c r="A13" s="375" t="s">
        <v>180</v>
      </c>
      <c r="B13" s="426">
        <f>((+'q16'!$B$13)/(+'q16'!$B$5))</f>
        <v>6.9049172744336997E-3</v>
      </c>
      <c r="C13" s="426">
        <f>((+'q16'!C13)/(+'q16'!C$5))</f>
        <v>6.7965751058840706E-3</v>
      </c>
      <c r="D13" s="426">
        <f>((+'q16'!D13)/(+'q16'!D$5))</f>
        <v>6.3013825080757372E-3</v>
      </c>
      <c r="E13" s="426">
        <f>((+'q16'!E13)/(+'q16'!E$5))</f>
        <v>6.294412572552986E-3</v>
      </c>
      <c r="F13" s="426">
        <f>((+'q16'!F13)/(+'q16'!F$5))</f>
        <v>6.5929862655852252E-3</v>
      </c>
      <c r="G13" s="426">
        <f>((+'q16'!G13)/(+'q16'!G$5))</f>
        <v>6.6052422602292842E-3</v>
      </c>
      <c r="H13" s="426">
        <f>((+'q16'!H13)/(+'q16'!H$5))</f>
        <v>6.8258209552794014E-3</v>
      </c>
      <c r="I13" s="426">
        <f>((+'q16'!I13)/(+'q16'!I$5))</f>
        <v>7.3396344741085825E-3</v>
      </c>
      <c r="J13" s="426">
        <f>((+'q16'!J13)/(+'q16'!J$5))</f>
        <v>7.7306320635011586E-3</v>
      </c>
      <c r="K13" s="426">
        <f>((+'q16'!K13)/(+'q16'!K$5))</f>
        <v>8.580410561875567E-3</v>
      </c>
      <c r="L13" s="426">
        <f>((+'q16'!L13)/(+'q16'!L$5))</f>
        <v>1.0213310382704541E-2</v>
      </c>
      <c r="M13" s="436">
        <f t="shared" si="0"/>
        <v>3.3083931082708417E-3</v>
      </c>
      <c r="N13" s="424"/>
      <c r="O13" s="424"/>
    </row>
    <row r="14" spans="1:16">
      <c r="A14" s="375" t="s">
        <v>181</v>
      </c>
      <c r="B14" s="426">
        <f>((+'q16'!$B$14)/(+'q16'!$B$5))</f>
        <v>5.8515183753480582E-3</v>
      </c>
      <c r="C14" s="426">
        <f>((+'q16'!C14)/(+'q16'!C$5))</f>
        <v>5.6899959852124635E-3</v>
      </c>
      <c r="D14" s="426">
        <f>((+'q16'!D14)/(+'q16'!D$5))</f>
        <v>5.5437230689926445E-3</v>
      </c>
      <c r="E14" s="426">
        <f>((+'q16'!E14)/(+'q16'!E$5))</f>
        <v>5.58928568738069E-3</v>
      </c>
      <c r="F14" s="426">
        <f>((+'q16'!F14)/(+'q16'!F$5))</f>
        <v>5.5681243615903556E-3</v>
      </c>
      <c r="G14" s="426">
        <f>((+'q16'!G14)/(+'q16'!G$5))</f>
        <v>5.6141275822102184E-3</v>
      </c>
      <c r="H14" s="426">
        <f>((+'q16'!H14)/(+'q16'!H$5))</f>
        <v>5.7947383956736247E-3</v>
      </c>
      <c r="I14" s="426">
        <f>((+'q16'!I14)/(+'q16'!I$5))</f>
        <v>6.3102490593083677E-3</v>
      </c>
      <c r="J14" s="426">
        <f>((+'q16'!J14)/(+'q16'!J$5))</f>
        <v>6.340689370912307E-3</v>
      </c>
      <c r="K14" s="426">
        <f>((+'q16'!K14)/(+'q16'!K$5))</f>
        <v>6.9276749823002333E-3</v>
      </c>
      <c r="L14" s="426">
        <f>((+'q16'!L14)/(+'q16'!L$5))</f>
        <v>8.3442931002918625E-3</v>
      </c>
      <c r="M14" s="436">
        <f t="shared" si="0"/>
        <v>2.4927747249438043E-3</v>
      </c>
      <c r="N14" s="424"/>
      <c r="O14" s="424"/>
    </row>
    <row r="15" spans="1:16">
      <c r="A15" s="375" t="s">
        <v>12</v>
      </c>
      <c r="B15" s="425">
        <f>+'q16'!$B$5</f>
        <v>1910957</v>
      </c>
      <c r="C15" s="425">
        <f>+'q16'!$C$5</f>
        <v>1890511</v>
      </c>
      <c r="D15" s="425">
        <f>+'q16'!$D$5</f>
        <v>1928307</v>
      </c>
      <c r="E15" s="425">
        <f>+'q16'!$E$5</f>
        <v>1991131</v>
      </c>
      <c r="F15" s="425">
        <f>+'q16'!$F$5</f>
        <v>2054911</v>
      </c>
      <c r="G15" s="425">
        <f>+'q16'!$G$5</f>
        <v>2131943</v>
      </c>
      <c r="H15" s="425">
        <f>+'q16'!$H$5</f>
        <v>2205449</v>
      </c>
      <c r="I15" s="425">
        <f>+'q16'!$I$5</f>
        <v>2232400</v>
      </c>
      <c r="J15" s="425">
        <f>+'q16'!$J$5</f>
        <v>2164118</v>
      </c>
      <c r="K15" s="425">
        <f>+'q16'!$K$5</f>
        <v>2200594</v>
      </c>
      <c r="L15" s="425">
        <f>+'q16'!$L$5</f>
        <v>2376115</v>
      </c>
    </row>
    <row r="16" spans="1:16">
      <c r="B16" s="404">
        <v>100</v>
      </c>
      <c r="C16" s="404">
        <v>100</v>
      </c>
      <c r="D16" s="404">
        <v>100</v>
      </c>
      <c r="E16" s="404">
        <v>100</v>
      </c>
      <c r="F16" s="404">
        <v>100</v>
      </c>
      <c r="G16" s="404">
        <v>100</v>
      </c>
      <c r="H16" s="404">
        <v>100</v>
      </c>
      <c r="I16" s="404">
        <v>100</v>
      </c>
      <c r="J16" s="404">
        <v>100</v>
      </c>
      <c r="K16" s="404">
        <v>100</v>
      </c>
      <c r="L16" s="404">
        <v>100</v>
      </c>
    </row>
    <row r="18" spans="1:33">
      <c r="A18" s="375" t="s">
        <v>465</v>
      </c>
    </row>
    <row r="19" spans="1:33">
      <c r="A19" s="375" t="s">
        <v>464</v>
      </c>
    </row>
    <row r="20" spans="1:33">
      <c r="B20" s="375">
        <f>+'q16'!$B$4</f>
        <v>2012</v>
      </c>
      <c r="C20" s="375">
        <f>+'q16'!$C$4</f>
        <v>2013</v>
      </c>
      <c r="D20" s="375">
        <f>+'q16'!$D$4</f>
        <v>2014</v>
      </c>
      <c r="E20" s="375">
        <f>+'q16'!$E$4</f>
        <v>2015</v>
      </c>
      <c r="F20" s="375">
        <f>+'q16'!$F$4</f>
        <v>2016</v>
      </c>
      <c r="G20" s="375">
        <f>+'q16'!$G$4</f>
        <v>2017</v>
      </c>
      <c r="H20" s="375">
        <f>+'q16'!$H$4</f>
        <v>2018</v>
      </c>
      <c r="I20" s="375">
        <f>+'q16'!$I$4</f>
        <v>2019</v>
      </c>
      <c r="J20" s="375">
        <f>+'q16'!$J$4</f>
        <v>2020</v>
      </c>
      <c r="K20" s="375">
        <f>+'q16'!$K$4</f>
        <v>2021</v>
      </c>
      <c r="L20" s="375">
        <f>+'q16'!$L$4</f>
        <v>2022</v>
      </c>
    </row>
    <row r="21" spans="1:33">
      <c r="A21" s="375" t="s">
        <v>469</v>
      </c>
      <c r="B21" s="426">
        <f>((+'q23'!$B$6)/(+'q23'!$B$5))</f>
        <v>2.5835222875239998E-3</v>
      </c>
      <c r="C21" s="426">
        <f>((+'q23'!C6)/(+'q23'!C$5))</f>
        <v>2.4342624824716702E-3</v>
      </c>
      <c r="D21" s="426">
        <f>((+'q23'!D6)/(+'q23'!D$5))</f>
        <v>2.7480064118420976E-3</v>
      </c>
      <c r="E21" s="426">
        <f>((+'q23'!E6)/(+'q23'!E$5))</f>
        <v>2.4257570195029862E-3</v>
      </c>
      <c r="F21" s="426">
        <f>((+'q23'!F6)/(+'q23'!F$5))</f>
        <v>2.4886722587985563E-3</v>
      </c>
      <c r="G21" s="426">
        <f>((+'q23'!G6)/(+'q23'!G$5))</f>
        <v>2.1126268385224184E-3</v>
      </c>
      <c r="H21" s="426">
        <f>((+'q23'!H6)/(+'q23'!H$5))</f>
        <v>1.7647200184633606E-3</v>
      </c>
      <c r="I21" s="426">
        <f>((+'q23'!I6)/(+'q23'!I$5))</f>
        <v>1.8872065938003943E-3</v>
      </c>
      <c r="J21" s="426">
        <f>((+'q23'!J6)/(+'q23'!J$5))</f>
        <v>1.6981513947021373E-3</v>
      </c>
      <c r="K21" s="426">
        <f>((+'q23'!K6)/(+'q23'!K$5))</f>
        <v>1.7358949447285597E-3</v>
      </c>
      <c r="L21" s="426">
        <f>((+'q23'!L6)/(+'q23'!L$5))</f>
        <v>1.761278389303548E-3</v>
      </c>
      <c r="M21" s="409">
        <f>+(L21-B21)*100</f>
        <v>-8.2224389822045191E-2</v>
      </c>
    </row>
    <row r="22" spans="1:33">
      <c r="A22" s="375" t="s">
        <v>119</v>
      </c>
      <c r="B22" s="426">
        <f>((+'q23'!$B$7)/(+'q23'!$B$5))</f>
        <v>4.0677001104682108E-2</v>
      </c>
      <c r="C22" s="426">
        <f>((+'q23'!C7)/(+'q23'!C$5))</f>
        <v>4.0476886936918116E-2</v>
      </c>
      <c r="D22" s="426">
        <f>((+'q23'!D7)/(+'q23'!D$5))</f>
        <v>4.9883135828475443E-2</v>
      </c>
      <c r="E22" s="426">
        <f>((+'q23'!E7)/(+'q23'!E$5))</f>
        <v>4.7405720668303591E-2</v>
      </c>
      <c r="F22" s="426">
        <f>((+'q23'!F7)/(+'q23'!F$5))</f>
        <v>5.4094800212758608E-2</v>
      </c>
      <c r="G22" s="426">
        <f>((+'q23'!G7)/(+'q23'!G$5))</f>
        <v>5.3383697406544174E-2</v>
      </c>
      <c r="H22" s="426">
        <f>((+'q23'!H7)/(+'q23'!H$5))</f>
        <v>5.2246503999865787E-2</v>
      </c>
      <c r="I22" s="426">
        <f>((+'q23'!I7)/(+'q23'!I$5))</f>
        <v>4.8300483784268052E-2</v>
      </c>
      <c r="J22" s="426">
        <f>((+'q23'!J7)/(+'q23'!J$5))</f>
        <v>4.9281970761298595E-2</v>
      </c>
      <c r="K22" s="426">
        <f>((+'q23'!K7)/(+'q23'!K$5))</f>
        <v>4.6096644814990859E-2</v>
      </c>
      <c r="L22" s="426">
        <f>((+'q23'!L7)/(+'q23'!L$5))</f>
        <v>4.5002451480673285E-2</v>
      </c>
      <c r="M22" s="409">
        <f t="shared" ref="M22:M29" si="1">+(L22-B22)*100</f>
        <v>0.43254503759911772</v>
      </c>
    </row>
    <row r="23" spans="1:33">
      <c r="A23" s="375" t="s">
        <v>236</v>
      </c>
      <c r="B23" s="426">
        <f>((+'q23'!$B$8)/(+'q23'!$B$5))</f>
        <v>0.41266025347509128</v>
      </c>
      <c r="C23" s="426">
        <f>((+'q23'!C8)/(+'q23'!C$5))</f>
        <v>0.4154374134823865</v>
      </c>
      <c r="D23" s="426">
        <f>((+'q23'!D8)/(+'q23'!D$5))</f>
        <v>0.40352703174338939</v>
      </c>
      <c r="E23" s="426">
        <f>((+'q23'!E8)/(+'q23'!E$5))</f>
        <v>0.40099973331739597</v>
      </c>
      <c r="F23" s="426">
        <f>((+'q23'!F8)/(+'q23'!F$5))</f>
        <v>0.38142965802411882</v>
      </c>
      <c r="G23" s="426">
        <f>((+'q23'!G8)/(+'q23'!G$5))</f>
        <v>0.34973777441516962</v>
      </c>
      <c r="H23" s="426">
        <f>((+'q23'!H8)/(+'q23'!H$5))</f>
        <v>0.3047288783372456</v>
      </c>
      <c r="I23" s="426">
        <f>((+'q23'!I8)/(+'q23'!I$5))</f>
        <v>0.2531356387744132</v>
      </c>
      <c r="J23" s="426">
        <f>((+'q23'!J8)/(+'q23'!J$5))</f>
        <v>0.18049801350942971</v>
      </c>
      <c r="K23" s="426">
        <f>((+'q23'!K8)/(+'q23'!K$5))</f>
        <v>8.5826826756775665E-2</v>
      </c>
      <c r="L23" s="426">
        <f>((+'q23'!L8)/(+'q23'!L$5))</f>
        <v>2.1342401356836686E-2</v>
      </c>
      <c r="M23" s="409">
        <f t="shared" si="1"/>
        <v>-39.131785211825459</v>
      </c>
      <c r="N23" s="483">
        <f>+L22+L23</f>
        <v>6.6344852837509974E-2</v>
      </c>
      <c r="O23" s="426">
        <f>+B22+B23</f>
        <v>0.45333725457977336</v>
      </c>
      <c r="P23" s="409">
        <f>+(N23-O23)*100</f>
        <v>-38.69924017422634</v>
      </c>
      <c r="R23" s="404" t="s">
        <v>467</v>
      </c>
    </row>
    <row r="24" spans="1:33">
      <c r="A24" s="375" t="s">
        <v>176</v>
      </c>
      <c r="B24" s="426">
        <f>((+'q23'!$B$9)/(+'q23'!$B$5))</f>
        <v>0.20826999246974159</v>
      </c>
      <c r="C24" s="426">
        <f>((+'q23'!C9)/(+'q23'!C$5))</f>
        <v>0.2063315156589938</v>
      </c>
      <c r="D24" s="426">
        <f>((+'q23'!D9)/(+'q23'!D$5))</f>
        <v>0.21093062463601492</v>
      </c>
      <c r="E24" s="426">
        <f>((+'q23'!E9)/(+'q23'!E$5))</f>
        <v>0.21344602640408894</v>
      </c>
      <c r="F24" s="426">
        <f>((+'q23'!F9)/(+'q23'!F$5))</f>
        <v>0.2224320177370212</v>
      </c>
      <c r="G24" s="426">
        <f>((+'q23'!G9)/(+'q23'!G$5))</f>
        <v>0.24184699121880837</v>
      </c>
      <c r="H24" s="426">
        <f>((+'q23'!H9)/(+'q23'!H$5))</f>
        <v>0.26438970023791075</v>
      </c>
      <c r="I24" s="426">
        <f>((+'q23'!I9)/(+'q23'!I$5))</f>
        <v>0.28995296541838378</v>
      </c>
      <c r="J24" s="426">
        <f>((+'q23'!J9)/(+'q23'!J$5))</f>
        <v>0.33281919008113237</v>
      </c>
      <c r="K24" s="426">
        <f>((+'q23'!K9)/(+'q23'!K$5))</f>
        <v>0.40031100693721788</v>
      </c>
      <c r="L24" s="426">
        <f>((+'q23'!L9)/(+'q23'!L$5))</f>
        <v>0.41175574414538019</v>
      </c>
      <c r="M24" s="409">
        <f t="shared" si="1"/>
        <v>20.348575167563858</v>
      </c>
      <c r="R24" s="404" t="s">
        <v>468</v>
      </c>
    </row>
    <row r="25" spans="1:33">
      <c r="A25" s="375" t="s">
        <v>177</v>
      </c>
      <c r="B25" s="426">
        <f>((+'q23'!$B$10)/(+'q23'!$B$5))</f>
        <v>0.16833188815865557</v>
      </c>
      <c r="C25" s="426">
        <f>((+'q23'!C10)/(+'q23'!C$5))</f>
        <v>0.16860362092577086</v>
      </c>
      <c r="D25" s="426">
        <f>((+'q23'!D10)/(+'q23'!D$5))</f>
        <v>0.16805000448580024</v>
      </c>
      <c r="E25" s="426">
        <f>((+'q23'!E10)/(+'q23'!E$5))</f>
        <v>0.17108266608274392</v>
      </c>
      <c r="F25" s="426">
        <f>((+'q23'!F10)/(+'q23'!F$5))</f>
        <v>0.17426058841477807</v>
      </c>
      <c r="G25" s="426">
        <f>((+'q23'!G10)/(+'q23'!G$5))</f>
        <v>0.18309823480271284</v>
      </c>
      <c r="H25" s="426">
        <f>((+'q23'!H10)/(+'q23'!H$5))</f>
        <v>0.19677308339480987</v>
      </c>
      <c r="I25" s="426">
        <f>((+'q23'!I10)/(+'q23'!I$5))</f>
        <v>0.21366197814011825</v>
      </c>
      <c r="J25" s="426">
        <f>((+'q23'!J10)/(+'q23'!J$5))</f>
        <v>0.22926383866314129</v>
      </c>
      <c r="K25" s="426">
        <f>((+'q23'!K10)/(+'q23'!K$5))</f>
        <v>0.24640756086765664</v>
      </c>
      <c r="L25" s="426">
        <f>((+'q23'!L10)/(+'q23'!L$5))</f>
        <v>0.27650387291860873</v>
      </c>
      <c r="M25" s="409">
        <f t="shared" si="1"/>
        <v>10.817198475995315</v>
      </c>
      <c r="AA25" s="405" t="s">
        <v>623</v>
      </c>
      <c r="AB25" s="405"/>
      <c r="AC25" s="405"/>
      <c r="AD25" s="405"/>
      <c r="AE25" s="405"/>
      <c r="AF25" s="405"/>
      <c r="AG25" s="405"/>
    </row>
    <row r="26" spans="1:33">
      <c r="A26" s="375" t="s">
        <v>178</v>
      </c>
      <c r="B26" s="426">
        <f>((+'q23'!$B$11)/(+'q23'!$B$5))</f>
        <v>0.10888575724100542</v>
      </c>
      <c r="C26" s="426">
        <f>((+'q23'!C11)/(+'q23'!C$5))</f>
        <v>0.10744449516559279</v>
      </c>
      <c r="D26" s="426">
        <f>((+'q23'!D11)/(+'q23'!D$5))</f>
        <v>0.10662150788230297</v>
      </c>
      <c r="E26" s="426">
        <f>((+'q23'!E11)/(+'q23'!E$5))</f>
        <v>0.10646562179987153</v>
      </c>
      <c r="F26" s="426">
        <f>((+'q23'!F11)/(+'q23'!F$5))</f>
        <v>0.10664549462239484</v>
      </c>
      <c r="G26" s="426">
        <f>((+'q23'!G11)/(+'q23'!G$5))</f>
        <v>0.11032658940694005</v>
      </c>
      <c r="H26" s="426">
        <f>((+'q23'!H11)/(+'q23'!H$5))</f>
        <v>0.11769757541434873</v>
      </c>
      <c r="I26" s="426">
        <f>((+'q23'!I11)/(+'q23'!I$5))</f>
        <v>0.12736964701666367</v>
      </c>
      <c r="J26" s="426">
        <f>((+'q23'!J11)/(+'q23'!J$5))</f>
        <v>0.13675455774592699</v>
      </c>
      <c r="K26" s="426">
        <f>((+'q23'!K11)/(+'q23'!K$5))</f>
        <v>0.14504629204660197</v>
      </c>
      <c r="L26" s="426">
        <f>((+'q23'!L11)/(+'q23'!L$5))</f>
        <v>0.15884584710756844</v>
      </c>
      <c r="M26" s="409">
        <f t="shared" si="1"/>
        <v>4.9960089866563013</v>
      </c>
    </row>
    <row r="27" spans="1:33">
      <c r="A27" s="375" t="s">
        <v>179</v>
      </c>
      <c r="B27" s="426">
        <f>((+'q23'!$B$12)/(+'q23'!$B$5))</f>
        <v>3.8109177757531962E-2</v>
      </c>
      <c r="C27" s="426">
        <f>((+'q23'!C12)/(+'q23'!C$5))</f>
        <v>3.8930744121562902E-2</v>
      </c>
      <c r="D27" s="426">
        <f>((+'q23'!D12)/(+'q23'!D$5))</f>
        <v>3.8366297482714112E-2</v>
      </c>
      <c r="E27" s="426">
        <f>((+'q23'!E12)/(+'q23'!E$5))</f>
        <v>3.8309885185856679E-2</v>
      </c>
      <c r="F27" s="426">
        <f>((+'q23'!F12)/(+'q23'!F$5))</f>
        <v>3.8479525390637356E-2</v>
      </c>
      <c r="G27" s="426">
        <f>((+'q23'!G12)/(+'q23'!G$5))</f>
        <v>3.9048886391427916E-2</v>
      </c>
      <c r="H27" s="426">
        <f>((+'q23'!H12)/(+'q23'!H$5))</f>
        <v>4.0913210869986109E-2</v>
      </c>
      <c r="I27" s="426">
        <f>((+'q23'!I12)/(+'q23'!I$5))</f>
        <v>4.3067998566565131E-2</v>
      </c>
      <c r="J27" s="426">
        <f>((+'q23'!J12)/(+'q23'!J$5))</f>
        <v>4.6109315665781622E-2</v>
      </c>
      <c r="K27" s="426">
        <f>((+'q23'!K12)/(+'q23'!K$5))</f>
        <v>4.8960871473792987E-2</v>
      </c>
      <c r="L27" s="426">
        <f>((+'q23'!L12)/(+'q23'!L$5))</f>
        <v>5.5147583345082206E-2</v>
      </c>
      <c r="M27" s="409">
        <f t="shared" si="1"/>
        <v>1.7038405587550245</v>
      </c>
    </row>
    <row r="28" spans="1:33">
      <c r="A28" s="375" t="s">
        <v>180</v>
      </c>
      <c r="B28" s="426">
        <f>((+'q23'!$B$13)/(+'q23'!$B$5))</f>
        <v>1.1288061426813895E-2</v>
      </c>
      <c r="C28" s="426">
        <f>((+'q23'!C13)/(+'q23'!C$5))</f>
        <v>1.1290069192932493E-2</v>
      </c>
      <c r="D28" s="426">
        <f>((+'q23'!D13)/(+'q23'!D$5))</f>
        <v>1.1010694873793437E-2</v>
      </c>
      <c r="E28" s="426">
        <f>((+'q23'!E13)/(+'q23'!E$5))</f>
        <v>1.1017356467254038E-2</v>
      </c>
      <c r="F28" s="426">
        <f>((+'q23'!F13)/(+'q23'!F$5))</f>
        <v>1.1287106838203699E-2</v>
      </c>
      <c r="G28" s="426">
        <f>((+'q23'!G13)/(+'q23'!G$5))</f>
        <v>1.1404151049066509E-2</v>
      </c>
      <c r="H28" s="426">
        <f>((+'q23'!H13)/(+'q23'!H$5))</f>
        <v>1.1988941934272794E-2</v>
      </c>
      <c r="I28" s="426">
        <f>((+'q23'!I13)/(+'q23'!I$5))</f>
        <v>1.2757122379501881E-2</v>
      </c>
      <c r="J28" s="426">
        <f>((+'q23'!J13)/(+'q23'!J$5))</f>
        <v>1.3377274252143367E-2</v>
      </c>
      <c r="K28" s="426">
        <f>((+'q23'!K13)/(+'q23'!K$5))</f>
        <v>1.4589697145407103E-2</v>
      </c>
      <c r="L28" s="426">
        <f>((+'q23'!L13)/(+'q23'!L$5))</f>
        <v>1.6623774522697764E-2</v>
      </c>
      <c r="M28" s="409">
        <f t="shared" si="1"/>
        <v>0.53357130958838694</v>
      </c>
    </row>
    <row r="29" spans="1:33">
      <c r="A29" s="375" t="s">
        <v>181</v>
      </c>
      <c r="B29" s="426">
        <f>((+'q23'!$B$14)/(+'q23'!$B$5))</f>
        <v>9.1943460789541583E-3</v>
      </c>
      <c r="C29" s="426">
        <f>((+'q23'!C14)/(+'q23'!C$5))</f>
        <v>9.0509920333708711E-3</v>
      </c>
      <c r="D29" s="426">
        <f>((+'q23'!D14)/(+'q23'!D$5))</f>
        <v>8.8626966556673813E-3</v>
      </c>
      <c r="E29" s="426">
        <f>((+'q23'!E14)/(+'q23'!E$5))</f>
        <v>8.8472330549823185E-3</v>
      </c>
      <c r="F29" s="426">
        <f>((+'q23'!F14)/(+'q23'!F$5))</f>
        <v>8.8821365012888634E-3</v>
      </c>
      <c r="G29" s="426">
        <f>((+'q23'!G14)/(+'q23'!G$5))</f>
        <v>9.0410484708080847E-3</v>
      </c>
      <c r="H29" s="426">
        <f>((+'q23'!H14)/(+'q23'!H$5))</f>
        <v>9.497385793097007E-3</v>
      </c>
      <c r="I29" s="426">
        <f>((+'q23'!I14)/(+'q23'!I$5))</f>
        <v>9.8669593262856112E-3</v>
      </c>
      <c r="J29" s="426">
        <f>((+'q23'!J14)/(+'q23'!J$5))</f>
        <v>1.0197687926443938E-2</v>
      </c>
      <c r="K29" s="426">
        <f>((+'q23'!K14)/(+'q23'!K$5))</f>
        <v>1.1025205012828354E-2</v>
      </c>
      <c r="L29" s="426">
        <f>((+'q23'!L14)/(+'q23'!L$5))</f>
        <v>1.3017046733849161E-2</v>
      </c>
      <c r="M29" s="409">
        <f t="shared" si="1"/>
        <v>0.38227006548950027</v>
      </c>
      <c r="R29" s="375" t="s">
        <v>587</v>
      </c>
      <c r="W29" s="375" t="s">
        <v>587</v>
      </c>
    </row>
    <row r="30" spans="1:33">
      <c r="A30" s="375" t="s">
        <v>12</v>
      </c>
      <c r="B30" s="425">
        <f>+'q23'!$B$5</f>
        <v>1910957</v>
      </c>
      <c r="C30" s="425">
        <f>+'q23'!$C$5</f>
        <v>1890511</v>
      </c>
      <c r="D30" s="425">
        <f>+'q23'!$D$5</f>
        <v>1928307</v>
      </c>
      <c r="E30" s="425">
        <f>+'q23'!$E$5</f>
        <v>1991131</v>
      </c>
      <c r="F30" s="425">
        <f>+'q23'!$F$5</f>
        <v>2054911</v>
      </c>
      <c r="G30" s="425">
        <f>+'q23'!$G$5</f>
        <v>2131943</v>
      </c>
      <c r="H30" s="425">
        <f>+'q23'!$H$5</f>
        <v>2205449</v>
      </c>
      <c r="I30" s="425">
        <f>+'q23'!$I$5</f>
        <v>2232400</v>
      </c>
      <c r="J30" s="425">
        <f>+'q23'!$J$5</f>
        <v>2164118</v>
      </c>
      <c r="K30" s="425">
        <f>+'q23'!$K$5</f>
        <v>2200594</v>
      </c>
      <c r="L30" s="425">
        <f>+'q23'!$L$5</f>
        <v>2376115</v>
      </c>
      <c r="Q30" s="375" t="s">
        <v>352</v>
      </c>
      <c r="R30" s="404">
        <f>+$L$5</f>
        <v>2022</v>
      </c>
      <c r="V30" s="375" t="s">
        <v>353</v>
      </c>
      <c r="W30" s="404">
        <f>+$L$20</f>
        <v>2022</v>
      </c>
    </row>
    <row r="31" spans="1:33">
      <c r="R31" s="404" t="s">
        <v>588</v>
      </c>
      <c r="W31" s="404" t="s">
        <v>592</v>
      </c>
    </row>
    <row r="32" spans="1:33" ht="12.75">
      <c r="H32" s="405" t="s">
        <v>590</v>
      </c>
      <c r="I32" s="405"/>
      <c r="J32" s="405"/>
      <c r="K32" s="405"/>
      <c r="L32" s="487"/>
      <c r="M32" s="405"/>
      <c r="N32" s="405"/>
      <c r="R32" s="404" t="s">
        <v>621</v>
      </c>
      <c r="W32" s="404" t="s">
        <v>622</v>
      </c>
      <c r="AA32" s="467" t="s">
        <v>593</v>
      </c>
    </row>
    <row r="33" spans="2:33">
      <c r="R33" s="404" t="str">
        <f>+TEXT(N8,"##.###,0%")</f>
        <v>34,9%</v>
      </c>
      <c r="W33" s="404" t="str">
        <f>+TEXT(N23,"##.###,0%")</f>
        <v>6,6%</v>
      </c>
      <c r="AA33" s="597" t="str">
        <f>W30&amp;" - "&amp;W31&amp;" "&amp;W32&amp;W33&amp;" ("&amp;W34&amp;" "&amp;W35&amp;" "&amp;W36&amp;"):"&amp;CHAR(10)&amp;W37&amp;W38&amp;" ("&amp;Y38&amp;" "&amp;W35&amp;" "&amp;W36&amp;")"&amp;CHAR(10)&amp;W39&amp;W40&amp;" ("&amp;Y40&amp;" "&amp;W35&amp;" "&amp;W36&amp;")."</f>
        <v>2022 - Proporção de TCO com remuneração Ganho: Igual à RMMG e &lt; 750 €:  6,6% (-38,7 p.p. face a 2012):
Igual à RMMG: 4,5% (+0,4 p.p. face a 2012)
Entre RMMG e &lt; 750 €: 2,1% (-39,1 p.p. face a 2012).</v>
      </c>
      <c r="AB33" s="597"/>
      <c r="AC33" s="597"/>
      <c r="AD33" s="597"/>
      <c r="AE33" s="597"/>
      <c r="AF33" s="597"/>
      <c r="AG33" s="597"/>
    </row>
    <row r="34" spans="2:33">
      <c r="R34" s="404" t="str">
        <f>IF(P8&gt;0,"+"&amp;TEXT(P8,"##.###,0 p.p."),TEXT(P8,"##.###,0 p.p."))</f>
        <v>-25,3 p.p.</v>
      </c>
      <c r="W34" s="404" t="str">
        <f>IF(P23&gt;0,"+"&amp;TEXT(P23,"##.###,0 p.p."),TEXT(P23,"##.###,0 p.p."))</f>
        <v>-38,7 p.p.</v>
      </c>
      <c r="AA34" s="597"/>
      <c r="AB34" s="597"/>
      <c r="AC34" s="597"/>
      <c r="AD34" s="597"/>
      <c r="AE34" s="597"/>
      <c r="AF34" s="597"/>
      <c r="AG34" s="597"/>
    </row>
    <row r="35" spans="2:33">
      <c r="R35" s="404" t="s">
        <v>589</v>
      </c>
      <c r="W35" s="404" t="s">
        <v>589</v>
      </c>
      <c r="AA35" s="597"/>
      <c r="AB35" s="597"/>
      <c r="AC35" s="597"/>
      <c r="AD35" s="597"/>
      <c r="AE35" s="597"/>
      <c r="AF35" s="597"/>
      <c r="AG35" s="597"/>
    </row>
    <row r="36" spans="2:33">
      <c r="R36" s="404">
        <f>+$B$5</f>
        <v>2012</v>
      </c>
      <c r="W36" s="404">
        <f>+$B$20</f>
        <v>2012</v>
      </c>
      <c r="AA36" s="597"/>
      <c r="AB36" s="597"/>
      <c r="AC36" s="597"/>
      <c r="AD36" s="597"/>
      <c r="AE36" s="597"/>
      <c r="AF36" s="597"/>
      <c r="AG36" s="597"/>
    </row>
    <row r="37" spans="2:33" ht="12.75">
      <c r="H37" s="467" t="s">
        <v>591</v>
      </c>
      <c r="J37" s="409"/>
      <c r="R37" s="404" t="s">
        <v>620</v>
      </c>
      <c r="W37" s="404" t="s">
        <v>620</v>
      </c>
    </row>
    <row r="38" spans="2:33">
      <c r="H38" s="597" t="str">
        <f>R30&amp;" - "&amp;R31&amp;" "&amp;R32&amp;R33&amp;" ("&amp;R34&amp;" "&amp;R35&amp;" "&amp;R36&amp;"):"&amp;CHAR(10)&amp;R37&amp;R38&amp;" ("&amp;T38&amp;" "&amp;R35&amp;" "&amp;R36&amp;")"&amp;CHAR(10)&amp;R39&amp;R40&amp;" ("&amp;T40&amp;" "&amp;R35&amp;" "&amp;R36&amp;")."</f>
        <v>2022 - Proporção de TCO com remuneração Base: Igual à RMMG e &lt; 750 €: 34,9% (-25,3 p.p. face a 2012):
Igual à RMMG: 23,3% (+8,9 p.p. face a 2012)
Entre RMMG e &lt; 750 €: 11,5% (-34,2 p.p. face a 2012).</v>
      </c>
      <c r="I38" s="597"/>
      <c r="J38" s="597"/>
      <c r="K38" s="597"/>
      <c r="L38" s="597"/>
      <c r="M38" s="597"/>
      <c r="N38" s="597"/>
      <c r="R38" s="483" t="str">
        <f>TEXT(L7,"##.###,0%")</f>
        <v>23,3%</v>
      </c>
      <c r="T38" s="404" t="str">
        <f>+IF(N7&gt;0,"+"&amp;TEXT(N7,"##.###,0 p.p."),TEXT(N7,"##.###,0 p.p."))</f>
        <v>+8,9 p.p.</v>
      </c>
      <c r="W38" s="483" t="str">
        <f>TEXT(L22,"##.###,0%")</f>
        <v>4,5%</v>
      </c>
      <c r="Y38" s="404" t="str">
        <f>+IF(M22&gt;0,"+"&amp;TEXT(M22,"##.##0,0 p.p."),TEXT(M22,"##.###,0 p.p."))</f>
        <v>+0,4 p.p.</v>
      </c>
    </row>
    <row r="39" spans="2:33">
      <c r="H39" s="597"/>
      <c r="I39" s="597"/>
      <c r="J39" s="597"/>
      <c r="K39" s="597"/>
      <c r="L39" s="597"/>
      <c r="M39" s="597"/>
      <c r="N39" s="597"/>
      <c r="R39" s="404" t="s">
        <v>619</v>
      </c>
      <c r="W39" s="404" t="s">
        <v>619</v>
      </c>
    </row>
    <row r="40" spans="2:33">
      <c r="H40" s="597"/>
      <c r="I40" s="597"/>
      <c r="J40" s="597"/>
      <c r="K40" s="597"/>
      <c r="L40" s="597"/>
      <c r="M40" s="597"/>
      <c r="N40" s="597"/>
      <c r="R40" s="483" t="str">
        <f>TEXT(L8,"##.###,0%")</f>
        <v>11,5%</v>
      </c>
      <c r="T40" s="404" t="str">
        <f>+IF(O7&gt;0,"+"&amp;TEXT(O7,"##.###,0 p.p."),TEXT(O7,"##.###,0 p.p."))</f>
        <v>-34,2 p.p.</v>
      </c>
      <c r="W40" s="483" t="str">
        <f>TEXT(L23,"##.###,0%")</f>
        <v>2,1%</v>
      </c>
      <c r="Y40" s="404" t="str">
        <f>+IF(M23&gt;0,"+"&amp;TEXT(M23,"##.###,0 p.p."),TEXT(M23,"##.###,0 p.p."))</f>
        <v>-39,1 p.p.</v>
      </c>
    </row>
    <row r="41" spans="2:33">
      <c r="H41" s="597"/>
      <c r="I41" s="597"/>
      <c r="J41" s="597"/>
      <c r="K41" s="597"/>
      <c r="L41" s="597"/>
      <c r="M41" s="597"/>
      <c r="N41" s="597"/>
    </row>
    <row r="43" spans="2:33">
      <c r="H43" s="405" t="s">
        <v>623</v>
      </c>
      <c r="I43" s="405"/>
      <c r="J43" s="405"/>
      <c r="K43" s="405"/>
      <c r="L43" s="405"/>
      <c r="M43" s="405"/>
      <c r="N43" s="405"/>
    </row>
    <row r="45" spans="2:33">
      <c r="B45" s="601"/>
      <c r="C45" s="601"/>
      <c r="D45" s="601"/>
      <c r="E45" s="601"/>
      <c r="F45" s="601"/>
      <c r="G45" s="601"/>
      <c r="H45" s="601"/>
      <c r="I45" s="601"/>
      <c r="J45" s="601"/>
      <c r="K45" s="601"/>
      <c r="L45" s="601"/>
      <c r="M45" s="601"/>
      <c r="N45" s="601"/>
      <c r="O45" s="601"/>
      <c r="P45" s="601"/>
      <c r="Q45" s="601"/>
      <c r="R45" s="601"/>
      <c r="S45" s="601"/>
      <c r="T45" s="601"/>
      <c r="U45" s="601"/>
      <c r="V45" s="601"/>
      <c r="W45" s="601"/>
    </row>
    <row r="47" spans="2:33">
      <c r="B47" s="426"/>
      <c r="C47" s="426"/>
      <c r="D47" s="426"/>
      <c r="E47" s="426"/>
      <c r="F47" s="426"/>
      <c r="G47" s="426"/>
      <c r="H47" s="426"/>
      <c r="I47" s="426"/>
      <c r="J47" s="426"/>
      <c r="K47" s="426"/>
      <c r="L47" s="426"/>
      <c r="M47" s="426"/>
      <c r="N47" s="426"/>
      <c r="O47" s="426"/>
      <c r="P47" s="426"/>
      <c r="Q47" s="426"/>
      <c r="R47" s="426"/>
      <c r="S47" s="426"/>
      <c r="T47" s="426"/>
      <c r="U47" s="426"/>
      <c r="V47" s="426"/>
      <c r="W47" s="426"/>
    </row>
    <row r="48" spans="2:33">
      <c r="B48" s="426"/>
      <c r="C48" s="426"/>
      <c r="D48" s="426"/>
      <c r="E48" s="426"/>
      <c r="F48" s="426"/>
      <c r="G48" s="426"/>
      <c r="H48" s="426"/>
      <c r="I48" s="426"/>
      <c r="J48" s="426"/>
      <c r="K48" s="426"/>
      <c r="L48" s="426"/>
      <c r="M48" s="426"/>
      <c r="N48" s="426"/>
      <c r="O48" s="426"/>
      <c r="P48" s="426"/>
      <c r="Q48" s="426"/>
      <c r="R48" s="426"/>
      <c r="S48" s="426"/>
      <c r="T48" s="426"/>
      <c r="U48" s="426"/>
      <c r="V48" s="426"/>
      <c r="W48" s="426"/>
    </row>
    <row r="49" spans="2:23">
      <c r="B49" s="426"/>
      <c r="C49" s="426"/>
      <c r="D49" s="426"/>
      <c r="E49" s="426"/>
      <c r="F49" s="426"/>
      <c r="G49" s="426"/>
      <c r="H49" s="426"/>
      <c r="I49" s="426"/>
      <c r="J49" s="426"/>
      <c r="K49" s="426"/>
      <c r="L49" s="426"/>
      <c r="M49" s="426"/>
      <c r="N49" s="426"/>
      <c r="O49" s="426"/>
      <c r="P49" s="426"/>
      <c r="Q49" s="426"/>
      <c r="R49" s="426"/>
      <c r="S49" s="426"/>
      <c r="T49" s="426"/>
      <c r="U49" s="426"/>
      <c r="V49" s="426"/>
      <c r="W49" s="426"/>
    </row>
    <row r="50" spans="2:23">
      <c r="B50" s="426"/>
      <c r="C50" s="426"/>
      <c r="D50" s="426"/>
      <c r="E50" s="426"/>
      <c r="F50" s="426"/>
      <c r="G50" s="426"/>
      <c r="H50" s="426"/>
      <c r="I50" s="426"/>
      <c r="J50" s="426"/>
      <c r="K50" s="426"/>
      <c r="L50" s="426"/>
      <c r="M50" s="426"/>
      <c r="N50" s="426"/>
      <c r="O50" s="426"/>
      <c r="P50" s="426"/>
      <c r="Q50" s="426"/>
      <c r="R50" s="426"/>
      <c r="S50" s="426"/>
      <c r="T50" s="426"/>
      <c r="U50" s="426"/>
      <c r="V50" s="426"/>
      <c r="W50" s="426"/>
    </row>
    <row r="51" spans="2:23">
      <c r="B51" s="426"/>
      <c r="C51" s="426"/>
      <c r="D51" s="426"/>
      <c r="E51" s="426"/>
      <c r="F51" s="426"/>
      <c r="G51" s="426"/>
      <c r="H51" s="426"/>
      <c r="I51" s="426"/>
      <c r="J51" s="426"/>
      <c r="K51" s="426"/>
      <c r="L51" s="426"/>
      <c r="M51" s="426"/>
      <c r="N51" s="426"/>
      <c r="O51" s="426"/>
      <c r="P51" s="426"/>
      <c r="Q51" s="426"/>
      <c r="R51" s="426"/>
      <c r="S51" s="426"/>
      <c r="T51" s="426"/>
      <c r="U51" s="426"/>
      <c r="V51" s="426"/>
      <c r="W51" s="426"/>
    </row>
    <row r="52" spans="2:23">
      <c r="B52" s="426"/>
      <c r="C52" s="426"/>
      <c r="D52" s="426"/>
      <c r="E52" s="426"/>
      <c r="F52" s="426"/>
      <c r="G52" s="426"/>
      <c r="H52" s="426"/>
      <c r="I52" s="426"/>
      <c r="J52" s="426"/>
      <c r="K52" s="426"/>
      <c r="L52" s="426"/>
      <c r="M52" s="426"/>
      <c r="N52" s="426"/>
      <c r="O52" s="426"/>
      <c r="P52" s="426"/>
      <c r="Q52" s="426"/>
      <c r="R52" s="426"/>
      <c r="S52" s="426"/>
      <c r="T52" s="426"/>
      <c r="U52" s="426"/>
      <c r="V52" s="426"/>
      <c r="W52" s="426"/>
    </row>
    <row r="53" spans="2:23">
      <c r="B53" s="426"/>
      <c r="C53" s="426"/>
      <c r="D53" s="426"/>
      <c r="E53" s="426"/>
      <c r="F53" s="426"/>
      <c r="G53" s="426"/>
      <c r="H53" s="426"/>
      <c r="I53" s="426"/>
      <c r="J53" s="426"/>
      <c r="K53" s="426"/>
      <c r="L53" s="426"/>
      <c r="M53" s="426"/>
      <c r="N53" s="426"/>
      <c r="O53" s="426"/>
      <c r="P53" s="426"/>
      <c r="Q53" s="426"/>
      <c r="R53" s="426"/>
      <c r="S53" s="426"/>
      <c r="T53" s="426"/>
      <c r="U53" s="426"/>
      <c r="V53" s="426"/>
      <c r="W53" s="426"/>
    </row>
    <row r="54" spans="2:23">
      <c r="B54" s="426"/>
      <c r="C54" s="426"/>
      <c r="D54" s="426"/>
      <c r="E54" s="426"/>
      <c r="F54" s="426"/>
      <c r="G54" s="426"/>
      <c r="H54" s="426"/>
      <c r="I54" s="426"/>
      <c r="J54" s="426"/>
      <c r="K54" s="426"/>
      <c r="L54" s="426"/>
      <c r="M54" s="426"/>
      <c r="N54" s="426"/>
      <c r="O54" s="426"/>
      <c r="P54" s="426"/>
      <c r="Q54" s="426"/>
      <c r="R54" s="426"/>
      <c r="S54" s="426"/>
      <c r="T54" s="426"/>
      <c r="U54" s="426"/>
      <c r="V54" s="426"/>
      <c r="W54" s="426"/>
    </row>
    <row r="55" spans="2:23">
      <c r="B55" s="426"/>
      <c r="C55" s="426"/>
      <c r="D55" s="426"/>
      <c r="E55" s="426"/>
      <c r="F55" s="426"/>
      <c r="G55" s="426"/>
      <c r="H55" s="426"/>
      <c r="I55" s="426"/>
      <c r="J55" s="426"/>
      <c r="K55" s="426"/>
      <c r="L55" s="426"/>
      <c r="M55" s="426"/>
      <c r="N55" s="426"/>
      <c r="O55" s="426"/>
      <c r="P55" s="426"/>
      <c r="Q55" s="426"/>
      <c r="R55" s="426"/>
      <c r="S55" s="426"/>
      <c r="T55" s="426"/>
      <c r="U55" s="426"/>
      <c r="V55" s="426"/>
      <c r="W55" s="426"/>
    </row>
  </sheetData>
  <mergeCells count="13">
    <mergeCell ref="H38:N41"/>
    <mergeCell ref="AA33:AG36"/>
    <mergeCell ref="D45:E45"/>
    <mergeCell ref="B45:C45"/>
    <mergeCell ref="V45:W45"/>
    <mergeCell ref="T45:U45"/>
    <mergeCell ref="R45:S45"/>
    <mergeCell ref="P45:Q45"/>
    <mergeCell ref="N45:O45"/>
    <mergeCell ref="L45:M45"/>
    <mergeCell ref="J45:K45"/>
    <mergeCell ref="H45:I45"/>
    <mergeCell ref="F45:G45"/>
  </mergeCells>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84EBB-F41A-44A1-96DB-6EC38392C073}">
  <sheetPr>
    <tabColor rgb="FFFFFF00"/>
  </sheetPr>
  <dimension ref="A1:U7"/>
  <sheetViews>
    <sheetView showGridLines="0" showRowColHeaders="0" zoomScaleNormal="100" workbookViewId="0">
      <selection sqref="A1:XFD1048576"/>
    </sheetView>
  </sheetViews>
  <sheetFormatPr defaultColWidth="9.140625" defaultRowHeight="12.75"/>
  <cols>
    <col min="1" max="16384" width="9.140625" style="555"/>
  </cols>
  <sheetData>
    <row r="1" spans="1:21">
      <c r="A1" s="557"/>
      <c r="B1" s="557"/>
      <c r="C1" s="557"/>
      <c r="D1" s="557"/>
      <c r="E1" s="557"/>
      <c r="F1" s="557"/>
      <c r="G1" s="557"/>
      <c r="H1" s="557"/>
      <c r="I1" s="557"/>
      <c r="J1" s="557"/>
      <c r="K1" s="557"/>
      <c r="L1" s="557"/>
      <c r="M1" s="557"/>
      <c r="N1" s="557"/>
      <c r="O1" s="557"/>
      <c r="P1" s="557"/>
      <c r="Q1" s="557"/>
      <c r="R1" s="557"/>
      <c r="S1" s="557"/>
      <c r="T1" s="557"/>
      <c r="U1" s="557"/>
    </row>
    <row r="2" spans="1:21">
      <c r="A2" s="557"/>
      <c r="B2" s="557"/>
      <c r="C2" s="557"/>
      <c r="D2" s="557"/>
      <c r="E2" s="557"/>
      <c r="F2" s="557"/>
      <c r="G2" s="557"/>
      <c r="H2" s="557"/>
      <c r="I2" s="557"/>
      <c r="J2" s="557"/>
      <c r="K2" s="557"/>
      <c r="L2" s="557"/>
      <c r="M2" s="557"/>
      <c r="N2" s="557"/>
      <c r="O2" s="557"/>
      <c r="P2" s="557"/>
      <c r="Q2" s="557"/>
      <c r="R2" s="557"/>
      <c r="S2" s="557"/>
      <c r="T2" s="557"/>
      <c r="U2" s="557"/>
    </row>
    <row r="3" spans="1:21">
      <c r="A3" s="557"/>
      <c r="B3" s="557"/>
      <c r="C3" s="557"/>
      <c r="D3" s="557"/>
      <c r="E3" s="557"/>
      <c r="F3" s="557"/>
      <c r="G3" s="557"/>
      <c r="H3" s="557"/>
      <c r="I3" s="557"/>
      <c r="J3" s="557"/>
      <c r="K3" s="557"/>
      <c r="L3" s="557"/>
      <c r="M3" s="557"/>
      <c r="N3" s="557"/>
      <c r="O3" s="557"/>
      <c r="P3" s="557"/>
      <c r="Q3" s="557"/>
      <c r="R3" s="557"/>
      <c r="S3" s="557"/>
      <c r="T3" s="557"/>
      <c r="U3" s="557"/>
    </row>
    <row r="4" spans="1:21">
      <c r="A4" s="557"/>
      <c r="B4" s="557"/>
      <c r="C4" s="557"/>
      <c r="D4" s="557"/>
      <c r="E4" s="557"/>
      <c r="F4" s="557"/>
      <c r="G4" s="557"/>
      <c r="H4" s="557"/>
      <c r="I4" s="557"/>
      <c r="J4" s="557"/>
      <c r="K4" s="557"/>
      <c r="L4" s="557"/>
      <c r="M4" s="557"/>
      <c r="N4" s="557"/>
      <c r="O4" s="557"/>
      <c r="P4" s="557"/>
      <c r="Q4" s="557"/>
      <c r="R4" s="557"/>
      <c r="S4" s="557"/>
      <c r="T4" s="557"/>
      <c r="U4" s="557"/>
    </row>
    <row r="5" spans="1:21" ht="213.75" customHeight="1">
      <c r="A5" s="572" t="s">
        <v>729</v>
      </c>
      <c r="B5" s="572"/>
      <c r="C5" s="572"/>
      <c r="D5" s="572"/>
      <c r="E5" s="572"/>
      <c r="F5" s="572"/>
      <c r="G5" s="572"/>
      <c r="H5" s="572"/>
      <c r="I5" s="572"/>
      <c r="J5" s="572"/>
      <c r="K5" s="572"/>
      <c r="L5" s="572"/>
      <c r="M5" s="572"/>
      <c r="N5" s="572"/>
      <c r="O5" s="572"/>
      <c r="P5" s="572"/>
      <c r="Q5" s="572"/>
      <c r="R5" s="572"/>
      <c r="S5" s="572"/>
      <c r="T5" s="572"/>
      <c r="U5" s="572"/>
    </row>
    <row r="6" spans="1:21" ht="304.5" customHeight="1">
      <c r="A6" s="573" t="s">
        <v>542</v>
      </c>
      <c r="B6" s="573"/>
      <c r="C6" s="573"/>
      <c r="D6" s="573"/>
      <c r="E6" s="573"/>
      <c r="F6" s="573"/>
      <c r="G6" s="573"/>
      <c r="H6" s="573"/>
      <c r="I6" s="573"/>
      <c r="J6" s="573"/>
      <c r="K6" s="573"/>
      <c r="L6" s="573"/>
      <c r="M6" s="573"/>
      <c r="N6" s="573"/>
      <c r="O6" s="573"/>
      <c r="P6" s="573"/>
      <c r="Q6" s="573"/>
      <c r="R6" s="573"/>
      <c r="S6" s="573"/>
      <c r="T6" s="573"/>
      <c r="U6" s="573"/>
    </row>
    <row r="7" spans="1:21" ht="273.75" customHeight="1">
      <c r="A7" s="573" t="s">
        <v>608</v>
      </c>
      <c r="B7" s="573"/>
      <c r="C7" s="573"/>
      <c r="D7" s="573"/>
      <c r="E7" s="573"/>
      <c r="F7" s="573"/>
      <c r="G7" s="573"/>
      <c r="H7" s="573"/>
      <c r="I7" s="573"/>
      <c r="J7" s="573"/>
      <c r="K7" s="573"/>
      <c r="L7" s="573"/>
      <c r="M7" s="573"/>
      <c r="N7" s="573"/>
      <c r="O7" s="573"/>
      <c r="P7" s="573"/>
      <c r="Q7" s="573"/>
      <c r="R7" s="573"/>
      <c r="S7" s="573"/>
      <c r="T7" s="573"/>
      <c r="U7" s="573"/>
    </row>
  </sheetData>
  <sheetProtection algorithmName="SHA-512" hashValue="88MYwndMzwuQF6wdroJKq8Nx9eBi1LCuAPCp5I8Agb1JtrxHLL6TpLtLZ5zZLn1ThhkAxLALeWpbKkaMbJfV9Q==" saltValue="/62dUuHAx/XPaJLK0VjFmw==" spinCount="100000" sheet="1" objects="1" scenarios="1" selectLockedCells="1" selectUnlockedCells="1"/>
  <mergeCells count="3">
    <mergeCell ref="A5:U5"/>
    <mergeCell ref="A6:U6"/>
    <mergeCell ref="A7:U7"/>
  </mergeCells>
  <printOptions horizontalCentered="1" verticalCentered="1"/>
  <pageMargins left="0.19685039370078741" right="0.19685039370078741" top="0.19685039370078741" bottom="0.19685039370078741" header="0.19685039370078741" footer="0.19685039370078741"/>
  <pageSetup paperSize="9" scale="65" orientation="landscape" horizontalDpi="1200" verticalDpi="12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65479-BC5B-4E0A-87F1-5B9C49C3649E}">
  <dimension ref="A2:AH84"/>
  <sheetViews>
    <sheetView showGridLines="0" topLeftCell="K61" zoomScale="120" zoomScaleNormal="120" workbookViewId="0">
      <selection activeCell="AK18" sqref="AK18"/>
    </sheetView>
  </sheetViews>
  <sheetFormatPr defaultRowHeight="12.75"/>
  <cols>
    <col min="1" max="1" width="31.5703125" bestFit="1" customWidth="1"/>
    <col min="2" max="2" width="11.42578125" bestFit="1" customWidth="1"/>
    <col min="3" max="12" width="9.42578125" bestFit="1" customWidth="1"/>
  </cols>
  <sheetData>
    <row r="2" spans="1:34">
      <c r="AA2" s="334"/>
    </row>
    <row r="3" spans="1:34">
      <c r="A3" s="334" t="s">
        <v>474</v>
      </c>
    </row>
    <row r="4" spans="1:34">
      <c r="B4" s="404">
        <f>+'q15'!$B$4</f>
        <v>2012</v>
      </c>
      <c r="C4" s="404">
        <f>+'q15'!$C$4</f>
        <v>2013</v>
      </c>
      <c r="D4" s="404">
        <f>+'q15'!$D$4</f>
        <v>2014</v>
      </c>
      <c r="E4" s="404">
        <f>+'q15'!$E$4</f>
        <v>2015</v>
      </c>
      <c r="F4" s="404">
        <f>+'q15'!$F$4</f>
        <v>2016</v>
      </c>
      <c r="G4" s="404">
        <f>+'q15'!$G$4</f>
        <v>2017</v>
      </c>
      <c r="H4" s="404">
        <f>+'q15'!$H$4</f>
        <v>2018</v>
      </c>
      <c r="I4" s="404">
        <f>+'q15'!$I$4</f>
        <v>2019</v>
      </c>
      <c r="J4" s="404">
        <f>+'q15'!$J$4</f>
        <v>2020</v>
      </c>
      <c r="K4" s="404">
        <f>+'q15'!$K$4</f>
        <v>2021</v>
      </c>
      <c r="L4" s="404">
        <f>+'q15'!$L$4</f>
        <v>2022</v>
      </c>
    </row>
    <row r="5" spans="1:34">
      <c r="A5" t="s">
        <v>12</v>
      </c>
      <c r="B5" s="413">
        <f>+'q15'!$B$5</f>
        <v>2387386</v>
      </c>
      <c r="C5" s="413">
        <f>+'q15'!$C$5</f>
        <v>2384121</v>
      </c>
      <c r="D5" s="413">
        <f>+'q15'!$D$5</f>
        <v>2458163</v>
      </c>
      <c r="E5" s="413">
        <f>+'q15'!$E$5</f>
        <v>2537653</v>
      </c>
      <c r="F5" s="413">
        <f>+'q15'!$F$5</f>
        <v>2641919</v>
      </c>
      <c r="G5" s="413">
        <f>+'q15'!$G$5</f>
        <v>2767521</v>
      </c>
      <c r="H5" s="413">
        <f>+'q15'!$H$5</f>
        <v>2877918</v>
      </c>
      <c r="I5" s="413">
        <f>+'q15'!$I$5</f>
        <v>2930482</v>
      </c>
      <c r="J5" s="413">
        <f>+'q15'!$J$5</f>
        <v>2902825</v>
      </c>
      <c r="K5" s="413">
        <f>+'q15'!$K$5</f>
        <v>2922343</v>
      </c>
      <c r="L5" s="413">
        <f>+'q15'!$L$5</f>
        <v>3148147</v>
      </c>
      <c r="M5" s="496" t="str">
        <f>+"%"&amp;L4</f>
        <v>%2022</v>
      </c>
      <c r="N5" s="496" t="str">
        <f>+"%"&amp;B4</f>
        <v>%2012</v>
      </c>
      <c r="O5" s="335" t="str">
        <f>+L4&amp;" - "&amp;B4</f>
        <v>2022 - 2012</v>
      </c>
    </row>
    <row r="6" spans="1:34">
      <c r="A6" t="s">
        <v>246</v>
      </c>
      <c r="B6" s="413">
        <f>+'q15'!$B$6</f>
        <v>1775773</v>
      </c>
      <c r="C6" s="413">
        <f>+'q15'!$C$6</f>
        <v>1752648</v>
      </c>
      <c r="D6" s="413">
        <f>+'q15'!$D$6</f>
        <v>1802130</v>
      </c>
      <c r="E6" s="413">
        <f>+'q15'!$E$6</f>
        <v>1855203</v>
      </c>
      <c r="F6" s="413">
        <f>+'q15'!$F$6</f>
        <v>1911498</v>
      </c>
      <c r="G6" s="413">
        <f>+'q15'!$G$6</f>
        <v>1975887</v>
      </c>
      <c r="H6" s="413">
        <f>+'q15'!$H$6</f>
        <v>2073822</v>
      </c>
      <c r="I6" s="413">
        <f>+'q15'!$I$6</f>
        <v>2078465</v>
      </c>
      <c r="J6" s="413">
        <f>+'q15'!$J$6</f>
        <v>2014412</v>
      </c>
      <c r="K6" s="413">
        <f>+'q15'!$K$6</f>
        <v>2031422</v>
      </c>
      <c r="L6" s="413">
        <f>+'q15'!$L$6</f>
        <v>2174986</v>
      </c>
      <c r="M6" s="478">
        <f>+L6/$L$5</f>
        <v>0.6908781578496811</v>
      </c>
      <c r="N6" s="479">
        <f>+B6/$B$5</f>
        <v>0.74381478319802496</v>
      </c>
      <c r="O6" s="478">
        <f>+M6-N6</f>
        <v>-5.2936625348343869E-2</v>
      </c>
      <c r="P6" s="404" t="str">
        <f>+A6</f>
        <v>Contrato Coletivo de Trabalho (CCT)</v>
      </c>
    </row>
    <row r="7" spans="1:34">
      <c r="A7" t="s">
        <v>247</v>
      </c>
      <c r="B7" s="413">
        <f>+'q15'!$B$7</f>
        <v>97097</v>
      </c>
      <c r="C7" s="413">
        <f>+'q15'!$C$7</f>
        <v>97694</v>
      </c>
      <c r="D7" s="413">
        <f>+'q15'!$D$7</f>
        <v>97038</v>
      </c>
      <c r="E7" s="413">
        <f>+'q15'!$E$7</f>
        <v>99532</v>
      </c>
      <c r="F7" s="413">
        <f>+'q15'!$F$7</f>
        <v>101183</v>
      </c>
      <c r="G7" s="413">
        <f>+'q15'!$G$7</f>
        <v>106693</v>
      </c>
      <c r="H7" s="413">
        <f>+'q15'!$H$7</f>
        <v>109690</v>
      </c>
      <c r="I7" s="413">
        <f>+'q15'!$I$7</f>
        <v>104297</v>
      </c>
      <c r="J7" s="413">
        <f>+'q15'!$J$7</f>
        <v>118636</v>
      </c>
      <c r="K7" s="413">
        <f>+'q15'!$K$7</f>
        <v>118983</v>
      </c>
      <c r="L7" s="413">
        <f>+'q15'!$L$7</f>
        <v>122759</v>
      </c>
      <c r="M7" s="479">
        <f t="shared" ref="M7:M10" si="0">+L7/$L$5</f>
        <v>3.8994049515476879E-2</v>
      </c>
      <c r="N7" s="479">
        <f t="shared" ref="N7:N9" si="1">+B7/$B$5</f>
        <v>4.0670842503055644E-2</v>
      </c>
      <c r="O7" s="479">
        <f t="shared" ref="O7:O10" si="2">+M7-N7</f>
        <v>-1.6767929875787652E-3</v>
      </c>
      <c r="P7" s="404" t="str">
        <f t="shared" ref="P7:P10" si="3">+A7</f>
        <v>Acordo Coletivo de Trabalho (ACT)</v>
      </c>
    </row>
    <row r="8" spans="1:34">
      <c r="A8" s="334" t="s">
        <v>473</v>
      </c>
      <c r="B8" s="413">
        <f>+'q15'!$B$8</f>
        <v>186893</v>
      </c>
      <c r="C8" s="413">
        <f>+'q15'!$C$8</f>
        <v>194848</v>
      </c>
      <c r="D8" s="413">
        <f>+'q15'!$D$8</f>
        <v>205896</v>
      </c>
      <c r="E8" s="413">
        <f>+'q15'!$E$8</f>
        <v>212238</v>
      </c>
      <c r="F8" s="413">
        <f>+'q15'!$F$8</f>
        <v>219677</v>
      </c>
      <c r="G8" s="413">
        <f>+'q15'!$G$8</f>
        <v>226793</v>
      </c>
      <c r="H8" s="413">
        <f>+'q15'!$H$8</f>
        <v>211503</v>
      </c>
      <c r="I8" s="413">
        <f>+'q15'!$I$8</f>
        <v>219272</v>
      </c>
      <c r="J8" s="413">
        <f>+'q15'!$J$8</f>
        <v>221568</v>
      </c>
      <c r="K8" s="413">
        <f>+'q15'!$K$8</f>
        <v>214401</v>
      </c>
      <c r="L8" s="413">
        <f>+'q15'!$L$8</f>
        <v>232081</v>
      </c>
      <c r="M8" s="479">
        <f t="shared" si="0"/>
        <v>7.3719873944895209E-2</v>
      </c>
      <c r="N8" s="479">
        <f t="shared" si="1"/>
        <v>7.8283528511937317E-2</v>
      </c>
      <c r="O8" s="479">
        <f t="shared" si="2"/>
        <v>-4.563654567042108E-3</v>
      </c>
      <c r="P8" s="404" t="str">
        <f t="shared" si="3"/>
        <v>Portaria de Cond. de Trabalho (PCT)</v>
      </c>
      <c r="AA8" s="334"/>
      <c r="AE8" s="354"/>
      <c r="AF8" s="354"/>
      <c r="AG8" s="354"/>
      <c r="AH8" s="354"/>
    </row>
    <row r="9" spans="1:34">
      <c r="A9" t="s">
        <v>44</v>
      </c>
      <c r="B9" s="413">
        <f>+'q15'!$B$9</f>
        <v>82486</v>
      </c>
      <c r="C9" s="413">
        <f>+'q15'!$C$9</f>
        <v>80074</v>
      </c>
      <c r="D9" s="413">
        <f>+'q15'!$D$9</f>
        <v>80029</v>
      </c>
      <c r="E9" s="413">
        <f>+'q15'!$E$9</f>
        <v>78163</v>
      </c>
      <c r="F9" s="413">
        <f>+'q15'!$F$9</f>
        <v>79933</v>
      </c>
      <c r="G9" s="413">
        <f>+'q15'!$G$9</f>
        <v>85752</v>
      </c>
      <c r="H9" s="413">
        <f>+'q15'!$H$9</f>
        <v>86043</v>
      </c>
      <c r="I9" s="413">
        <f>+'q15'!$I$9</f>
        <v>91984</v>
      </c>
      <c r="J9" s="413">
        <f>+'q15'!$J$9</f>
        <v>90179</v>
      </c>
      <c r="K9" s="413">
        <f>+'q15'!$K$9</f>
        <v>89882</v>
      </c>
      <c r="L9" s="413">
        <f>+'q15'!$L$9</f>
        <v>92151</v>
      </c>
      <c r="M9" s="479">
        <f t="shared" si="0"/>
        <v>2.9271504793137042E-2</v>
      </c>
      <c r="N9" s="479">
        <f t="shared" si="1"/>
        <v>3.4550759701196206E-2</v>
      </c>
      <c r="O9" s="479">
        <f t="shared" si="2"/>
        <v>-5.2792549080591632E-3</v>
      </c>
      <c r="P9" s="404" t="str">
        <f t="shared" si="3"/>
        <v>Acordo de Empresa (AE)</v>
      </c>
      <c r="AE9" s="354"/>
      <c r="AF9" s="354"/>
      <c r="AG9" s="354"/>
      <c r="AH9" s="354"/>
    </row>
    <row r="10" spans="1:34">
      <c r="A10" s="404" t="s">
        <v>475</v>
      </c>
      <c r="B10" s="413">
        <f>+'q15'!$B$10</f>
        <v>245137</v>
      </c>
      <c r="C10" s="413">
        <f>+'q15'!$C$10</f>
        <v>258857</v>
      </c>
      <c r="D10" s="413">
        <f>+'q15'!$D$10</f>
        <v>273070</v>
      </c>
      <c r="E10" s="413">
        <f>+'q15'!$E$10</f>
        <v>292517</v>
      </c>
      <c r="F10" s="413">
        <f>+'q15'!$F$10</f>
        <v>329628</v>
      </c>
      <c r="G10" s="413">
        <f>+'q15'!$G$10</f>
        <v>372396</v>
      </c>
      <c r="H10" s="413">
        <f>+'q15'!$H$10</f>
        <v>396860</v>
      </c>
      <c r="I10" s="413">
        <f>+'q15'!$I$10</f>
        <v>436464</v>
      </c>
      <c r="J10" s="413">
        <f>+'q15'!$J$10</f>
        <v>458030</v>
      </c>
      <c r="K10" s="413">
        <f>+'q15'!$K$10</f>
        <v>467655</v>
      </c>
      <c r="L10" s="413">
        <f>+'q15'!$L$10</f>
        <v>526170</v>
      </c>
      <c r="M10" s="478">
        <f t="shared" si="0"/>
        <v>0.16713641389680978</v>
      </c>
      <c r="N10" s="479">
        <f>+B10/$B$5</f>
        <v>0.10268008608578588</v>
      </c>
      <c r="O10" s="478">
        <f t="shared" si="2"/>
        <v>6.4456327811023895E-2</v>
      </c>
      <c r="P10" s="404" t="str">
        <f t="shared" si="3"/>
        <v>Não Abrangidos por Regulamentação Coletiva</v>
      </c>
      <c r="AE10" s="354"/>
      <c r="AF10" s="354"/>
      <c r="AG10" s="354"/>
      <c r="AH10" s="354"/>
    </row>
    <row r="11" spans="1:34">
      <c r="AE11" s="354"/>
      <c r="AF11" s="354"/>
      <c r="AG11" s="354"/>
      <c r="AH11" s="354"/>
    </row>
    <row r="12" spans="1:34">
      <c r="AA12" s="334"/>
      <c r="AE12" s="354"/>
      <c r="AF12" s="354"/>
      <c r="AG12" s="354"/>
      <c r="AH12" s="354"/>
    </row>
    <row r="13" spans="1:34">
      <c r="A13" s="334" t="s">
        <v>340</v>
      </c>
      <c r="N13" s="368">
        <f>+M6+M10</f>
        <v>0.85801457174649087</v>
      </c>
      <c r="AA13" s="479"/>
      <c r="AE13" s="354"/>
      <c r="AF13" s="354"/>
      <c r="AG13" s="354"/>
      <c r="AH13" s="354"/>
    </row>
    <row r="14" spans="1:34">
      <c r="B14" s="404">
        <f>+'q15'!$B$4</f>
        <v>2012</v>
      </c>
      <c r="C14" s="404">
        <f>+'q15'!$C$4</f>
        <v>2013</v>
      </c>
      <c r="D14" s="404">
        <f>+'q15'!$D$4</f>
        <v>2014</v>
      </c>
      <c r="E14" s="404">
        <f>+'q15'!$E$4</f>
        <v>2015</v>
      </c>
      <c r="F14" s="404">
        <f>+'q15'!$F$4</f>
        <v>2016</v>
      </c>
      <c r="G14" s="404">
        <f>+'q15'!$G$4</f>
        <v>2017</v>
      </c>
      <c r="H14" s="404">
        <f>+'q15'!$H$4</f>
        <v>2018</v>
      </c>
      <c r="I14" s="404">
        <f>+'q15'!$I$4</f>
        <v>2019</v>
      </c>
      <c r="J14" s="404">
        <f>+'q15'!$J$4</f>
        <v>2020</v>
      </c>
      <c r="K14" s="404">
        <f>+'q15'!$K$4</f>
        <v>2021</v>
      </c>
      <c r="L14" s="404">
        <f>+'q15'!$L$4</f>
        <v>2022</v>
      </c>
      <c r="R14" s="334"/>
      <c r="AE14" s="354"/>
      <c r="AF14" s="354"/>
      <c r="AG14" s="354"/>
      <c r="AH14" s="354"/>
    </row>
    <row r="15" spans="1:34">
      <c r="A15" t="s">
        <v>12</v>
      </c>
      <c r="B15" s="414">
        <f>+'q22'!$B$5</f>
        <v>915.01247006081212</v>
      </c>
      <c r="C15" s="414">
        <f>+'q22'!$C$5</f>
        <v>912.18298170177309</v>
      </c>
      <c r="D15" s="414">
        <f>+'q22'!$D$5</f>
        <v>909.49144915721399</v>
      </c>
      <c r="E15" s="414">
        <f>+'q22'!$E$5</f>
        <v>913.92544791377406</v>
      </c>
      <c r="F15" s="414">
        <f>+'q22'!$F$5</f>
        <v>924.9392153090821</v>
      </c>
      <c r="G15" s="414">
        <f>+'q22'!$G$5</f>
        <v>943.00107511786211</v>
      </c>
      <c r="H15" s="414">
        <f>+'q22'!$H$5</f>
        <v>970.41689676342503</v>
      </c>
      <c r="I15" s="414">
        <f>+'q22'!$I$5</f>
        <v>1005.08927925103</v>
      </c>
      <c r="J15" s="414">
        <f>+'q22'!$J$5</f>
        <v>1041.9948771786001</v>
      </c>
      <c r="K15" s="414">
        <f>+'q22'!$K$5</f>
        <v>1082.7724697513502</v>
      </c>
      <c r="L15" s="414">
        <f>+'q22'!$L$5</f>
        <v>1143.44558285689</v>
      </c>
    </row>
    <row r="16" spans="1:34">
      <c r="A16" t="s">
        <v>246</v>
      </c>
      <c r="B16" s="414">
        <f>+'q22'!$B$6</f>
        <v>815.73128304117904</v>
      </c>
      <c r="C16" s="414">
        <f>+'q22'!$C$6</f>
        <v>813.4881747481711</v>
      </c>
      <c r="D16" s="414">
        <f>+'q22'!$D$6</f>
        <v>814.02083717980508</v>
      </c>
      <c r="E16" s="414">
        <f>+'q22'!$E$6</f>
        <v>822.04129906714195</v>
      </c>
      <c r="F16" s="414">
        <f>+'q22'!$F$6</f>
        <v>834.10363666816204</v>
      </c>
      <c r="G16" s="414">
        <f>+'q22'!$G$6</f>
        <v>851.63060290086014</v>
      </c>
      <c r="H16" s="414">
        <f>+'q22'!$H$6</f>
        <v>878.73251009240107</v>
      </c>
      <c r="I16" s="414">
        <f>+'q22'!$I$6</f>
        <v>910.69524433091101</v>
      </c>
      <c r="J16" s="414">
        <f>+'q22'!$J$6</f>
        <v>946.92533128891898</v>
      </c>
      <c r="K16" s="414">
        <f>+'q22'!$K$6</f>
        <v>985.25969996655317</v>
      </c>
      <c r="L16" s="414">
        <f>+'q22'!$L$6</f>
        <v>1034.9080896734201</v>
      </c>
      <c r="M16" s="438">
        <f>+L16/L15*100</f>
        <v>90.507856708642848</v>
      </c>
      <c r="N16" s="439">
        <f>+L16-L15</f>
        <v>-108.53749318346991</v>
      </c>
      <c r="O16" s="368">
        <f>+(L16/B16-1)*100</f>
        <v>26.868750921886232</v>
      </c>
    </row>
    <row r="17" spans="1:27">
      <c r="A17" t="s">
        <v>247</v>
      </c>
      <c r="B17" s="414">
        <f>+'q22'!$B$7</f>
        <v>1376.0270876395</v>
      </c>
      <c r="C17" s="414">
        <f>+'q22'!$C$7</f>
        <v>1378.6244393776801</v>
      </c>
      <c r="D17" s="414">
        <f>+'q22'!$D$7</f>
        <v>1355.4958168956603</v>
      </c>
      <c r="E17" s="414">
        <f>+'q22'!$E$7</f>
        <v>1369.2197336380902</v>
      </c>
      <c r="F17" s="414">
        <f>+'q22'!$F$7</f>
        <v>1380.3391355302501</v>
      </c>
      <c r="G17" s="414">
        <f>+'q22'!$G$7</f>
        <v>1384.8914383662</v>
      </c>
      <c r="H17" s="414">
        <f>+'q22'!$H$7</f>
        <v>1383.0974336944701</v>
      </c>
      <c r="I17" s="414">
        <f>+'q22'!$I$7</f>
        <v>1377.83383152794</v>
      </c>
      <c r="J17" s="414">
        <f>+'q22'!$J$7</f>
        <v>1398.0384962477801</v>
      </c>
      <c r="K17" s="414">
        <f>+'q22'!$K$7</f>
        <v>1401.2704292384501</v>
      </c>
      <c r="L17" s="414">
        <f>+'q22'!$L$7</f>
        <v>1434.7019205004801</v>
      </c>
      <c r="O17" s="368">
        <f t="shared" ref="O17:O20" si="4">+(L17/B17-1)*100</f>
        <v>4.264075423226843</v>
      </c>
      <c r="AA17" s="467"/>
    </row>
    <row r="18" spans="1:27">
      <c r="A18" s="334" t="s">
        <v>473</v>
      </c>
      <c r="B18" s="414">
        <f>+'q22'!$B$8</f>
        <v>1003.3186551071301</v>
      </c>
      <c r="C18" s="414">
        <f>+'q22'!$C$8</f>
        <v>977.849031240415</v>
      </c>
      <c r="D18" s="414">
        <f>+'q22'!$D$8</f>
        <v>972.19149983404202</v>
      </c>
      <c r="E18" s="414">
        <f>+'q22'!$E$8</f>
        <v>967.53260618618606</v>
      </c>
      <c r="F18" s="414">
        <f>+'q22'!$F$8</f>
        <v>971.00655059601308</v>
      </c>
      <c r="G18" s="414">
        <f>+'q22'!$G$8</f>
        <v>992.05088961973115</v>
      </c>
      <c r="H18" s="414">
        <f>+'q22'!$H$8</f>
        <v>1032.1050968847201</v>
      </c>
      <c r="I18" s="414">
        <f>+'q22'!$I$8</f>
        <v>1074.6061146719401</v>
      </c>
      <c r="J18" s="414">
        <f>+'q22'!$J$8</f>
        <v>1119.85925536184</v>
      </c>
      <c r="K18" s="414">
        <f>+'q22'!$K$8</f>
        <v>1179.74805091185</v>
      </c>
      <c r="L18" s="414">
        <f>+'q22'!$L$8</f>
        <v>1261.6534208195703</v>
      </c>
      <c r="O18" s="368">
        <f t="shared" si="4"/>
        <v>25.748027747461389</v>
      </c>
    </row>
    <row r="19" spans="1:27">
      <c r="A19" t="s">
        <v>44</v>
      </c>
      <c r="B19" s="414">
        <f>+'q22'!$B$9</f>
        <v>1435.5730436060301</v>
      </c>
      <c r="C19" s="414">
        <f>+'q22'!$C$9</f>
        <v>1450.62996858208</v>
      </c>
      <c r="D19" s="414">
        <f>+'q22'!$D$9</f>
        <v>1444.7042007547402</v>
      </c>
      <c r="E19" s="414">
        <f>+'q22'!$E$9</f>
        <v>1449.0004375586902</v>
      </c>
      <c r="F19" s="414">
        <f>+'q22'!$F$9</f>
        <v>1443.0238781438302</v>
      </c>
      <c r="G19" s="414">
        <f>+'q22'!$G$9</f>
        <v>1460.9444853935702</v>
      </c>
      <c r="H19" s="414">
        <f>+'q22'!$H$9</f>
        <v>1499.23372940582</v>
      </c>
      <c r="I19" s="414">
        <f>+'q22'!$I$9</f>
        <v>1520.6541635813298</v>
      </c>
      <c r="J19" s="414">
        <f>+'q22'!$J$9</f>
        <v>1451.8981710683702</v>
      </c>
      <c r="K19" s="414">
        <f>+'q22'!$K$9</f>
        <v>1476.8648039653601</v>
      </c>
      <c r="L19" s="414">
        <f>+'q22'!$L$9</f>
        <v>1594.67102138462</v>
      </c>
      <c r="O19" s="368">
        <f t="shared" si="4"/>
        <v>11.082541462254692</v>
      </c>
    </row>
    <row r="20" spans="1:27">
      <c r="A20" s="404" t="s">
        <v>475</v>
      </c>
      <c r="B20" s="414">
        <f>+'q22'!$B$10</f>
        <v>1145.50271467018</v>
      </c>
      <c r="C20" s="414">
        <f>+'q22'!$C$10</f>
        <v>1130.79594059595</v>
      </c>
      <c r="D20" s="414">
        <f>+'q22'!$D$10</f>
        <v>1121.3991062045302</v>
      </c>
      <c r="E20" s="414">
        <f>+'q22'!$E$10</f>
        <v>1104.3485605287301</v>
      </c>
      <c r="F20" s="414">
        <f>+'q22'!$F$10</f>
        <v>1107.4664177878999</v>
      </c>
      <c r="G20" s="414">
        <f>+'q22'!$G$10</f>
        <v>1109.8148570103201</v>
      </c>
      <c r="H20" s="414">
        <f>+'q22'!$H$10</f>
        <v>1145.6190469043202</v>
      </c>
      <c r="I20" s="414">
        <f>+'q22'!$I$10</f>
        <v>1184.11156501853</v>
      </c>
      <c r="J20" s="414">
        <f>+'q22'!$J$10</f>
        <v>1211.96760098903</v>
      </c>
      <c r="K20" s="414">
        <f>+'q22'!$K$10</f>
        <v>1273.5616838785299</v>
      </c>
      <c r="L20" s="414">
        <f>+'q22'!$L$10</f>
        <v>1356.6058294637401</v>
      </c>
      <c r="N20" s="439">
        <f>+L20-L15</f>
        <v>213.16024660685002</v>
      </c>
      <c r="O20" s="368">
        <f t="shared" si="4"/>
        <v>18.428862026253867</v>
      </c>
    </row>
    <row r="24" spans="1:27">
      <c r="A24" s="334" t="s">
        <v>341</v>
      </c>
    </row>
    <row r="25" spans="1:27">
      <c r="B25" s="404">
        <f>+'q15'!$B$4</f>
        <v>2012</v>
      </c>
      <c r="C25" s="404">
        <f>+'q15'!$C$4</f>
        <v>2013</v>
      </c>
      <c r="D25" s="404">
        <f>+'q15'!$D$4</f>
        <v>2014</v>
      </c>
      <c r="E25" s="404">
        <f>+'q15'!$E$4</f>
        <v>2015</v>
      </c>
      <c r="F25" s="404">
        <f>+'q15'!$F$4</f>
        <v>2016</v>
      </c>
      <c r="G25" s="404">
        <f>+'q15'!$G$4</f>
        <v>2017</v>
      </c>
      <c r="H25" s="404">
        <f>+'q15'!$H$4</f>
        <v>2018</v>
      </c>
      <c r="I25" s="404">
        <f>+'q15'!$I$4</f>
        <v>2019</v>
      </c>
      <c r="J25" s="404">
        <f>+'q15'!$J$4</f>
        <v>2020</v>
      </c>
      <c r="K25" s="404">
        <f>+'q15'!$K$4</f>
        <v>2021</v>
      </c>
      <c r="L25" s="404">
        <f>+'q15'!$L$4</f>
        <v>2022</v>
      </c>
    </row>
    <row r="26" spans="1:27">
      <c r="A26" t="s">
        <v>12</v>
      </c>
      <c r="B26" s="414">
        <f>+'q31'!$B$5</f>
        <v>1095.58619281857</v>
      </c>
      <c r="C26" s="414">
        <f>+'q31'!$C$5</f>
        <v>1093.8178723953499</v>
      </c>
      <c r="D26" s="414">
        <f>+'q31'!$D$5</f>
        <v>1093.20854089105</v>
      </c>
      <c r="E26" s="414">
        <f>+'q31'!$E$5</f>
        <v>1096.65734127991</v>
      </c>
      <c r="F26" s="414">
        <f>+'q31'!$F$5</f>
        <v>1107.85636561875</v>
      </c>
      <c r="G26" s="414">
        <f>+'q31'!$G$5</f>
        <v>1133.34288689707</v>
      </c>
      <c r="H26" s="414">
        <f>+'q31'!$H$5</f>
        <v>1170.2525051678801</v>
      </c>
      <c r="I26" s="414">
        <f>+'q31'!$I$5</f>
        <v>1209.93900485576</v>
      </c>
      <c r="J26" s="414">
        <f>+'q31'!$J$5</f>
        <v>1250.75197084447</v>
      </c>
      <c r="K26" s="414">
        <f>+'q31'!$K$5</f>
        <v>1294.10894067238</v>
      </c>
      <c r="L26" s="414">
        <f>+'q31'!$L$5</f>
        <v>1367.9952489883699</v>
      </c>
    </row>
    <row r="27" spans="1:27">
      <c r="A27" t="s">
        <v>246</v>
      </c>
      <c r="B27" s="414">
        <f>+'q31'!$B$6</f>
        <v>955.64682588255505</v>
      </c>
      <c r="C27" s="414">
        <f>+'q31'!$C$6</f>
        <v>956.89344447295503</v>
      </c>
      <c r="D27" s="414">
        <f>+'q31'!$D$6</f>
        <v>958.20500277867404</v>
      </c>
      <c r="E27" s="414">
        <f>+'q31'!$E$6</f>
        <v>967.67646106531708</v>
      </c>
      <c r="F27" s="414">
        <f>+'q31'!$F$6</f>
        <v>981.32448671217503</v>
      </c>
      <c r="G27" s="414">
        <f>+'q31'!$G$6</f>
        <v>1003.5898675700201</v>
      </c>
      <c r="H27" s="414">
        <f>+'q31'!$H$6</f>
        <v>1039.9638386526601</v>
      </c>
      <c r="I27" s="414">
        <f>+'q31'!$I$6</f>
        <v>1077.2172660102301</v>
      </c>
      <c r="J27" s="414">
        <f>+'q31'!$J$6</f>
        <v>1117.69800789342</v>
      </c>
      <c r="K27" s="414">
        <f>+'q31'!$K$6</f>
        <v>1159.7548195397701</v>
      </c>
      <c r="L27" s="414">
        <f>+'q31'!$L$6</f>
        <v>1221.48294868422</v>
      </c>
      <c r="O27" s="368"/>
    </row>
    <row r="28" spans="1:27">
      <c r="A28" t="s">
        <v>247</v>
      </c>
      <c r="B28" s="414">
        <f>+'q31'!$B$7</f>
        <v>1908.18202827296</v>
      </c>
      <c r="C28" s="414">
        <f>+'q31'!$C$7</f>
        <v>1912.2494346834803</v>
      </c>
      <c r="D28" s="414">
        <f>+'q31'!$D$7</f>
        <v>1928.42994649254</v>
      </c>
      <c r="E28" s="414">
        <f>+'q31'!$E$7</f>
        <v>1936.6701349091302</v>
      </c>
      <c r="F28" s="414">
        <f>+'q31'!$F$7</f>
        <v>1944.8063643980902</v>
      </c>
      <c r="G28" s="414">
        <f>+'q31'!$G$7</f>
        <v>1970.6722500314002</v>
      </c>
      <c r="H28" s="414">
        <f>+'q31'!$H$7</f>
        <v>1974.6872306305902</v>
      </c>
      <c r="I28" s="414">
        <f>+'q31'!$I$7</f>
        <v>1933.53496137507</v>
      </c>
      <c r="J28" s="414">
        <f>+'q31'!$J$7</f>
        <v>1966.24727405526</v>
      </c>
      <c r="K28" s="414">
        <f>+'q31'!$K$7</f>
        <v>1956.6139353409799</v>
      </c>
      <c r="L28" s="414">
        <f>+'q31'!$L$7</f>
        <v>2014.5990164783902</v>
      </c>
      <c r="O28" s="368"/>
    </row>
    <row r="29" spans="1:27">
      <c r="A29" s="334" t="s">
        <v>473</v>
      </c>
      <c r="B29" s="414">
        <f>+'q31'!$B$8</f>
        <v>1144.29696067706</v>
      </c>
      <c r="C29" s="414">
        <f>+'q31'!$C$8</f>
        <v>1115.6638568862202</v>
      </c>
      <c r="D29" s="414">
        <f>+'q31'!$D$8</f>
        <v>1112.8313962765201</v>
      </c>
      <c r="E29" s="414">
        <f>+'q31'!$E$8</f>
        <v>1108.65016876663</v>
      </c>
      <c r="F29" s="414">
        <f>+'q31'!$F$8</f>
        <v>1109.6858952647199</v>
      </c>
      <c r="G29" s="414">
        <f>+'q31'!$G$8</f>
        <v>1137.2384368102601</v>
      </c>
      <c r="H29" s="414">
        <f>+'q31'!$H$8</f>
        <v>1189.5224226442501</v>
      </c>
      <c r="I29" s="414">
        <f>+'q31'!$I$8</f>
        <v>1243.7106344106001</v>
      </c>
      <c r="J29" s="414">
        <f>+'q31'!$J$8</f>
        <v>1290.4686455113201</v>
      </c>
      <c r="K29" s="414">
        <f>+'q31'!$K$8</f>
        <v>1355.9643424749001</v>
      </c>
      <c r="L29" s="414">
        <f>+'q31'!$L$8</f>
        <v>1448.6308246580702</v>
      </c>
      <c r="O29" s="368"/>
    </row>
    <row r="30" spans="1:27">
      <c r="A30" t="s">
        <v>44</v>
      </c>
      <c r="B30" s="414">
        <f>+'q31'!$B$9</f>
        <v>1974.4607654846202</v>
      </c>
      <c r="C30" s="414">
        <f>+'q31'!$C$9</f>
        <v>1992.38037628094</v>
      </c>
      <c r="D30" s="414">
        <f>+'q31'!$D$9</f>
        <v>2002.28224822838</v>
      </c>
      <c r="E30" s="414">
        <f>+'q31'!$E$9</f>
        <v>1985.4069352112701</v>
      </c>
      <c r="F30" s="414">
        <f>+'q31'!$F$9</f>
        <v>1982.6261480277801</v>
      </c>
      <c r="G30" s="414">
        <f>+'q31'!$G$9</f>
        <v>2024.6800829673002</v>
      </c>
      <c r="H30" s="414">
        <f>+'q31'!$H$9</f>
        <v>2085.6040009542803</v>
      </c>
      <c r="I30" s="414">
        <f>+'q31'!$I$9</f>
        <v>2111.39594203463</v>
      </c>
      <c r="J30" s="414">
        <f>+'q31'!$J$9</f>
        <v>1993.2370089608601</v>
      </c>
      <c r="K30" s="414">
        <f>+'q31'!$K$9</f>
        <v>2027.84448523796</v>
      </c>
      <c r="L30" s="414">
        <f>+'q31'!$L$9</f>
        <v>2202.5417862601503</v>
      </c>
      <c r="O30" s="368"/>
    </row>
    <row r="31" spans="1:27">
      <c r="A31" s="404" t="s">
        <v>475</v>
      </c>
      <c r="B31" s="414">
        <f>+'q31'!$B$10</f>
        <v>1354.0202409758001</v>
      </c>
      <c r="C31" s="414">
        <f>+'q31'!$C$10</f>
        <v>1327.3704807214201</v>
      </c>
      <c r="D31" s="414">
        <f>+'q31'!$D$10</f>
        <v>1313.2961630600998</v>
      </c>
      <c r="E31" s="414">
        <f>+'q31'!$E$10</f>
        <v>1292.2137049949001</v>
      </c>
      <c r="F31" s="414">
        <f>+'q31'!$F$10</f>
        <v>1292.3703148746301</v>
      </c>
      <c r="G31" s="414">
        <f>+'q31'!$G$10</f>
        <v>1303.6216947245603</v>
      </c>
      <c r="H31" s="414">
        <f>+'q31'!$H$10</f>
        <v>1350.4270558646601</v>
      </c>
      <c r="I31" s="414">
        <f>+'q31'!$I$10</f>
        <v>1400.2172910262402</v>
      </c>
      <c r="J31" s="414">
        <f>+'q31'!$J$10</f>
        <v>1426.5992051012902</v>
      </c>
      <c r="K31" s="414">
        <f>+'q31'!$K$10</f>
        <v>1489.7074562074399</v>
      </c>
      <c r="L31" s="414">
        <f>+'q31'!$L$10</f>
        <v>1584.34668862377</v>
      </c>
      <c r="O31" s="368"/>
    </row>
    <row r="37" spans="1:29">
      <c r="A37" s="375"/>
      <c r="J37" t="s">
        <v>545</v>
      </c>
    </row>
    <row r="38" spans="1:29">
      <c r="A38" s="404"/>
    </row>
    <row r="39" spans="1:29">
      <c r="T39" s="335" t="s">
        <v>601</v>
      </c>
      <c r="U39" s="467" t="s">
        <v>603</v>
      </c>
    </row>
    <row r="41" spans="1:29">
      <c r="B41">
        <v>100</v>
      </c>
    </row>
    <row r="42" spans="1:29">
      <c r="T42" s="335" t="s">
        <v>186</v>
      </c>
    </row>
    <row r="43" spans="1:29">
      <c r="A43" s="404"/>
      <c r="B43" s="404">
        <f>+'q15'!$B$4</f>
        <v>2012</v>
      </c>
      <c r="C43" s="404">
        <f>+'q15'!$C$4</f>
        <v>2013</v>
      </c>
      <c r="D43" s="404">
        <f>+'q15'!$D$4</f>
        <v>2014</v>
      </c>
      <c r="E43" s="404">
        <f>+'q15'!$E$4</f>
        <v>2015</v>
      </c>
      <c r="F43" s="404">
        <f>+'q15'!$F$4</f>
        <v>2016</v>
      </c>
      <c r="G43" s="404">
        <f>+'q15'!$G$4</f>
        <v>2017</v>
      </c>
      <c r="H43" s="404">
        <f>+'q15'!$H$4</f>
        <v>2018</v>
      </c>
      <c r="I43" s="404">
        <f>+'q15'!$I$4</f>
        <v>2019</v>
      </c>
      <c r="J43" s="404">
        <f>+'q15'!$J$4</f>
        <v>2020</v>
      </c>
      <c r="K43" s="404">
        <f>+'q15'!$K$4</f>
        <v>2021</v>
      </c>
      <c r="L43" s="404">
        <f>+'q15'!$L$4</f>
        <v>2022</v>
      </c>
    </row>
    <row r="44" spans="1:29">
      <c r="A44" s="404" t="s">
        <v>12</v>
      </c>
      <c r="B44" s="479">
        <f>(B5/B$5)</f>
        <v>1</v>
      </c>
      <c r="C44" s="479">
        <f t="shared" ref="C44:L44" si="5">(C5/C$5)</f>
        <v>1</v>
      </c>
      <c r="D44" s="479">
        <f t="shared" si="5"/>
        <v>1</v>
      </c>
      <c r="E44" s="479">
        <f t="shared" si="5"/>
        <v>1</v>
      </c>
      <c r="F44" s="479">
        <f t="shared" si="5"/>
        <v>1</v>
      </c>
      <c r="G44" s="479">
        <f t="shared" si="5"/>
        <v>1</v>
      </c>
      <c r="H44" s="479">
        <f t="shared" si="5"/>
        <v>1</v>
      </c>
      <c r="I44" s="479">
        <f t="shared" si="5"/>
        <v>1</v>
      </c>
      <c r="J44" s="479">
        <f t="shared" si="5"/>
        <v>1</v>
      </c>
      <c r="K44" s="479">
        <f t="shared" si="5"/>
        <v>1</v>
      </c>
      <c r="L44" s="479">
        <f t="shared" si="5"/>
        <v>1</v>
      </c>
      <c r="M44" s="335" t="str">
        <f>+L43&amp;" - "&amp;B43</f>
        <v>2022 - 2012</v>
      </c>
    </row>
    <row r="45" spans="1:29">
      <c r="A45" s="404" t="s">
        <v>246</v>
      </c>
      <c r="B45" s="479">
        <f t="shared" ref="B45:L49" si="6">(B6/B$5)</f>
        <v>0.74381478319802496</v>
      </c>
      <c r="C45" s="479">
        <f t="shared" si="6"/>
        <v>0.73513382919742742</v>
      </c>
      <c r="D45" s="479">
        <f t="shared" si="6"/>
        <v>0.73312062706988923</v>
      </c>
      <c r="E45" s="479">
        <f t="shared" si="6"/>
        <v>0.73107040245455146</v>
      </c>
      <c r="F45" s="479">
        <f t="shared" si="6"/>
        <v>0.72352634581151054</v>
      </c>
      <c r="G45" s="479">
        <f t="shared" si="6"/>
        <v>0.71395555806080602</v>
      </c>
      <c r="H45" s="479">
        <f t="shared" si="6"/>
        <v>0.72059801564881276</v>
      </c>
      <c r="I45" s="479">
        <f t="shared" si="6"/>
        <v>0.70925704372181775</v>
      </c>
      <c r="J45" s="479">
        <f t="shared" si="6"/>
        <v>0.69394882571288319</v>
      </c>
      <c r="K45" s="479">
        <f t="shared" si="6"/>
        <v>0.69513469158137842</v>
      </c>
      <c r="L45" s="478">
        <f t="shared" si="6"/>
        <v>0.6908781578496811</v>
      </c>
      <c r="M45" s="478">
        <f>+L45-B45</f>
        <v>-5.2936625348343869E-2</v>
      </c>
      <c r="N45" s="404" t="str">
        <f>+A45</f>
        <v>Contrato Coletivo de Trabalho (CCT)</v>
      </c>
      <c r="O45" s="479"/>
      <c r="U45">
        <f>+L43</f>
        <v>2022</v>
      </c>
      <c r="Z45" s="602" t="str">
        <f>+U45&amp;":"&amp;CHAR(10)&amp;U46&amp;" "&amp;V47&amp;": "&amp;U47&amp;" ("&amp;V48&amp;"face a "&amp;W48&amp;");"&amp;CHAR(10)&amp;U50&amp;": "&amp;V51&amp;" ("&amp;W52&amp;" face a "&amp;W48&amp;")."</f>
        <v>2022:
TCO abrangidos por  Contrato Coletivo de Trabalho (CCT): 69,1% (-5,3 p.p.face a 2012);
TCO não abrangidos por IRCT: 16,7% (+6,4 p.p. face a 2012).</v>
      </c>
      <c r="AA45" s="602"/>
      <c r="AB45" s="602"/>
      <c r="AC45" s="602"/>
    </row>
    <row r="46" spans="1:29">
      <c r="A46" s="404" t="s">
        <v>247</v>
      </c>
      <c r="B46" s="479">
        <f t="shared" si="6"/>
        <v>4.0670842503055644E-2</v>
      </c>
      <c r="C46" s="479">
        <f t="shared" si="6"/>
        <v>4.0976947059314525E-2</v>
      </c>
      <c r="D46" s="479">
        <f t="shared" si="6"/>
        <v>3.9475819951728178E-2</v>
      </c>
      <c r="E46" s="479">
        <f t="shared" si="6"/>
        <v>3.9222068580692472E-2</v>
      </c>
      <c r="F46" s="479">
        <f t="shared" si="6"/>
        <v>3.8299054588728877E-2</v>
      </c>
      <c r="G46" s="479">
        <f t="shared" si="6"/>
        <v>3.8551830320348063E-2</v>
      </c>
      <c r="H46" s="479">
        <f t="shared" si="6"/>
        <v>3.8114359060960043E-2</v>
      </c>
      <c r="I46" s="479">
        <f t="shared" si="6"/>
        <v>3.5590390932276672E-2</v>
      </c>
      <c r="J46" s="479">
        <f t="shared" si="6"/>
        <v>4.0869153324778446E-2</v>
      </c>
      <c r="K46" s="479">
        <f t="shared" si="6"/>
        <v>4.0714933188883029E-2</v>
      </c>
      <c r="L46" s="479">
        <f t="shared" si="6"/>
        <v>3.8994049515476879E-2</v>
      </c>
      <c r="M46" s="479">
        <f t="shared" ref="M46:M49" si="7">+L46-B46</f>
        <v>-1.6767929875787652E-3</v>
      </c>
      <c r="N46" s="404" t="str">
        <f>+A46</f>
        <v>Acordo Coletivo de Trabalho (ACT)</v>
      </c>
      <c r="O46" s="479"/>
      <c r="U46" s="334" t="s">
        <v>599</v>
      </c>
      <c r="Z46" s="602"/>
      <c r="AA46" s="602"/>
      <c r="AB46" s="602"/>
      <c r="AC46" s="602"/>
    </row>
    <row r="47" spans="1:29">
      <c r="A47" s="404" t="s">
        <v>473</v>
      </c>
      <c r="B47" s="479">
        <f t="shared" si="6"/>
        <v>7.8283528511937317E-2</v>
      </c>
      <c r="C47" s="479">
        <f t="shared" si="6"/>
        <v>8.1727395547457532E-2</v>
      </c>
      <c r="D47" s="479">
        <f t="shared" si="6"/>
        <v>8.3760108666512345E-2</v>
      </c>
      <c r="E47" s="479">
        <f t="shared" si="6"/>
        <v>8.3635548280241626E-2</v>
      </c>
      <c r="F47" s="479">
        <f t="shared" si="6"/>
        <v>8.3150543222559062E-2</v>
      </c>
      <c r="G47" s="479">
        <f t="shared" si="6"/>
        <v>8.1948068325407464E-2</v>
      </c>
      <c r="H47" s="479">
        <f t="shared" si="6"/>
        <v>7.3491670019785141E-2</v>
      </c>
      <c r="I47" s="479">
        <f t="shared" si="6"/>
        <v>7.4824551046551391E-2</v>
      </c>
      <c r="J47" s="479">
        <f t="shared" si="6"/>
        <v>7.6328404226916877E-2</v>
      </c>
      <c r="K47" s="479">
        <f t="shared" si="6"/>
        <v>7.336613121731432E-2</v>
      </c>
      <c r="L47" s="479">
        <f t="shared" si="6"/>
        <v>7.3719873944895209E-2</v>
      </c>
      <c r="M47" s="479">
        <f t="shared" si="7"/>
        <v>-4.563654567042108E-3</v>
      </c>
      <c r="N47" s="404" t="str">
        <f>+A47</f>
        <v>Portaria de Cond. de Trabalho (PCT)</v>
      </c>
      <c r="O47" s="479"/>
      <c r="T47">
        <f>+LARGE($L$45:$L$49,1)</f>
        <v>0.6908781578496811</v>
      </c>
      <c r="U47" t="str">
        <f>+TEXT(LARGE($L$45:$L$49,1),"##.###,0%")</f>
        <v>69,1%</v>
      </c>
      <c r="V47" t="str">
        <f>+VLOOKUP(T47,L45:N49,3,0)</f>
        <v>Contrato Coletivo de Trabalho (CCT)</v>
      </c>
      <c r="Z47" s="602"/>
      <c r="AA47" s="602"/>
      <c r="AB47" s="602"/>
      <c r="AC47" s="602"/>
    </row>
    <row r="48" spans="1:29">
      <c r="A48" s="404" t="s">
        <v>44</v>
      </c>
      <c r="B48" s="479">
        <f t="shared" si="6"/>
        <v>3.4550759701196206E-2</v>
      </c>
      <c r="C48" s="479">
        <f t="shared" si="6"/>
        <v>3.3586382570347732E-2</v>
      </c>
      <c r="D48" s="479">
        <f t="shared" si="6"/>
        <v>3.2556425265533651E-2</v>
      </c>
      <c r="E48" s="479">
        <f t="shared" si="6"/>
        <v>3.0801295527796747E-2</v>
      </c>
      <c r="F48" s="479">
        <f t="shared" si="6"/>
        <v>3.0255658860093744E-2</v>
      </c>
      <c r="G48" s="479">
        <f t="shared" si="6"/>
        <v>3.0985130736135336E-2</v>
      </c>
      <c r="H48" s="479">
        <f t="shared" si="6"/>
        <v>2.9897655179890462E-2</v>
      </c>
      <c r="I48" s="479">
        <f t="shared" si="6"/>
        <v>3.1388693054589654E-2</v>
      </c>
      <c r="J48" s="479">
        <f t="shared" si="6"/>
        <v>3.1065944381766037E-2</v>
      </c>
      <c r="K48" s="479">
        <f t="shared" si="6"/>
        <v>3.0756827655069922E-2</v>
      </c>
      <c r="L48" s="479">
        <f t="shared" si="6"/>
        <v>2.9271504793137042E-2</v>
      </c>
      <c r="M48" s="479">
        <f t="shared" si="7"/>
        <v>-5.2792549080591632E-3</v>
      </c>
      <c r="N48" s="404" t="str">
        <f>+A48</f>
        <v>Acordo de Empresa (AE)</v>
      </c>
      <c r="O48" s="479"/>
      <c r="U48">
        <f>+VLOOKUP(V47,A45:M49,13,0)</f>
        <v>-5.2936625348343869E-2</v>
      </c>
      <c r="V48" t="str">
        <f>+IF(U49&gt;0,"+"&amp;TEXT(U49,"##.###,0 p.p."),TEXT(U49,"##.###,0 p.p."))</f>
        <v>-5,3 p.p.</v>
      </c>
      <c r="W48">
        <f>+B43</f>
        <v>2012</v>
      </c>
      <c r="Z48" s="602"/>
      <c r="AA48" s="602"/>
      <c r="AB48" s="602"/>
      <c r="AC48" s="602"/>
    </row>
    <row r="49" spans="1:31">
      <c r="A49" s="404" t="s">
        <v>475</v>
      </c>
      <c r="B49" s="479">
        <f t="shared" si="6"/>
        <v>0.10268008608578588</v>
      </c>
      <c r="C49" s="479">
        <f t="shared" si="6"/>
        <v>0.10857544562545274</v>
      </c>
      <c r="D49" s="479">
        <f t="shared" si="6"/>
        <v>0.11108701904633664</v>
      </c>
      <c r="E49" s="479">
        <f t="shared" si="6"/>
        <v>0.11527068515671765</v>
      </c>
      <c r="F49" s="479">
        <f t="shared" si="6"/>
        <v>0.12476839751710783</v>
      </c>
      <c r="G49" s="479">
        <f t="shared" si="6"/>
        <v>0.13455941255730308</v>
      </c>
      <c r="H49" s="479">
        <f t="shared" si="6"/>
        <v>0.13789830009055157</v>
      </c>
      <c r="I49" s="479">
        <f t="shared" si="6"/>
        <v>0.1489393212447645</v>
      </c>
      <c r="J49" s="479">
        <f t="shared" si="6"/>
        <v>0.15778767235365548</v>
      </c>
      <c r="K49" s="479">
        <f t="shared" si="6"/>
        <v>0.16002741635735435</v>
      </c>
      <c r="L49" s="478">
        <f t="shared" si="6"/>
        <v>0.16713641389680978</v>
      </c>
      <c r="M49" s="478">
        <f t="shared" si="7"/>
        <v>6.4456327811023895E-2</v>
      </c>
      <c r="N49" s="404" t="str">
        <f>+A49</f>
        <v>Não Abrangidos por Regulamentação Coletiva</v>
      </c>
      <c r="O49" s="479"/>
      <c r="U49">
        <f>+U48*100</f>
        <v>-5.2936625348343869</v>
      </c>
      <c r="Z49" s="602"/>
      <c r="AA49" s="602"/>
      <c r="AB49" s="602"/>
      <c r="AC49" s="602"/>
    </row>
    <row r="50" spans="1:31">
      <c r="U50" s="334" t="s">
        <v>600</v>
      </c>
      <c r="Z50" s="602"/>
      <c r="AA50" s="602"/>
      <c r="AB50" s="602"/>
      <c r="AC50" s="602"/>
    </row>
    <row r="51" spans="1:31">
      <c r="A51" s="404" t="s">
        <v>537</v>
      </c>
      <c r="B51" s="497">
        <f>+B44-B49</f>
        <v>0.89731991391421406</v>
      </c>
      <c r="C51" s="497">
        <f t="shared" ref="C51:L51" si="8">+C44-C49</f>
        <v>0.89142455437454726</v>
      </c>
      <c r="D51" s="497">
        <f t="shared" si="8"/>
        <v>0.88891298095366333</v>
      </c>
      <c r="E51" s="497">
        <f t="shared" si="8"/>
        <v>0.88472931484328232</v>
      </c>
      <c r="F51" s="497">
        <f t="shared" si="8"/>
        <v>0.87523160248289211</v>
      </c>
      <c r="G51" s="497">
        <f t="shared" si="8"/>
        <v>0.86544058744269692</v>
      </c>
      <c r="H51" s="497">
        <f t="shared" si="8"/>
        <v>0.8621016999094484</v>
      </c>
      <c r="I51" s="497">
        <f t="shared" si="8"/>
        <v>0.8510606787552355</v>
      </c>
      <c r="J51" s="497">
        <f t="shared" si="8"/>
        <v>0.84221232764634446</v>
      </c>
      <c r="K51" s="497">
        <f t="shared" si="8"/>
        <v>0.83997258364264571</v>
      </c>
      <c r="L51" s="497">
        <f t="shared" si="8"/>
        <v>0.83286358610319022</v>
      </c>
      <c r="U51" s="479">
        <f>+L49</f>
        <v>0.16713641389680978</v>
      </c>
      <c r="V51" t="str">
        <f>+TEXT(U51,"##.###,0%")</f>
        <v>16,7%</v>
      </c>
      <c r="Z51" s="602"/>
      <c r="AA51" s="602"/>
      <c r="AB51" s="602"/>
      <c r="AC51" s="602"/>
    </row>
    <row r="52" spans="1:31">
      <c r="V52">
        <f>+VLOOKUP(U51,L45:M49,2,0)</f>
        <v>6.4456327811023895E-2</v>
      </c>
      <c r="W52" t="str">
        <f>+IF(V53&gt;0,"+"&amp;TEXT(V53,"##.###,0 p.p."),TEXT(V53,"##.###,0 p.p."))</f>
        <v>+6,4 p.p.</v>
      </c>
    </row>
    <row r="53" spans="1:31">
      <c r="A53" s="334" t="s">
        <v>340</v>
      </c>
      <c r="B53">
        <v>100</v>
      </c>
      <c r="V53">
        <f>+V52*100</f>
        <v>6.4456327811023897</v>
      </c>
    </row>
    <row r="54" spans="1:31">
      <c r="B54" s="404">
        <f>+'q15'!$B$4</f>
        <v>2012</v>
      </c>
      <c r="C54" s="404">
        <f>+'q15'!$C$4</f>
        <v>2013</v>
      </c>
      <c r="D54" s="404">
        <f>+'q15'!$D$4</f>
        <v>2014</v>
      </c>
      <c r="E54" s="404">
        <f>+'q15'!$E$4</f>
        <v>2015</v>
      </c>
      <c r="F54" s="404">
        <f>+'q15'!$F$4</f>
        <v>2016</v>
      </c>
      <c r="G54" s="404">
        <f>+'q15'!$G$4</f>
        <v>2017</v>
      </c>
      <c r="H54" s="404">
        <f>+'q15'!$H$4</f>
        <v>2018</v>
      </c>
      <c r="I54" s="404">
        <f>+'q15'!$I$4</f>
        <v>2019</v>
      </c>
      <c r="J54" s="404">
        <f>+'q15'!$J$4</f>
        <v>2020</v>
      </c>
      <c r="K54" s="404">
        <f>+'q15'!$K$4</f>
        <v>2021</v>
      </c>
      <c r="L54" s="404">
        <f>+'q15'!$L$4</f>
        <v>2022</v>
      </c>
    </row>
    <row r="55" spans="1:31">
      <c r="A55" t="s">
        <v>12</v>
      </c>
      <c r="B55" s="479">
        <f>(B15/B$15)</f>
        <v>1</v>
      </c>
      <c r="C55" s="479">
        <f t="shared" ref="C55:L55" si="9">(C15/C$15)</f>
        <v>1</v>
      </c>
      <c r="D55" s="479">
        <f t="shared" si="9"/>
        <v>1</v>
      </c>
      <c r="E55" s="479">
        <f t="shared" si="9"/>
        <v>1</v>
      </c>
      <c r="F55" s="479">
        <f t="shared" si="9"/>
        <v>1</v>
      </c>
      <c r="G55" s="479">
        <f t="shared" si="9"/>
        <v>1</v>
      </c>
      <c r="H55" s="479">
        <f t="shared" si="9"/>
        <v>1</v>
      </c>
      <c r="I55" s="479">
        <f t="shared" si="9"/>
        <v>1</v>
      </c>
      <c r="J55" s="479">
        <f t="shared" si="9"/>
        <v>1</v>
      </c>
      <c r="K55" s="479">
        <f t="shared" si="9"/>
        <v>1</v>
      </c>
      <c r="L55" s="479">
        <f t="shared" si="9"/>
        <v>1</v>
      </c>
      <c r="M55" s="335" t="str">
        <f>+L54&amp;" - "&amp;B54</f>
        <v>2022 - 2012</v>
      </c>
    </row>
    <row r="56" spans="1:31">
      <c r="A56" t="s">
        <v>246</v>
      </c>
      <c r="B56" s="479">
        <f t="shared" ref="B56:L60" si="10">(B16/B$15)</f>
        <v>0.8914974491953811</v>
      </c>
      <c r="C56" s="479">
        <f t="shared" si="10"/>
        <v>0.89180371818658966</v>
      </c>
      <c r="D56" s="479">
        <f t="shared" si="10"/>
        <v>0.89502857661182267</v>
      </c>
      <c r="E56" s="479">
        <f t="shared" si="10"/>
        <v>0.8994620961081925</v>
      </c>
      <c r="F56" s="479">
        <f t="shared" si="10"/>
        <v>0.90179292094284702</v>
      </c>
      <c r="G56" s="479">
        <f t="shared" si="10"/>
        <v>0.90310671469215242</v>
      </c>
      <c r="H56" s="479">
        <f t="shared" si="10"/>
        <v>0.90552062007904688</v>
      </c>
      <c r="I56" s="479">
        <f t="shared" si="10"/>
        <v>0.90608393018532707</v>
      </c>
      <c r="J56" s="479">
        <f t="shared" si="10"/>
        <v>0.90876198341099335</v>
      </c>
      <c r="K56" s="479">
        <f t="shared" si="10"/>
        <v>0.90994158744432241</v>
      </c>
      <c r="L56" s="478">
        <f t="shared" si="10"/>
        <v>0.90507856708642853</v>
      </c>
      <c r="M56" s="478">
        <f>+L56-B56</f>
        <v>1.3581117891047434E-2</v>
      </c>
      <c r="N56" s="404" t="str">
        <f>+A56</f>
        <v>Contrato Coletivo de Trabalho (CCT)</v>
      </c>
    </row>
    <row r="57" spans="1:31">
      <c r="A57" t="s">
        <v>247</v>
      </c>
      <c r="B57" s="479">
        <f t="shared" si="10"/>
        <v>1.5038342456120282</v>
      </c>
      <c r="C57" s="479">
        <f t="shared" si="10"/>
        <v>1.5113463713231214</v>
      </c>
      <c r="D57" s="479">
        <f t="shared" si="10"/>
        <v>1.4903887421390702</v>
      </c>
      <c r="E57" s="479">
        <f t="shared" si="10"/>
        <v>1.4981744263316232</v>
      </c>
      <c r="F57" s="479">
        <f t="shared" si="10"/>
        <v>1.4923565923940088</v>
      </c>
      <c r="G57" s="479">
        <f t="shared" si="10"/>
        <v>1.4686000630413996</v>
      </c>
      <c r="H57" s="479">
        <f t="shared" si="10"/>
        <v>1.425261079343769</v>
      </c>
      <c r="I57" s="479">
        <f t="shared" si="10"/>
        <v>1.3708571566445031</v>
      </c>
      <c r="J57" s="479">
        <f t="shared" si="10"/>
        <v>1.341694212579275</v>
      </c>
      <c r="K57" s="479">
        <f t="shared" si="10"/>
        <v>1.2941504040643372</v>
      </c>
      <c r="L57" s="479">
        <f t="shared" si="10"/>
        <v>1.254718144886168</v>
      </c>
      <c r="M57" s="479">
        <f t="shared" ref="M57:M60" si="11">+L57-B57</f>
        <v>-0.24911610072586021</v>
      </c>
      <c r="N57" s="404" t="str">
        <f>+A57</f>
        <v>Acordo Coletivo de Trabalho (ACT)</v>
      </c>
    </row>
    <row r="58" spans="1:31">
      <c r="A58" s="334" t="s">
        <v>473</v>
      </c>
      <c r="B58" s="479">
        <f t="shared" si="10"/>
        <v>1.0965081765939748</v>
      </c>
      <c r="C58" s="479">
        <f t="shared" si="10"/>
        <v>1.0719878038243325</v>
      </c>
      <c r="D58" s="479">
        <f t="shared" si="10"/>
        <v>1.0689396813295269</v>
      </c>
      <c r="E58" s="479">
        <f t="shared" si="10"/>
        <v>1.0586559422267774</v>
      </c>
      <c r="F58" s="479">
        <f t="shared" si="10"/>
        <v>1.0498057975318269</v>
      </c>
      <c r="G58" s="479">
        <f t="shared" si="10"/>
        <v>1.0520145902227509</v>
      </c>
      <c r="H58" s="479">
        <f t="shared" si="10"/>
        <v>1.0635687613509617</v>
      </c>
      <c r="I58" s="479">
        <f t="shared" si="10"/>
        <v>1.0691648362548574</v>
      </c>
      <c r="J58" s="479">
        <f t="shared" si="10"/>
        <v>1.0747262581502057</v>
      </c>
      <c r="K58" s="479">
        <f t="shared" si="10"/>
        <v>1.0895622892801933</v>
      </c>
      <c r="L58" s="479">
        <f t="shared" si="10"/>
        <v>1.1033786301114032</v>
      </c>
      <c r="M58" s="479">
        <f t="shared" si="11"/>
        <v>6.870453517428432E-3</v>
      </c>
      <c r="N58" s="404" t="str">
        <f>+A58</f>
        <v>Portaria de Cond. de Trabalho (PCT)</v>
      </c>
      <c r="T58" s="335" t="s">
        <v>358</v>
      </c>
    </row>
    <row r="59" spans="1:31">
      <c r="A59" t="s">
        <v>44</v>
      </c>
      <c r="B59" s="479">
        <f t="shared" si="10"/>
        <v>1.5689109062203506</v>
      </c>
      <c r="C59" s="479">
        <f t="shared" si="10"/>
        <v>1.5902839646008058</v>
      </c>
      <c r="D59" s="479">
        <f t="shared" si="10"/>
        <v>1.5884747482711183</v>
      </c>
      <c r="E59" s="479">
        <f t="shared" si="10"/>
        <v>1.5854689689036854</v>
      </c>
      <c r="F59" s="479">
        <f t="shared" si="10"/>
        <v>1.5601283352026787</v>
      </c>
      <c r="G59" s="479">
        <f t="shared" si="10"/>
        <v>1.5492500739842447</v>
      </c>
      <c r="H59" s="479">
        <f t="shared" si="10"/>
        <v>1.5449377833445883</v>
      </c>
      <c r="I59" s="479">
        <f t="shared" si="10"/>
        <v>1.5129543165702526</v>
      </c>
      <c r="J59" s="479">
        <f t="shared" si="10"/>
        <v>1.393383214128328</v>
      </c>
      <c r="K59" s="479">
        <f t="shared" si="10"/>
        <v>1.3639659718209405</v>
      </c>
      <c r="L59" s="479">
        <f t="shared" si="10"/>
        <v>1.3946190752692809</v>
      </c>
      <c r="M59" s="479">
        <f t="shared" si="11"/>
        <v>-0.1742918309510697</v>
      </c>
      <c r="N59" s="404" t="str">
        <f>+A59</f>
        <v>Acordo de Empresa (AE)</v>
      </c>
    </row>
    <row r="60" spans="1:31">
      <c r="A60" s="404" t="s">
        <v>475</v>
      </c>
      <c r="B60" s="479">
        <f t="shared" si="10"/>
        <v>1.2518984736831504</v>
      </c>
      <c r="C60" s="479">
        <f t="shared" si="10"/>
        <v>1.2396591070865315</v>
      </c>
      <c r="D60" s="479">
        <f t="shared" si="10"/>
        <v>1.2329957661984416</v>
      </c>
      <c r="E60" s="479">
        <f t="shared" si="10"/>
        <v>1.2083573808450532</v>
      </c>
      <c r="F60" s="479">
        <f t="shared" si="10"/>
        <v>1.1973396731998476</v>
      </c>
      <c r="G60" s="479">
        <f t="shared" si="10"/>
        <v>1.1768967038257179</v>
      </c>
      <c r="H60" s="479">
        <f t="shared" si="10"/>
        <v>1.1805431776025712</v>
      </c>
      <c r="I60" s="479">
        <f t="shared" si="10"/>
        <v>1.178115804698368</v>
      </c>
      <c r="J60" s="479">
        <f t="shared" si="10"/>
        <v>1.1631224179054156</v>
      </c>
      <c r="K60" s="479">
        <f t="shared" si="10"/>
        <v>1.1762043452868662</v>
      </c>
      <c r="L60" s="478">
        <f t="shared" si="10"/>
        <v>1.1864192313151194</v>
      </c>
      <c r="M60" s="478">
        <f t="shared" si="11"/>
        <v>-6.5479242368031043E-2</v>
      </c>
      <c r="N60" s="404" t="str">
        <f>+A60</f>
        <v>Não Abrangidos por Regulamentação Coletiva</v>
      </c>
      <c r="U60">
        <f>+L54</f>
        <v>2022</v>
      </c>
      <c r="V60" s="334" t="s">
        <v>602</v>
      </c>
    </row>
    <row r="61" spans="1:31">
      <c r="B61" s="479">
        <f t="shared" ref="B61:L61" si="12">(+(B20/B15-1)*100)/100</f>
        <v>0.25189847368315044</v>
      </c>
      <c r="C61" s="479">
        <f t="shared" si="12"/>
        <v>0.23965910708653149</v>
      </c>
      <c r="D61" s="479">
        <f t="shared" si="12"/>
        <v>0.23299576619844165</v>
      </c>
      <c r="E61" s="479">
        <f t="shared" si="12"/>
        <v>0.20835738084505315</v>
      </c>
      <c r="F61" s="479">
        <f t="shared" si="12"/>
        <v>0.19733967319984758</v>
      </c>
      <c r="G61" s="479">
        <f t="shared" si="12"/>
        <v>0.17689670382571787</v>
      </c>
      <c r="H61" s="479">
        <f t="shared" si="12"/>
        <v>0.18054317760257121</v>
      </c>
      <c r="I61" s="479">
        <f t="shared" si="12"/>
        <v>0.17811580469836799</v>
      </c>
      <c r="J61" s="479">
        <f t="shared" si="12"/>
        <v>0.1631224179054156</v>
      </c>
      <c r="K61" s="479">
        <f t="shared" si="12"/>
        <v>0.17620434528686624</v>
      </c>
      <c r="L61" s="479">
        <f t="shared" si="12"/>
        <v>0.18641923131511937</v>
      </c>
      <c r="M61" s="497">
        <f>+L61-B61</f>
        <v>-6.5479242368031071E-2</v>
      </c>
      <c r="U61" s="334" t="s">
        <v>599</v>
      </c>
    </row>
    <row r="62" spans="1:31">
      <c r="V62" t="str">
        <f>+V47</f>
        <v>Contrato Coletivo de Trabalho (CCT)</v>
      </c>
    </row>
    <row r="63" spans="1:31">
      <c r="U63">
        <f>+VLOOKUP(V62,A56:L60,12,0)</f>
        <v>0.90507856708642853</v>
      </c>
      <c r="V63" t="str">
        <f>+TEXT(U63,"##.###,0%")</f>
        <v>90,5%</v>
      </c>
      <c r="Z63" s="603" t="str">
        <f>+U60&amp;" - "&amp;V60&amp;CHAR(10)&amp;U61&amp;" "&amp;V62&amp;": "&amp;V63&amp;" da remuneração média total;"&amp;CHAR(10)&amp;U65&amp;": "&amp;W67&amp;" "&amp;W68&amp;" à remuneração média total."</f>
        <v>2022 - Remuneração média mensal Base:
TCO abrangidos por  Contrato Coletivo de Trabalho (CCT): 90,5% da remuneração média total;
TCO não abrangidos por IRCT: 18,6% superior à remuneração média total.</v>
      </c>
      <c r="AA63" s="603"/>
      <c r="AB63" s="603"/>
      <c r="AC63" s="603"/>
      <c r="AD63" s="603"/>
      <c r="AE63" s="603"/>
    </row>
    <row r="64" spans="1:31">
      <c r="A64" s="334" t="s">
        <v>341</v>
      </c>
      <c r="Z64" s="603"/>
      <c r="AA64" s="603"/>
      <c r="AB64" s="603"/>
      <c r="AC64" s="603"/>
      <c r="AD64" s="603"/>
      <c r="AE64" s="603"/>
    </row>
    <row r="65" spans="1:31">
      <c r="B65" s="404">
        <f>+'q15'!$B$4</f>
        <v>2012</v>
      </c>
      <c r="C65" s="404">
        <f>+'q15'!$C$4</f>
        <v>2013</v>
      </c>
      <c r="D65" s="404">
        <f>+'q15'!$D$4</f>
        <v>2014</v>
      </c>
      <c r="E65" s="404">
        <f>+'q15'!$E$4</f>
        <v>2015</v>
      </c>
      <c r="F65" s="404">
        <f>+'q15'!$F$4</f>
        <v>2016</v>
      </c>
      <c r="G65" s="404">
        <f>+'q15'!$G$4</f>
        <v>2017</v>
      </c>
      <c r="H65" s="404">
        <f>+'q15'!$H$4</f>
        <v>2018</v>
      </c>
      <c r="I65" s="404">
        <f>+'q15'!$I$4</f>
        <v>2019</v>
      </c>
      <c r="J65" s="404">
        <f>+'q15'!$J$4</f>
        <v>2020</v>
      </c>
      <c r="K65" s="404">
        <f>+'q15'!$K$4</f>
        <v>2021</v>
      </c>
      <c r="L65" s="404">
        <f>+'q15'!$L$4</f>
        <v>2022</v>
      </c>
      <c r="U65" s="334" t="s">
        <v>600</v>
      </c>
      <c r="Z65" s="603"/>
      <c r="AA65" s="603"/>
      <c r="AB65" s="603"/>
      <c r="AC65" s="603"/>
      <c r="AD65" s="603"/>
      <c r="AE65" s="603"/>
    </row>
    <row r="66" spans="1:31">
      <c r="A66" t="s">
        <v>12</v>
      </c>
      <c r="B66" s="482">
        <f>B26/B$26</f>
        <v>1</v>
      </c>
      <c r="C66" s="482">
        <f t="shared" ref="C66:L66" si="13">C26/C$26</f>
        <v>1</v>
      </c>
      <c r="D66" s="482">
        <f t="shared" si="13"/>
        <v>1</v>
      </c>
      <c r="E66" s="482">
        <f t="shared" si="13"/>
        <v>1</v>
      </c>
      <c r="F66" s="482">
        <f t="shared" si="13"/>
        <v>1</v>
      </c>
      <c r="G66" s="482">
        <f t="shared" si="13"/>
        <v>1</v>
      </c>
      <c r="H66" s="482">
        <f t="shared" si="13"/>
        <v>1</v>
      </c>
      <c r="I66" s="482">
        <f t="shared" si="13"/>
        <v>1</v>
      </c>
      <c r="J66" s="482">
        <f t="shared" si="13"/>
        <v>1</v>
      </c>
      <c r="K66" s="482">
        <f t="shared" si="13"/>
        <v>1</v>
      </c>
      <c r="L66" s="482">
        <f t="shared" si="13"/>
        <v>1</v>
      </c>
      <c r="M66" s="335" t="str">
        <f>+L65&amp;" - "&amp;B65</f>
        <v>2022 - 2012</v>
      </c>
      <c r="U66" s="479">
        <f>+L60</f>
        <v>1.1864192313151194</v>
      </c>
      <c r="V66" t="str">
        <f>+TEXT(U66,"##.###,0%")</f>
        <v>118,6%</v>
      </c>
      <c r="Z66" s="603"/>
      <c r="AA66" s="603"/>
      <c r="AB66" s="603"/>
      <c r="AC66" s="603"/>
      <c r="AD66" s="603"/>
      <c r="AE66" s="603"/>
    </row>
    <row r="67" spans="1:31">
      <c r="A67" t="s">
        <v>246</v>
      </c>
      <c r="B67" s="482">
        <f t="shared" ref="B67:L67" si="14">B27/B$26</f>
        <v>0.87226986990772615</v>
      </c>
      <c r="C67" s="482">
        <f t="shared" si="14"/>
        <v>0.87481971964624761</v>
      </c>
      <c r="D67" s="482">
        <f t="shared" si="14"/>
        <v>0.8765070587517203</v>
      </c>
      <c r="E67" s="482">
        <f t="shared" si="14"/>
        <v>0.88238725501617554</v>
      </c>
      <c r="F67" s="482">
        <f t="shared" si="14"/>
        <v>0.88578674742198593</v>
      </c>
      <c r="G67" s="482">
        <f t="shared" si="14"/>
        <v>0.885513006851532</v>
      </c>
      <c r="H67" s="482">
        <f t="shared" si="14"/>
        <v>0.88866619303111061</v>
      </c>
      <c r="I67" s="482">
        <f t="shared" si="14"/>
        <v>0.89030708299105377</v>
      </c>
      <c r="J67" s="482">
        <f t="shared" si="14"/>
        <v>0.89362082486968542</v>
      </c>
      <c r="K67" s="482">
        <f t="shared" si="14"/>
        <v>0.89618020793303266</v>
      </c>
      <c r="L67" s="482">
        <f t="shared" si="14"/>
        <v>0.89289999332052106</v>
      </c>
      <c r="M67" s="478">
        <f>+L67-B67</f>
        <v>2.063012341279491E-2</v>
      </c>
      <c r="N67" s="404" t="str">
        <f>+A67</f>
        <v>Contrato Coletivo de Trabalho (CCT)</v>
      </c>
      <c r="V67" s="479">
        <f>+V66-L55</f>
        <v>0.18599999999999994</v>
      </c>
      <c r="W67" t="str">
        <f>+TEXT(V67,"##.###,0%")</f>
        <v>18,6%</v>
      </c>
      <c r="Z67" s="603"/>
      <c r="AA67" s="603"/>
      <c r="AB67" s="603"/>
      <c r="AC67" s="603"/>
      <c r="AD67" s="603"/>
      <c r="AE67" s="603"/>
    </row>
    <row r="68" spans="1:31">
      <c r="A68" t="s">
        <v>247</v>
      </c>
      <c r="B68" s="482">
        <f t="shared" ref="B68:L68" si="15">B28/B$26</f>
        <v>1.7416995949573422</v>
      </c>
      <c r="C68" s="482">
        <f t="shared" si="15"/>
        <v>1.7482338540472451</v>
      </c>
      <c r="D68" s="482">
        <f t="shared" si="15"/>
        <v>1.7640092208945968</v>
      </c>
      <c r="E68" s="482">
        <f t="shared" si="15"/>
        <v>1.7659756261229604</v>
      </c>
      <c r="F68" s="482">
        <f t="shared" si="15"/>
        <v>1.755467969272257</v>
      </c>
      <c r="G68" s="482">
        <f t="shared" si="15"/>
        <v>1.7388137983790746</v>
      </c>
      <c r="H68" s="482">
        <f t="shared" si="15"/>
        <v>1.6874026946409388</v>
      </c>
      <c r="I68" s="482">
        <f t="shared" si="15"/>
        <v>1.5980433340981282</v>
      </c>
      <c r="J68" s="482">
        <f t="shared" si="15"/>
        <v>1.5720521093624256</v>
      </c>
      <c r="K68" s="482">
        <f t="shared" si="15"/>
        <v>1.5119391218519689</v>
      </c>
      <c r="L68" s="482">
        <f t="shared" si="15"/>
        <v>1.4726652142748176</v>
      </c>
      <c r="M68" s="479">
        <f t="shared" ref="M68:M71" si="16">+L68-B68</f>
        <v>-0.26903438068252461</v>
      </c>
      <c r="N68" s="404" t="str">
        <f>+A68</f>
        <v>Acordo Coletivo de Trabalho (ACT)</v>
      </c>
      <c r="W68" t="str">
        <f>+IF(V67&gt;0,"superior","inferior")</f>
        <v>superior</v>
      </c>
    </row>
    <row r="69" spans="1:31">
      <c r="A69" s="334" t="s">
        <v>473</v>
      </c>
      <c r="B69" s="482">
        <f t="shared" ref="B69:L69" si="17">B29/B$26</f>
        <v>1.0444609179796012</v>
      </c>
      <c r="C69" s="482">
        <f t="shared" si="17"/>
        <v>1.0199722321624072</v>
      </c>
      <c r="D69" s="482">
        <f t="shared" si="17"/>
        <v>1.0179497823621795</v>
      </c>
      <c r="E69" s="482">
        <f t="shared" si="17"/>
        <v>1.0109358019458687</v>
      </c>
      <c r="F69" s="482">
        <f t="shared" si="17"/>
        <v>1.001651414120772</v>
      </c>
      <c r="G69" s="482">
        <f t="shared" si="17"/>
        <v>1.0034372209489535</v>
      </c>
      <c r="H69" s="482">
        <f t="shared" si="17"/>
        <v>1.0164664612049736</v>
      </c>
      <c r="I69" s="482">
        <f t="shared" si="17"/>
        <v>1.0279118446626705</v>
      </c>
      <c r="J69" s="482">
        <f t="shared" si="17"/>
        <v>1.031754237125075</v>
      </c>
      <c r="K69" s="482">
        <f t="shared" si="17"/>
        <v>1.0477976775049418</v>
      </c>
      <c r="L69" s="482">
        <f t="shared" si="17"/>
        <v>1.0589443389729096</v>
      </c>
      <c r="M69" s="479">
        <f t="shared" si="16"/>
        <v>1.448342099330846E-2</v>
      </c>
      <c r="N69" s="404" t="str">
        <f>+A69</f>
        <v>Portaria de Cond. de Trabalho (PCT)</v>
      </c>
    </row>
    <row r="70" spans="1:31">
      <c r="A70" t="s">
        <v>44</v>
      </c>
      <c r="B70" s="482">
        <f t="shared" ref="B70:L70" si="18">B30/B$26</f>
        <v>1.802195736334542</v>
      </c>
      <c r="C70" s="482">
        <f t="shared" si="18"/>
        <v>1.8214918832125402</v>
      </c>
      <c r="D70" s="482">
        <f t="shared" si="18"/>
        <v>1.8315647685997443</v>
      </c>
      <c r="E70" s="482">
        <f t="shared" si="18"/>
        <v>1.8104168553634989</v>
      </c>
      <c r="F70" s="482">
        <f t="shared" si="18"/>
        <v>1.7896057734167203</v>
      </c>
      <c r="G70" s="482">
        <f t="shared" si="18"/>
        <v>1.7864673669153943</v>
      </c>
      <c r="H70" s="482">
        <f t="shared" si="18"/>
        <v>1.7821828979166228</v>
      </c>
      <c r="I70" s="482">
        <f t="shared" si="18"/>
        <v>1.7450432902494413</v>
      </c>
      <c r="J70" s="482">
        <f t="shared" si="18"/>
        <v>1.5936309159801576</v>
      </c>
      <c r="K70" s="482">
        <f t="shared" si="18"/>
        <v>1.5669812807137808</v>
      </c>
      <c r="L70" s="482">
        <f t="shared" si="18"/>
        <v>1.6100507570394897</v>
      </c>
      <c r="M70" s="479">
        <f t="shared" si="16"/>
        <v>-0.19214497929505225</v>
      </c>
      <c r="N70" s="404" t="str">
        <f>+A70</f>
        <v>Acordo de Empresa (AE)</v>
      </c>
    </row>
    <row r="71" spans="1:31">
      <c r="A71" s="404" t="s">
        <v>475</v>
      </c>
      <c r="B71" s="482">
        <f t="shared" ref="B71:L71" si="19">B31/B$26</f>
        <v>1.2358865508266104</v>
      </c>
      <c r="C71" s="482">
        <f t="shared" si="19"/>
        <v>1.213520563359066</v>
      </c>
      <c r="D71" s="482">
        <f t="shared" si="19"/>
        <v>1.2013226332733014</v>
      </c>
      <c r="E71" s="482">
        <f t="shared" si="19"/>
        <v>1.1783203890166423</v>
      </c>
      <c r="F71" s="482">
        <f t="shared" si="19"/>
        <v>1.1665504256527217</v>
      </c>
      <c r="G71" s="482">
        <f t="shared" si="19"/>
        <v>1.1502447404012823</v>
      </c>
      <c r="H71" s="482">
        <f t="shared" si="19"/>
        <v>1.1539621149291475</v>
      </c>
      <c r="I71" s="482">
        <f t="shared" si="19"/>
        <v>1.1572627094480386</v>
      </c>
      <c r="J71" s="482">
        <f t="shared" si="19"/>
        <v>1.1405932098096903</v>
      </c>
      <c r="K71" s="482">
        <f t="shared" si="19"/>
        <v>1.1511453243136029</v>
      </c>
      <c r="L71" s="482">
        <f t="shared" si="19"/>
        <v>1.1581521864168691</v>
      </c>
      <c r="M71" s="478">
        <f t="shared" si="16"/>
        <v>-7.7734364409741241E-2</v>
      </c>
      <c r="N71" s="404" t="str">
        <f>+A71</f>
        <v>Não Abrangidos por Regulamentação Coletiva</v>
      </c>
    </row>
    <row r="72" spans="1:31">
      <c r="B72" s="435">
        <f>+(B31/B26-1)*100</f>
        <v>23.588655082661035</v>
      </c>
      <c r="C72" s="435">
        <f t="shared" ref="C72:L72" si="20">+(C31/C26-1)*100</f>
        <v>21.3520563359066</v>
      </c>
      <c r="D72" s="435">
        <f t="shared" si="20"/>
        <v>20.132263327330136</v>
      </c>
      <c r="E72" s="435">
        <f t="shared" si="20"/>
        <v>17.832038901664227</v>
      </c>
      <c r="F72" s="435">
        <f t="shared" si="20"/>
        <v>16.655042565272172</v>
      </c>
      <c r="G72" s="435">
        <f t="shared" si="20"/>
        <v>15.024474040128233</v>
      </c>
      <c r="H72" s="435">
        <f t="shared" si="20"/>
        <v>15.396211492914746</v>
      </c>
      <c r="I72" s="435">
        <f t="shared" si="20"/>
        <v>15.726270944803854</v>
      </c>
      <c r="J72" s="435">
        <f t="shared" si="20"/>
        <v>14.059320980969026</v>
      </c>
      <c r="K72" s="435">
        <f t="shared" si="20"/>
        <v>15.114532431360296</v>
      </c>
      <c r="L72" s="435">
        <f t="shared" si="20"/>
        <v>15.815218641686911</v>
      </c>
      <c r="M72" s="497">
        <f>+L72-B72</f>
        <v>-7.7734364409741232</v>
      </c>
    </row>
    <row r="74" spans="1:31">
      <c r="T74" s="335" t="s">
        <v>359</v>
      </c>
    </row>
    <row r="76" spans="1:31">
      <c r="U76">
        <f>+L65</f>
        <v>2022</v>
      </c>
      <c r="V76" s="334" t="s">
        <v>604</v>
      </c>
    </row>
    <row r="77" spans="1:31">
      <c r="U77" s="334" t="s">
        <v>599</v>
      </c>
    </row>
    <row r="78" spans="1:31">
      <c r="V78" t="str">
        <f>+V47</f>
        <v>Contrato Coletivo de Trabalho (CCT)</v>
      </c>
    </row>
    <row r="79" spans="1:31">
      <c r="U79">
        <f>+VLOOKUP(V78,A67:M71,12,0)</f>
        <v>0.89289999332052106</v>
      </c>
      <c r="V79" t="str">
        <f>+TEXT(U79,"##.###,0%")</f>
        <v>89,3%</v>
      </c>
    </row>
    <row r="80" spans="1:31">
      <c r="Z80" s="603" t="str">
        <f>+U76&amp;" - "&amp;V76&amp;CHAR(10)&amp;U77&amp;" "&amp;V78&amp;": "&amp;V79&amp;" da remuneração média total;"&amp;CHAR(10)&amp;U81&amp;": "&amp;W83&amp;" "&amp;W84&amp;" à remuneração média total."</f>
        <v>2022 - Remuneração média mensal Ganho:
TCO abrangidos por  Contrato Coletivo de Trabalho (CCT): 89,3% da remuneração média total;
TCO não abrangidos por IRCT: 15,8% superior à remuneração média total.</v>
      </c>
      <c r="AA80" s="603"/>
      <c r="AB80" s="603"/>
      <c r="AC80" s="603"/>
      <c r="AD80" s="603"/>
      <c r="AE80" s="603"/>
    </row>
    <row r="81" spans="21:31">
      <c r="U81" s="334" t="s">
        <v>600</v>
      </c>
      <c r="Z81" s="603"/>
      <c r="AA81" s="603"/>
      <c r="AB81" s="603"/>
      <c r="AC81" s="603"/>
      <c r="AD81" s="603"/>
      <c r="AE81" s="603"/>
    </row>
    <row r="82" spans="21:31">
      <c r="U82" s="479">
        <f>+L71</f>
        <v>1.1581521864168691</v>
      </c>
      <c r="V82" t="str">
        <f>+TEXT(U82,"##.###,0%")</f>
        <v>115,8%</v>
      </c>
      <c r="Z82" s="603"/>
      <c r="AA82" s="603"/>
      <c r="AB82" s="603"/>
      <c r="AC82" s="603"/>
      <c r="AD82" s="603"/>
      <c r="AE82" s="603"/>
    </row>
    <row r="83" spans="21:31">
      <c r="V83" s="479">
        <f>+V82-L66</f>
        <v>0.15799999999999992</v>
      </c>
      <c r="W83" t="str">
        <f>+TEXT(V83,"##.###,0%")</f>
        <v>15,8%</v>
      </c>
      <c r="Z83" s="603"/>
      <c r="AA83" s="603"/>
      <c r="AB83" s="603"/>
      <c r="AC83" s="603"/>
      <c r="AD83" s="603"/>
      <c r="AE83" s="603"/>
    </row>
    <row r="84" spans="21:31">
      <c r="W84" t="str">
        <f>+IF(V83&gt;0,"superior","inferior")</f>
        <v>superior</v>
      </c>
      <c r="Z84" s="603"/>
      <c r="AA84" s="603"/>
      <c r="AB84" s="603"/>
      <c r="AC84" s="603"/>
      <c r="AD84" s="603"/>
      <c r="AE84" s="603"/>
    </row>
  </sheetData>
  <mergeCells count="3">
    <mergeCell ref="Z45:AC51"/>
    <mergeCell ref="Z63:AE67"/>
    <mergeCell ref="Z80:AE84"/>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C409D-309C-4C1B-8106-4E6369BA1BC8}">
  <dimension ref="A3:AP155"/>
  <sheetViews>
    <sheetView showGridLines="0" topLeftCell="A28" zoomScale="120" zoomScaleNormal="120" zoomScaleSheetLayoutView="100" workbookViewId="0">
      <selection activeCell="K42" sqref="K42"/>
    </sheetView>
  </sheetViews>
  <sheetFormatPr defaultColWidth="9.140625" defaultRowHeight="12.75"/>
  <cols>
    <col min="1" max="1" width="34.7109375" style="373" customWidth="1"/>
    <col min="2" max="3" width="9.140625" style="373"/>
    <col min="4" max="4" width="9.42578125" style="373" customWidth="1"/>
    <col min="5" max="6" width="9.140625" style="373"/>
    <col min="7" max="7" width="9.42578125" style="373" bestFit="1" customWidth="1"/>
    <col min="8" max="12" width="9.140625" style="373"/>
    <col min="13" max="13" width="12.42578125" style="373" customWidth="1"/>
    <col min="14" max="72" width="9.140625" style="373"/>
    <col min="73" max="73" width="10.42578125" style="373" customWidth="1"/>
    <col min="74" max="74" width="6" style="373" customWidth="1"/>
    <col min="75" max="16384" width="9.140625" style="373"/>
  </cols>
  <sheetData>
    <row r="3" spans="1:12">
      <c r="A3" s="374" t="s">
        <v>476</v>
      </c>
    </row>
    <row r="6" spans="1:12" ht="16.5" customHeight="1">
      <c r="B6" s="374">
        <f>+'q24 '!$B$4</f>
        <v>2012</v>
      </c>
      <c r="C6" s="374">
        <f>+'q24 '!$C$4</f>
        <v>2013</v>
      </c>
      <c r="D6" s="374">
        <f>+'q24 '!$D$4</f>
        <v>2014</v>
      </c>
      <c r="E6" s="374">
        <f>+'q24 '!$E$4</f>
        <v>2015</v>
      </c>
      <c r="F6" s="374">
        <f>+'q24 '!$F$4</f>
        <v>2016</v>
      </c>
      <c r="G6" s="374">
        <f>+'q24 '!$G$4</f>
        <v>2017</v>
      </c>
      <c r="H6" s="374">
        <f>+'q24 '!$H$4</f>
        <v>2018</v>
      </c>
      <c r="I6" s="374">
        <f>+'q24 '!$I$4</f>
        <v>2019</v>
      </c>
      <c r="J6" s="374">
        <f>+'q24 '!$J$4</f>
        <v>2020</v>
      </c>
      <c r="K6" s="374">
        <f>+'q24 '!$K$4</f>
        <v>2021</v>
      </c>
      <c r="L6" s="374">
        <f>+'q24 '!$L$4</f>
        <v>2022</v>
      </c>
    </row>
    <row r="7" spans="1:12">
      <c r="A7" s="374" t="s">
        <v>186</v>
      </c>
      <c r="B7" s="385">
        <f>+'q24 '!$B$5</f>
        <v>1910957</v>
      </c>
      <c r="C7" s="385">
        <f>+'q24 '!$C$5</f>
        <v>1890511</v>
      </c>
      <c r="D7" s="385">
        <f>+'q24 '!$D$5</f>
        <v>1928307</v>
      </c>
      <c r="E7" s="385">
        <f>+'q24 '!$E$5</f>
        <v>1991131</v>
      </c>
      <c r="F7" s="385">
        <f>+'q24 '!$F$5</f>
        <v>2054911</v>
      </c>
      <c r="G7" s="385">
        <f>+'q24 '!$G$5</f>
        <v>2131943</v>
      </c>
      <c r="H7" s="385">
        <f>+'q24 '!$H$5</f>
        <v>2205449</v>
      </c>
      <c r="I7" s="385">
        <f>+'q24 '!$I$5</f>
        <v>2232400</v>
      </c>
      <c r="J7" s="385">
        <f>+'q24 '!$J$5</f>
        <v>2164118</v>
      </c>
      <c r="K7" s="385">
        <f>+'q24 '!$K$5</f>
        <v>2200594</v>
      </c>
      <c r="L7" s="385">
        <f>+'q24 '!$L$5</f>
        <v>2376115</v>
      </c>
    </row>
    <row r="8" spans="1:12">
      <c r="A8" s="374" t="s">
        <v>477</v>
      </c>
      <c r="B8" s="386">
        <f>+'q24 '!$B$6</f>
        <v>783.62</v>
      </c>
      <c r="C8" s="386">
        <f>+'q24 '!$C$6</f>
        <v>785.45</v>
      </c>
      <c r="D8" s="386">
        <f>+'q24 '!$D$6</f>
        <v>786.99</v>
      </c>
      <c r="E8" s="386">
        <f>+'q24 '!$E$6</f>
        <v>790.03</v>
      </c>
      <c r="F8" s="386">
        <f>+'q24 '!$F$6</f>
        <v>800</v>
      </c>
      <c r="G8" s="386">
        <f>+'q24 '!$G$6</f>
        <v>822.95</v>
      </c>
      <c r="H8" s="386">
        <f>+'q24 '!$H$6</f>
        <v>854.8</v>
      </c>
      <c r="I8" s="386">
        <f>+'q24 '!$I$6</f>
        <v>892.01</v>
      </c>
      <c r="J8" s="386">
        <f>+'q24 '!$J$6</f>
        <v>926.14</v>
      </c>
      <c r="K8" s="386">
        <f>+'q24 '!$K$6</f>
        <v>962.2</v>
      </c>
      <c r="L8" s="386">
        <f>+'q24 '!$L$6</f>
        <v>1017.5</v>
      </c>
    </row>
    <row r="9" spans="1:12">
      <c r="A9" s="374" t="s">
        <v>478</v>
      </c>
      <c r="B9" s="386"/>
      <c r="C9" s="386"/>
      <c r="D9" s="386"/>
      <c r="E9" s="386"/>
      <c r="F9" s="386"/>
      <c r="G9" s="386"/>
      <c r="H9" s="386"/>
      <c r="I9" s="386"/>
      <c r="J9" s="386"/>
      <c r="K9" s="386"/>
      <c r="L9" s="386"/>
    </row>
    <row r="10" spans="1:12">
      <c r="A10" s="374" t="s">
        <v>106</v>
      </c>
      <c r="B10" s="386">
        <f>+'q24 '!$B$8</f>
        <v>502.07716596457396</v>
      </c>
      <c r="C10" s="386">
        <f>+'q24 '!$C$8</f>
        <v>502.40683714977052</v>
      </c>
      <c r="D10" s="386">
        <f>+'q24 '!$D$8</f>
        <v>517.55081553700325</v>
      </c>
      <c r="E10" s="386">
        <f>+'q24 '!$E$8</f>
        <v>518.95086292709823</v>
      </c>
      <c r="F10" s="386">
        <f>+'q24 '!$F$8</f>
        <v>541.0921528923551</v>
      </c>
      <c r="G10" s="386">
        <f>+'q24 '!$G$8</f>
        <v>568.88173063030297</v>
      </c>
      <c r="H10" s="386">
        <f>+'q24 '!$H$8</f>
        <v>593.05121495030642</v>
      </c>
      <c r="I10" s="386">
        <f>+'q24 '!$I$8</f>
        <v>615.49473382906092</v>
      </c>
      <c r="J10" s="386">
        <f>+'q24 '!$J$8</f>
        <v>651.89250749731025</v>
      </c>
      <c r="K10" s="386">
        <f>+'q24 '!$K$8</f>
        <v>684.62343435169566</v>
      </c>
      <c r="L10" s="386">
        <f>+'q24 '!$L$8</f>
        <v>726.78693402241106</v>
      </c>
    </row>
    <row r="11" spans="1:12">
      <c r="A11" s="374" t="s">
        <v>107</v>
      </c>
      <c r="B11" s="386">
        <f>+'q24 '!$B$9</f>
        <v>565.5751362665934</v>
      </c>
      <c r="C11" s="386">
        <f>+'q24 '!$C$9</f>
        <v>565.7498561763756</v>
      </c>
      <c r="D11" s="386">
        <f>+'q24 '!$D$9</f>
        <v>580.52165849888434</v>
      </c>
      <c r="E11" s="386">
        <f>+'q24 '!$E$9</f>
        <v>581.94133065143672</v>
      </c>
      <c r="F11" s="386">
        <f>+'q24 '!$F$9</f>
        <v>600.67778729967426</v>
      </c>
      <c r="G11" s="386">
        <f>+'q24 '!$G$9</f>
        <v>630.59844048145249</v>
      </c>
      <c r="H11" s="386">
        <f>+'q24 '!$H$9</f>
        <v>660.07862068964494</v>
      </c>
      <c r="I11" s="386">
        <f>+'q24 '!$I$9</f>
        <v>687.03886328615431</v>
      </c>
      <c r="J11" s="386">
        <f>+'q24 '!$J$9</f>
        <v>720.80295843114152</v>
      </c>
      <c r="K11" s="386">
        <f>+'q24 '!$K$9</f>
        <v>751.72831558808321</v>
      </c>
      <c r="L11" s="386">
        <f>+'q24 '!$L$9</f>
        <v>795.5286698062497</v>
      </c>
    </row>
    <row r="12" spans="1:12">
      <c r="A12" s="374" t="s">
        <v>108</v>
      </c>
      <c r="B12" s="386">
        <f>+'q24 '!$B$10</f>
        <v>613.51493469250943</v>
      </c>
      <c r="C12" s="386">
        <f>+'q24 '!$C$10</f>
        <v>612.33317147223192</v>
      </c>
      <c r="D12" s="386">
        <f>+'q24 '!$D$10</f>
        <v>622.01014468627716</v>
      </c>
      <c r="E12" s="386">
        <f>+'q24 '!$E$10</f>
        <v>622.58742794293528</v>
      </c>
      <c r="F12" s="386">
        <f>+'q24 '!$F$10</f>
        <v>637.88615389480708</v>
      </c>
      <c r="G12" s="386">
        <f>+'q24 '!$G$10</f>
        <v>666.63327129280469</v>
      </c>
      <c r="H12" s="386">
        <f>+'q24 '!$H$10</f>
        <v>697.54806048651801</v>
      </c>
      <c r="I12" s="386">
        <f>+'q24 '!$I$10</f>
        <v>726.1534825300223</v>
      </c>
      <c r="J12" s="386">
        <f>+'q24 '!$J$10</f>
        <v>756.501572509835</v>
      </c>
      <c r="K12" s="386">
        <f>+'q24 '!$K$10</f>
        <v>787.93228328638781</v>
      </c>
      <c r="L12" s="386">
        <f>+'q24 '!$L$10</f>
        <v>832.19218908214884</v>
      </c>
    </row>
    <row r="13" spans="1:12">
      <c r="A13" s="374" t="s">
        <v>109</v>
      </c>
      <c r="B13" s="386">
        <f>+'q24 '!$B$11</f>
        <v>671.12213380779281</v>
      </c>
      <c r="C13" s="386">
        <f>+'q24 '!$C$11</f>
        <v>668.73936525064596</v>
      </c>
      <c r="D13" s="386">
        <f>+'q24 '!$D$11</f>
        <v>673.50818264791474</v>
      </c>
      <c r="E13" s="386">
        <f>+'q24 '!$E$11</f>
        <v>675.89974572228186</v>
      </c>
      <c r="F13" s="386">
        <f>+'q24 '!$F$11</f>
        <v>687.11138312627475</v>
      </c>
      <c r="G13" s="386">
        <f>+'q24 '!$G$11</f>
        <v>713.33585998732872</v>
      </c>
      <c r="H13" s="386">
        <f>+'q24 '!$H$11</f>
        <v>744.93226588678726</v>
      </c>
      <c r="I13" s="386">
        <f>+'q24 '!$I$11</f>
        <v>776.90617357999565</v>
      </c>
      <c r="J13" s="386">
        <f>+'q24 '!$J$11</f>
        <v>809.55486234588795</v>
      </c>
      <c r="K13" s="386">
        <f>+'q24 '!$K$11</f>
        <v>843.68254668066811</v>
      </c>
      <c r="L13" s="386">
        <f>+'q24 '!$L$11</f>
        <v>892.08218406475885</v>
      </c>
    </row>
    <row r="14" spans="1:12">
      <c r="A14" s="374" t="s">
        <v>110</v>
      </c>
      <c r="B14" s="386">
        <f>+'q24 '!$B$12</f>
        <v>743.86513124293003</v>
      </c>
      <c r="C14" s="386">
        <f>+'q24 '!$C$12</f>
        <v>742.51328868929033</v>
      </c>
      <c r="D14" s="386">
        <f>+'q24 '!$D$12</f>
        <v>744.94285374240394</v>
      </c>
      <c r="E14" s="386">
        <f>+'q24 '!$E$12</f>
        <v>748.81502242445231</v>
      </c>
      <c r="F14" s="386">
        <f>+'q24 '!$F$12</f>
        <v>758.29326067808086</v>
      </c>
      <c r="G14" s="386">
        <f>+'q24 '!$G$12</f>
        <v>782.49168771165557</v>
      </c>
      <c r="H14" s="386">
        <f>+'q24 '!$H$12</f>
        <v>814.41363286402702</v>
      </c>
      <c r="I14" s="386">
        <f>+'q24 '!$I$12</f>
        <v>849.91984268052602</v>
      </c>
      <c r="J14" s="386">
        <f>+'q24 '!$J$12</f>
        <v>884.64735596917114</v>
      </c>
      <c r="K14" s="386">
        <f>+'q24 '!$K$12</f>
        <v>918.7463113528612</v>
      </c>
      <c r="L14" s="386">
        <f>+'q24 '!$L$12</f>
        <v>971.89205958477703</v>
      </c>
    </row>
    <row r="15" spans="1:12">
      <c r="A15" s="374" t="s">
        <v>111</v>
      </c>
      <c r="B15" s="386">
        <f>+'q24 '!$B$13</f>
        <v>836.4893676476803</v>
      </c>
      <c r="C15" s="386">
        <f>+'q24 '!$C$13</f>
        <v>837.13654532374778</v>
      </c>
      <c r="D15" s="386">
        <f>+'q24 '!$D$13</f>
        <v>836.57347739729801</v>
      </c>
      <c r="E15" s="386">
        <f>+'q24 '!$E$13</f>
        <v>841.1823984370709</v>
      </c>
      <c r="F15" s="386">
        <f>+'q24 '!$F$13</f>
        <v>849.5100298796724</v>
      </c>
      <c r="G15" s="386">
        <f>+'q24 '!$G$13</f>
        <v>872.86998367682884</v>
      </c>
      <c r="H15" s="386">
        <f>+'q24 '!$H$13</f>
        <v>905.45956163141398</v>
      </c>
      <c r="I15" s="386">
        <f>+'q24 '!$I$13</f>
        <v>945.29606172729177</v>
      </c>
      <c r="J15" s="386">
        <f>+'q24 '!$J$13</f>
        <v>982.04350097730719</v>
      </c>
      <c r="K15" s="386">
        <f>+'q24 '!$K$13</f>
        <v>1019.553943106434</v>
      </c>
      <c r="L15" s="386">
        <f>+'q24 '!$L$13</f>
        <v>1077.810409028147</v>
      </c>
    </row>
    <row r="16" spans="1:12">
      <c r="A16" s="374" t="s">
        <v>112</v>
      </c>
      <c r="B16" s="386">
        <f>+'q24 '!$B$14</f>
        <v>975.82479599151748</v>
      </c>
      <c r="C16" s="386">
        <f>+'q24 '!$C$14</f>
        <v>975.8054842873039</v>
      </c>
      <c r="D16" s="386">
        <f>+'q24 '!$D$14</f>
        <v>971.93927246797557</v>
      </c>
      <c r="E16" s="386">
        <f>+'q24 '!$E$14</f>
        <v>976.81670207370189</v>
      </c>
      <c r="F16" s="386">
        <f>+'q24 '!$F$14</f>
        <v>983.8021989770748</v>
      </c>
      <c r="G16" s="386">
        <f>+'q24 '!$G$14</f>
        <v>1007.140569994583</v>
      </c>
      <c r="H16" s="386">
        <f>+'q24 '!$H$14</f>
        <v>1044.1394651885271</v>
      </c>
      <c r="I16" s="386">
        <f>+'q24 '!$I$14</f>
        <v>1088.517636893034</v>
      </c>
      <c r="J16" s="386">
        <f>+'q24 '!$J$14</f>
        <v>1132.4828899968802</v>
      </c>
      <c r="K16" s="386">
        <f>+'q24 '!$K$14</f>
        <v>1173.7457060606921</v>
      </c>
      <c r="L16" s="386">
        <f>+'q24 '!$L$14</f>
        <v>1239.4099067804125</v>
      </c>
    </row>
    <row r="17" spans="1:14">
      <c r="A17" s="374" t="s">
        <v>113</v>
      </c>
      <c r="B17" s="386">
        <f>+'q24 '!$B$15</f>
        <v>1202.7005390484267</v>
      </c>
      <c r="C17" s="386">
        <f>+'q24 '!$C$15</f>
        <v>1201.6263415691892</v>
      </c>
      <c r="D17" s="386">
        <f>+'q24 '!$D$15</f>
        <v>1195.0777668009587</v>
      </c>
      <c r="E17" s="386">
        <f>+'q24 '!$E$15</f>
        <v>1199.4912913772368</v>
      </c>
      <c r="F17" s="386">
        <f>+'q24 '!$F$15</f>
        <v>1202.9892980227676</v>
      </c>
      <c r="G17" s="386">
        <f>+'q24 '!$G$15</f>
        <v>1225.676024606707</v>
      </c>
      <c r="H17" s="386">
        <f>+'q24 '!$H$15</f>
        <v>1266.6447372645009</v>
      </c>
      <c r="I17" s="386">
        <f>+'q24 '!$I$15</f>
        <v>1314.5922285432748</v>
      </c>
      <c r="J17" s="386">
        <f>+'q24 '!$J$15</f>
        <v>1363.3365835073832</v>
      </c>
      <c r="K17" s="386">
        <f>+'q24 '!$K$15</f>
        <v>1407.6698597200987</v>
      </c>
      <c r="L17" s="386">
        <f>+'q24 '!$L$15</f>
        <v>1484.4414834267652</v>
      </c>
    </row>
    <row r="18" spans="1:14">
      <c r="A18" s="374" t="s">
        <v>114</v>
      </c>
      <c r="B18" s="386">
        <f>+'q24 '!$B$16</f>
        <v>1607.4547352116317</v>
      </c>
      <c r="C18" s="386">
        <f>+'q24 '!$C$16</f>
        <v>1606.653907940198</v>
      </c>
      <c r="D18" s="386">
        <f>+'q24 '!$D$16</f>
        <v>1596.1907082886196</v>
      </c>
      <c r="E18" s="386">
        <f>+'q24 '!$E$16</f>
        <v>1593.9948363994288</v>
      </c>
      <c r="F18" s="386">
        <f>+'q24 '!$F$16</f>
        <v>1597.2320548345199</v>
      </c>
      <c r="G18" s="386">
        <f>+'q24 '!$G$16</f>
        <v>1617.012724232394</v>
      </c>
      <c r="H18" s="386">
        <f>+'q24 '!$H$16</f>
        <v>1663.9378675553935</v>
      </c>
      <c r="I18" s="386">
        <f>+'q24 '!$I$16</f>
        <v>1717.1863239114855</v>
      </c>
      <c r="J18" s="386">
        <f>+'q24 '!$J$16</f>
        <v>1773.488763007615</v>
      </c>
      <c r="K18" s="386">
        <f>+'q24 '!$K$16</f>
        <v>1827.6018119231919</v>
      </c>
      <c r="L18" s="386">
        <f>+'q24 '!$L$16</f>
        <v>1929.9838421200914</v>
      </c>
    </row>
    <row r="19" spans="1:14">
      <c r="A19" s="374" t="s">
        <v>115</v>
      </c>
      <c r="B19" s="386">
        <f>+'q24 '!$B$17</f>
        <v>3237.2320345794701</v>
      </c>
      <c r="C19" s="386">
        <f>+'q24 '!$C$17</f>
        <v>3225.2026519687684</v>
      </c>
      <c r="D19" s="386">
        <f>+'q24 '!$D$17</f>
        <v>3193.7647381385727</v>
      </c>
      <c r="E19" s="386">
        <f>+'q24 '!$E$17</f>
        <v>3206.8831967113601</v>
      </c>
      <c r="F19" s="386">
        <f>+'q24 '!$F$17</f>
        <v>3219.9590582602186</v>
      </c>
      <c r="G19" s="386">
        <f>+'q24 '!$G$17</f>
        <v>3248.7812157883491</v>
      </c>
      <c r="H19" s="386">
        <f>+'q24 '!$H$17</f>
        <v>3312.3170080029313</v>
      </c>
      <c r="I19" s="386">
        <f>+'q24 '!$I$17</f>
        <v>3378.2847015767798</v>
      </c>
      <c r="J19" s="386">
        <f>+'q24 '!$J$17</f>
        <v>3432.7647053305991</v>
      </c>
      <c r="K19" s="386">
        <f>+'q24 '!$K$17</f>
        <v>3525.7980851130819</v>
      </c>
      <c r="L19" s="386">
        <f>+'q24 '!$L$17</f>
        <v>3729.8200154454453</v>
      </c>
    </row>
    <row r="20" spans="1:14">
      <c r="A20" s="374" t="s">
        <v>479</v>
      </c>
      <c r="B20" s="386">
        <f>+'q24 '!$B$18</f>
        <v>522.41333333333353</v>
      </c>
      <c r="C20" s="386">
        <f>+'q24 '!$C$18</f>
        <v>523.63333333333355</v>
      </c>
      <c r="D20" s="386">
        <f>+'q24 '!$D$18</f>
        <v>524.6600000000002</v>
      </c>
      <c r="E20" s="386">
        <f>+'q24 '!$E$18</f>
        <v>526.68666666666684</v>
      </c>
      <c r="F20" s="386">
        <f>+'q24 '!$F$18</f>
        <v>533.3333333333336</v>
      </c>
      <c r="G20" s="386">
        <f>+'q24 '!$G$18</f>
        <v>548.63333333333355</v>
      </c>
      <c r="H20" s="386">
        <f>+'q24 '!$H$18</f>
        <v>569.8666666666669</v>
      </c>
      <c r="I20" s="386">
        <f>+'q24 '!$I$18</f>
        <v>594.67333333333363</v>
      </c>
      <c r="J20" s="386">
        <f>+'q24 '!$J$18</f>
        <v>617.42666666666696</v>
      </c>
      <c r="K20" s="386">
        <f>+'q24 '!$K$18</f>
        <v>641.46666666666704</v>
      </c>
      <c r="L20" s="386">
        <f>+'q24 '!$L$18</f>
        <v>678.3333333333336</v>
      </c>
      <c r="M20" s="397"/>
    </row>
    <row r="21" spans="1:14">
      <c r="A21" s="374" t="s">
        <v>480</v>
      </c>
      <c r="B21" s="397">
        <f>+'q24 '!$B$19</f>
        <v>7.5149780973616878</v>
      </c>
      <c r="C21" s="397">
        <f>+'q24 '!$C$19</f>
        <v>7.5899584821246746</v>
      </c>
      <c r="D21" s="397">
        <f>+'q24 '!$D$19</f>
        <v>6.7784331021979378</v>
      </c>
      <c r="E21" s="397">
        <f>+'q24 '!$E$19</f>
        <v>6.7010658766299152</v>
      </c>
      <c r="F21" s="397">
        <f>+'q24 '!$F$19</f>
        <v>5.8595725070331515</v>
      </c>
      <c r="G21" s="397">
        <f>+'q24 '!$G$19</f>
        <v>0.18870110504830601</v>
      </c>
      <c r="H21" s="397">
        <f>+'q24 '!$H$19</f>
        <v>0.15593196668796241</v>
      </c>
      <c r="I21" s="397">
        <f>+'q24 '!$I$19</f>
        <v>0.17702920623544169</v>
      </c>
      <c r="J21" s="397">
        <f>+'q24 '!$J$19</f>
        <v>0.13543623776522351</v>
      </c>
      <c r="K21" s="397">
        <f>+'q24 '!$K$19</f>
        <v>0.10733465600651461</v>
      </c>
      <c r="L21" s="397">
        <f>+'q24 '!$L$19</f>
        <v>0.1091277147781147</v>
      </c>
      <c r="M21" s="397">
        <f>+L21-B21</f>
        <v>-7.4058503825835729</v>
      </c>
    </row>
    <row r="22" spans="1:14">
      <c r="A22" s="374" t="s">
        <v>116</v>
      </c>
      <c r="B22" s="397">
        <f>+'q24 '!$B$20</f>
        <v>5.3068902514943241</v>
      </c>
      <c r="C22" s="397">
        <f>+'q24 '!$C$20</f>
        <v>5.4625410099206819</v>
      </c>
      <c r="D22" s="397">
        <f>+'q24 '!$D$20</f>
        <v>5.0116386066610552</v>
      </c>
      <c r="E22" s="397">
        <f>+'q24 '!$E$20</f>
        <v>4.9913920624282868</v>
      </c>
      <c r="F22" s="397">
        <f>+'q24 '!$F$20</f>
        <v>4.3825424272112032</v>
      </c>
      <c r="G22" s="397">
        <f>+'q24 '!$G$20</f>
        <v>9.97587431783898E-2</v>
      </c>
      <c r="H22" s="397">
        <f>+'q24 '!$H$20</f>
        <v>8.4876832710097258E-2</v>
      </c>
      <c r="I22" s="397">
        <f>+'q24 '!$I$20</f>
        <v>9.2477839402294204E-2</v>
      </c>
      <c r="J22" s="397">
        <f>+'q24 '!$J$20</f>
        <v>7.2591368700993461E-2</v>
      </c>
      <c r="K22" s="397">
        <f>+'q24 '!$K$20</f>
        <v>6.9531474441978686E-2</v>
      </c>
      <c r="L22" s="397">
        <f>+'q24 '!$L$20</f>
        <v>7.5603829772818959E-2</v>
      </c>
      <c r="M22" s="397">
        <f>+G21-B21</f>
        <v>-7.3262769923133817</v>
      </c>
    </row>
    <row r="23" spans="1:14">
      <c r="A23" s="374" t="s">
        <v>117</v>
      </c>
      <c r="B23" s="397">
        <f>+'q24 '!$B$21</f>
        <v>10.129962165807491</v>
      </c>
      <c r="C23" s="397">
        <f>+'q24 '!$C$21</f>
        <v>10.091769518431597</v>
      </c>
      <c r="D23" s="397">
        <f>+'q24 '!$D$21</f>
        <v>8.8658933092592473</v>
      </c>
      <c r="E23" s="397">
        <f>+'q24 '!$E$21</f>
        <v>8.6985072156326364</v>
      </c>
      <c r="F23" s="397">
        <f>+'q24 '!$F$21</f>
        <v>7.5861333761159182</v>
      </c>
      <c r="G23" s="397">
        <f>+'q24 '!$G$21</f>
        <v>0.29381153693828099</v>
      </c>
      <c r="H23" s="397">
        <f>+'q24 '!$H$21</f>
        <v>0.24064075446492469</v>
      </c>
      <c r="I23" s="397">
        <f>+'q24 '!$I$21</f>
        <v>0.27847549937870203</v>
      </c>
      <c r="J23" s="397">
        <f>+'q24 '!$J$21</f>
        <v>0.21184683545470276</v>
      </c>
      <c r="K23" s="397">
        <f>+'q24 '!$K$21</f>
        <v>0.15274597653893823</v>
      </c>
      <c r="L23" s="397">
        <f>+'q24 '!$L$21</f>
        <v>0.1495489858796423</v>
      </c>
      <c r="M23" s="397">
        <f>+L21-G21</f>
        <v>-7.9573390270191308E-2</v>
      </c>
    </row>
    <row r="24" spans="1:14">
      <c r="B24" s="397">
        <f>+B23-B22</f>
        <v>4.8230719143131671</v>
      </c>
      <c r="C24" s="397">
        <f t="shared" ref="C24:L24" si="0">+C23-C22</f>
        <v>4.6292285085109155</v>
      </c>
      <c r="D24" s="397">
        <f t="shared" si="0"/>
        <v>3.8542547025981921</v>
      </c>
      <c r="E24" s="397">
        <f t="shared" si="0"/>
        <v>3.7071151532043496</v>
      </c>
      <c r="F24" s="397">
        <f t="shared" si="0"/>
        <v>3.203590948904715</v>
      </c>
      <c r="G24" s="397">
        <f t="shared" si="0"/>
        <v>0.19405279375989121</v>
      </c>
      <c r="H24" s="397">
        <f t="shared" si="0"/>
        <v>0.15576392175482745</v>
      </c>
      <c r="I24" s="397">
        <f t="shared" si="0"/>
        <v>0.18599765997640783</v>
      </c>
      <c r="J24" s="397">
        <f t="shared" si="0"/>
        <v>0.13925546675370931</v>
      </c>
      <c r="K24" s="397">
        <f t="shared" si="0"/>
        <v>8.3214502096959547E-2</v>
      </c>
      <c r="L24" s="397">
        <f t="shared" si="0"/>
        <v>7.394515610682334E-2</v>
      </c>
      <c r="M24" s="397">
        <f>+L23-G23</f>
        <v>-0.14426255105863869</v>
      </c>
      <c r="N24" s="397"/>
    </row>
    <row r="25" spans="1:14">
      <c r="L25" s="397">
        <f>+L22-B22</f>
        <v>-5.2312864217215056</v>
      </c>
      <c r="M25" s="397">
        <f>+G23-B23</f>
        <v>-9.8361506288692109</v>
      </c>
    </row>
    <row r="26" spans="1:14">
      <c r="M26" s="604"/>
    </row>
    <row r="27" spans="1:14">
      <c r="A27" s="374"/>
      <c r="B27" s="399"/>
      <c r="C27" s="399"/>
      <c r="D27" s="399"/>
      <c r="E27" s="399"/>
      <c r="F27" s="399"/>
      <c r="G27" s="399"/>
      <c r="H27" s="399"/>
      <c r="I27" s="399"/>
      <c r="J27" s="399"/>
      <c r="K27" s="399"/>
      <c r="L27" s="399"/>
      <c r="M27" s="604"/>
    </row>
    <row r="28" spans="1:14">
      <c r="A28" s="373" t="s">
        <v>624</v>
      </c>
      <c r="B28" s="399"/>
      <c r="C28" s="399"/>
      <c r="D28" s="399"/>
      <c r="E28" s="399"/>
      <c r="F28" s="399"/>
      <c r="G28" s="399"/>
      <c r="H28" s="399"/>
      <c r="I28" s="399"/>
      <c r="J28" s="399"/>
      <c r="K28" s="399"/>
      <c r="L28" s="399"/>
      <c r="M28" s="604"/>
    </row>
    <row r="33" spans="1:42" ht="12.95" customHeight="1">
      <c r="A33" s="373" t="s">
        <v>478</v>
      </c>
      <c r="AC33" s="608" t="s">
        <v>627</v>
      </c>
      <c r="AD33" s="608"/>
      <c r="AE33" s="608"/>
      <c r="AF33" s="608"/>
      <c r="AG33" s="608"/>
      <c r="AH33" s="608"/>
      <c r="AI33" s="608"/>
      <c r="AJ33" s="608"/>
      <c r="AK33" s="608"/>
      <c r="AL33" s="608"/>
      <c r="AM33" s="608"/>
      <c r="AN33" s="608"/>
      <c r="AO33" s="608"/>
      <c r="AP33" s="608"/>
    </row>
    <row r="34" spans="1:42">
      <c r="B34" s="374">
        <f>+B6</f>
        <v>2012</v>
      </c>
      <c r="C34" s="374">
        <f t="shared" ref="C34:L34" si="1">+C6</f>
        <v>2013</v>
      </c>
      <c r="D34" s="374">
        <f t="shared" si="1"/>
        <v>2014</v>
      </c>
      <c r="E34" s="374">
        <f t="shared" si="1"/>
        <v>2015</v>
      </c>
      <c r="F34" s="374">
        <f t="shared" si="1"/>
        <v>2016</v>
      </c>
      <c r="G34" s="374">
        <f t="shared" si="1"/>
        <v>2017</v>
      </c>
      <c r="H34" s="374">
        <f t="shared" si="1"/>
        <v>2018</v>
      </c>
      <c r="I34" s="374">
        <f t="shared" si="1"/>
        <v>2019</v>
      </c>
      <c r="J34" s="374">
        <f t="shared" si="1"/>
        <v>2020</v>
      </c>
      <c r="K34" s="374">
        <f t="shared" si="1"/>
        <v>2021</v>
      </c>
      <c r="L34" s="374">
        <f t="shared" si="1"/>
        <v>2022</v>
      </c>
      <c r="AC34" s="608"/>
      <c r="AD34" s="608"/>
      <c r="AE34" s="608"/>
      <c r="AF34" s="608"/>
      <c r="AG34" s="608"/>
      <c r="AH34" s="608"/>
      <c r="AI34" s="608"/>
      <c r="AJ34" s="608"/>
      <c r="AK34" s="608"/>
      <c r="AL34" s="608"/>
      <c r="AM34" s="608"/>
      <c r="AN34" s="608"/>
      <c r="AO34" s="608"/>
      <c r="AP34" s="608"/>
    </row>
    <row r="35" spans="1:42">
      <c r="A35" s="431" t="s">
        <v>490</v>
      </c>
      <c r="B35" s="386">
        <f>+$B$19</f>
        <v>3237.2320345794701</v>
      </c>
      <c r="C35" s="386">
        <f>+$C$19</f>
        <v>3225.2026519687684</v>
      </c>
      <c r="D35" s="386">
        <f>+$D$19</f>
        <v>3193.7647381385727</v>
      </c>
      <c r="E35" s="386">
        <f>+$E$19</f>
        <v>3206.8831967113601</v>
      </c>
      <c r="F35" s="386">
        <f>+$F$19</f>
        <v>3219.9590582602186</v>
      </c>
      <c r="G35" s="386">
        <f>+$G$19</f>
        <v>3248.7812157883491</v>
      </c>
      <c r="H35" s="386">
        <f>+$H$19</f>
        <v>3312.3170080029313</v>
      </c>
      <c r="I35" s="386">
        <f>+$I$19</f>
        <v>3378.2847015767798</v>
      </c>
      <c r="J35" s="386">
        <f>+$J$19</f>
        <v>3432.7647053305991</v>
      </c>
      <c r="K35" s="386">
        <f>+$K$19</f>
        <v>3525.7980851130819</v>
      </c>
      <c r="L35" s="386">
        <f>+$L$19</f>
        <v>3729.8200154454453</v>
      </c>
      <c r="M35" s="399">
        <f>(L35/B35-1)*100</f>
        <v>15.216332212342154</v>
      </c>
      <c r="N35" s="399">
        <f>+L35/L39</f>
        <v>5.1319304748679384</v>
      </c>
      <c r="O35" s="399"/>
      <c r="AC35" s="608"/>
      <c r="AD35" s="608"/>
      <c r="AE35" s="608"/>
      <c r="AF35" s="608"/>
      <c r="AG35" s="608"/>
      <c r="AH35" s="608"/>
      <c r="AI35" s="608"/>
      <c r="AJ35" s="608"/>
      <c r="AK35" s="608"/>
      <c r="AL35" s="608"/>
      <c r="AM35" s="608"/>
      <c r="AN35" s="608"/>
      <c r="AO35" s="608"/>
      <c r="AP35" s="608"/>
    </row>
    <row r="36" spans="1:42">
      <c r="A36" s="431" t="s">
        <v>494</v>
      </c>
      <c r="B36" s="386">
        <f>+$B$18</f>
        <v>1607.4547352116317</v>
      </c>
      <c r="C36" s="386">
        <f>+$C$18</f>
        <v>1606.653907940198</v>
      </c>
      <c r="D36" s="386">
        <f>+$D$18</f>
        <v>1596.1907082886196</v>
      </c>
      <c r="E36" s="386">
        <f>+$E$18</f>
        <v>1593.9948363994288</v>
      </c>
      <c r="F36" s="386">
        <f>+$F$18</f>
        <v>1597.2320548345199</v>
      </c>
      <c r="G36" s="386">
        <f>+$G$18</f>
        <v>1617.012724232394</v>
      </c>
      <c r="H36" s="386">
        <f>+$H$18</f>
        <v>1663.9378675553935</v>
      </c>
      <c r="I36" s="386">
        <f>+$I$18</f>
        <v>1717.1863239114855</v>
      </c>
      <c r="J36" s="386">
        <f>+$J$18</f>
        <v>1773.488763007615</v>
      </c>
      <c r="K36" s="386">
        <f>+$K$18</f>
        <v>1827.6018119231919</v>
      </c>
      <c r="L36" s="386">
        <f>+$L$18</f>
        <v>1929.9838421200914</v>
      </c>
      <c r="M36" s="399">
        <f t="shared" ref="M36:M39" si="2">(L36/B36-1)*100</f>
        <v>20.064584080869729</v>
      </c>
      <c r="AC36" s="608"/>
      <c r="AD36" s="608"/>
      <c r="AE36" s="608"/>
      <c r="AF36" s="608"/>
      <c r="AG36" s="608"/>
      <c r="AH36" s="608"/>
      <c r="AI36" s="608"/>
      <c r="AJ36" s="608"/>
      <c r="AK36" s="608"/>
      <c r="AL36" s="608"/>
      <c r="AM36" s="608"/>
      <c r="AN36" s="608"/>
      <c r="AO36" s="608"/>
      <c r="AP36" s="608"/>
    </row>
    <row r="37" spans="1:42">
      <c r="A37" s="431" t="s">
        <v>493</v>
      </c>
      <c r="B37" s="386">
        <f>+$B$14</f>
        <v>743.86513124293003</v>
      </c>
      <c r="C37" s="386">
        <f>+$C$14</f>
        <v>742.51328868929033</v>
      </c>
      <c r="D37" s="386">
        <f>+$D$14</f>
        <v>744.94285374240394</v>
      </c>
      <c r="E37" s="386">
        <f>+$E$14</f>
        <v>748.81502242445231</v>
      </c>
      <c r="F37" s="386">
        <f>+$F$14</f>
        <v>758.29326067808086</v>
      </c>
      <c r="G37" s="386">
        <f>+$G$14</f>
        <v>782.49168771165557</v>
      </c>
      <c r="H37" s="386">
        <f>+$H$14</f>
        <v>814.41363286402702</v>
      </c>
      <c r="I37" s="386">
        <f>+$I$14</f>
        <v>849.91984268052602</v>
      </c>
      <c r="J37" s="386">
        <f>+$J$14</f>
        <v>884.64735596917114</v>
      </c>
      <c r="K37" s="386">
        <f>+$K$14</f>
        <v>918.7463113528612</v>
      </c>
      <c r="L37" s="386">
        <f>+$L$14</f>
        <v>971.89205958477703</v>
      </c>
      <c r="M37" s="399">
        <f t="shared" si="2"/>
        <v>30.654337562621748</v>
      </c>
      <c r="AC37" s="608"/>
      <c r="AD37" s="608"/>
      <c r="AE37" s="608"/>
      <c r="AF37" s="608"/>
      <c r="AG37" s="608"/>
      <c r="AH37" s="608"/>
      <c r="AI37" s="608"/>
      <c r="AJ37" s="608"/>
      <c r="AK37" s="608"/>
      <c r="AL37" s="608"/>
      <c r="AM37" s="608"/>
      <c r="AN37" s="608"/>
      <c r="AO37" s="608"/>
      <c r="AP37" s="608"/>
    </row>
    <row r="38" spans="1:42">
      <c r="A38" s="431" t="s">
        <v>492</v>
      </c>
      <c r="B38" s="386">
        <f>+$B$11</f>
        <v>565.5751362665934</v>
      </c>
      <c r="C38" s="386">
        <f>+$C$11</f>
        <v>565.7498561763756</v>
      </c>
      <c r="D38" s="386">
        <f>+$D$11</f>
        <v>580.52165849888434</v>
      </c>
      <c r="E38" s="386">
        <f>+$E$11</f>
        <v>581.94133065143672</v>
      </c>
      <c r="F38" s="386">
        <f>+$F$11</f>
        <v>600.67778729967426</v>
      </c>
      <c r="G38" s="386">
        <f>+$G$11</f>
        <v>630.59844048145249</v>
      </c>
      <c r="H38" s="386">
        <f>+$H$11</f>
        <v>660.07862068964494</v>
      </c>
      <c r="I38" s="386">
        <f>+$I$11</f>
        <v>687.03886328615431</v>
      </c>
      <c r="J38" s="386">
        <f>+$J$11</f>
        <v>720.80295843114152</v>
      </c>
      <c r="K38" s="386">
        <f>+$K$11</f>
        <v>751.72831558808321</v>
      </c>
      <c r="L38" s="386">
        <f>+$L$11</f>
        <v>795.5286698062497</v>
      </c>
      <c r="M38" s="399">
        <f t="shared" si="2"/>
        <v>40.658352673987388</v>
      </c>
      <c r="O38" s="397"/>
      <c r="AC38" s="608"/>
      <c r="AD38" s="608"/>
      <c r="AE38" s="608"/>
      <c r="AF38" s="608"/>
      <c r="AG38" s="608"/>
      <c r="AH38" s="608"/>
      <c r="AI38" s="608"/>
      <c r="AJ38" s="608"/>
      <c r="AK38" s="608"/>
      <c r="AL38" s="608"/>
      <c r="AM38" s="608"/>
      <c r="AN38" s="608"/>
      <c r="AO38" s="608"/>
      <c r="AP38" s="608"/>
    </row>
    <row r="39" spans="1:42">
      <c r="A39" s="431" t="s">
        <v>491</v>
      </c>
      <c r="B39" s="386">
        <f>+$B$10</f>
        <v>502.07716596457396</v>
      </c>
      <c r="C39" s="386">
        <f>+$C$10</f>
        <v>502.40683714977052</v>
      </c>
      <c r="D39" s="386">
        <f>+$D$10</f>
        <v>517.55081553700325</v>
      </c>
      <c r="E39" s="386">
        <f>+$E$10</f>
        <v>518.95086292709823</v>
      </c>
      <c r="F39" s="386">
        <f>+$F$10</f>
        <v>541.0921528923551</v>
      </c>
      <c r="G39" s="386">
        <f>+$G$10</f>
        <v>568.88173063030297</v>
      </c>
      <c r="H39" s="386">
        <f>+$H$10</f>
        <v>593.05121495030642</v>
      </c>
      <c r="I39" s="386">
        <f>+$I$10</f>
        <v>615.49473382906092</v>
      </c>
      <c r="J39" s="386">
        <f>+$J$10</f>
        <v>651.89250749731025</v>
      </c>
      <c r="K39" s="386">
        <f>+$K$10</f>
        <v>684.62343435169566</v>
      </c>
      <c r="L39" s="386">
        <f>+$L$10</f>
        <v>726.78693402241106</v>
      </c>
      <c r="M39" s="399">
        <f t="shared" si="2"/>
        <v>44.756022239356795</v>
      </c>
      <c r="AC39" s="608"/>
      <c r="AD39" s="608"/>
      <c r="AE39" s="608"/>
      <c r="AF39" s="608"/>
      <c r="AG39" s="608"/>
      <c r="AH39" s="608"/>
      <c r="AI39" s="608"/>
      <c r="AJ39" s="608"/>
      <c r="AK39" s="608"/>
      <c r="AL39" s="608"/>
      <c r="AM39" s="608"/>
      <c r="AN39" s="608"/>
      <c r="AO39" s="608"/>
      <c r="AP39" s="608"/>
    </row>
    <row r="40" spans="1:42">
      <c r="A40" s="373" t="s">
        <v>487</v>
      </c>
      <c r="M40" s="402"/>
      <c r="AC40" s="608"/>
      <c r="AD40" s="608"/>
      <c r="AE40" s="608"/>
      <c r="AF40" s="608"/>
      <c r="AG40" s="608"/>
      <c r="AH40" s="608"/>
      <c r="AI40" s="608"/>
      <c r="AJ40" s="608"/>
      <c r="AK40" s="608"/>
      <c r="AL40" s="608"/>
      <c r="AM40" s="608"/>
      <c r="AN40" s="608"/>
      <c r="AO40" s="608"/>
      <c r="AP40" s="608"/>
    </row>
    <row r="41" spans="1:42" ht="17.25" customHeight="1">
      <c r="A41" s="373" t="s">
        <v>485</v>
      </c>
      <c r="B41" s="399">
        <f>+B35/B39</f>
        <v>6.4476782734387204</v>
      </c>
      <c r="C41" s="399">
        <f t="shared" ref="C41:L41" si="3">+C35/C39</f>
        <v>6.4195039029839398</v>
      </c>
      <c r="D41" s="399">
        <f t="shared" si="3"/>
        <v>6.1709201150128008</v>
      </c>
      <c r="E41" s="399">
        <f t="shared" si="3"/>
        <v>6.1795507548117525</v>
      </c>
      <c r="F41" s="399">
        <f t="shared" si="3"/>
        <v>5.9508515158614719</v>
      </c>
      <c r="G41" s="399">
        <f t="shared" si="3"/>
        <v>5.7108200894214027</v>
      </c>
      <c r="H41" s="399">
        <f t="shared" si="3"/>
        <v>5.5852124142102646</v>
      </c>
      <c r="I41" s="399">
        <f t="shared" si="3"/>
        <v>5.4887304730620459</v>
      </c>
      <c r="J41" s="399">
        <f t="shared" si="3"/>
        <v>5.265844699625978</v>
      </c>
      <c r="K41" s="399">
        <f t="shared" si="3"/>
        <v>5.1499815930955348</v>
      </c>
      <c r="L41" s="399">
        <f t="shared" si="3"/>
        <v>5.1319304748679384</v>
      </c>
      <c r="M41" s="605" t="s">
        <v>625</v>
      </c>
      <c r="AC41" s="608"/>
      <c r="AD41" s="608"/>
      <c r="AE41" s="608"/>
      <c r="AF41" s="608"/>
      <c r="AG41" s="608"/>
      <c r="AH41" s="608"/>
      <c r="AI41" s="608"/>
      <c r="AJ41" s="608"/>
      <c r="AK41" s="608"/>
      <c r="AL41" s="608"/>
      <c r="AM41" s="608"/>
      <c r="AN41" s="608"/>
      <c r="AO41" s="608"/>
      <c r="AP41" s="608"/>
    </row>
    <row r="42" spans="1:42" ht="18.75" customHeight="1">
      <c r="A42" s="373" t="s">
        <v>486</v>
      </c>
      <c r="B42" s="399">
        <f>+(B35+B36)/(B38+B39)</f>
        <v>4.5377008597899637</v>
      </c>
      <c r="C42" s="399">
        <f t="shared" ref="C42:L42" si="4">+(C35+C36)/(C38+C39)</f>
        <v>4.5235465827237284</v>
      </c>
      <c r="D42" s="399">
        <f t="shared" si="4"/>
        <v>4.3621487285097409</v>
      </c>
      <c r="E42" s="399">
        <f t="shared" si="4"/>
        <v>4.3608975166815975</v>
      </c>
      <c r="F42" s="399">
        <f t="shared" si="4"/>
        <v>4.2190558215997127</v>
      </c>
      <c r="G42" s="399">
        <f t="shared" si="4"/>
        <v>4.0565855586514719</v>
      </c>
      <c r="H42" s="399">
        <f t="shared" si="4"/>
        <v>3.9710608861347865</v>
      </c>
      <c r="I42" s="399">
        <f t="shared" si="4"/>
        <v>3.9119689785917635</v>
      </c>
      <c r="J42" s="399">
        <f t="shared" si="4"/>
        <v>3.7927228562796005</v>
      </c>
      <c r="K42" s="399">
        <f t="shared" si="4"/>
        <v>3.7270814041621225</v>
      </c>
      <c r="L42" s="399">
        <f t="shared" si="4"/>
        <v>3.7178912462901863</v>
      </c>
      <c r="M42" s="605"/>
      <c r="AC42" s="608"/>
      <c r="AD42" s="608"/>
      <c r="AE42" s="608"/>
      <c r="AF42" s="608"/>
      <c r="AG42" s="608"/>
      <c r="AH42" s="608"/>
      <c r="AI42" s="608"/>
      <c r="AJ42" s="608"/>
      <c r="AK42" s="608"/>
      <c r="AL42" s="608"/>
      <c r="AM42" s="608"/>
      <c r="AN42" s="608"/>
      <c r="AO42" s="608"/>
      <c r="AP42" s="608"/>
    </row>
    <row r="43" spans="1:42">
      <c r="B43" s="386"/>
      <c r="C43" s="386"/>
      <c r="D43" s="386"/>
      <c r="E43" s="386"/>
      <c r="F43" s="386"/>
      <c r="G43" s="386"/>
      <c r="H43" s="386"/>
      <c r="I43" s="386"/>
      <c r="J43" s="386"/>
      <c r="K43" s="386"/>
      <c r="L43" s="386"/>
      <c r="M43" s="373" t="s">
        <v>538</v>
      </c>
      <c r="AC43" s="608"/>
      <c r="AD43" s="608"/>
      <c r="AE43" s="608"/>
      <c r="AF43" s="608"/>
      <c r="AG43" s="608"/>
      <c r="AH43" s="608"/>
      <c r="AI43" s="608"/>
      <c r="AJ43" s="608"/>
      <c r="AK43" s="608"/>
      <c r="AL43" s="608"/>
      <c r="AM43" s="608"/>
      <c r="AN43" s="608"/>
      <c r="AO43" s="608"/>
      <c r="AP43" s="608"/>
    </row>
    <row r="44" spans="1:42">
      <c r="B44" s="386"/>
      <c r="C44" s="386"/>
      <c r="D44" s="386"/>
      <c r="E44" s="386"/>
      <c r="F44" s="386"/>
      <c r="G44" s="386"/>
      <c r="H44" s="386"/>
      <c r="I44" s="386"/>
      <c r="J44" s="386"/>
      <c r="K44" s="386"/>
      <c r="L44" s="386"/>
      <c r="AC44" s="608"/>
      <c r="AD44" s="608"/>
      <c r="AE44" s="608"/>
      <c r="AF44" s="608"/>
      <c r="AG44" s="608"/>
      <c r="AH44" s="608"/>
      <c r="AI44" s="608"/>
      <c r="AJ44" s="608"/>
      <c r="AK44" s="608"/>
      <c r="AL44" s="608"/>
      <c r="AM44" s="608"/>
      <c r="AN44" s="608"/>
      <c r="AO44" s="608"/>
      <c r="AP44" s="608"/>
    </row>
    <row r="45" spans="1:42">
      <c r="A45" s="430"/>
      <c r="B45" s="374"/>
      <c r="C45" s="374"/>
      <c r="D45" s="374"/>
      <c r="E45" s="374"/>
      <c r="F45" s="374"/>
      <c r="G45" s="374"/>
      <c r="H45" s="374"/>
      <c r="I45" s="374"/>
      <c r="J45" s="374"/>
      <c r="K45" s="374"/>
      <c r="L45" s="374"/>
      <c r="AC45" s="608"/>
      <c r="AD45" s="608"/>
      <c r="AE45" s="608"/>
      <c r="AF45" s="608"/>
      <c r="AG45" s="608"/>
      <c r="AH45" s="608"/>
      <c r="AI45" s="608"/>
      <c r="AJ45" s="608"/>
      <c r="AK45" s="608"/>
      <c r="AL45" s="608"/>
      <c r="AM45" s="608"/>
      <c r="AN45" s="608"/>
      <c r="AO45" s="608"/>
      <c r="AP45" s="608"/>
    </row>
    <row r="46" spans="1:42">
      <c r="A46" s="374"/>
      <c r="B46" s="386"/>
      <c r="C46" s="386"/>
      <c r="D46" s="386"/>
      <c r="E46" s="386"/>
      <c r="F46" s="386"/>
      <c r="G46" s="386"/>
      <c r="H46" s="386"/>
      <c r="I46" s="386"/>
      <c r="J46" s="386"/>
      <c r="K46" s="386"/>
      <c r="L46" s="386"/>
      <c r="AC46" s="608"/>
      <c r="AD46" s="608"/>
      <c r="AE46" s="608"/>
      <c r="AF46" s="608"/>
      <c r="AG46" s="608"/>
      <c r="AH46" s="608"/>
      <c r="AI46" s="608"/>
      <c r="AJ46" s="608"/>
      <c r="AK46" s="608"/>
      <c r="AL46" s="608"/>
      <c r="AM46" s="608"/>
      <c r="AN46" s="608"/>
      <c r="AO46" s="608"/>
      <c r="AP46" s="608"/>
    </row>
    <row r="47" spans="1:42">
      <c r="A47" s="374"/>
      <c r="B47" s="386"/>
      <c r="C47" s="386"/>
      <c r="D47" s="386"/>
      <c r="E47" s="386"/>
      <c r="F47" s="386"/>
      <c r="G47" s="386"/>
      <c r="H47" s="386"/>
      <c r="I47" s="386"/>
      <c r="J47" s="386"/>
      <c r="K47" s="386"/>
      <c r="L47" s="386"/>
      <c r="AC47" s="608"/>
      <c r="AD47" s="608"/>
      <c r="AE47" s="608"/>
      <c r="AF47" s="608"/>
      <c r="AG47" s="608"/>
      <c r="AH47" s="608"/>
      <c r="AI47" s="608"/>
      <c r="AJ47" s="608"/>
      <c r="AK47" s="608"/>
      <c r="AL47" s="608"/>
      <c r="AM47" s="608"/>
      <c r="AN47" s="608"/>
      <c r="AO47" s="608"/>
      <c r="AP47" s="608"/>
    </row>
    <row r="48" spans="1:42">
      <c r="A48" s="374"/>
      <c r="B48" s="378"/>
      <c r="C48" s="378"/>
      <c r="D48" s="378"/>
      <c r="E48" s="378"/>
      <c r="F48" s="378"/>
      <c r="G48" s="378"/>
      <c r="H48" s="378"/>
      <c r="I48" s="378"/>
      <c r="J48" s="378"/>
      <c r="K48" s="378"/>
      <c r="L48" s="378"/>
      <c r="AC48" s="608"/>
      <c r="AD48" s="608"/>
      <c r="AE48" s="608"/>
      <c r="AF48" s="608"/>
      <c r="AG48" s="608"/>
      <c r="AH48" s="608"/>
      <c r="AI48" s="608"/>
      <c r="AJ48" s="608"/>
      <c r="AK48" s="608"/>
      <c r="AL48" s="608"/>
      <c r="AM48" s="608"/>
      <c r="AN48" s="608"/>
      <c r="AO48" s="608"/>
      <c r="AP48" s="608"/>
    </row>
    <row r="49" spans="1:42">
      <c r="A49" s="374"/>
      <c r="B49" s="378"/>
      <c r="C49" s="495" t="s">
        <v>500</v>
      </c>
      <c r="D49" s="386" t="s">
        <v>598</v>
      </c>
      <c r="E49" s="378"/>
      <c r="F49" s="378"/>
      <c r="G49" s="378"/>
      <c r="H49" s="378"/>
      <c r="I49" s="378"/>
      <c r="J49" s="378"/>
      <c r="K49" s="378"/>
      <c r="L49" s="378"/>
      <c r="M49" s="378"/>
      <c r="AC49" s="608"/>
      <c r="AD49" s="608"/>
      <c r="AE49" s="608"/>
      <c r="AF49" s="608"/>
      <c r="AG49" s="608"/>
      <c r="AH49" s="608"/>
      <c r="AI49" s="608"/>
      <c r="AJ49" s="608"/>
      <c r="AK49" s="608"/>
      <c r="AL49" s="608"/>
      <c r="AM49" s="608"/>
      <c r="AN49" s="608"/>
      <c r="AO49" s="608"/>
      <c r="AP49" s="608"/>
    </row>
    <row r="50" spans="1:42">
      <c r="A50" s="374"/>
      <c r="B50" s="378"/>
      <c r="C50" s="386"/>
      <c r="D50" s="386"/>
      <c r="E50" s="378"/>
      <c r="F50" s="378"/>
      <c r="G50" s="378"/>
      <c r="H50" s="378"/>
      <c r="I50" s="378"/>
      <c r="J50" s="378"/>
      <c r="K50" s="378"/>
      <c r="L50" s="378"/>
    </row>
    <row r="51" spans="1:42" ht="12.95" customHeight="1">
      <c r="A51" s="374"/>
      <c r="E51" s="386"/>
      <c r="F51" s="386"/>
      <c r="AC51" s="608" t="s">
        <v>626</v>
      </c>
      <c r="AD51" s="608"/>
      <c r="AE51" s="608"/>
      <c r="AF51" s="608"/>
      <c r="AG51" s="608"/>
      <c r="AH51" s="608"/>
      <c r="AI51" s="608"/>
      <c r="AJ51" s="608"/>
      <c r="AK51" s="608"/>
    </row>
    <row r="52" spans="1:42">
      <c r="A52" s="374"/>
      <c r="E52" s="386"/>
      <c r="F52" s="386"/>
      <c r="AC52" s="608"/>
      <c r="AD52" s="608"/>
      <c r="AE52" s="608"/>
      <c r="AF52" s="608"/>
      <c r="AG52" s="608"/>
      <c r="AH52" s="608"/>
      <c r="AI52" s="608"/>
      <c r="AJ52" s="608"/>
      <c r="AK52" s="608"/>
    </row>
    <row r="53" spans="1:42">
      <c r="A53" s="374"/>
      <c r="C53" s="386"/>
      <c r="D53" s="386"/>
      <c r="E53" s="386"/>
      <c r="F53" s="386"/>
      <c r="AC53" s="398"/>
      <c r="AD53" s="398"/>
      <c r="AE53" s="398"/>
      <c r="AF53" s="398"/>
      <c r="AG53" s="398"/>
      <c r="AH53" s="398"/>
      <c r="AI53" s="398"/>
      <c r="AJ53" s="398"/>
      <c r="AK53" s="398"/>
    </row>
    <row r="54" spans="1:42">
      <c r="A54" s="374"/>
      <c r="C54" s="386"/>
      <c r="D54" s="386"/>
      <c r="E54" s="386"/>
      <c r="F54" s="386"/>
      <c r="AC54" s="398"/>
      <c r="AD54" s="398"/>
      <c r="AE54" s="398"/>
      <c r="AF54" s="398"/>
      <c r="AG54" s="398"/>
      <c r="AH54" s="398"/>
      <c r="AI54" s="398"/>
      <c r="AJ54" s="398"/>
      <c r="AK54" s="398"/>
    </row>
    <row r="55" spans="1:42">
      <c r="A55" s="374"/>
      <c r="C55" s="386"/>
      <c r="D55" s="386"/>
      <c r="E55" s="386"/>
      <c r="F55" s="386"/>
      <c r="AC55" s="398"/>
      <c r="AD55" s="398"/>
      <c r="AE55" s="398"/>
      <c r="AF55" s="398"/>
      <c r="AG55" s="398"/>
      <c r="AH55" s="398"/>
      <c r="AI55" s="398"/>
      <c r="AJ55" s="398"/>
      <c r="AK55" s="398"/>
    </row>
    <row r="56" spans="1:42">
      <c r="A56" s="374"/>
      <c r="C56" s="386" t="str">
        <f>+B34&amp;" - "&amp;L34&amp;":"</f>
        <v>2012 - 2022:</v>
      </c>
      <c r="D56" s="386"/>
      <c r="E56" s="386"/>
      <c r="F56" s="386"/>
      <c r="AC56" s="398"/>
      <c r="AD56" s="398"/>
      <c r="AE56" s="398"/>
      <c r="AF56" s="398"/>
      <c r="AG56" s="398"/>
      <c r="AH56" s="398"/>
      <c r="AI56" s="398"/>
      <c r="AJ56" s="398"/>
      <c r="AK56" s="398"/>
    </row>
    <row r="57" spans="1:42">
      <c r="A57" s="374"/>
      <c r="C57" s="494" t="str">
        <f>+A42</f>
        <v>S80/S20</v>
      </c>
      <c r="D57" s="397">
        <f>+LARGE($B$42:$L$42,1)</f>
        <v>4.5377008597899637</v>
      </c>
      <c r="F57" s="374" t="str">
        <f>+A41</f>
        <v>S90/S10</v>
      </c>
      <c r="G57" s="397">
        <f>+LARGE($B$41:$L$41,1)</f>
        <v>6.4476782734387204</v>
      </c>
    </row>
    <row r="58" spans="1:42">
      <c r="A58" s="374"/>
      <c r="C58" s="386"/>
      <c r="D58" s="397">
        <f>+SMALL($B$42:$L$42,1)</f>
        <v>3.7178912462901863</v>
      </c>
      <c r="G58" s="397">
        <f>+SMALL($B$41:$L$41,1)</f>
        <v>5.1319304748679384</v>
      </c>
    </row>
    <row r="59" spans="1:42" ht="14.25">
      <c r="A59" s="374"/>
      <c r="C59" s="386"/>
      <c r="Q59" s="493" t="s">
        <v>597</v>
      </c>
    </row>
    <row r="60" spans="1:42">
      <c r="A60" s="374"/>
      <c r="C60" s="386" t="s">
        <v>609</v>
      </c>
    </row>
    <row r="61" spans="1:42">
      <c r="A61" s="374"/>
      <c r="C61" s="386" t="s">
        <v>486</v>
      </c>
      <c r="D61" s="373" t="s">
        <v>618</v>
      </c>
    </row>
    <row r="62" spans="1:42">
      <c r="A62" s="374"/>
      <c r="C62" s="386"/>
    </row>
    <row r="63" spans="1:42">
      <c r="A63" s="374"/>
      <c r="C63" s="386"/>
    </row>
    <row r="64" spans="1:42">
      <c r="A64" s="374"/>
      <c r="C64" s="386"/>
    </row>
    <row r="65" spans="1:21">
      <c r="A65" s="374"/>
      <c r="C65" s="386"/>
    </row>
    <row r="66" spans="1:21">
      <c r="A66" s="374"/>
      <c r="C66" s="386"/>
    </row>
    <row r="67" spans="1:21">
      <c r="A67" s="373" t="s">
        <v>488</v>
      </c>
      <c r="C67" s="386"/>
    </row>
    <row r="68" spans="1:21">
      <c r="A68" s="374"/>
      <c r="C68" s="386"/>
    </row>
    <row r="69" spans="1:21">
      <c r="A69" s="374"/>
      <c r="C69" s="386"/>
    </row>
    <row r="70" spans="1:21">
      <c r="A70" s="374"/>
      <c r="C70" s="386"/>
    </row>
    <row r="71" spans="1:21">
      <c r="A71" s="430"/>
      <c r="B71" s="374">
        <f>+B6</f>
        <v>2012</v>
      </c>
      <c r="C71" s="374">
        <f t="shared" ref="C71:L71" si="5">+C6</f>
        <v>2013</v>
      </c>
      <c r="D71" s="374">
        <f t="shared" si="5"/>
        <v>2014</v>
      </c>
      <c r="E71" s="374">
        <f t="shared" si="5"/>
        <v>2015</v>
      </c>
      <c r="F71" s="374">
        <f t="shared" si="5"/>
        <v>2016</v>
      </c>
      <c r="G71" s="374">
        <f t="shared" si="5"/>
        <v>2017</v>
      </c>
      <c r="H71" s="374">
        <f t="shared" si="5"/>
        <v>2018</v>
      </c>
      <c r="I71" s="374">
        <f t="shared" si="5"/>
        <v>2019</v>
      </c>
      <c r="J71" s="374">
        <f t="shared" si="5"/>
        <v>2020</v>
      </c>
      <c r="K71" s="374">
        <f t="shared" si="5"/>
        <v>2021</v>
      </c>
      <c r="L71" s="490">
        <f t="shared" si="5"/>
        <v>2022</v>
      </c>
    </row>
    <row r="72" spans="1:21">
      <c r="A72" s="374" t="s">
        <v>477</v>
      </c>
      <c r="B72" s="386">
        <f>+'q24 '!$B$6</f>
        <v>783.62</v>
      </c>
      <c r="C72" s="386">
        <f>+'q24 '!$C$6</f>
        <v>785.45</v>
      </c>
      <c r="D72" s="386">
        <f>+'q24 '!$D$6</f>
        <v>786.99</v>
      </c>
      <c r="E72" s="386">
        <f>+'q24 '!$E$6</f>
        <v>790.03</v>
      </c>
      <c r="F72" s="386">
        <f>+'q24 '!$F$6</f>
        <v>800</v>
      </c>
      <c r="G72" s="386">
        <f>+'q24 '!$G$6</f>
        <v>822.95</v>
      </c>
      <c r="H72" s="386">
        <f>+'q24 '!$H$6</f>
        <v>854.8</v>
      </c>
      <c r="I72" s="386">
        <f>+'q24 '!$I$6</f>
        <v>892.01</v>
      </c>
      <c r="J72" s="386">
        <f>+'q24 '!$J$6</f>
        <v>926.14</v>
      </c>
      <c r="K72" s="386">
        <f>+'q24 '!$K$6</f>
        <v>962.2</v>
      </c>
      <c r="L72" s="491">
        <f>+'q24 '!$L$6</f>
        <v>1017.5</v>
      </c>
      <c r="M72" s="489" t="str">
        <f>+IF((L72/B72-1)&gt;0,"+"&amp;TEXT((L72/B72-1),"##.###,0%"),TEXT((L72/B72-1),"##.###,0%"))</f>
        <v>+29,8%</v>
      </c>
      <c r="N72" s="386">
        <f>+L72-B72</f>
        <v>233.88</v>
      </c>
    </row>
    <row r="73" spans="1:21">
      <c r="A73" s="374" t="s">
        <v>481</v>
      </c>
      <c r="B73" s="386">
        <f>+'q24 '!$B$18</f>
        <v>522.41333333333353</v>
      </c>
      <c r="C73" s="386">
        <f>+'q24 '!$C$18</f>
        <v>523.63333333333355</v>
      </c>
      <c r="D73" s="386">
        <f>+'q24 '!$D$18</f>
        <v>524.6600000000002</v>
      </c>
      <c r="E73" s="386">
        <f>+'q24 '!$E$18</f>
        <v>526.68666666666684</v>
      </c>
      <c r="F73" s="386">
        <f>+'q24 '!$F$18</f>
        <v>533.3333333333336</v>
      </c>
      <c r="G73" s="386">
        <f>+'q24 '!$G$18</f>
        <v>548.63333333333355</v>
      </c>
      <c r="H73" s="386">
        <f>+'q24 '!$H$18</f>
        <v>569.8666666666669</v>
      </c>
      <c r="I73" s="386">
        <f>+'q24 '!$I$18</f>
        <v>594.67333333333363</v>
      </c>
      <c r="J73" s="386">
        <f>+'q24 '!$J$18</f>
        <v>617.42666666666696</v>
      </c>
      <c r="K73" s="386">
        <f>+'q24 '!$K$18</f>
        <v>641.46666666666704</v>
      </c>
      <c r="L73" s="386">
        <f>+'q24 '!$L$18</f>
        <v>678.3333333333336</v>
      </c>
      <c r="M73" s="397">
        <f t="shared" ref="M73" si="6">+(L73/B73-1)*100</f>
        <v>29.846098874454462</v>
      </c>
    </row>
    <row r="74" spans="1:21">
      <c r="A74" s="374" t="s">
        <v>489</v>
      </c>
      <c r="B74" s="386">
        <v>485</v>
      </c>
      <c r="C74" s="386">
        <v>485</v>
      </c>
      <c r="D74" s="386">
        <v>505</v>
      </c>
      <c r="E74" s="386">
        <v>505</v>
      </c>
      <c r="F74" s="386">
        <v>530</v>
      </c>
      <c r="G74" s="386">
        <v>557</v>
      </c>
      <c r="H74" s="386">
        <v>580</v>
      </c>
      <c r="I74" s="386">
        <v>600</v>
      </c>
      <c r="J74" s="386">
        <v>635</v>
      </c>
      <c r="K74" s="386">
        <v>665</v>
      </c>
      <c r="L74" s="386">
        <v>705</v>
      </c>
      <c r="M74" s="397">
        <f>+(L74/B74-1)*100</f>
        <v>45.360824742268036</v>
      </c>
      <c r="N74" s="397">
        <f>+(L74/F74-1)*100</f>
        <v>33.018867924528308</v>
      </c>
    </row>
    <row r="75" spans="1:21">
      <c r="A75" s="374" t="s">
        <v>482</v>
      </c>
      <c r="B75" s="378">
        <f>(+'q24 '!$B$19)</f>
        <v>7.5149780973616878</v>
      </c>
      <c r="C75" s="378">
        <f>(+'q24 '!$C$19)</f>
        <v>7.5899584821246746</v>
      </c>
      <c r="D75" s="378">
        <f>(+'q24 '!$D$19)</f>
        <v>6.7784331021979378</v>
      </c>
      <c r="E75" s="378">
        <f>(+'q24 '!$E$19)</f>
        <v>6.7010658766299152</v>
      </c>
      <c r="F75" s="378">
        <f>(+'q24 '!$F$19)</f>
        <v>5.8595725070331515</v>
      </c>
      <c r="G75" s="378">
        <f>(+'q24 '!$G$19)</f>
        <v>0.18870110504830601</v>
      </c>
      <c r="H75" s="378">
        <f>(+'q24 '!$H$19)</f>
        <v>0.15593196668796241</v>
      </c>
      <c r="I75" s="378">
        <f>(+'q24 '!$I$19)</f>
        <v>0.17702920623544169</v>
      </c>
      <c r="J75" s="378">
        <f>(+'q24 '!$J$19)</f>
        <v>0.13543623776522351</v>
      </c>
      <c r="K75" s="378">
        <f>(+'q24 '!$K$19)</f>
        <v>0.10733465600651461</v>
      </c>
      <c r="L75" s="378">
        <f>(+'q24 '!$L$19)</f>
        <v>0.1091277147781147</v>
      </c>
      <c r="M75" s="386">
        <f>+L74-B74</f>
        <v>220</v>
      </c>
    </row>
    <row r="76" spans="1:21">
      <c r="A76" s="374" t="s">
        <v>483</v>
      </c>
      <c r="B76" s="378">
        <f>(+'q24 '!$B$20)</f>
        <v>5.3068902514943241</v>
      </c>
      <c r="C76" s="378">
        <f>(+'q24 '!$C$20)</f>
        <v>5.4625410099206819</v>
      </c>
      <c r="D76" s="378">
        <f>(+'q24 '!$D$20)</f>
        <v>5.0116386066610552</v>
      </c>
      <c r="E76" s="378">
        <f>(+'q24 '!$E$20)</f>
        <v>4.9913920624282868</v>
      </c>
      <c r="F76" s="378">
        <f>(+'q24 '!$F$20)</f>
        <v>4.3825424272112032</v>
      </c>
      <c r="G76" s="378">
        <f>(+'q24 '!$G$20)</f>
        <v>9.97587431783898E-2</v>
      </c>
      <c r="H76" s="378">
        <f>(+'q24 '!$H$20)</f>
        <v>8.4876832710097258E-2</v>
      </c>
      <c r="I76" s="378">
        <f>(+'q24 '!$I$20)</f>
        <v>9.2477839402294204E-2</v>
      </c>
      <c r="J76" s="378">
        <f>(+'q24 '!$J$20)</f>
        <v>7.2591368700993461E-2</v>
      </c>
      <c r="K76" s="378">
        <f>(+'q24 '!$K$20)</f>
        <v>6.9531474441978686E-2</v>
      </c>
      <c r="L76" s="378">
        <f>(+'q24 '!$L$20)</f>
        <v>7.5603829772818959E-2</v>
      </c>
    </row>
    <row r="77" spans="1:21">
      <c r="A77" s="374" t="s">
        <v>484</v>
      </c>
      <c r="B77" s="378">
        <f>(+'q24 '!$B$21)</f>
        <v>10.129962165807491</v>
      </c>
      <c r="C77" s="378">
        <f>(+'q24 '!$C$21)</f>
        <v>10.091769518431597</v>
      </c>
      <c r="D77" s="378">
        <f>(+'q24 '!$D$21)</f>
        <v>8.8658933092592473</v>
      </c>
      <c r="E77" s="378">
        <f>(+'q24 '!$E$21)</f>
        <v>8.6985072156326364</v>
      </c>
      <c r="F77" s="378">
        <f>(+'q24 '!$F$21)</f>
        <v>7.5861333761159182</v>
      </c>
      <c r="G77" s="378">
        <f>(+'q24 '!$G$21)</f>
        <v>0.29381153693828099</v>
      </c>
      <c r="H77" s="378">
        <f>(+'q24 '!$H$21)</f>
        <v>0.24064075446492469</v>
      </c>
      <c r="I77" s="378">
        <f>(+'q24 '!$I$21)</f>
        <v>0.27847549937870203</v>
      </c>
      <c r="J77" s="378">
        <f>(+'q24 '!$J$21)</f>
        <v>0.21184683545470276</v>
      </c>
      <c r="K77" s="378">
        <f>(+'q24 '!$K$21)</f>
        <v>0.15274597653893823</v>
      </c>
      <c r="L77" s="378">
        <f>(+'q24 '!$L$21)</f>
        <v>0.1495489858796423</v>
      </c>
    </row>
    <row r="78" spans="1:21">
      <c r="A78" s="374"/>
      <c r="C78" s="386"/>
      <c r="M78" s="373" t="s">
        <v>674</v>
      </c>
      <c r="N78" s="373" t="s">
        <v>675</v>
      </c>
      <c r="Q78" s="374" t="s">
        <v>596</v>
      </c>
      <c r="R78" s="606" t="s">
        <v>673</v>
      </c>
      <c r="S78" s="606"/>
      <c r="T78" s="607" t="s">
        <v>676</v>
      </c>
      <c r="U78" s="607"/>
    </row>
    <row r="79" spans="1:21">
      <c r="A79" s="374"/>
      <c r="C79" s="399">
        <f t="shared" ref="C79:L79" si="7">+(C74/B74-1)*100</f>
        <v>0</v>
      </c>
      <c r="D79" s="399">
        <f t="shared" si="7"/>
        <v>4.1237113402061931</v>
      </c>
      <c r="E79" s="399">
        <f t="shared" si="7"/>
        <v>0</v>
      </c>
      <c r="F79" s="399">
        <f t="shared" si="7"/>
        <v>4.9504950495049549</v>
      </c>
      <c r="G79" s="399">
        <f t="shared" si="7"/>
        <v>5.0943396226415194</v>
      </c>
      <c r="H79" s="399">
        <f t="shared" si="7"/>
        <v>4.1292639138240661</v>
      </c>
      <c r="I79" s="399">
        <f t="shared" si="7"/>
        <v>3.4482758620689724</v>
      </c>
      <c r="J79" s="399">
        <f t="shared" si="7"/>
        <v>5.8333333333333348</v>
      </c>
      <c r="K79" s="399">
        <f t="shared" si="7"/>
        <v>4.7244094488188892</v>
      </c>
      <c r="L79" s="399">
        <f t="shared" si="7"/>
        <v>6.0150375939849621</v>
      </c>
      <c r="M79" s="489" t="str">
        <f>+IF((E74/B74-1)&gt;0,"+"&amp;TEXT((E74/B74-1),"##.###,0%"),TEXT((E74/B74-1),"##.###,0%"))</f>
        <v>+4,1%</v>
      </c>
      <c r="N79" s="489" t="str">
        <f>+IF((L74/E74-1)&gt;0,"+"&amp;TEXT((L74/E74-1),"##.###,0%"),TEXT((L74/E74-1),"##.###,0%"))</f>
        <v>+39,6%</v>
      </c>
      <c r="Q79" s="374" t="s">
        <v>45</v>
      </c>
      <c r="R79" s="492">
        <f>(LARGE($B$75:$F$75,1))</f>
        <v>7.5899584821246746</v>
      </c>
      <c r="S79" s="492">
        <f>(SMALL($B$75:$F$75,1))</f>
        <v>5.8595725070331515</v>
      </c>
      <c r="T79" s="492">
        <f>(LARGE($G$75:$L$75,1))</f>
        <v>0.18870110504830601</v>
      </c>
      <c r="U79" s="492">
        <f>(SMALL($G$75:$L$75,1))</f>
        <v>0.10733465600651461</v>
      </c>
    </row>
    <row r="80" spans="1:21">
      <c r="A80" s="374"/>
      <c r="C80" s="386"/>
      <c r="Q80" s="374" t="s">
        <v>53</v>
      </c>
      <c r="R80" s="492">
        <f>(LARGE($B$76:$F$76,1))</f>
        <v>5.4625410099206819</v>
      </c>
      <c r="S80" s="492">
        <f>(SMALL($B$76:$F$76,1))</f>
        <v>4.3825424272112032</v>
      </c>
      <c r="T80" s="492">
        <f>(LARGE($G$76:$L$76,1))</f>
        <v>9.97587431783898E-2</v>
      </c>
      <c r="U80" s="492">
        <f>(SMALL($G$76:$L$76,1))</f>
        <v>6.9531474441978686E-2</v>
      </c>
    </row>
    <row r="81" spans="1:21">
      <c r="A81" s="374"/>
      <c r="B81" s="386">
        <f t="shared" ref="B81:L81" si="8">+B73-B74</f>
        <v>37.413333333333526</v>
      </c>
      <c r="C81" s="386">
        <f t="shared" si="8"/>
        <v>38.633333333333553</v>
      </c>
      <c r="D81" s="386">
        <f t="shared" si="8"/>
        <v>19.660000000000196</v>
      </c>
      <c r="E81" s="386">
        <f t="shared" si="8"/>
        <v>21.686666666666838</v>
      </c>
      <c r="F81" s="386">
        <f t="shared" si="8"/>
        <v>3.3333333333335986</v>
      </c>
      <c r="G81" s="491">
        <f t="shared" si="8"/>
        <v>-8.3666666666664469</v>
      </c>
      <c r="H81" s="386">
        <f t="shared" si="8"/>
        <v>-10.133333333333098</v>
      </c>
      <c r="I81" s="386">
        <f t="shared" si="8"/>
        <v>-5.3266666666663696</v>
      </c>
      <c r="J81" s="386">
        <f t="shared" si="8"/>
        <v>-17.573333333333039</v>
      </c>
      <c r="K81" s="386">
        <f t="shared" si="8"/>
        <v>-23.533333333332962</v>
      </c>
      <c r="L81" s="386">
        <f t="shared" si="8"/>
        <v>-26.666666666666401</v>
      </c>
      <c r="Q81" s="374" t="s">
        <v>54</v>
      </c>
      <c r="R81" s="492">
        <f>(LARGE($B$77:$F$77,1))</f>
        <v>10.129962165807491</v>
      </c>
      <c r="S81" s="492">
        <f>(SMALL($B$77:$F$77,1))</f>
        <v>7.5861333761159182</v>
      </c>
      <c r="T81" s="492">
        <f>(LARGE($G$76:$L$76,1))</f>
        <v>9.97587431783898E-2</v>
      </c>
      <c r="U81" s="492">
        <f>(SMALL($G$77:$L$77,1))</f>
        <v>0.1495489858796423</v>
      </c>
    </row>
    <row r="82" spans="1:21">
      <c r="A82" s="374"/>
      <c r="C82" s="386"/>
      <c r="G82" s="393" t="s">
        <v>595</v>
      </c>
    </row>
    <row r="83" spans="1:21">
      <c r="A83" s="374"/>
      <c r="C83" s="386"/>
      <c r="M83" s="488" t="s">
        <v>594</v>
      </c>
    </row>
    <row r="84" spans="1:21">
      <c r="A84" s="374"/>
      <c r="C84" s="386"/>
    </row>
    <row r="85" spans="1:21">
      <c r="A85" s="374"/>
      <c r="C85" s="386"/>
    </row>
    <row r="86" spans="1:21">
      <c r="A86" s="374"/>
      <c r="C86" s="386"/>
    </row>
    <row r="87" spans="1:21">
      <c r="A87" s="374"/>
      <c r="C87" s="386"/>
    </row>
    <row r="88" spans="1:21">
      <c r="A88" s="374"/>
      <c r="C88" s="386"/>
    </row>
    <row r="89" spans="1:21">
      <c r="A89" s="374"/>
      <c r="C89" s="386"/>
    </row>
    <row r="90" spans="1:21">
      <c r="A90" s="374"/>
      <c r="C90" s="386"/>
    </row>
    <row r="91" spans="1:21">
      <c r="A91" s="374"/>
      <c r="C91" s="386"/>
    </row>
    <row r="92" spans="1:21">
      <c r="A92" s="374"/>
      <c r="C92" s="386"/>
    </row>
    <row r="93" spans="1:21">
      <c r="A93" s="374"/>
      <c r="C93" s="386"/>
    </row>
    <row r="94" spans="1:21">
      <c r="A94" s="374"/>
      <c r="C94" s="386"/>
    </row>
    <row r="95" spans="1:21">
      <c r="A95" s="374"/>
      <c r="C95" s="386"/>
    </row>
    <row r="96" spans="1:21">
      <c r="A96" s="374"/>
      <c r="C96" s="386"/>
    </row>
    <row r="97" spans="1:3">
      <c r="A97" s="374"/>
      <c r="C97" s="386"/>
    </row>
    <row r="98" spans="1:3">
      <c r="A98" s="374"/>
      <c r="C98" s="386"/>
    </row>
    <row r="99" spans="1:3">
      <c r="A99" s="374"/>
      <c r="C99" s="386"/>
    </row>
    <row r="100" spans="1:3">
      <c r="A100" s="374"/>
      <c r="C100" s="386"/>
    </row>
    <row r="101" spans="1:3">
      <c r="A101" s="374"/>
      <c r="C101" s="386"/>
    </row>
    <row r="102" spans="1:3">
      <c r="A102" s="374"/>
      <c r="C102" s="386"/>
    </row>
    <row r="103" spans="1:3">
      <c r="A103" s="374"/>
      <c r="C103" s="386"/>
    </row>
    <row r="104" spans="1:3">
      <c r="A104" s="374"/>
      <c r="C104" s="386"/>
    </row>
    <row r="105" spans="1:3">
      <c r="A105" s="374"/>
      <c r="C105" s="386"/>
    </row>
    <row r="106" spans="1:3">
      <c r="A106" s="374"/>
      <c r="C106" s="386"/>
    </row>
    <row r="107" spans="1:3">
      <c r="A107" s="374"/>
      <c r="C107" s="386"/>
    </row>
    <row r="108" spans="1:3">
      <c r="A108" s="374"/>
      <c r="C108" s="386"/>
    </row>
    <row r="109" spans="1:3">
      <c r="A109" s="374"/>
      <c r="C109" s="386"/>
    </row>
    <row r="110" spans="1:3">
      <c r="A110" s="374"/>
      <c r="C110" s="386"/>
    </row>
    <row r="111" spans="1:3">
      <c r="A111" s="374"/>
      <c r="C111" s="386"/>
    </row>
    <row r="112" spans="1:3">
      <c r="A112" s="374"/>
      <c r="C112" s="386"/>
    </row>
    <row r="113" spans="1:3">
      <c r="A113" s="374"/>
      <c r="C113" s="386"/>
    </row>
    <row r="114" spans="1:3">
      <c r="A114" s="374"/>
      <c r="C114" s="386"/>
    </row>
    <row r="115" spans="1:3">
      <c r="A115" s="374"/>
      <c r="C115" s="386"/>
    </row>
    <row r="116" spans="1:3">
      <c r="A116" s="374"/>
      <c r="C116" s="386"/>
    </row>
    <row r="117" spans="1:3">
      <c r="A117" s="374"/>
      <c r="C117" s="386"/>
    </row>
    <row r="118" spans="1:3">
      <c r="A118" s="374"/>
      <c r="C118" s="386"/>
    </row>
    <row r="119" spans="1:3">
      <c r="A119" s="374"/>
      <c r="C119" s="386"/>
    </row>
    <row r="120" spans="1:3">
      <c r="A120" s="374"/>
      <c r="C120" s="386"/>
    </row>
    <row r="121" spans="1:3">
      <c r="A121" s="374"/>
      <c r="C121" s="386"/>
    </row>
    <row r="122" spans="1:3">
      <c r="A122" s="374"/>
      <c r="C122" s="386"/>
    </row>
    <row r="123" spans="1:3">
      <c r="A123" s="374"/>
      <c r="C123" s="386"/>
    </row>
    <row r="124" spans="1:3">
      <c r="A124" s="374"/>
      <c r="C124" s="386"/>
    </row>
    <row r="125" spans="1:3">
      <c r="A125" s="374"/>
      <c r="C125" s="386"/>
    </row>
    <row r="126" spans="1:3">
      <c r="A126" s="374"/>
      <c r="C126" s="386"/>
    </row>
    <row r="127" spans="1:3">
      <c r="A127" s="374"/>
      <c r="C127" s="386"/>
    </row>
    <row r="128" spans="1:3">
      <c r="A128" s="374"/>
      <c r="C128" s="386"/>
    </row>
    <row r="129" spans="1:3">
      <c r="A129" s="374"/>
      <c r="C129" s="386"/>
    </row>
    <row r="130" spans="1:3">
      <c r="A130" s="374"/>
      <c r="C130" s="386"/>
    </row>
    <row r="131" spans="1:3">
      <c r="A131" s="374"/>
      <c r="C131" s="386"/>
    </row>
    <row r="132" spans="1:3">
      <c r="A132" s="374"/>
      <c r="C132" s="386"/>
    </row>
    <row r="133" spans="1:3">
      <c r="A133" s="374"/>
      <c r="C133" s="386"/>
    </row>
    <row r="134" spans="1:3">
      <c r="A134" s="374"/>
      <c r="C134" s="386"/>
    </row>
    <row r="135" spans="1:3">
      <c r="A135" s="374"/>
      <c r="C135" s="386"/>
    </row>
    <row r="136" spans="1:3">
      <c r="A136" s="374"/>
      <c r="C136" s="386"/>
    </row>
    <row r="137" spans="1:3">
      <c r="A137" s="374"/>
      <c r="C137" s="386"/>
    </row>
    <row r="138" spans="1:3">
      <c r="A138" s="374"/>
      <c r="C138" s="386"/>
    </row>
    <row r="139" spans="1:3">
      <c r="A139" s="374"/>
      <c r="C139" s="386"/>
    </row>
    <row r="140" spans="1:3">
      <c r="A140" s="374"/>
      <c r="C140" s="386"/>
    </row>
    <row r="141" spans="1:3">
      <c r="A141" s="374"/>
      <c r="C141" s="386"/>
    </row>
    <row r="142" spans="1:3">
      <c r="A142" s="374"/>
      <c r="C142" s="386"/>
    </row>
    <row r="143" spans="1:3">
      <c r="A143" s="374"/>
      <c r="C143" s="386"/>
    </row>
    <row r="144" spans="1:3">
      <c r="A144" s="374"/>
      <c r="C144" s="386"/>
    </row>
    <row r="145" spans="1:3">
      <c r="A145" s="374"/>
      <c r="C145" s="386"/>
    </row>
    <row r="146" spans="1:3">
      <c r="A146" s="374"/>
      <c r="C146" s="386"/>
    </row>
    <row r="147" spans="1:3">
      <c r="A147" s="374"/>
      <c r="C147" s="386"/>
    </row>
    <row r="148" spans="1:3">
      <c r="A148" s="374"/>
      <c r="C148" s="386"/>
    </row>
    <row r="149" spans="1:3">
      <c r="A149" s="374"/>
      <c r="C149" s="386"/>
    </row>
    <row r="150" spans="1:3">
      <c r="A150" s="374"/>
      <c r="C150" s="386"/>
    </row>
    <row r="151" spans="1:3">
      <c r="A151" s="374"/>
      <c r="C151" s="386"/>
    </row>
    <row r="152" spans="1:3">
      <c r="A152" s="374"/>
      <c r="C152" s="386"/>
    </row>
    <row r="153" spans="1:3">
      <c r="A153" s="374"/>
      <c r="C153" s="386"/>
    </row>
    <row r="154" spans="1:3">
      <c r="A154" s="374"/>
      <c r="C154" s="386"/>
    </row>
    <row r="155" spans="1:3">
      <c r="A155" s="374"/>
      <c r="C155" s="386"/>
    </row>
  </sheetData>
  <mergeCells count="6">
    <mergeCell ref="M26:M28"/>
    <mergeCell ref="M41:M42"/>
    <mergeCell ref="R78:S78"/>
    <mergeCell ref="T78:U78"/>
    <mergeCell ref="AC51:AK52"/>
    <mergeCell ref="AC33:AP49"/>
  </mergeCells>
  <pageMargins left="0.7" right="0.7" top="0.75" bottom="0.75" header="0.3" footer="0.3"/>
  <pageSetup paperSize="9" orientation="portrait" horizontalDpi="1200" verticalDpi="12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E6601-5AE3-449C-8519-74811208F932}">
  <sheetPr codeName="Folha81"/>
  <dimension ref="A2:O155"/>
  <sheetViews>
    <sheetView showGridLines="0" topLeftCell="A13" workbookViewId="0">
      <selection activeCell="K42" sqref="K42"/>
    </sheetView>
  </sheetViews>
  <sheetFormatPr defaultRowHeight="12.75"/>
  <cols>
    <col min="1" max="1" width="49.140625" customWidth="1"/>
    <col min="3" max="3" width="31.5703125" customWidth="1"/>
    <col min="4" max="4" width="57.28515625" bestFit="1" customWidth="1"/>
  </cols>
  <sheetData>
    <row r="2" spans="1:15">
      <c r="A2" s="334" t="s">
        <v>279</v>
      </c>
    </row>
    <row r="3" spans="1:15" s="335" customFormat="1">
      <c r="B3" s="335">
        <f>+'q1'!$C$4</f>
        <v>2012</v>
      </c>
      <c r="C3" s="335">
        <f>+'q1'!$D$4</f>
        <v>2013</v>
      </c>
      <c r="D3" s="335">
        <f>+'q1'!$E$4</f>
        <v>2014</v>
      </c>
      <c r="E3" s="335">
        <f>+'q1'!$F$4</f>
        <v>2015</v>
      </c>
      <c r="F3" s="335">
        <f>+'q1'!$G$4</f>
        <v>2016</v>
      </c>
      <c r="G3" s="335">
        <f>+'q1'!$H$4</f>
        <v>2017</v>
      </c>
      <c r="H3" s="335">
        <f>+'q1'!$I$4</f>
        <v>2018</v>
      </c>
      <c r="I3" s="335">
        <f>+'q1'!$J$4</f>
        <v>2019</v>
      </c>
      <c r="J3" s="335">
        <f>+'q1'!$K$4</f>
        <v>2020</v>
      </c>
      <c r="K3" s="335">
        <f>+'q1'!$L$4</f>
        <v>2021</v>
      </c>
      <c r="L3" s="335">
        <f>+'q1'!$M$4</f>
        <v>2022</v>
      </c>
    </row>
    <row r="4" spans="1:15">
      <c r="A4" s="334" t="s">
        <v>276</v>
      </c>
      <c r="B4">
        <f>+'q1'!$C$5</f>
        <v>268026</v>
      </c>
      <c r="C4">
        <f>+'q1'!$D$5</f>
        <v>265860</v>
      </c>
      <c r="D4">
        <f>+'q1'!$E$5</f>
        <v>270181</v>
      </c>
      <c r="E4">
        <f>+'q1'!$F$5</f>
        <v>273060</v>
      </c>
      <c r="F4">
        <f>+'q1'!$G$5</f>
        <v>276332</v>
      </c>
      <c r="G4">
        <f>+'q1'!$H$5</f>
        <v>279191</v>
      </c>
      <c r="H4">
        <f>+'q1'!$I$5</f>
        <v>282236</v>
      </c>
      <c r="I4">
        <f>+'q1'!$J$5</f>
        <v>275751</v>
      </c>
      <c r="J4">
        <f>+'q1'!$K$5</f>
        <v>277641</v>
      </c>
      <c r="K4">
        <f>+'q1'!$L$5</f>
        <v>271806</v>
      </c>
      <c r="L4">
        <f>+'q1'!$M$5</f>
        <v>284860</v>
      </c>
    </row>
    <row r="5" spans="1:15">
      <c r="A5" s="334" t="s">
        <v>277</v>
      </c>
      <c r="B5">
        <f>+'q4'!$C$5</f>
        <v>319177</v>
      </c>
      <c r="C5">
        <f>+'q4'!$D$5</f>
        <v>315112</v>
      </c>
      <c r="D5">
        <f>+'q4'!$E$5</f>
        <v>318886</v>
      </c>
      <c r="E5">
        <f>+'q4'!$F$5</f>
        <v>321500</v>
      </c>
      <c r="F5">
        <f>+'q4'!$G$5</f>
        <v>324933</v>
      </c>
      <c r="G5">
        <f>+'q4'!$H$5</f>
        <v>327295</v>
      </c>
      <c r="H5">
        <f>+'q4'!$I$5</f>
        <v>330668</v>
      </c>
      <c r="I5">
        <f>+'q4'!$J$5</f>
        <v>322978</v>
      </c>
      <c r="J5">
        <f>+'q4'!$K$5</f>
        <v>324959</v>
      </c>
      <c r="K5">
        <f>+'q4'!$L$5</f>
        <v>318254</v>
      </c>
      <c r="L5">
        <f>+'q4'!$M$5</f>
        <v>332683</v>
      </c>
    </row>
    <row r="6" spans="1:15">
      <c r="A6" s="334" t="s">
        <v>278</v>
      </c>
      <c r="B6">
        <f>+'q7'!$C$5</f>
        <v>2559732</v>
      </c>
      <c r="C6">
        <f>+'q7'!$D$5</f>
        <v>2555676</v>
      </c>
      <c r="D6">
        <f>+'q7'!$E$5</f>
        <v>2636881</v>
      </c>
      <c r="E6">
        <f>+'q7'!$F$5</f>
        <v>2716011</v>
      </c>
      <c r="F6">
        <f>+'q7'!$G$5</f>
        <v>2819978</v>
      </c>
      <c r="G6">
        <f>+'q7'!$H$5</f>
        <v>2946903</v>
      </c>
      <c r="H6">
        <f>+'q7'!$I$5</f>
        <v>3060489</v>
      </c>
      <c r="I6">
        <f>+'q7'!$J$5</f>
        <v>3110949</v>
      </c>
      <c r="J6">
        <f>+'q7'!$K$5</f>
        <v>3085566</v>
      </c>
      <c r="K6">
        <f>+'q7'!$L$5</f>
        <v>3102345</v>
      </c>
      <c r="L6">
        <f>+'q7'!$M$5</f>
        <v>3337082</v>
      </c>
    </row>
    <row r="7" spans="1:15">
      <c r="A7" s="334" t="s">
        <v>186</v>
      </c>
      <c r="B7">
        <f>+'q10'!$C$5</f>
        <v>2387386</v>
      </c>
      <c r="C7">
        <f>+'q10'!$D$5</f>
        <v>2384121</v>
      </c>
      <c r="D7">
        <f>+'q10'!$E$5</f>
        <v>2458163</v>
      </c>
      <c r="E7">
        <f>+'q10'!$F$5</f>
        <v>2537653</v>
      </c>
      <c r="F7">
        <f>+'q10'!$G$5</f>
        <v>2641919</v>
      </c>
      <c r="G7">
        <f>+'q10'!$H$5</f>
        <v>2767521</v>
      </c>
      <c r="H7">
        <f>+'q10'!$I$5</f>
        <v>2877918</v>
      </c>
      <c r="I7">
        <f>+'q10'!$J$5</f>
        <v>2930482</v>
      </c>
      <c r="J7">
        <f>+'q10'!$K$5</f>
        <v>2902825</v>
      </c>
      <c r="K7">
        <f>+'q10'!$L$5</f>
        <v>2922343</v>
      </c>
      <c r="L7">
        <f>+'q10'!$M$5</f>
        <v>3148147</v>
      </c>
    </row>
    <row r="9" spans="1:15">
      <c r="A9" s="335" t="s">
        <v>105</v>
      </c>
    </row>
    <row r="10" spans="1:15">
      <c r="A10" s="335" t="s">
        <v>195</v>
      </c>
    </row>
    <row r="11" spans="1:15">
      <c r="A11" s="335" t="s">
        <v>198</v>
      </c>
    </row>
    <row r="12" spans="1:15">
      <c r="A12" s="335" t="s">
        <v>201</v>
      </c>
    </row>
    <row r="13" spans="1:15">
      <c r="A13" s="335" t="s">
        <v>263</v>
      </c>
      <c r="E13" s="335"/>
      <c r="F13" s="335"/>
      <c r="G13" s="335"/>
      <c r="H13" s="335"/>
      <c r="I13" s="335"/>
      <c r="J13" s="335"/>
      <c r="K13" s="335"/>
      <c r="L13" s="335"/>
      <c r="M13" s="335"/>
      <c r="N13" s="335"/>
      <c r="O13" s="335"/>
    </row>
    <row r="14" spans="1:15">
      <c r="A14" t="str">
        <f>B14&amp;" - "&amp;Aux!D14</f>
        <v xml:space="preserve">A - Agricultura, produção animal, caça, floresta e pesca </v>
      </c>
      <c r="B14" t="str">
        <f>+'q1'!A6</f>
        <v>A</v>
      </c>
      <c r="C14" t="str">
        <f>+'q1'!B6</f>
        <v>Agr., pr. animal, caça, flor. pesca</v>
      </c>
      <c r="D14" t="s">
        <v>266</v>
      </c>
    </row>
    <row r="15" spans="1:15">
      <c r="A15" t="str">
        <f>B15&amp;" - "&amp;Aux!D15</f>
        <v>B - Indústrias extrativas</v>
      </c>
      <c r="B15" t="str">
        <f>+'q1'!A7</f>
        <v>B</v>
      </c>
      <c r="C15" t="str">
        <f>+'q1'!B7</f>
        <v>Indústrias extrativas</v>
      </c>
      <c r="D15" s="334" t="s">
        <v>102</v>
      </c>
    </row>
    <row r="16" spans="1:15">
      <c r="A16" t="str">
        <f>B16&amp;" - "&amp;Aux!D16</f>
        <v>C - Ind. transformadoras</v>
      </c>
      <c r="B16" t="str">
        <f>+'q1'!A8</f>
        <v>C</v>
      </c>
      <c r="C16" t="str">
        <f>+'q1'!B8</f>
        <v>Indústrias transformadoras</v>
      </c>
      <c r="D16" s="334" t="s">
        <v>606</v>
      </c>
    </row>
    <row r="17" spans="1:4">
      <c r="A17" t="str">
        <f>B17&amp;" - "&amp;Aux!D17</f>
        <v>D - Eletricidade, gás, vapor, água quente e fria e ar frio</v>
      </c>
      <c r="B17" t="str">
        <f>+'q1'!A33</f>
        <v>D</v>
      </c>
      <c r="C17" t="str">
        <f>+'q1'!B33</f>
        <v>Eletr., gás, ág. quente/fria e ar frio</v>
      </c>
      <c r="D17" s="334" t="s">
        <v>267</v>
      </c>
    </row>
    <row r="18" spans="1:4">
      <c r="A18" t="str">
        <f>B18&amp;" - "&amp;Aux!D18</f>
        <v>E - Captação, trat. e dist. água; saneam., gest. resíduos e desp.</v>
      </c>
      <c r="B18" t="str">
        <f>+'q1'!A34</f>
        <v>E</v>
      </c>
      <c r="C18" t="str">
        <f>+'q1'!B34</f>
        <v>Capt., trat. e d. água; san., resíd.</v>
      </c>
      <c r="D18" t="s">
        <v>268</v>
      </c>
    </row>
    <row r="19" spans="1:4">
      <c r="A19" t="str">
        <f>B19&amp;" - "&amp;Aux!D19</f>
        <v>F - Construção</v>
      </c>
      <c r="B19" t="str">
        <f>+'q1'!A35</f>
        <v>F</v>
      </c>
      <c r="C19" t="str">
        <f>+'q1'!B35</f>
        <v>Construção</v>
      </c>
      <c r="D19" t="s">
        <v>79</v>
      </c>
    </row>
    <row r="20" spans="1:4">
      <c r="A20" t="str">
        <f>B20&amp;" - "&amp;Aux!D20</f>
        <v>G - Com. por grosso e a ret.; rep. de veíc. autom. e mot.</v>
      </c>
      <c r="B20" t="str">
        <f>+'q1'!A36</f>
        <v>G</v>
      </c>
      <c r="C20" t="str">
        <f>+'q1'!B36</f>
        <v>Com. grosso e ret.; r.v.aut./moto.</v>
      </c>
      <c r="D20" s="334" t="s">
        <v>605</v>
      </c>
    </row>
    <row r="21" spans="1:4">
      <c r="A21" t="str">
        <f>B21&amp;" - "&amp;Aux!D21</f>
        <v>H - Transportes e armazenagem</v>
      </c>
      <c r="B21" t="str">
        <f>+'q1'!A37</f>
        <v>H</v>
      </c>
      <c r="C21" t="str">
        <f>+'q1'!B37</f>
        <v>Transportes e armazenagem</v>
      </c>
      <c r="D21" t="s">
        <v>93</v>
      </c>
    </row>
    <row r="22" spans="1:4">
      <c r="A22" t="str">
        <f>B22&amp;" - "&amp;Aux!D22</f>
        <v>I - Alojamento, rest. e sim.</v>
      </c>
      <c r="B22" t="str">
        <f>+'q1'!A38</f>
        <v>I</v>
      </c>
      <c r="C22" t="str">
        <f>+'q1'!B38</f>
        <v>Alojamento, restauração e sim.</v>
      </c>
      <c r="D22" s="334" t="s">
        <v>607</v>
      </c>
    </row>
    <row r="23" spans="1:4">
      <c r="A23" t="str">
        <f>B23&amp;" - "&amp;Aux!D23</f>
        <v>J - Atividades de informação e de comunicação</v>
      </c>
      <c r="B23" t="str">
        <f>+'q1'!A39</f>
        <v>J</v>
      </c>
      <c r="C23" t="str">
        <f>+'q1'!B39</f>
        <v xml:space="preserve">Ativ. Inform. e de comunicação </v>
      </c>
      <c r="D23" t="s">
        <v>269</v>
      </c>
    </row>
    <row r="24" spans="1:4">
      <c r="A24" t="str">
        <f>B24&amp;" - "&amp;Aux!D24</f>
        <v>K - Atividades financeiras e de seguros</v>
      </c>
      <c r="B24" t="str">
        <f>+'q1'!A40</f>
        <v>K</v>
      </c>
      <c r="C24" t="str">
        <f>+'q1'!B40</f>
        <v>Ativ. financeiras e de seguros</v>
      </c>
      <c r="D24" s="334" t="s">
        <v>270</v>
      </c>
    </row>
    <row r="25" spans="1:4">
      <c r="A25" t="str">
        <f>B25&amp;" - "&amp;Aux!D25</f>
        <v>L - Atividades imobiliárias</v>
      </c>
      <c r="B25" t="str">
        <f>+'q1'!A41</f>
        <v>L</v>
      </c>
      <c r="C25" t="str">
        <f>+'q1'!B41</f>
        <v>Atividades imobiliárias</v>
      </c>
      <c r="D25" t="s">
        <v>103</v>
      </c>
    </row>
    <row r="26" spans="1:4">
      <c r="A26" t="str">
        <f>B26&amp;" - "&amp;Aux!D26</f>
        <v>M - Atividades de consultoria, científicas, técnicas e similares</v>
      </c>
      <c r="B26" t="str">
        <f>+'q1'!A42</f>
        <v>M</v>
      </c>
      <c r="C26" t="str">
        <f>+'q1'!B42</f>
        <v>Ativ. consultoria, cient.,téc. e sim.</v>
      </c>
      <c r="D26" t="s">
        <v>271</v>
      </c>
    </row>
    <row r="27" spans="1:4">
      <c r="A27" t="str">
        <f>B27&amp;" - "&amp;Aux!D27</f>
        <v>N - Atividades administrativas e dos serviços de apoio</v>
      </c>
      <c r="B27" t="str">
        <f>+'q1'!A43</f>
        <v>N</v>
      </c>
      <c r="C27" t="str">
        <f>+'q1'!B43</f>
        <v>Ativ. Adm. e serviços de apoio</v>
      </c>
      <c r="D27" t="s">
        <v>272</v>
      </c>
    </row>
    <row r="28" spans="1:4">
      <c r="A28" t="str">
        <f>B28&amp;" - "&amp;Aux!D28</f>
        <v>O - Administração pública e defesa; segurança social obrigatória</v>
      </c>
      <c r="B28" t="str">
        <f>+'q1'!A44</f>
        <v>O</v>
      </c>
      <c r="C28" t="str">
        <f>+'q1'!B44</f>
        <v xml:space="preserve">Adm. Púb. e defesa; seg. social </v>
      </c>
      <c r="D28" t="s">
        <v>273</v>
      </c>
    </row>
    <row r="29" spans="1:4">
      <c r="A29" t="str">
        <f>B29&amp;" - "&amp;Aux!D29</f>
        <v>P - Educação</v>
      </c>
      <c r="B29" t="str">
        <f>+'q1'!A45</f>
        <v>P</v>
      </c>
      <c r="C29" t="str">
        <f>+'q1'!B45</f>
        <v>Educação</v>
      </c>
      <c r="D29" t="s">
        <v>84</v>
      </c>
    </row>
    <row r="30" spans="1:4">
      <c r="A30" t="str">
        <f>B30&amp;" - "&amp;Aux!D30</f>
        <v>Q - Ativ. de saúde humana e apoio social</v>
      </c>
      <c r="B30" t="str">
        <f>+'q1'!A46</f>
        <v>Q</v>
      </c>
      <c r="C30" t="str">
        <f>+'q1'!B46</f>
        <v>Ativ. saúde humana e apoio social</v>
      </c>
      <c r="D30" s="334" t="s">
        <v>558</v>
      </c>
    </row>
    <row r="31" spans="1:4">
      <c r="A31" t="str">
        <f>B31&amp;" - "&amp;Aux!D31</f>
        <v>R - Atividades artísticas, de espectáculos, desp. e recreativas</v>
      </c>
      <c r="B31" t="str">
        <f>+'q1'!A47</f>
        <v>R</v>
      </c>
      <c r="C31" t="str">
        <f>+'q1'!B47</f>
        <v>Ativ. artíst., espet., desp. e recr.</v>
      </c>
      <c r="D31" t="s">
        <v>274</v>
      </c>
    </row>
    <row r="32" spans="1:4">
      <c r="A32" t="str">
        <f>B32&amp;" - "&amp;Aux!D32</f>
        <v>S - Outras atividades de serviços</v>
      </c>
      <c r="B32" t="str">
        <f>+'q1'!A48</f>
        <v>S</v>
      </c>
      <c r="C32" t="str">
        <f>+'q1'!B48</f>
        <v>Outras atividades de serviços</v>
      </c>
      <c r="D32" t="s">
        <v>104</v>
      </c>
    </row>
    <row r="33" spans="1:6">
      <c r="A33" t="str">
        <f>B33&amp;" - "&amp;Aux!D33</f>
        <v>U - Ativ. org. interna. e outras instituições extra-territoriais</v>
      </c>
      <c r="B33" t="str">
        <f>+'q1'!A49</f>
        <v>U</v>
      </c>
      <c r="C33" t="str">
        <f>+'q1'!B49</f>
        <v>Ativ. org. int. e o. inst. extra-territ.</v>
      </c>
      <c r="D33" t="s">
        <v>275</v>
      </c>
    </row>
    <row r="37" spans="1:6">
      <c r="A37" s="335" t="s">
        <v>193</v>
      </c>
    </row>
    <row r="38" spans="1:6">
      <c r="A38" s="335" t="s">
        <v>196</v>
      </c>
    </row>
    <row r="39" spans="1:6">
      <c r="A39" s="335" t="s">
        <v>199</v>
      </c>
    </row>
    <row r="40" spans="1:6">
      <c r="A40" s="335" t="s">
        <v>202</v>
      </c>
    </row>
    <row r="42" spans="1:6" ht="60">
      <c r="A42" s="336" t="s">
        <v>281</v>
      </c>
      <c r="B42" s="336" t="s">
        <v>282</v>
      </c>
      <c r="C42" s="335" t="s">
        <v>283</v>
      </c>
      <c r="D42" s="335" t="s">
        <v>331</v>
      </c>
      <c r="F42" s="337"/>
    </row>
    <row r="43" spans="1:6">
      <c r="A43" s="338" t="s">
        <v>284</v>
      </c>
      <c r="B43" s="339" t="s">
        <v>285</v>
      </c>
      <c r="C43" s="335" t="s">
        <v>286</v>
      </c>
      <c r="D43" s="335" t="s">
        <v>350</v>
      </c>
      <c r="F43" s="337"/>
    </row>
    <row r="44" spans="1:6">
      <c r="A44" s="338" t="s">
        <v>287</v>
      </c>
      <c r="B44" s="339" t="s">
        <v>288</v>
      </c>
      <c r="C44" s="335" t="s">
        <v>289</v>
      </c>
      <c r="D44" s="335" t="s">
        <v>332</v>
      </c>
      <c r="F44" s="337"/>
    </row>
    <row r="45" spans="1:6">
      <c r="A45" s="340" t="s">
        <v>290</v>
      </c>
      <c r="B45" s="339" t="s">
        <v>291</v>
      </c>
      <c r="C45" s="335" t="s">
        <v>292</v>
      </c>
      <c r="D45" s="335" t="s">
        <v>284</v>
      </c>
      <c r="F45" s="337"/>
    </row>
    <row r="46" spans="1:6">
      <c r="A46" s="340" t="s">
        <v>293</v>
      </c>
      <c r="B46" s="339" t="s">
        <v>294</v>
      </c>
      <c r="C46" s="335" t="s">
        <v>295</v>
      </c>
      <c r="D46" s="335" t="s">
        <v>295</v>
      </c>
      <c r="F46" s="337"/>
    </row>
    <row r="50" spans="1:2">
      <c r="A50" t="str">
        <f>+'q18'!B8</f>
        <v>T</v>
      </c>
      <c r="B50" s="335" t="str">
        <f>+A50&amp;"otal"</f>
        <v>Total</v>
      </c>
    </row>
    <row r="51" spans="1:2">
      <c r="A51" t="str">
        <f>+'q18'!B9</f>
        <v>H</v>
      </c>
      <c r="B51" s="335" t="str">
        <f>+A51&amp;"omens"</f>
        <v>Homens</v>
      </c>
    </row>
    <row r="52" spans="1:2">
      <c r="A52" t="str">
        <f>+'q18'!B10</f>
        <v>M</v>
      </c>
      <c r="B52" s="335" t="str">
        <f>+A52&amp;"ulheres"</f>
        <v>Mulheres</v>
      </c>
    </row>
    <row r="59" spans="1:2">
      <c r="A59" s="335" t="s">
        <v>218</v>
      </c>
    </row>
    <row r="60" spans="1:2">
      <c r="A60" s="335" t="s">
        <v>197</v>
      </c>
    </row>
    <row r="61" spans="1:2">
      <c r="A61" s="335" t="s">
        <v>200</v>
      </c>
    </row>
    <row r="62" spans="1:2">
      <c r="A62" s="335" t="s">
        <v>203</v>
      </c>
    </row>
    <row r="63" spans="1:2">
      <c r="A63" s="335" t="s">
        <v>296</v>
      </c>
    </row>
    <row r="64" spans="1:2">
      <c r="A64" t="str">
        <f>+'q3'!$A$6</f>
        <v>Aveiro</v>
      </c>
    </row>
    <row r="65" spans="1:1">
      <c r="A65" t="str">
        <f>+'q3'!$A$7</f>
        <v>Beja</v>
      </c>
    </row>
    <row r="66" spans="1:1">
      <c r="A66" t="str">
        <f>+'q3'!$A$8</f>
        <v>Braga</v>
      </c>
    </row>
    <row r="67" spans="1:1">
      <c r="A67" t="str">
        <f>+'q3'!$A$9</f>
        <v>Bragança</v>
      </c>
    </row>
    <row r="68" spans="1:1">
      <c r="A68" t="str">
        <f>+'q3'!$A$10</f>
        <v>Castelo Branco</v>
      </c>
    </row>
    <row r="69" spans="1:1">
      <c r="A69" t="str">
        <f>+'q3'!$A$11</f>
        <v>Coimbra</v>
      </c>
    </row>
    <row r="70" spans="1:1">
      <c r="A70" t="str">
        <f>+'q3'!$A$12</f>
        <v>Évora</v>
      </c>
    </row>
    <row r="71" spans="1:1">
      <c r="A71" t="str">
        <f>+'q3'!$A$13</f>
        <v>Faro</v>
      </c>
    </row>
    <row r="72" spans="1:1">
      <c r="A72" t="str">
        <f>+'q3'!$A$14</f>
        <v>Guarda</v>
      </c>
    </row>
    <row r="73" spans="1:1">
      <c r="A73" t="str">
        <f>+'q3'!$A$15</f>
        <v>Leiria</v>
      </c>
    </row>
    <row r="74" spans="1:1">
      <c r="A74" t="str">
        <f>+'q3'!$A$16</f>
        <v>Lisboa</v>
      </c>
    </row>
    <row r="75" spans="1:1">
      <c r="A75" t="str">
        <f>+'q3'!$A$17</f>
        <v>Portalegre</v>
      </c>
    </row>
    <row r="76" spans="1:1">
      <c r="A76" t="str">
        <f>+'q3'!$A$18</f>
        <v>Porto</v>
      </c>
    </row>
    <row r="77" spans="1:1">
      <c r="A77" t="str">
        <f>+'q3'!$A$19</f>
        <v>Santarém</v>
      </c>
    </row>
    <row r="78" spans="1:1">
      <c r="A78" t="str">
        <f>+'q3'!$A$20</f>
        <v>Setúbal</v>
      </c>
    </row>
    <row r="79" spans="1:1">
      <c r="A79" t="str">
        <f>+'q3'!$A$21</f>
        <v>Viana do Castelo</v>
      </c>
    </row>
    <row r="80" spans="1:1">
      <c r="A80" t="str">
        <f>+'q3'!$A$22</f>
        <v>Vila Real</v>
      </c>
    </row>
    <row r="81" spans="1:2">
      <c r="A81" t="str">
        <f>+'q3'!$A$23</f>
        <v>Viseu</v>
      </c>
    </row>
    <row r="84" spans="1:2">
      <c r="A84" s="335" t="s">
        <v>204</v>
      </c>
    </row>
    <row r="85" spans="1:2">
      <c r="A85" s="335" t="s">
        <v>227</v>
      </c>
    </row>
    <row r="86" spans="1:2">
      <c r="A86" s="335" t="s">
        <v>434</v>
      </c>
    </row>
    <row r="87" spans="1:2">
      <c r="A87" s="335" t="s">
        <v>428</v>
      </c>
    </row>
    <row r="88" spans="1:2">
      <c r="A88" s="334" t="str">
        <f>+'q13'!$A$8</f>
        <v>&lt; 18 anos</v>
      </c>
      <c r="B88" s="335" t="s">
        <v>55</v>
      </c>
    </row>
    <row r="89" spans="1:2">
      <c r="A89" s="334" t="str">
        <f>+'q13'!$A$11</f>
        <v>18-24 anos</v>
      </c>
      <c r="B89" s="335" t="s">
        <v>429</v>
      </c>
    </row>
    <row r="90" spans="1:2">
      <c r="A90" s="334" t="str">
        <f>+'q13'!$A$14</f>
        <v>25-29 anos</v>
      </c>
      <c r="B90" s="335" t="s">
        <v>430</v>
      </c>
    </row>
    <row r="91" spans="1:2">
      <c r="A91" s="334" t="str">
        <f>+'q13'!$A$17</f>
        <v>30-34 anos</v>
      </c>
      <c r="B91" s="335" t="s">
        <v>431</v>
      </c>
    </row>
    <row r="92" spans="1:2">
      <c r="A92" s="334" t="str">
        <f>+'q13'!$A$20</f>
        <v>35-39 anos</v>
      </c>
      <c r="B92" s="335" t="s">
        <v>432</v>
      </c>
    </row>
    <row r="93" spans="1:2">
      <c r="A93" s="334" t="str">
        <f>+'q13'!$A$23</f>
        <v>40-44 anos</v>
      </c>
      <c r="B93" s="335" t="s">
        <v>433</v>
      </c>
    </row>
    <row r="94" spans="1:2">
      <c r="A94" s="334" t="str">
        <f>+'q13'!$A$26</f>
        <v>45-49 anos</v>
      </c>
      <c r="B94" s="335" t="s">
        <v>65</v>
      </c>
    </row>
    <row r="95" spans="1:2">
      <c r="A95" s="334" t="str">
        <f>+'q13'!$A$29</f>
        <v>50-54 anos</v>
      </c>
      <c r="B95" s="335" t="s">
        <v>12</v>
      </c>
    </row>
    <row r="96" spans="1:2">
      <c r="A96" s="334" t="str">
        <f>+'q13'!$A$32</f>
        <v>55-59 anos</v>
      </c>
    </row>
    <row r="97" spans="1:3">
      <c r="A97" s="334" t="str">
        <f>+'q13'!$A$35</f>
        <v>60-64 anos</v>
      </c>
    </row>
    <row r="98" spans="1:3">
      <c r="A98" s="334" t="str">
        <f>+'q13'!$A$38</f>
        <v>65 e + anos</v>
      </c>
    </row>
    <row r="103" spans="1:3">
      <c r="A103" s="335" t="s">
        <v>205</v>
      </c>
    </row>
    <row r="104" spans="1:3">
      <c r="A104" s="335" t="s">
        <v>228</v>
      </c>
    </row>
    <row r="105" spans="1:3">
      <c r="A105" s="335" t="s">
        <v>234</v>
      </c>
    </row>
    <row r="107" spans="1:3">
      <c r="A107" s="35" t="str">
        <f>+'q14'!A8</f>
        <v>Quadros superiores</v>
      </c>
      <c r="B107" s="35" t="s">
        <v>48</v>
      </c>
    </row>
    <row r="108" spans="1:3">
      <c r="A108" s="35" t="str">
        <f>+'q14'!A11</f>
        <v>Quadros médios</v>
      </c>
      <c r="B108" s="35" t="s">
        <v>49</v>
      </c>
      <c r="C108" s="334"/>
    </row>
    <row r="109" spans="1:3">
      <c r="A109" s="35" t="str">
        <f>+'q14'!A14</f>
        <v>Encar. contram. mest.e chefes</v>
      </c>
      <c r="B109" s="35" t="s">
        <v>444</v>
      </c>
    </row>
    <row r="110" spans="1:3">
      <c r="A110" s="35" t="str">
        <f>+'q14'!A17</f>
        <v>Profis. altam. qualificados</v>
      </c>
      <c r="B110" s="35" t="s">
        <v>442</v>
      </c>
    </row>
    <row r="111" spans="1:3">
      <c r="A111" s="35" t="str">
        <f>+'q14'!A20</f>
        <v>Profissionais qualificados</v>
      </c>
      <c r="B111" s="35" t="s">
        <v>50</v>
      </c>
    </row>
    <row r="112" spans="1:3">
      <c r="A112" s="35" t="str">
        <f>+'q14'!A23</f>
        <v>Profis. semi-qualificados</v>
      </c>
      <c r="B112" s="35" t="s">
        <v>443</v>
      </c>
    </row>
    <row r="113" spans="1:3">
      <c r="A113" s="35" t="str">
        <f>+'q14'!A26</f>
        <v>Profissionais não qualificados</v>
      </c>
      <c r="B113" s="35" t="s">
        <v>51</v>
      </c>
    </row>
    <row r="114" spans="1:3">
      <c r="A114" s="35" t="str">
        <f>+'q14'!A29</f>
        <v>Praticantes e aprendizes</v>
      </c>
      <c r="B114" s="35" t="s">
        <v>52</v>
      </c>
    </row>
    <row r="115" spans="1:3">
      <c r="A115" s="334" t="s">
        <v>12</v>
      </c>
      <c r="B115" s="35" t="s">
        <v>12</v>
      </c>
      <c r="C115" s="334"/>
    </row>
    <row r="119" spans="1:3">
      <c r="A119" s="335" t="s">
        <v>235</v>
      </c>
    </row>
    <row r="121" spans="1:3">
      <c r="A121" s="228" t="str">
        <f>+'q30'!$A$10</f>
        <v>&lt;1.º ciclo do ensino básico</v>
      </c>
      <c r="B121" s="417" t="s">
        <v>448</v>
      </c>
    </row>
    <row r="122" spans="1:3">
      <c r="A122" s="228" t="str">
        <f>+'q30'!$A$15</f>
        <v>Ensino básico</v>
      </c>
      <c r="B122" s="417" t="s">
        <v>192</v>
      </c>
    </row>
    <row r="123" spans="1:3">
      <c r="A123" s="228" t="str">
        <f>+'q30'!$A$20</f>
        <v>Ensino secundário + pós sec. não superior nível IV</v>
      </c>
      <c r="B123" s="417" t="s">
        <v>237</v>
      </c>
    </row>
    <row r="124" spans="1:3">
      <c r="A124" s="228" t="str">
        <f>+'q30'!$A$25</f>
        <v>Ensino superior (2)</v>
      </c>
      <c r="B124" s="417" t="s">
        <v>449</v>
      </c>
    </row>
    <row r="125" spans="1:3">
      <c r="A125" s="228" t="str">
        <f>+'q30'!$A$30</f>
        <v>Ignorado</v>
      </c>
      <c r="B125" s="417" t="s">
        <v>13</v>
      </c>
    </row>
    <row r="126" spans="1:3">
      <c r="A126" s="228" t="str">
        <f>+'q30'!$A$5</f>
        <v>Total</v>
      </c>
      <c r="B126" s="417" t="s">
        <v>12</v>
      </c>
    </row>
    <row r="130" spans="1:2">
      <c r="A130" s="335" t="s">
        <v>463</v>
      </c>
    </row>
    <row r="131" spans="1:2">
      <c r="A131" s="335" t="s">
        <v>229</v>
      </c>
    </row>
    <row r="133" spans="1:2">
      <c r="A133" t="str">
        <f>+'q16'!$A$6</f>
        <v>&lt; RMMG</v>
      </c>
      <c r="B133" s="375" t="s">
        <v>118</v>
      </c>
    </row>
    <row r="134" spans="1:2">
      <c r="A134" t="str">
        <f>+'q16'!$A$7</f>
        <v xml:space="preserve"> = RMMG</v>
      </c>
      <c r="B134" s="375" t="s">
        <v>119</v>
      </c>
    </row>
    <row r="135" spans="1:2">
      <c r="A135" s="423" t="str">
        <f>+'q16'!$A$8</f>
        <v>&gt;RMMG e &lt;= 749,99 €</v>
      </c>
      <c r="B135" s="375" t="s">
        <v>236</v>
      </c>
    </row>
    <row r="136" spans="1:2">
      <c r="A136" t="str">
        <f>+'q16'!$A$9</f>
        <v>750,00 - 999,99  €</v>
      </c>
      <c r="B136" s="375" t="s">
        <v>176</v>
      </c>
    </row>
    <row r="137" spans="1:2">
      <c r="A137" t="str">
        <f>+'q16'!$A$10</f>
        <v>1 000,00 - 1 499,99  €</v>
      </c>
      <c r="B137" s="375" t="s">
        <v>177</v>
      </c>
    </row>
    <row r="138" spans="1:2">
      <c r="A138" t="str">
        <f>+'q16'!$A$11</f>
        <v>1 500,00 - 2 499,99  €</v>
      </c>
      <c r="B138" s="375" t="s">
        <v>178</v>
      </c>
    </row>
    <row r="139" spans="1:2">
      <c r="A139" t="str">
        <f>+'q16'!$A$12</f>
        <v>2 500,00 - 3 749,99  €</v>
      </c>
      <c r="B139" s="375" t="s">
        <v>179</v>
      </c>
    </row>
    <row r="140" spans="1:2">
      <c r="A140" t="str">
        <f>+'q16'!$A$13</f>
        <v>3 750,00 - 4 999,99 €</v>
      </c>
      <c r="B140" s="375" t="s">
        <v>180</v>
      </c>
    </row>
    <row r="141" spans="1:2">
      <c r="A141" t="str">
        <f>+'q16'!$A$14</f>
        <v>5 000,00 e +  Euros</v>
      </c>
      <c r="B141" s="375" t="s">
        <v>181</v>
      </c>
    </row>
    <row r="146" spans="1:2">
      <c r="A146" s="335" t="s">
        <v>470</v>
      </c>
    </row>
    <row r="147" spans="1:2">
      <c r="A147" s="335" t="s">
        <v>471</v>
      </c>
    </row>
    <row r="148" spans="1:2">
      <c r="A148" s="335" t="s">
        <v>472</v>
      </c>
    </row>
    <row r="150" spans="1:2">
      <c r="A150" s="334" t="str">
        <f>+'q15'!$A$5</f>
        <v>Total</v>
      </c>
      <c r="B150" t="s">
        <v>12</v>
      </c>
    </row>
    <row r="151" spans="1:2">
      <c r="A151" s="334" t="str">
        <f>+'q15'!$A$6</f>
        <v>Contrato Coletivo de Trabalho (CCT)</v>
      </c>
      <c r="B151" t="s">
        <v>246</v>
      </c>
    </row>
    <row r="152" spans="1:2">
      <c r="A152" s="334" t="str">
        <f>+'q15'!$A$7</f>
        <v>Acordo Coletivo de Trabalho (ACT)</v>
      </c>
      <c r="B152" t="s">
        <v>247</v>
      </c>
    </row>
    <row r="153" spans="1:2">
      <c r="A153" s="334" t="str">
        <f>+'q15'!$A$8</f>
        <v>Portaria de Cond. de Trabalho (PCT)(2)</v>
      </c>
      <c r="B153" s="334" t="s">
        <v>473</v>
      </c>
    </row>
    <row r="154" spans="1:2">
      <c r="A154" s="334" t="str">
        <f>+'q15'!$A$9</f>
        <v>Acordo de Empresa (AE)</v>
      </c>
      <c r="B154" t="s">
        <v>44</v>
      </c>
    </row>
    <row r="155" spans="1:2">
      <c r="A155" s="334" t="str">
        <f>+'q15'!$A$10</f>
        <v>Não Abrangidos por Reg. Coletiva</v>
      </c>
      <c r="B155" t="s">
        <v>248</v>
      </c>
    </row>
  </sheetData>
  <conditionalFormatting sqref="A107:A114">
    <cfRule type="cellIs" dxfId="75" priority="2" operator="equal">
      <formula>0</formula>
    </cfRule>
  </conditionalFormatting>
  <conditionalFormatting sqref="B107:B115">
    <cfRule type="cellIs" dxfId="74" priority="1" operator="equal">
      <formula>0</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940EA-DB92-4630-A80E-54E9ACD48008}">
  <sheetPr codeName="Folha13">
    <tabColor indexed="24"/>
  </sheetPr>
  <dimension ref="A2:A417"/>
  <sheetViews>
    <sheetView topLeftCell="A130" workbookViewId="0">
      <selection activeCell="K42" sqref="K42"/>
    </sheetView>
  </sheetViews>
  <sheetFormatPr defaultRowHeight="12.75"/>
  <sheetData>
    <row r="2" spans="1:1">
      <c r="A2" s="351" t="s">
        <v>299</v>
      </c>
    </row>
    <row r="5" spans="1:1" ht="19.5">
      <c r="A5" s="352" t="s">
        <v>300</v>
      </c>
    </row>
    <row r="7" spans="1:1">
      <c r="A7" s="353" t="s">
        <v>301</v>
      </c>
    </row>
    <row r="8" spans="1:1" ht="18.75">
      <c r="A8" s="352"/>
    </row>
    <row r="9" spans="1:1" ht="18.75">
      <c r="A9" s="352"/>
    </row>
    <row r="10" spans="1:1">
      <c r="A10" s="354"/>
    </row>
    <row r="11" spans="1:1">
      <c r="A11" s="354"/>
    </row>
    <row r="12" spans="1:1">
      <c r="A12" s="354"/>
    </row>
    <row r="13" spans="1:1">
      <c r="A13" s="354"/>
    </row>
    <row r="14" spans="1:1">
      <c r="A14" s="354"/>
    </row>
    <row r="15" spans="1:1">
      <c r="A15" s="354"/>
    </row>
    <row r="16" spans="1:1">
      <c r="A16" s="354"/>
    </row>
    <row r="17" spans="1:1">
      <c r="A17" s="354"/>
    </row>
    <row r="18" spans="1:1">
      <c r="A18" s="354"/>
    </row>
    <row r="19" spans="1:1">
      <c r="A19" s="354"/>
    </row>
    <row r="20" spans="1:1">
      <c r="A20" s="354"/>
    </row>
    <row r="21" spans="1:1">
      <c r="A21" s="354"/>
    </row>
    <row r="22" spans="1:1">
      <c r="A22" s="354"/>
    </row>
    <row r="23" spans="1:1">
      <c r="A23" s="354"/>
    </row>
    <row r="24" spans="1:1">
      <c r="A24" s="354"/>
    </row>
    <row r="25" spans="1:1">
      <c r="A25" s="354"/>
    </row>
    <row r="26" spans="1:1">
      <c r="A26" s="354"/>
    </row>
    <row r="29" spans="1:1" ht="19.5">
      <c r="A29" s="352" t="s">
        <v>302</v>
      </c>
    </row>
    <row r="30" spans="1:1" ht="18.75">
      <c r="A30" s="352"/>
    </row>
    <row r="31" spans="1:1" ht="18.75">
      <c r="A31" s="352"/>
    </row>
    <row r="32" spans="1:1">
      <c r="A32" s="354"/>
    </row>
    <row r="33" spans="1:1">
      <c r="A33" s="354"/>
    </row>
    <row r="34" spans="1:1">
      <c r="A34" s="354"/>
    </row>
    <row r="35" spans="1:1">
      <c r="A35" s="354"/>
    </row>
    <row r="36" spans="1:1">
      <c r="A36" s="354"/>
    </row>
    <row r="37" spans="1:1">
      <c r="A37" s="354"/>
    </row>
    <row r="38" spans="1:1">
      <c r="A38" s="354"/>
    </row>
    <row r="39" spans="1:1">
      <c r="A39" s="354"/>
    </row>
    <row r="40" spans="1:1">
      <c r="A40" s="354"/>
    </row>
    <row r="41" spans="1:1">
      <c r="A41" s="354"/>
    </row>
    <row r="42" spans="1:1">
      <c r="A42" s="354"/>
    </row>
    <row r="45" spans="1:1" ht="19.5">
      <c r="A45" s="352" t="s">
        <v>303</v>
      </c>
    </row>
    <row r="46" spans="1:1" ht="18.75">
      <c r="A46" s="352"/>
    </row>
    <row r="47" spans="1:1" ht="18.75">
      <c r="A47" s="352"/>
    </row>
    <row r="48" spans="1:1">
      <c r="A48" s="354"/>
    </row>
    <row r="49" spans="1:1">
      <c r="A49" s="354"/>
    </row>
    <row r="50" spans="1:1">
      <c r="A50" s="354"/>
    </row>
    <row r="51" spans="1:1">
      <c r="A51" s="354"/>
    </row>
    <row r="52" spans="1:1">
      <c r="A52" s="354"/>
    </row>
    <row r="53" spans="1:1">
      <c r="A53" s="354"/>
    </row>
    <row r="54" spans="1:1">
      <c r="A54" s="354"/>
    </row>
    <row r="55" spans="1:1">
      <c r="A55" s="354"/>
    </row>
    <row r="56" spans="1:1">
      <c r="A56" s="354"/>
    </row>
    <row r="57" spans="1:1">
      <c r="A57" s="354"/>
    </row>
    <row r="58" spans="1:1">
      <c r="A58" s="354"/>
    </row>
    <row r="59" spans="1:1">
      <c r="A59" s="354"/>
    </row>
    <row r="60" spans="1:1">
      <c r="A60" s="354"/>
    </row>
    <row r="61" spans="1:1">
      <c r="A61" s="354"/>
    </row>
    <row r="62" spans="1:1">
      <c r="A62" s="354"/>
    </row>
    <row r="65" spans="1:1" ht="19.5">
      <c r="A65" s="352" t="s">
        <v>304</v>
      </c>
    </row>
    <row r="68" spans="1:1">
      <c r="A68" s="335"/>
    </row>
    <row r="97" spans="1:1">
      <c r="A97" s="334" t="s">
        <v>305</v>
      </c>
    </row>
    <row r="121" spans="1:1">
      <c r="A121" s="334" t="s">
        <v>306</v>
      </c>
    </row>
    <row r="137" spans="1:1">
      <c r="A137" s="334" t="s">
        <v>307</v>
      </c>
    </row>
    <row r="139" spans="1:1">
      <c r="A139" s="335" t="s">
        <v>308</v>
      </c>
    </row>
    <row r="141" spans="1:1">
      <c r="A141" s="335" t="s">
        <v>309</v>
      </c>
    </row>
    <row r="158" spans="1:1">
      <c r="A158" s="335" t="s">
        <v>310</v>
      </c>
    </row>
    <row r="175" spans="1:1">
      <c r="A175" s="334" t="s">
        <v>311</v>
      </c>
    </row>
    <row r="177" spans="1:1">
      <c r="A177" s="334" t="s">
        <v>312</v>
      </c>
    </row>
    <row r="191" spans="1:1">
      <c r="A191" s="334" t="s">
        <v>313</v>
      </c>
    </row>
    <row r="208" spans="1:1">
      <c r="A208" s="334" t="s">
        <v>314</v>
      </c>
    </row>
    <row r="222" spans="1:1">
      <c r="A222" s="334" t="s">
        <v>315</v>
      </c>
    </row>
    <row r="238" spans="1:1">
      <c r="A238" s="334" t="s">
        <v>316</v>
      </c>
    </row>
    <row r="240" spans="1:1">
      <c r="A240" s="334" t="s">
        <v>317</v>
      </c>
    </row>
    <row r="251" spans="1:1">
      <c r="A251" s="351" t="s">
        <v>318</v>
      </c>
    </row>
    <row r="253" spans="1:1">
      <c r="A253" s="334" t="s">
        <v>319</v>
      </c>
    </row>
    <row r="306" spans="1:1">
      <c r="A306" s="335" t="s">
        <v>320</v>
      </c>
    </row>
    <row r="318" spans="1:1">
      <c r="A318" s="334" t="s">
        <v>321</v>
      </c>
    </row>
    <row r="330" spans="1:1">
      <c r="A330" s="334" t="s">
        <v>322</v>
      </c>
    </row>
    <row r="370" spans="1:1">
      <c r="A370" s="334" t="s">
        <v>323</v>
      </c>
    </row>
    <row r="393" spans="1:1">
      <c r="A393" s="334" t="s">
        <v>324</v>
      </c>
    </row>
    <row r="417" spans="1:1" ht="21">
      <c r="A417" s="355" t="s">
        <v>325</v>
      </c>
    </row>
  </sheetData>
  <hyperlinks>
    <hyperlink ref="A2" r:id="rId1" xr:uid="{4747131E-3D7D-450A-BAF7-4E43D1A5A98B}"/>
    <hyperlink ref="A7" r:id="rId2" display="https://ninjadoexcel.com.br/como-habilitar-a-guia-desenvolvedor-no-excel/" xr:uid="{B1B93CB5-00CA-44B8-A142-0F46475AD337}"/>
    <hyperlink ref="A251" r:id="rId3" display="https://www.youtube.com/watch?v=t-xdWIF9j7c" xr:uid="{B51A8E73-D049-4106-BAA6-E5CDFF909342}"/>
  </hyperlinks>
  <pageMargins left="0.7" right="0.7" top="0.75" bottom="0.75" header="0.3" footer="0.3"/>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31">
    <tabColor indexed="24"/>
    <pageSetUpPr fitToPage="1"/>
  </sheetPr>
  <dimension ref="A1:P51"/>
  <sheetViews>
    <sheetView showGridLines="0" zoomScaleNormal="100" workbookViewId="0">
      <selection activeCell="K42" sqref="K42"/>
    </sheetView>
  </sheetViews>
  <sheetFormatPr defaultColWidth="9.140625" defaultRowHeight="11.25"/>
  <cols>
    <col min="1" max="1" width="2" style="4" customWidth="1"/>
    <col min="2" max="2" width="28.5703125" style="4" customWidth="1"/>
    <col min="3" max="13" width="6.7109375" style="4" customWidth="1"/>
    <col min="14" max="14" width="7" style="4" bestFit="1" customWidth="1"/>
    <col min="15" max="16384" width="9.140625" style="4"/>
  </cols>
  <sheetData>
    <row r="1" spans="1:14" s="3" customFormat="1" ht="28.5" customHeight="1">
      <c r="A1" s="609" t="s">
        <v>105</v>
      </c>
      <c r="B1" s="609"/>
      <c r="C1" s="609"/>
      <c r="D1" s="609"/>
      <c r="E1" s="609"/>
      <c r="F1" s="609"/>
      <c r="G1" s="609"/>
      <c r="H1" s="609"/>
      <c r="I1" s="609"/>
      <c r="J1" s="609"/>
      <c r="K1" s="609"/>
      <c r="L1" s="609"/>
      <c r="M1" s="609"/>
    </row>
    <row r="2" spans="1:14" ht="15.75" customHeight="1">
      <c r="A2" s="5"/>
      <c r="B2" s="5"/>
      <c r="C2" s="98"/>
      <c r="D2" s="98"/>
      <c r="E2" s="98"/>
      <c r="F2" s="98"/>
      <c r="G2" s="98"/>
      <c r="H2" s="98"/>
      <c r="I2" s="98"/>
      <c r="J2" s="98"/>
      <c r="K2" s="98"/>
      <c r="L2" s="98"/>
      <c r="M2" s="98"/>
    </row>
    <row r="3" spans="1:14" ht="15" customHeight="1">
      <c r="A3" s="27" t="s">
        <v>42</v>
      </c>
      <c r="B3" s="20"/>
      <c r="C3" s="98"/>
      <c r="D3" s="98"/>
      <c r="E3" s="98"/>
      <c r="F3" s="98"/>
      <c r="G3" s="98"/>
      <c r="H3" s="98"/>
      <c r="I3" s="98"/>
      <c r="J3" s="98"/>
      <c r="K3" s="98"/>
      <c r="L3" s="98"/>
      <c r="M3" s="98"/>
    </row>
    <row r="4" spans="1:14" ht="28.5" customHeight="1" thickBot="1">
      <c r="A4" s="84" t="s">
        <v>1</v>
      </c>
      <c r="B4" s="6"/>
      <c r="C4" s="6">
        <v>2012</v>
      </c>
      <c r="D4" s="121">
        <v>2013</v>
      </c>
      <c r="E4" s="121">
        <v>2014</v>
      </c>
      <c r="F4" s="121">
        <v>2015</v>
      </c>
      <c r="G4" s="121">
        <v>2016</v>
      </c>
      <c r="H4" s="121">
        <v>2017</v>
      </c>
      <c r="I4" s="121">
        <v>2018</v>
      </c>
      <c r="J4" s="121">
        <v>2019</v>
      </c>
      <c r="K4" s="121">
        <v>2020</v>
      </c>
      <c r="L4" s="121">
        <v>2021</v>
      </c>
      <c r="M4" s="121">
        <v>2022</v>
      </c>
    </row>
    <row r="5" spans="1:14" ht="16.5" customHeight="1" thickTop="1">
      <c r="A5" s="30" t="s">
        <v>43</v>
      </c>
      <c r="B5" s="11"/>
      <c r="C5" s="231">
        <v>268026</v>
      </c>
      <c r="D5" s="231">
        <v>265860</v>
      </c>
      <c r="E5" s="231">
        <v>270181</v>
      </c>
      <c r="F5" s="231">
        <v>273060</v>
      </c>
      <c r="G5" s="231">
        <v>276332</v>
      </c>
      <c r="H5" s="231">
        <v>279191</v>
      </c>
      <c r="I5" s="231">
        <v>282236</v>
      </c>
      <c r="J5" s="231">
        <v>275751</v>
      </c>
      <c r="K5" s="231">
        <v>277641</v>
      </c>
      <c r="L5" s="231">
        <v>271806</v>
      </c>
      <c r="M5" s="231">
        <v>284860</v>
      </c>
      <c r="N5" s="344"/>
    </row>
    <row r="6" spans="1:14" ht="16.5" customHeight="1">
      <c r="A6" s="11" t="s">
        <v>73</v>
      </c>
      <c r="B6" s="30" t="s">
        <v>172</v>
      </c>
      <c r="C6" s="232">
        <v>11903</v>
      </c>
      <c r="D6" s="232">
        <v>12395</v>
      </c>
      <c r="E6" s="232">
        <v>13063</v>
      </c>
      <c r="F6" s="232">
        <v>13445</v>
      </c>
      <c r="G6" s="232">
        <v>13755</v>
      </c>
      <c r="H6" s="232">
        <v>13847</v>
      </c>
      <c r="I6" s="232">
        <v>13971</v>
      </c>
      <c r="J6" s="232">
        <v>13547</v>
      </c>
      <c r="K6" s="232">
        <v>13691</v>
      </c>
      <c r="L6" s="232">
        <v>13199</v>
      </c>
      <c r="M6" s="232">
        <v>13618</v>
      </c>
    </row>
    <row r="7" spans="1:14" ht="12.75" customHeight="1">
      <c r="A7" s="11" t="s">
        <v>74</v>
      </c>
      <c r="B7" s="30" t="s">
        <v>102</v>
      </c>
      <c r="C7" s="232">
        <v>618</v>
      </c>
      <c r="D7" s="232">
        <v>589</v>
      </c>
      <c r="E7" s="232">
        <v>564</v>
      </c>
      <c r="F7" s="232">
        <v>558</v>
      </c>
      <c r="G7" s="232">
        <v>536</v>
      </c>
      <c r="H7" s="232">
        <v>542</v>
      </c>
      <c r="I7" s="232">
        <v>526</v>
      </c>
      <c r="J7" s="232">
        <v>510</v>
      </c>
      <c r="K7" s="232">
        <v>504</v>
      </c>
      <c r="L7" s="232">
        <v>486</v>
      </c>
      <c r="M7" s="232">
        <v>494</v>
      </c>
    </row>
    <row r="8" spans="1:14" ht="12.75" customHeight="1">
      <c r="A8" s="11" t="s">
        <v>75</v>
      </c>
      <c r="B8" s="30" t="s">
        <v>101</v>
      </c>
      <c r="C8" s="232">
        <v>32824</v>
      </c>
      <c r="D8" s="232">
        <v>32643</v>
      </c>
      <c r="E8" s="232">
        <v>32895</v>
      </c>
      <c r="F8" s="232">
        <v>32998</v>
      </c>
      <c r="G8" s="232">
        <v>33278</v>
      </c>
      <c r="H8" s="232">
        <v>33315</v>
      </c>
      <c r="I8" s="232">
        <v>33177</v>
      </c>
      <c r="J8" s="232">
        <v>31905</v>
      </c>
      <c r="K8" s="232">
        <v>31715</v>
      </c>
      <c r="L8" s="232">
        <v>30818</v>
      </c>
      <c r="M8" s="232">
        <v>31733</v>
      </c>
    </row>
    <row r="9" spans="1:14" ht="12.75" customHeight="1">
      <c r="A9" s="83"/>
      <c r="B9" s="10" t="s">
        <v>88</v>
      </c>
      <c r="C9" s="233">
        <v>5138</v>
      </c>
      <c r="D9" s="233">
        <v>5150</v>
      </c>
      <c r="E9" s="233">
        <v>5204</v>
      </c>
      <c r="F9" s="233">
        <v>5167</v>
      </c>
      <c r="G9" s="233">
        <v>5144</v>
      </c>
      <c r="H9" s="233">
        <v>5090</v>
      </c>
      <c r="I9" s="233">
        <v>4956</v>
      </c>
      <c r="J9" s="233">
        <v>4813</v>
      </c>
      <c r="K9" s="233">
        <v>4694</v>
      </c>
      <c r="L9" s="233">
        <v>4496</v>
      </c>
      <c r="M9" s="233">
        <v>4541</v>
      </c>
    </row>
    <row r="10" spans="1:14" ht="12.75" customHeight="1">
      <c r="A10" s="83"/>
      <c r="B10" s="10" t="s">
        <v>89</v>
      </c>
      <c r="C10" s="233">
        <v>501</v>
      </c>
      <c r="D10" s="233">
        <v>541</v>
      </c>
      <c r="E10" s="233">
        <v>575</v>
      </c>
      <c r="F10" s="233">
        <v>590</v>
      </c>
      <c r="G10" s="233">
        <v>617</v>
      </c>
      <c r="H10" s="233">
        <v>628</v>
      </c>
      <c r="I10" s="233">
        <v>644</v>
      </c>
      <c r="J10" s="233">
        <v>659</v>
      </c>
      <c r="K10" s="233">
        <v>663</v>
      </c>
      <c r="L10" s="233">
        <v>651</v>
      </c>
      <c r="M10" s="233">
        <v>684</v>
      </c>
    </row>
    <row r="11" spans="1:14" ht="12.75" customHeight="1">
      <c r="A11" s="83"/>
      <c r="B11" s="10" t="s">
        <v>90</v>
      </c>
      <c r="C11" s="233">
        <v>1</v>
      </c>
      <c r="D11" s="233">
        <v>1</v>
      </c>
      <c r="E11" s="233">
        <v>1</v>
      </c>
      <c r="F11" s="233">
        <v>1</v>
      </c>
      <c r="G11" s="233">
        <v>1</v>
      </c>
      <c r="H11" s="233">
        <v>1</v>
      </c>
      <c r="I11" s="233">
        <v>1</v>
      </c>
      <c r="J11" s="233">
        <v>1</v>
      </c>
      <c r="K11" s="233">
        <v>1</v>
      </c>
      <c r="L11" s="233">
        <v>1</v>
      </c>
      <c r="M11" s="233">
        <v>1</v>
      </c>
    </row>
    <row r="12" spans="1:14" ht="12.75" customHeight="1">
      <c r="A12" s="83"/>
      <c r="B12" s="10" t="s">
        <v>0</v>
      </c>
      <c r="C12" s="233">
        <v>1584</v>
      </c>
      <c r="D12" s="233">
        <v>1591</v>
      </c>
      <c r="E12" s="233">
        <v>1591</v>
      </c>
      <c r="F12" s="233">
        <v>1628</v>
      </c>
      <c r="G12" s="233">
        <v>1636</v>
      </c>
      <c r="H12" s="233">
        <v>1616</v>
      </c>
      <c r="I12" s="233">
        <v>1615</v>
      </c>
      <c r="J12" s="233">
        <v>1537</v>
      </c>
      <c r="K12" s="233">
        <v>1503</v>
      </c>
      <c r="L12" s="233">
        <v>1481</v>
      </c>
      <c r="M12" s="233">
        <v>1525</v>
      </c>
    </row>
    <row r="13" spans="1:14" ht="12.75" customHeight="1">
      <c r="A13" s="83"/>
      <c r="B13" s="10" t="s">
        <v>91</v>
      </c>
      <c r="C13" s="233">
        <v>3721</v>
      </c>
      <c r="D13" s="233">
        <v>3747</v>
      </c>
      <c r="E13" s="233">
        <v>3881</v>
      </c>
      <c r="F13" s="233">
        <v>3923</v>
      </c>
      <c r="G13" s="233">
        <v>4005</v>
      </c>
      <c r="H13" s="233">
        <v>3968</v>
      </c>
      <c r="I13" s="233">
        <v>3830</v>
      </c>
      <c r="J13" s="233">
        <v>3482</v>
      </c>
      <c r="K13" s="233">
        <v>3384</v>
      </c>
      <c r="L13" s="233">
        <v>3263</v>
      </c>
      <c r="M13" s="233">
        <v>3333</v>
      </c>
    </row>
    <row r="14" spans="1:14" ht="12.75" customHeight="1">
      <c r="A14" s="83"/>
      <c r="B14" s="10" t="s">
        <v>146</v>
      </c>
      <c r="C14" s="233">
        <v>1747</v>
      </c>
      <c r="D14" s="233">
        <v>1839</v>
      </c>
      <c r="E14" s="233">
        <v>1902</v>
      </c>
      <c r="F14" s="233">
        <v>1952</v>
      </c>
      <c r="G14" s="233">
        <v>1976</v>
      </c>
      <c r="H14" s="233">
        <v>1941</v>
      </c>
      <c r="I14" s="233">
        <v>1894</v>
      </c>
      <c r="J14" s="233">
        <v>1709</v>
      </c>
      <c r="K14" s="233">
        <v>1644</v>
      </c>
      <c r="L14" s="233">
        <v>1573</v>
      </c>
      <c r="M14" s="233">
        <v>1632</v>
      </c>
    </row>
    <row r="15" spans="1:14" ht="12.75" customHeight="1">
      <c r="A15" s="83"/>
      <c r="B15" s="10" t="s">
        <v>147</v>
      </c>
      <c r="C15" s="233">
        <v>2337</v>
      </c>
      <c r="D15" s="233">
        <v>2232</v>
      </c>
      <c r="E15" s="233">
        <v>2197</v>
      </c>
      <c r="F15" s="233">
        <v>2163</v>
      </c>
      <c r="G15" s="233">
        <v>2161</v>
      </c>
      <c r="H15" s="233">
        <v>2133</v>
      </c>
      <c r="I15" s="233">
        <v>2134</v>
      </c>
      <c r="J15" s="233">
        <v>2075</v>
      </c>
      <c r="K15" s="233">
        <v>2054</v>
      </c>
      <c r="L15" s="233">
        <v>1990</v>
      </c>
      <c r="M15" s="233">
        <v>2050</v>
      </c>
    </row>
    <row r="16" spans="1:14" ht="12.75" customHeight="1">
      <c r="A16" s="83"/>
      <c r="B16" s="10" t="s">
        <v>148</v>
      </c>
      <c r="C16" s="233">
        <v>316</v>
      </c>
      <c r="D16" s="233">
        <v>313</v>
      </c>
      <c r="E16" s="233">
        <v>314</v>
      </c>
      <c r="F16" s="233">
        <v>318</v>
      </c>
      <c r="G16" s="233">
        <v>321</v>
      </c>
      <c r="H16" s="233">
        <v>309</v>
      </c>
      <c r="I16" s="233">
        <v>320</v>
      </c>
      <c r="J16" s="233">
        <v>322</v>
      </c>
      <c r="K16" s="233">
        <v>324</v>
      </c>
      <c r="L16" s="233">
        <v>321</v>
      </c>
      <c r="M16" s="233">
        <v>322</v>
      </c>
    </row>
    <row r="17" spans="1:13" ht="12.75" customHeight="1">
      <c r="A17" s="83"/>
      <c r="B17" s="10" t="s">
        <v>149</v>
      </c>
      <c r="C17" s="233">
        <v>1374</v>
      </c>
      <c r="D17" s="233">
        <v>1317</v>
      </c>
      <c r="E17" s="233">
        <v>1309</v>
      </c>
      <c r="F17" s="233">
        <v>1275</v>
      </c>
      <c r="G17" s="233">
        <v>1242</v>
      </c>
      <c r="H17" s="233">
        <v>1232</v>
      </c>
      <c r="I17" s="233">
        <v>1199</v>
      </c>
      <c r="J17" s="233">
        <v>1134</v>
      </c>
      <c r="K17" s="233">
        <v>1112</v>
      </c>
      <c r="L17" s="233">
        <v>1053</v>
      </c>
      <c r="M17" s="233">
        <v>1079</v>
      </c>
    </row>
    <row r="18" spans="1:13" ht="12.75" customHeight="1">
      <c r="A18" s="83"/>
      <c r="B18" s="10" t="s">
        <v>150</v>
      </c>
      <c r="C18" s="233">
        <v>6</v>
      </c>
      <c r="D18" s="233">
        <v>8</v>
      </c>
      <c r="E18" s="233">
        <v>8</v>
      </c>
      <c r="F18" s="233">
        <v>6</v>
      </c>
      <c r="G18" s="233">
        <v>9</v>
      </c>
      <c r="H18" s="233">
        <v>10</v>
      </c>
      <c r="I18" s="233">
        <v>11</v>
      </c>
      <c r="J18" s="233">
        <v>11</v>
      </c>
      <c r="K18" s="233">
        <v>10</v>
      </c>
      <c r="L18" s="233">
        <v>11</v>
      </c>
      <c r="M18" s="233">
        <v>11</v>
      </c>
    </row>
    <row r="19" spans="1:13" ht="12.75" customHeight="1">
      <c r="A19" s="83"/>
      <c r="B19" s="10" t="s">
        <v>151</v>
      </c>
      <c r="C19" s="233">
        <v>478</v>
      </c>
      <c r="D19" s="233">
        <v>493</v>
      </c>
      <c r="E19" s="233">
        <v>500</v>
      </c>
      <c r="F19" s="233">
        <v>481</v>
      </c>
      <c r="G19" s="233">
        <v>481</v>
      </c>
      <c r="H19" s="233">
        <v>477</v>
      </c>
      <c r="I19" s="233">
        <v>477</v>
      </c>
      <c r="J19" s="233">
        <v>455</v>
      </c>
      <c r="K19" s="233">
        <v>450</v>
      </c>
      <c r="L19" s="233">
        <v>463</v>
      </c>
      <c r="M19" s="233">
        <v>470</v>
      </c>
    </row>
    <row r="20" spans="1:13" ht="12.75" customHeight="1">
      <c r="A20" s="83"/>
      <c r="B20" s="10" t="s">
        <v>160</v>
      </c>
      <c r="C20" s="233">
        <v>91</v>
      </c>
      <c r="D20" s="233">
        <v>96</v>
      </c>
      <c r="E20" s="233">
        <v>97</v>
      </c>
      <c r="F20" s="233">
        <v>93</v>
      </c>
      <c r="G20" s="233">
        <v>94</v>
      </c>
      <c r="H20" s="233">
        <v>98</v>
      </c>
      <c r="I20" s="233">
        <v>92</v>
      </c>
      <c r="J20" s="233">
        <v>97</v>
      </c>
      <c r="K20" s="233">
        <v>98</v>
      </c>
      <c r="L20" s="233">
        <v>108</v>
      </c>
      <c r="M20" s="233">
        <v>113</v>
      </c>
    </row>
    <row r="21" spans="1:13" ht="12.75" customHeight="1">
      <c r="A21" s="83"/>
      <c r="B21" s="10" t="s">
        <v>152</v>
      </c>
      <c r="C21" s="233">
        <v>727</v>
      </c>
      <c r="D21" s="233">
        <v>716</v>
      </c>
      <c r="E21" s="233">
        <v>717</v>
      </c>
      <c r="F21" s="233">
        <v>726</v>
      </c>
      <c r="G21" s="233">
        <v>740</v>
      </c>
      <c r="H21" s="233">
        <v>746</v>
      </c>
      <c r="I21" s="233">
        <v>738</v>
      </c>
      <c r="J21" s="233">
        <v>741</v>
      </c>
      <c r="K21" s="233">
        <v>749</v>
      </c>
      <c r="L21" s="233">
        <v>730</v>
      </c>
      <c r="M21" s="233">
        <v>741</v>
      </c>
    </row>
    <row r="22" spans="1:13" ht="12.75" customHeight="1">
      <c r="A22" s="83"/>
      <c r="B22" s="10" t="s">
        <v>159</v>
      </c>
      <c r="C22" s="233">
        <v>2167</v>
      </c>
      <c r="D22" s="233">
        <v>2076</v>
      </c>
      <c r="E22" s="233">
        <v>2033</v>
      </c>
      <c r="F22" s="233">
        <v>1991</v>
      </c>
      <c r="G22" s="233">
        <v>1989</v>
      </c>
      <c r="H22" s="233">
        <v>1999</v>
      </c>
      <c r="I22" s="233">
        <v>1960</v>
      </c>
      <c r="J22" s="233">
        <v>1878</v>
      </c>
      <c r="K22" s="233">
        <v>1879</v>
      </c>
      <c r="L22" s="233">
        <v>1854</v>
      </c>
      <c r="M22" s="233">
        <v>1898</v>
      </c>
    </row>
    <row r="23" spans="1:13" ht="12.75" customHeight="1">
      <c r="A23" s="83"/>
      <c r="B23" s="10" t="s">
        <v>92</v>
      </c>
      <c r="C23" s="233">
        <v>227</v>
      </c>
      <c r="D23" s="233">
        <v>225</v>
      </c>
      <c r="E23" s="233">
        <v>222</v>
      </c>
      <c r="F23" s="233">
        <v>215</v>
      </c>
      <c r="G23" s="233">
        <v>210</v>
      </c>
      <c r="H23" s="233">
        <v>210</v>
      </c>
      <c r="I23" s="233">
        <v>207</v>
      </c>
      <c r="J23" s="233">
        <v>208</v>
      </c>
      <c r="K23" s="233">
        <v>200</v>
      </c>
      <c r="L23" s="233">
        <v>204</v>
      </c>
      <c r="M23" s="233">
        <v>205</v>
      </c>
    </row>
    <row r="24" spans="1:13" ht="12.75" customHeight="1">
      <c r="A24" s="83"/>
      <c r="B24" s="10" t="s">
        <v>157</v>
      </c>
      <c r="C24" s="233">
        <v>5751</v>
      </c>
      <c r="D24" s="233">
        <v>5692</v>
      </c>
      <c r="E24" s="233">
        <v>5697</v>
      </c>
      <c r="F24" s="233">
        <v>5719</v>
      </c>
      <c r="G24" s="233">
        <v>5845</v>
      </c>
      <c r="H24" s="233">
        <v>5905</v>
      </c>
      <c r="I24" s="233">
        <v>6040</v>
      </c>
      <c r="J24" s="233">
        <v>5945</v>
      </c>
      <c r="K24" s="233">
        <v>6032</v>
      </c>
      <c r="L24" s="233">
        <v>5883</v>
      </c>
      <c r="M24" s="233">
        <v>6140</v>
      </c>
    </row>
    <row r="25" spans="1:13" ht="12.75" customHeight="1">
      <c r="A25" s="83"/>
      <c r="B25" s="10" t="s">
        <v>158</v>
      </c>
      <c r="C25" s="233">
        <v>154</v>
      </c>
      <c r="D25" s="233">
        <v>155</v>
      </c>
      <c r="E25" s="233">
        <v>166</v>
      </c>
      <c r="F25" s="233">
        <v>158</v>
      </c>
      <c r="G25" s="233">
        <v>157</v>
      </c>
      <c r="H25" s="233">
        <v>166</v>
      </c>
      <c r="I25" s="233">
        <v>175</v>
      </c>
      <c r="J25" s="233">
        <v>170</v>
      </c>
      <c r="K25" s="233">
        <v>164</v>
      </c>
      <c r="L25" s="233">
        <v>161</v>
      </c>
      <c r="M25" s="233">
        <v>168</v>
      </c>
    </row>
    <row r="26" spans="1:13" ht="12.75" customHeight="1">
      <c r="A26" s="83"/>
      <c r="B26" s="10" t="s">
        <v>153</v>
      </c>
      <c r="C26" s="233">
        <v>380</v>
      </c>
      <c r="D26" s="233">
        <v>384</v>
      </c>
      <c r="E26" s="233">
        <v>371</v>
      </c>
      <c r="F26" s="233">
        <v>352</v>
      </c>
      <c r="G26" s="233">
        <v>348</v>
      </c>
      <c r="H26" s="233">
        <v>350</v>
      </c>
      <c r="I26" s="233">
        <v>353</v>
      </c>
      <c r="J26" s="233">
        <v>330</v>
      </c>
      <c r="K26" s="233">
        <v>330</v>
      </c>
      <c r="L26" s="233">
        <v>313</v>
      </c>
      <c r="M26" s="233">
        <v>331</v>
      </c>
    </row>
    <row r="27" spans="1:13" ht="12.75" customHeight="1">
      <c r="A27" s="83"/>
      <c r="B27" s="10" t="s">
        <v>161</v>
      </c>
      <c r="C27" s="233">
        <v>968</v>
      </c>
      <c r="D27" s="233">
        <v>953</v>
      </c>
      <c r="E27" s="233">
        <v>958</v>
      </c>
      <c r="F27" s="233">
        <v>984</v>
      </c>
      <c r="G27" s="233">
        <v>997</v>
      </c>
      <c r="H27" s="233">
        <v>989</v>
      </c>
      <c r="I27" s="233">
        <v>988</v>
      </c>
      <c r="J27" s="233">
        <v>962</v>
      </c>
      <c r="K27" s="233">
        <v>971</v>
      </c>
      <c r="L27" s="233">
        <v>933</v>
      </c>
      <c r="M27" s="233">
        <v>952</v>
      </c>
    </row>
    <row r="28" spans="1:13" ht="12.75" customHeight="1">
      <c r="A28" s="83"/>
      <c r="B28" s="10" t="s">
        <v>154</v>
      </c>
      <c r="C28" s="233">
        <v>344</v>
      </c>
      <c r="D28" s="233">
        <v>333</v>
      </c>
      <c r="E28" s="233">
        <v>339</v>
      </c>
      <c r="F28" s="233">
        <v>346</v>
      </c>
      <c r="G28" s="233">
        <v>355</v>
      </c>
      <c r="H28" s="233">
        <v>359</v>
      </c>
      <c r="I28" s="233">
        <v>372</v>
      </c>
      <c r="J28" s="233">
        <v>344</v>
      </c>
      <c r="K28" s="233">
        <v>346</v>
      </c>
      <c r="L28" s="233">
        <v>343</v>
      </c>
      <c r="M28" s="233">
        <v>351</v>
      </c>
    </row>
    <row r="29" spans="1:13" ht="12.75" customHeight="1">
      <c r="A29" s="83"/>
      <c r="B29" s="10" t="s">
        <v>162</v>
      </c>
      <c r="C29" s="233">
        <v>117</v>
      </c>
      <c r="D29" s="233">
        <v>125</v>
      </c>
      <c r="E29" s="233">
        <v>119</v>
      </c>
      <c r="F29" s="233">
        <v>123</v>
      </c>
      <c r="G29" s="233">
        <v>133</v>
      </c>
      <c r="H29" s="233">
        <v>142</v>
      </c>
      <c r="I29" s="233">
        <v>134</v>
      </c>
      <c r="J29" s="233">
        <v>138</v>
      </c>
      <c r="K29" s="233">
        <v>141</v>
      </c>
      <c r="L29" s="233">
        <v>146</v>
      </c>
      <c r="M29" s="233">
        <v>156</v>
      </c>
    </row>
    <row r="30" spans="1:13" ht="12.75" customHeight="1">
      <c r="A30" s="83"/>
      <c r="B30" s="10" t="s">
        <v>155</v>
      </c>
      <c r="C30" s="233">
        <v>2484</v>
      </c>
      <c r="D30" s="233">
        <v>2361</v>
      </c>
      <c r="E30" s="233">
        <v>2323</v>
      </c>
      <c r="F30" s="233">
        <v>2329</v>
      </c>
      <c r="G30" s="233">
        <v>2337</v>
      </c>
      <c r="H30" s="233">
        <v>2393</v>
      </c>
      <c r="I30" s="233">
        <v>2412</v>
      </c>
      <c r="J30" s="233">
        <v>2338</v>
      </c>
      <c r="K30" s="233">
        <v>2356</v>
      </c>
      <c r="L30" s="233">
        <v>2277</v>
      </c>
      <c r="M30" s="233">
        <v>2361</v>
      </c>
    </row>
    <row r="31" spans="1:13" ht="12.75" customHeight="1">
      <c r="A31" s="83"/>
      <c r="B31" s="10" t="s">
        <v>156</v>
      </c>
      <c r="C31" s="233">
        <v>1031</v>
      </c>
      <c r="D31" s="233">
        <v>1045</v>
      </c>
      <c r="E31" s="233">
        <v>1062</v>
      </c>
      <c r="F31" s="233">
        <v>1072</v>
      </c>
      <c r="G31" s="233">
        <v>1068</v>
      </c>
      <c r="H31" s="233">
        <v>1085</v>
      </c>
      <c r="I31" s="233">
        <v>1084</v>
      </c>
      <c r="J31" s="233">
        <v>1039</v>
      </c>
      <c r="K31" s="233">
        <v>1057</v>
      </c>
      <c r="L31" s="233">
        <v>997</v>
      </c>
      <c r="M31" s="233">
        <v>1049</v>
      </c>
    </row>
    <row r="32" spans="1:13" ht="12.75" customHeight="1">
      <c r="A32" s="83"/>
      <c r="B32" s="10" t="s">
        <v>163</v>
      </c>
      <c r="C32" s="233">
        <v>1180</v>
      </c>
      <c r="D32" s="233">
        <v>1250</v>
      </c>
      <c r="E32" s="233">
        <v>1309</v>
      </c>
      <c r="F32" s="233">
        <v>1386</v>
      </c>
      <c r="G32" s="233">
        <v>1412</v>
      </c>
      <c r="H32" s="233">
        <v>1468</v>
      </c>
      <c r="I32" s="233">
        <v>1541</v>
      </c>
      <c r="J32" s="233">
        <v>1517</v>
      </c>
      <c r="K32" s="233">
        <v>1553</v>
      </c>
      <c r="L32" s="233">
        <v>1566</v>
      </c>
      <c r="M32" s="233">
        <v>1620</v>
      </c>
    </row>
    <row r="33" spans="1:16" ht="16.5" customHeight="1">
      <c r="A33" s="11" t="s">
        <v>76</v>
      </c>
      <c r="B33" s="30" t="s">
        <v>164</v>
      </c>
      <c r="C33" s="232">
        <v>184</v>
      </c>
      <c r="D33" s="232">
        <v>189</v>
      </c>
      <c r="E33" s="232">
        <v>193</v>
      </c>
      <c r="F33" s="232">
        <v>211</v>
      </c>
      <c r="G33" s="232">
        <v>204</v>
      </c>
      <c r="H33" s="232">
        <v>194</v>
      </c>
      <c r="I33" s="232">
        <v>183</v>
      </c>
      <c r="J33" s="232">
        <v>185</v>
      </c>
      <c r="K33" s="232">
        <v>198</v>
      </c>
      <c r="L33" s="232">
        <v>192</v>
      </c>
      <c r="M33" s="232">
        <v>209</v>
      </c>
    </row>
    <row r="34" spans="1:16" ht="12.75" customHeight="1">
      <c r="A34" s="11" t="s">
        <v>77</v>
      </c>
      <c r="B34" s="30" t="s">
        <v>173</v>
      </c>
      <c r="C34" s="232">
        <v>624</v>
      </c>
      <c r="D34" s="232">
        <v>640</v>
      </c>
      <c r="E34" s="232">
        <v>637</v>
      </c>
      <c r="F34" s="232">
        <v>623</v>
      </c>
      <c r="G34" s="232">
        <v>605</v>
      </c>
      <c r="H34" s="232">
        <v>607</v>
      </c>
      <c r="I34" s="232">
        <v>602</v>
      </c>
      <c r="J34" s="232">
        <v>617</v>
      </c>
      <c r="K34" s="232">
        <v>625</v>
      </c>
      <c r="L34" s="232">
        <v>620</v>
      </c>
      <c r="M34" s="232">
        <v>636</v>
      </c>
    </row>
    <row r="35" spans="1:16" ht="12.75" customHeight="1">
      <c r="A35" s="11" t="s">
        <v>78</v>
      </c>
      <c r="B35" s="30" t="s">
        <v>79</v>
      </c>
      <c r="C35" s="232">
        <v>29895</v>
      </c>
      <c r="D35" s="232">
        <v>27952</v>
      </c>
      <c r="E35" s="232">
        <v>27621</v>
      </c>
      <c r="F35" s="232">
        <v>27400</v>
      </c>
      <c r="G35" s="232">
        <v>27945</v>
      </c>
      <c r="H35" s="232">
        <v>28669</v>
      </c>
      <c r="I35" s="232">
        <v>29662</v>
      </c>
      <c r="J35" s="232">
        <v>30134</v>
      </c>
      <c r="K35" s="232">
        <v>31394</v>
      </c>
      <c r="L35" s="232">
        <v>31375</v>
      </c>
      <c r="M35" s="232">
        <v>33643</v>
      </c>
      <c r="O35" s="4">
        <f>+C35/$C$5*100</f>
        <v>11.153768664234066</v>
      </c>
      <c r="P35" s="4">
        <f>+M35/$M$5*100</f>
        <v>11.810362985326126</v>
      </c>
    </row>
    <row r="36" spans="1:16" ht="12.75" customHeight="1">
      <c r="A36" s="11" t="s">
        <v>80</v>
      </c>
      <c r="B36" s="30" t="s">
        <v>174</v>
      </c>
      <c r="C36" s="232">
        <v>74719</v>
      </c>
      <c r="D36" s="232">
        <v>73629</v>
      </c>
      <c r="E36" s="232">
        <v>74208</v>
      </c>
      <c r="F36" s="232">
        <v>74441</v>
      </c>
      <c r="G36" s="232">
        <v>74332</v>
      </c>
      <c r="H36" s="232">
        <v>73637</v>
      </c>
      <c r="I36" s="232">
        <v>73191</v>
      </c>
      <c r="J36" s="232">
        <v>69985</v>
      </c>
      <c r="K36" s="232">
        <v>69568</v>
      </c>
      <c r="L36" s="232">
        <v>67802</v>
      </c>
      <c r="M36" s="232">
        <v>69554</v>
      </c>
      <c r="O36" s="4">
        <f>+C36/$C$5*100</f>
        <v>27.877519345138158</v>
      </c>
      <c r="P36" s="4">
        <f>+M36/$M$5*100</f>
        <v>24.416906550586255</v>
      </c>
    </row>
    <row r="37" spans="1:16" ht="12.75" customHeight="1">
      <c r="A37" s="11" t="s">
        <v>53</v>
      </c>
      <c r="B37" s="30" t="s">
        <v>93</v>
      </c>
      <c r="C37" s="232">
        <v>10925</v>
      </c>
      <c r="D37" s="232">
        <v>10641</v>
      </c>
      <c r="E37" s="232">
        <v>10632</v>
      </c>
      <c r="F37" s="232">
        <v>10537</v>
      </c>
      <c r="G37" s="232">
        <v>10462</v>
      </c>
      <c r="H37" s="232">
        <v>10490</v>
      </c>
      <c r="I37" s="232">
        <v>10497</v>
      </c>
      <c r="J37" s="232">
        <v>10339</v>
      </c>
      <c r="K37" s="232">
        <v>10288</v>
      </c>
      <c r="L37" s="232">
        <v>9821</v>
      </c>
      <c r="M37" s="232">
        <v>10445</v>
      </c>
    </row>
    <row r="38" spans="1:16" ht="12.75" customHeight="1">
      <c r="A38" s="11" t="s">
        <v>10</v>
      </c>
      <c r="B38" s="30" t="s">
        <v>165</v>
      </c>
      <c r="C38" s="232">
        <v>30385</v>
      </c>
      <c r="D38" s="232">
        <v>30313</v>
      </c>
      <c r="E38" s="232">
        <v>31162</v>
      </c>
      <c r="F38" s="232">
        <v>32218</v>
      </c>
      <c r="G38" s="232">
        <v>33270</v>
      </c>
      <c r="H38" s="232">
        <v>34159</v>
      </c>
      <c r="I38" s="232">
        <v>34949</v>
      </c>
      <c r="J38" s="232">
        <v>33798</v>
      </c>
      <c r="K38" s="232">
        <v>33300</v>
      </c>
      <c r="L38" s="232">
        <v>32645</v>
      </c>
      <c r="M38" s="232">
        <v>34416</v>
      </c>
      <c r="O38" s="4">
        <f>+C38/$C$5*100</f>
        <v>11.336586749046734</v>
      </c>
      <c r="P38" s="4">
        <f>+M38/$M$5*100</f>
        <v>12.081724355823914</v>
      </c>
    </row>
    <row r="39" spans="1:16" ht="12.75" customHeight="1">
      <c r="A39" s="11" t="s">
        <v>81</v>
      </c>
      <c r="B39" s="30" t="s">
        <v>171</v>
      </c>
      <c r="C39" s="232">
        <v>4095</v>
      </c>
      <c r="D39" s="232">
        <v>4362</v>
      </c>
      <c r="E39" s="232">
        <v>4637</v>
      </c>
      <c r="F39" s="232">
        <v>4749</v>
      </c>
      <c r="G39" s="232">
        <v>4883</v>
      </c>
      <c r="H39" s="232">
        <v>5130</v>
      </c>
      <c r="I39" s="232">
        <v>5304</v>
      </c>
      <c r="J39" s="232">
        <v>5356</v>
      </c>
      <c r="K39" s="232">
        <v>5633</v>
      </c>
      <c r="L39" s="232">
        <v>5723</v>
      </c>
      <c r="M39" s="232">
        <v>6314</v>
      </c>
    </row>
    <row r="40" spans="1:16" ht="12.75" customHeight="1">
      <c r="A40" s="11" t="s">
        <v>82</v>
      </c>
      <c r="B40" s="30" t="s">
        <v>166</v>
      </c>
      <c r="C40" s="232">
        <v>3456</v>
      </c>
      <c r="D40" s="232">
        <v>3582</v>
      </c>
      <c r="E40" s="232">
        <v>3675</v>
      </c>
      <c r="F40" s="232">
        <v>3674</v>
      </c>
      <c r="G40" s="232">
        <v>3659</v>
      </c>
      <c r="H40" s="232">
        <v>3692</v>
      </c>
      <c r="I40" s="232">
        <v>3685</v>
      </c>
      <c r="J40" s="232">
        <v>3647</v>
      </c>
      <c r="K40" s="232">
        <v>3710</v>
      </c>
      <c r="L40" s="232">
        <v>3599</v>
      </c>
      <c r="M40" s="232">
        <v>3755</v>
      </c>
    </row>
    <row r="41" spans="1:16" ht="12.75" customHeight="1">
      <c r="A41" s="11" t="s">
        <v>83</v>
      </c>
      <c r="B41" s="30" t="s">
        <v>103</v>
      </c>
      <c r="C41" s="232">
        <v>6220</v>
      </c>
      <c r="D41" s="232">
        <v>6033</v>
      </c>
      <c r="E41" s="232">
        <v>6325</v>
      </c>
      <c r="F41" s="232">
        <v>6641</v>
      </c>
      <c r="G41" s="232">
        <v>7069</v>
      </c>
      <c r="H41" s="232">
        <v>7649</v>
      </c>
      <c r="I41" s="232">
        <v>8416</v>
      </c>
      <c r="J41" s="232">
        <v>8804</v>
      </c>
      <c r="K41" s="232">
        <v>9411</v>
      </c>
      <c r="L41" s="232">
        <v>9635</v>
      </c>
      <c r="M41" s="232">
        <v>10313</v>
      </c>
    </row>
    <row r="42" spans="1:16" ht="12.75" customHeight="1">
      <c r="A42" s="11" t="s">
        <v>54</v>
      </c>
      <c r="B42" s="30" t="s">
        <v>175</v>
      </c>
      <c r="C42" s="232">
        <v>20571</v>
      </c>
      <c r="D42" s="232">
        <v>20799</v>
      </c>
      <c r="E42" s="232">
        <v>21426</v>
      </c>
      <c r="F42" s="232">
        <v>21717</v>
      </c>
      <c r="G42" s="232">
        <v>22039</v>
      </c>
      <c r="H42" s="232">
        <v>22524</v>
      </c>
      <c r="I42" s="232">
        <v>23187</v>
      </c>
      <c r="J42" s="232">
        <v>22977</v>
      </c>
      <c r="K42" s="232">
        <v>23504</v>
      </c>
      <c r="L42" s="232">
        <v>23335</v>
      </c>
      <c r="M42" s="232">
        <v>24442</v>
      </c>
    </row>
    <row r="43" spans="1:16" ht="12.75" customHeight="1">
      <c r="A43" s="11" t="s">
        <v>85</v>
      </c>
      <c r="B43" s="30" t="s">
        <v>169</v>
      </c>
      <c r="C43" s="232">
        <v>7180</v>
      </c>
      <c r="D43" s="232">
        <v>7258</v>
      </c>
      <c r="E43" s="232">
        <v>7438</v>
      </c>
      <c r="F43" s="232">
        <v>7568</v>
      </c>
      <c r="G43" s="232">
        <v>7855</v>
      </c>
      <c r="H43" s="232">
        <v>7959</v>
      </c>
      <c r="I43" s="232">
        <v>7811</v>
      </c>
      <c r="J43" s="232">
        <v>7970</v>
      </c>
      <c r="K43" s="232">
        <v>8005</v>
      </c>
      <c r="L43" s="232">
        <v>7640</v>
      </c>
      <c r="M43" s="232">
        <v>8560</v>
      </c>
    </row>
    <row r="44" spans="1:16" ht="12.75" customHeight="1">
      <c r="A44" s="11" t="s">
        <v>86</v>
      </c>
      <c r="B44" s="30" t="s">
        <v>170</v>
      </c>
      <c r="C44" s="232">
        <v>638</v>
      </c>
      <c r="D44" s="232">
        <v>586</v>
      </c>
      <c r="E44" s="232">
        <v>599</v>
      </c>
      <c r="F44" s="232">
        <v>596</v>
      </c>
      <c r="G44" s="232">
        <v>560</v>
      </c>
      <c r="H44" s="232">
        <v>559</v>
      </c>
      <c r="I44" s="232">
        <v>564</v>
      </c>
      <c r="J44" s="232">
        <v>546</v>
      </c>
      <c r="K44" s="232">
        <v>558</v>
      </c>
      <c r="L44" s="232">
        <v>517</v>
      </c>
      <c r="M44" s="232">
        <v>520</v>
      </c>
    </row>
    <row r="45" spans="1:16" ht="12.75" customHeight="1">
      <c r="A45" s="11" t="s">
        <v>94</v>
      </c>
      <c r="B45" s="30" t="s">
        <v>84</v>
      </c>
      <c r="C45" s="232">
        <v>3562</v>
      </c>
      <c r="D45" s="232">
        <v>3602</v>
      </c>
      <c r="E45" s="232">
        <v>3802</v>
      </c>
      <c r="F45" s="232">
        <v>3857</v>
      </c>
      <c r="G45" s="232">
        <v>3829</v>
      </c>
      <c r="H45" s="232">
        <v>3817</v>
      </c>
      <c r="I45" s="232">
        <v>3764</v>
      </c>
      <c r="J45" s="232">
        <v>3671</v>
      </c>
      <c r="K45" s="232">
        <v>3680</v>
      </c>
      <c r="L45" s="232">
        <v>3577</v>
      </c>
      <c r="M45" s="232">
        <v>3747</v>
      </c>
    </row>
    <row r="46" spans="1:16" ht="12.75" customHeight="1">
      <c r="A46" s="11" t="s">
        <v>87</v>
      </c>
      <c r="B46" s="30" t="s">
        <v>141</v>
      </c>
      <c r="C46" s="232">
        <v>14259</v>
      </c>
      <c r="D46" s="232">
        <v>14586</v>
      </c>
      <c r="E46" s="232">
        <v>14787</v>
      </c>
      <c r="F46" s="232">
        <v>15110</v>
      </c>
      <c r="G46" s="232">
        <v>15253</v>
      </c>
      <c r="H46" s="232">
        <v>15453</v>
      </c>
      <c r="I46" s="232">
        <v>15499</v>
      </c>
      <c r="J46" s="232">
        <v>15300</v>
      </c>
      <c r="K46" s="232">
        <v>15658</v>
      </c>
      <c r="L46" s="232">
        <v>15268</v>
      </c>
      <c r="M46" s="232">
        <v>16093</v>
      </c>
    </row>
    <row r="47" spans="1:16" ht="12.75" customHeight="1">
      <c r="A47" s="11" t="s">
        <v>95</v>
      </c>
      <c r="B47" s="30" t="s">
        <v>167</v>
      </c>
      <c r="C47" s="232">
        <v>2715</v>
      </c>
      <c r="D47" s="232">
        <v>2849</v>
      </c>
      <c r="E47" s="232">
        <v>3087</v>
      </c>
      <c r="F47" s="232">
        <v>3213</v>
      </c>
      <c r="G47" s="232">
        <v>3351</v>
      </c>
      <c r="H47" s="232">
        <v>3605</v>
      </c>
      <c r="I47" s="232">
        <v>3886</v>
      </c>
      <c r="J47" s="232">
        <v>3917</v>
      </c>
      <c r="K47" s="232">
        <v>3922</v>
      </c>
      <c r="L47" s="232">
        <v>3932</v>
      </c>
      <c r="M47" s="232">
        <v>4293</v>
      </c>
    </row>
    <row r="48" spans="1:16" ht="12.75" customHeight="1">
      <c r="A48" s="11" t="s">
        <v>96</v>
      </c>
      <c r="B48" s="30" t="s">
        <v>104</v>
      </c>
      <c r="C48" s="232">
        <v>13245</v>
      </c>
      <c r="D48" s="232">
        <v>13201</v>
      </c>
      <c r="E48" s="232">
        <v>13415</v>
      </c>
      <c r="F48" s="232">
        <v>13491</v>
      </c>
      <c r="G48" s="232">
        <v>13431</v>
      </c>
      <c r="H48" s="232">
        <v>13330</v>
      </c>
      <c r="I48" s="232">
        <v>13348</v>
      </c>
      <c r="J48" s="232">
        <v>12528</v>
      </c>
      <c r="K48" s="232">
        <v>12260</v>
      </c>
      <c r="L48" s="232">
        <v>11606</v>
      </c>
      <c r="M48" s="232">
        <v>12060</v>
      </c>
    </row>
    <row r="49" spans="1:13" ht="12.75" customHeight="1">
      <c r="A49" s="32" t="s">
        <v>97</v>
      </c>
      <c r="B49" s="33" t="s">
        <v>168</v>
      </c>
      <c r="C49" s="234">
        <v>8</v>
      </c>
      <c r="D49" s="234">
        <v>11</v>
      </c>
      <c r="E49" s="234">
        <v>15</v>
      </c>
      <c r="F49" s="234">
        <v>13</v>
      </c>
      <c r="G49" s="234">
        <v>16</v>
      </c>
      <c r="H49" s="234">
        <v>13</v>
      </c>
      <c r="I49" s="234">
        <v>14</v>
      </c>
      <c r="J49" s="234">
        <v>15</v>
      </c>
      <c r="K49" s="234">
        <v>17</v>
      </c>
      <c r="L49" s="234">
        <v>16</v>
      </c>
      <c r="M49" s="234">
        <v>15</v>
      </c>
    </row>
    <row r="50" spans="1:13" ht="15" customHeight="1">
      <c r="A50" s="20" t="s">
        <v>139</v>
      </c>
      <c r="B50" s="10"/>
      <c r="E50" s="128"/>
      <c r="F50" s="128"/>
      <c r="G50" s="128"/>
      <c r="H50" s="128"/>
      <c r="I50" s="128"/>
      <c r="J50" s="128"/>
      <c r="K50" s="128"/>
      <c r="L50" s="128"/>
      <c r="M50" s="128"/>
    </row>
    <row r="51" spans="1:13" ht="19.5" customHeight="1">
      <c r="B51" s="145"/>
    </row>
  </sheetData>
  <mergeCells count="1">
    <mergeCell ref="A1:M1"/>
  </mergeCells>
  <phoneticPr fontId="25" type="noConversion"/>
  <conditionalFormatting sqref="C50:D1048576">
    <cfRule type="cellIs" dxfId="73" priority="48" operator="equal">
      <formula>0</formula>
    </cfRule>
  </conditionalFormatting>
  <conditionalFormatting sqref="C2:M49">
    <cfRule type="cellIs" dxfId="72" priority="10" operator="equal">
      <formula>0</formula>
    </cfRule>
  </conditionalFormatting>
  <conditionalFormatting sqref="E51:M1048576">
    <cfRule type="cellIs" dxfId="71" priority="11" operator="equal">
      <formula>0</formula>
    </cfRule>
  </conditionalFormatting>
  <printOptions horizontalCentered="1"/>
  <pageMargins left="0.27559055118110237" right="0.27559055118110237" top="1.7716535433070868" bottom="0.47244094488188981" header="0.19685039370078741" footer="0.19685039370078741"/>
  <pageSetup paperSize="9" scale="96" orientation="portrait" r:id="rId1"/>
  <headerFooter>
    <oddHeader>&amp;C&amp;G</oddHead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41">
    <tabColor indexed="24"/>
    <pageSetUpPr fitToPage="1"/>
  </sheetPr>
  <dimension ref="A1:N29"/>
  <sheetViews>
    <sheetView showGridLines="0" workbookViewId="0">
      <selection activeCell="K42" sqref="K42"/>
    </sheetView>
  </sheetViews>
  <sheetFormatPr defaultColWidth="9.140625" defaultRowHeight="11.25"/>
  <cols>
    <col min="1" max="1" width="17.140625" style="8" customWidth="1"/>
    <col min="2" max="12" width="7.5703125" style="8" customWidth="1"/>
    <col min="13" max="13" width="5.85546875" style="8" bestFit="1" customWidth="1"/>
    <col min="14" max="14" width="8" style="8" bestFit="1" customWidth="1"/>
    <col min="15" max="16384" width="9.140625" style="8"/>
  </cols>
  <sheetData>
    <row r="1" spans="1:14" s="21" customFormat="1" ht="28.5" customHeight="1">
      <c r="A1" s="610" t="s">
        <v>193</v>
      </c>
      <c r="B1" s="610"/>
      <c r="C1" s="610"/>
      <c r="D1" s="610"/>
      <c r="E1" s="610"/>
      <c r="F1" s="610"/>
      <c r="G1" s="610"/>
      <c r="H1" s="610"/>
      <c r="I1" s="610"/>
      <c r="J1" s="610"/>
      <c r="K1" s="610"/>
      <c r="L1" s="610"/>
    </row>
    <row r="2" spans="1:14" ht="15" customHeight="1">
      <c r="A2" s="110"/>
      <c r="B2" s="110"/>
      <c r="C2" s="110"/>
      <c r="D2" s="110"/>
      <c r="E2" s="110"/>
      <c r="F2" s="110"/>
      <c r="G2" s="110"/>
      <c r="H2" s="110"/>
      <c r="I2" s="110"/>
      <c r="J2" s="110"/>
      <c r="K2" s="110"/>
      <c r="L2" s="110"/>
    </row>
    <row r="3" spans="1:14" ht="15" customHeight="1">
      <c r="A3" s="120" t="s">
        <v>14</v>
      </c>
      <c r="B3" s="110"/>
      <c r="C3" s="110"/>
      <c r="D3" s="110"/>
      <c r="E3" s="110"/>
      <c r="F3" s="110"/>
      <c r="G3" s="110"/>
      <c r="H3" s="110"/>
      <c r="I3" s="110"/>
      <c r="J3" s="110"/>
      <c r="K3" s="110"/>
      <c r="L3" s="110"/>
    </row>
    <row r="4" spans="1:14" ht="28.5" customHeight="1" thickBot="1">
      <c r="A4" s="122"/>
      <c r="B4" s="122">
        <v>2012</v>
      </c>
      <c r="C4" s="122">
        <v>2013</v>
      </c>
      <c r="D4" s="122">
        <v>2014</v>
      </c>
      <c r="E4" s="122">
        <v>2015</v>
      </c>
      <c r="F4" s="122">
        <v>2016</v>
      </c>
      <c r="G4" s="122">
        <v>2017</v>
      </c>
      <c r="H4" s="122">
        <v>2018</v>
      </c>
      <c r="I4" s="122">
        <v>2019</v>
      </c>
      <c r="J4" s="122">
        <v>2020</v>
      </c>
      <c r="K4" s="122">
        <v>2021</v>
      </c>
      <c r="L4" s="122">
        <v>2022</v>
      </c>
    </row>
    <row r="5" spans="1:14" ht="20.25" customHeight="1" thickTop="1">
      <c r="A5" s="156" t="s">
        <v>12</v>
      </c>
      <c r="B5" s="235">
        <v>268026</v>
      </c>
      <c r="C5" s="235">
        <v>265860</v>
      </c>
      <c r="D5" s="235">
        <v>270181</v>
      </c>
      <c r="E5" s="235">
        <v>273060</v>
      </c>
      <c r="F5" s="235">
        <v>276332</v>
      </c>
      <c r="G5" s="235">
        <v>279191</v>
      </c>
      <c r="H5" s="235">
        <v>282236</v>
      </c>
      <c r="I5" s="235">
        <v>275751</v>
      </c>
      <c r="J5" s="235">
        <v>277641</v>
      </c>
      <c r="K5" s="235">
        <v>271806</v>
      </c>
      <c r="L5" s="235">
        <v>284860</v>
      </c>
      <c r="N5" s="498">
        <f>+(L5/B5-1)*100</f>
        <v>6.2807339586458122</v>
      </c>
    </row>
    <row r="6" spans="1:14" ht="20.25" customHeight="1">
      <c r="A6" s="120" t="s">
        <v>32</v>
      </c>
      <c r="B6" s="236">
        <v>182051</v>
      </c>
      <c r="C6" s="236">
        <v>181486</v>
      </c>
      <c r="D6" s="236">
        <v>183708</v>
      </c>
      <c r="E6" s="236">
        <v>184117</v>
      </c>
      <c r="F6" s="236">
        <v>184891</v>
      </c>
      <c r="G6" s="236">
        <v>184468</v>
      </c>
      <c r="H6" s="236">
        <v>184590</v>
      </c>
      <c r="I6" s="236">
        <v>177502</v>
      </c>
      <c r="J6" s="236">
        <v>180016</v>
      </c>
      <c r="K6" s="236">
        <v>174874</v>
      </c>
      <c r="L6" s="236">
        <v>181535</v>
      </c>
    </row>
    <row r="7" spans="1:14" ht="15" customHeight="1">
      <c r="A7" s="120" t="s">
        <v>33</v>
      </c>
      <c r="B7" s="236">
        <v>45885</v>
      </c>
      <c r="C7" s="236">
        <v>44774</v>
      </c>
      <c r="D7" s="236">
        <v>45735</v>
      </c>
      <c r="E7" s="236">
        <v>46893</v>
      </c>
      <c r="F7" s="236">
        <v>48126</v>
      </c>
      <c r="G7" s="236">
        <v>49422</v>
      </c>
      <c r="H7" s="236">
        <v>50470</v>
      </c>
      <c r="I7" s="236">
        <v>50421</v>
      </c>
      <c r="J7" s="236">
        <v>50026</v>
      </c>
      <c r="K7" s="236">
        <v>49427</v>
      </c>
      <c r="L7" s="236">
        <v>52248</v>
      </c>
    </row>
    <row r="8" spans="1:14" ht="15" customHeight="1">
      <c r="A8" s="120" t="s">
        <v>34</v>
      </c>
      <c r="B8" s="236">
        <v>20638</v>
      </c>
      <c r="C8" s="236">
        <v>20254</v>
      </c>
      <c r="D8" s="236">
        <v>20894</v>
      </c>
      <c r="E8" s="236">
        <v>21666</v>
      </c>
      <c r="F8" s="236">
        <v>22135</v>
      </c>
      <c r="G8" s="236">
        <v>23259</v>
      </c>
      <c r="H8" s="236">
        <v>24296</v>
      </c>
      <c r="I8" s="236">
        <v>24600</v>
      </c>
      <c r="J8" s="236">
        <v>24208</v>
      </c>
      <c r="K8" s="236">
        <v>24150</v>
      </c>
      <c r="L8" s="236">
        <v>25798</v>
      </c>
    </row>
    <row r="9" spans="1:14" ht="15" customHeight="1">
      <c r="A9" s="120" t="s">
        <v>35</v>
      </c>
      <c r="B9" s="236">
        <v>11822</v>
      </c>
      <c r="C9" s="236">
        <v>11687</v>
      </c>
      <c r="D9" s="236">
        <v>12067</v>
      </c>
      <c r="E9" s="236">
        <v>12480</v>
      </c>
      <c r="F9" s="236">
        <v>12961</v>
      </c>
      <c r="G9" s="236">
        <v>13502</v>
      </c>
      <c r="H9" s="236">
        <v>14010</v>
      </c>
      <c r="I9" s="236">
        <v>14160</v>
      </c>
      <c r="J9" s="236">
        <v>14026</v>
      </c>
      <c r="K9" s="236">
        <v>14098</v>
      </c>
      <c r="L9" s="236">
        <v>15272</v>
      </c>
    </row>
    <row r="10" spans="1:14" ht="15" customHeight="1">
      <c r="A10" s="120" t="s">
        <v>36</v>
      </c>
      <c r="B10" s="236">
        <v>3561</v>
      </c>
      <c r="C10" s="236">
        <v>3554</v>
      </c>
      <c r="D10" s="236">
        <v>3638</v>
      </c>
      <c r="E10" s="236">
        <v>3751</v>
      </c>
      <c r="F10" s="236">
        <v>3911</v>
      </c>
      <c r="G10" s="236">
        <v>4102</v>
      </c>
      <c r="H10" s="236">
        <v>4255</v>
      </c>
      <c r="I10" s="236">
        <v>4363</v>
      </c>
      <c r="J10" s="236">
        <v>4318</v>
      </c>
      <c r="K10" s="236">
        <v>4365</v>
      </c>
      <c r="L10" s="236">
        <v>4808</v>
      </c>
    </row>
    <row r="11" spans="1:14" ht="15" customHeight="1">
      <c r="A11" s="120" t="s">
        <v>37</v>
      </c>
      <c r="B11" s="236">
        <v>1060</v>
      </c>
      <c r="C11" s="236">
        <v>1084</v>
      </c>
      <c r="D11" s="236">
        <v>1128</v>
      </c>
      <c r="E11" s="236">
        <v>1158</v>
      </c>
      <c r="F11" s="236">
        <v>1196</v>
      </c>
      <c r="G11" s="236">
        <v>1276</v>
      </c>
      <c r="H11" s="236">
        <v>1343</v>
      </c>
      <c r="I11" s="236">
        <v>1340</v>
      </c>
      <c r="J11" s="236">
        <v>1304</v>
      </c>
      <c r="K11" s="236">
        <v>1387</v>
      </c>
      <c r="L11" s="236">
        <v>1481</v>
      </c>
    </row>
    <row r="12" spans="1:14" ht="15" customHeight="1">
      <c r="A12" s="120" t="s">
        <v>38</v>
      </c>
      <c r="B12" s="236">
        <v>500</v>
      </c>
      <c r="C12" s="236">
        <v>541</v>
      </c>
      <c r="D12" s="236">
        <v>530</v>
      </c>
      <c r="E12" s="236">
        <v>531</v>
      </c>
      <c r="F12" s="236">
        <v>558</v>
      </c>
      <c r="G12" s="236">
        <v>569</v>
      </c>
      <c r="H12" s="236">
        <v>599</v>
      </c>
      <c r="I12" s="236">
        <v>611</v>
      </c>
      <c r="J12" s="236">
        <v>595</v>
      </c>
      <c r="K12" s="236">
        <v>608</v>
      </c>
      <c r="L12" s="236">
        <v>665</v>
      </c>
    </row>
    <row r="13" spans="1:14" ht="15" customHeight="1">
      <c r="A13" s="120" t="s">
        <v>39</v>
      </c>
      <c r="B13" s="236">
        <v>264</v>
      </c>
      <c r="C13" s="236">
        <v>261</v>
      </c>
      <c r="D13" s="236">
        <v>300</v>
      </c>
      <c r="E13" s="236">
        <v>309</v>
      </c>
      <c r="F13" s="236">
        <v>316</v>
      </c>
      <c r="G13" s="236">
        <v>324</v>
      </c>
      <c r="H13" s="236">
        <v>363</v>
      </c>
      <c r="I13" s="236">
        <v>365</v>
      </c>
      <c r="J13" s="236">
        <v>349</v>
      </c>
      <c r="K13" s="236">
        <v>368</v>
      </c>
      <c r="L13" s="236">
        <v>394</v>
      </c>
    </row>
    <row r="14" spans="1:14" ht="15" customHeight="1">
      <c r="A14" s="120" t="s">
        <v>40</v>
      </c>
      <c r="B14" s="236">
        <v>476</v>
      </c>
      <c r="C14" s="236">
        <v>463</v>
      </c>
      <c r="D14" s="236">
        <v>462</v>
      </c>
      <c r="E14" s="236">
        <v>483</v>
      </c>
      <c r="F14" s="236">
        <v>516</v>
      </c>
      <c r="G14" s="236">
        <v>560</v>
      </c>
      <c r="H14" s="236">
        <v>582</v>
      </c>
      <c r="I14" s="236">
        <v>600</v>
      </c>
      <c r="J14" s="236">
        <v>570</v>
      </c>
      <c r="K14" s="236">
        <v>581</v>
      </c>
      <c r="L14" s="236">
        <v>633</v>
      </c>
    </row>
    <row r="15" spans="1:14" ht="15" customHeight="1">
      <c r="A15" s="120" t="s">
        <v>41</v>
      </c>
      <c r="B15" s="236">
        <v>178</v>
      </c>
      <c r="C15" s="236">
        <v>180</v>
      </c>
      <c r="D15" s="236">
        <v>190</v>
      </c>
      <c r="E15" s="236">
        <v>206</v>
      </c>
      <c r="F15" s="236">
        <v>221</v>
      </c>
      <c r="G15" s="236">
        <v>219</v>
      </c>
      <c r="H15" s="236">
        <v>239</v>
      </c>
      <c r="I15" s="236">
        <v>265</v>
      </c>
      <c r="J15" s="236">
        <v>258</v>
      </c>
      <c r="K15" s="236">
        <v>248</v>
      </c>
      <c r="L15" s="236">
        <v>282</v>
      </c>
    </row>
    <row r="16" spans="1:14" ht="15" customHeight="1">
      <c r="A16" s="153" t="s">
        <v>142</v>
      </c>
      <c r="B16" s="237">
        <v>152</v>
      </c>
      <c r="C16" s="237">
        <v>155</v>
      </c>
      <c r="D16" s="237">
        <v>161</v>
      </c>
      <c r="E16" s="237">
        <v>158</v>
      </c>
      <c r="F16" s="237">
        <v>165</v>
      </c>
      <c r="G16" s="237">
        <v>179</v>
      </c>
      <c r="H16" s="237">
        <v>190</v>
      </c>
      <c r="I16" s="237">
        <v>190</v>
      </c>
      <c r="J16" s="237">
        <v>191</v>
      </c>
      <c r="K16" s="237">
        <v>204</v>
      </c>
      <c r="L16" s="237">
        <v>221</v>
      </c>
    </row>
    <row r="17" spans="1:12" ht="15" customHeight="1">
      <c r="A17" s="120" t="s">
        <v>241</v>
      </c>
      <c r="B17" s="154"/>
      <c r="C17" s="110"/>
      <c r="D17" s="123"/>
      <c r="E17" s="123"/>
      <c r="F17" s="123"/>
      <c r="G17" s="123"/>
      <c r="H17" s="123"/>
      <c r="I17" s="123"/>
      <c r="J17" s="123"/>
      <c r="K17" s="123"/>
      <c r="L17" s="123"/>
    </row>
    <row r="18" spans="1:12" s="4" customFormat="1" ht="13.5" customHeight="1">
      <c r="A18" s="126" t="s">
        <v>138</v>
      </c>
      <c r="B18" s="98"/>
      <c r="C18" s="98"/>
      <c r="D18" s="123"/>
      <c r="E18" s="123"/>
      <c r="F18" s="123"/>
      <c r="G18" s="123"/>
      <c r="H18" s="123"/>
      <c r="I18" s="123"/>
      <c r="J18" s="123"/>
      <c r="K18" s="123"/>
      <c r="L18" s="123"/>
    </row>
    <row r="21" spans="1:12">
      <c r="B21" s="407">
        <f>SUM(B6:B9)</f>
        <v>260396</v>
      </c>
      <c r="C21" s="407">
        <f t="shared" ref="C21:L21" si="0">SUM(C6:C9)</f>
        <v>258201</v>
      </c>
      <c r="D21" s="407">
        <f t="shared" si="0"/>
        <v>262404</v>
      </c>
      <c r="E21" s="407">
        <f t="shared" si="0"/>
        <v>265156</v>
      </c>
      <c r="F21" s="407">
        <f t="shared" si="0"/>
        <v>268113</v>
      </c>
      <c r="G21" s="407">
        <f t="shared" si="0"/>
        <v>270651</v>
      </c>
      <c r="H21" s="407">
        <f t="shared" si="0"/>
        <v>273366</v>
      </c>
      <c r="I21" s="407">
        <f t="shared" si="0"/>
        <v>266683</v>
      </c>
      <c r="J21" s="407">
        <f t="shared" si="0"/>
        <v>268276</v>
      </c>
      <c r="K21" s="407">
        <f t="shared" si="0"/>
        <v>262549</v>
      </c>
      <c r="L21" s="407">
        <f t="shared" si="0"/>
        <v>274853</v>
      </c>
    </row>
    <row r="22" spans="1:12">
      <c r="B22" s="216">
        <f>+B21/B5*100</f>
        <v>97.153261250774179</v>
      </c>
      <c r="C22" s="216">
        <f t="shared" ref="C22:L22" si="1">+C21/C5*100</f>
        <v>97.119160460392678</v>
      </c>
      <c r="D22" s="216">
        <f t="shared" si="1"/>
        <v>97.121559251020614</v>
      </c>
      <c r="E22" s="216">
        <f t="shared" si="1"/>
        <v>97.105398081007834</v>
      </c>
      <c r="F22" s="216">
        <f t="shared" si="1"/>
        <v>97.02567925538844</v>
      </c>
      <c r="G22" s="216">
        <f t="shared" si="1"/>
        <v>96.941162143478834</v>
      </c>
      <c r="H22" s="216">
        <f t="shared" si="1"/>
        <v>96.857240040250005</v>
      </c>
      <c r="I22" s="216">
        <f t="shared" si="1"/>
        <v>96.711525978146952</v>
      </c>
      <c r="J22" s="216">
        <f t="shared" si="1"/>
        <v>96.626939104815207</v>
      </c>
      <c r="K22" s="216">
        <f t="shared" si="1"/>
        <v>96.594262083986365</v>
      </c>
      <c r="L22" s="216">
        <f t="shared" si="1"/>
        <v>96.48704626834234</v>
      </c>
    </row>
    <row r="24" spans="1:12">
      <c r="B24" s="407">
        <f>+B6+B7</f>
        <v>227936</v>
      </c>
      <c r="C24" s="407">
        <f t="shared" ref="C24:L24" si="2">+C6+C7</f>
        <v>226260</v>
      </c>
      <c r="D24" s="407">
        <f t="shared" si="2"/>
        <v>229443</v>
      </c>
      <c r="E24" s="407">
        <f t="shared" si="2"/>
        <v>231010</v>
      </c>
      <c r="F24" s="407">
        <f t="shared" si="2"/>
        <v>233017</v>
      </c>
      <c r="G24" s="407">
        <f t="shared" si="2"/>
        <v>233890</v>
      </c>
      <c r="H24" s="407">
        <f t="shared" si="2"/>
        <v>235060</v>
      </c>
      <c r="I24" s="407">
        <f t="shared" si="2"/>
        <v>227923</v>
      </c>
      <c r="J24" s="407">
        <f t="shared" si="2"/>
        <v>230042</v>
      </c>
      <c r="K24" s="407">
        <f t="shared" si="2"/>
        <v>224301</v>
      </c>
      <c r="L24" s="407">
        <f t="shared" si="2"/>
        <v>233783</v>
      </c>
    </row>
    <row r="25" spans="1:12">
      <c r="B25" s="216">
        <f>+B24/B5*100</f>
        <v>85.042495877265637</v>
      </c>
      <c r="C25" s="216">
        <f t="shared" ref="C25:L25" si="3">+C24/C5*100</f>
        <v>85.10494245091401</v>
      </c>
      <c r="D25" s="216">
        <f t="shared" si="3"/>
        <v>84.921959723296609</v>
      </c>
      <c r="E25" s="216">
        <f t="shared" si="3"/>
        <v>84.600454112649231</v>
      </c>
      <c r="F25" s="216">
        <f t="shared" si="3"/>
        <v>84.325014837224785</v>
      </c>
      <c r="G25" s="216">
        <f t="shared" si="3"/>
        <v>83.77419042877456</v>
      </c>
      <c r="H25" s="216">
        <f t="shared" si="3"/>
        <v>83.284910500432261</v>
      </c>
      <c r="I25" s="216">
        <f t="shared" si="3"/>
        <v>82.655366616984168</v>
      </c>
      <c r="J25" s="216">
        <f t="shared" si="3"/>
        <v>82.855918254148335</v>
      </c>
      <c r="K25" s="216">
        <f t="shared" si="3"/>
        <v>82.522460872828418</v>
      </c>
      <c r="L25" s="216">
        <f t="shared" si="3"/>
        <v>82.069437618479256</v>
      </c>
    </row>
    <row r="28" spans="1:12">
      <c r="B28" s="407">
        <f>+B8+B9</f>
        <v>32460</v>
      </c>
      <c r="C28" s="407">
        <f t="shared" ref="C28:L28" si="4">+C8+C9</f>
        <v>31941</v>
      </c>
      <c r="D28" s="407">
        <f t="shared" si="4"/>
        <v>32961</v>
      </c>
      <c r="E28" s="407">
        <f t="shared" si="4"/>
        <v>34146</v>
      </c>
      <c r="F28" s="407">
        <f t="shared" si="4"/>
        <v>35096</v>
      </c>
      <c r="G28" s="407">
        <f t="shared" si="4"/>
        <v>36761</v>
      </c>
      <c r="H28" s="407">
        <f t="shared" si="4"/>
        <v>38306</v>
      </c>
      <c r="I28" s="407">
        <f t="shared" si="4"/>
        <v>38760</v>
      </c>
      <c r="J28" s="407">
        <f t="shared" si="4"/>
        <v>38234</v>
      </c>
      <c r="K28" s="407">
        <f t="shared" si="4"/>
        <v>38248</v>
      </c>
      <c r="L28" s="407">
        <f t="shared" si="4"/>
        <v>41070</v>
      </c>
    </row>
    <row r="29" spans="1:12">
      <c r="B29" s="216">
        <f>+B28/B5*100</f>
        <v>12.11076537350854</v>
      </c>
      <c r="C29" s="216">
        <f t="shared" ref="C29:L29" si="5">+C28/C5*100</f>
        <v>12.014218009478673</v>
      </c>
      <c r="D29" s="216">
        <f t="shared" si="5"/>
        <v>12.199599527724008</v>
      </c>
      <c r="E29" s="216">
        <f t="shared" si="5"/>
        <v>12.504943968358603</v>
      </c>
      <c r="F29" s="216">
        <f t="shared" si="5"/>
        <v>12.700664418163656</v>
      </c>
      <c r="G29" s="216">
        <f t="shared" si="5"/>
        <v>13.166971714704271</v>
      </c>
      <c r="H29" s="216">
        <f t="shared" si="5"/>
        <v>13.572329539817741</v>
      </c>
      <c r="I29" s="216">
        <f t="shared" si="5"/>
        <v>14.056159361162788</v>
      </c>
      <c r="J29" s="216">
        <f t="shared" si="5"/>
        <v>13.771020850666869</v>
      </c>
      <c r="K29" s="216">
        <f t="shared" si="5"/>
        <v>14.071801211157958</v>
      </c>
      <c r="L29" s="216">
        <f t="shared" si="5"/>
        <v>14.417608649863089</v>
      </c>
    </row>
  </sheetData>
  <mergeCells count="1">
    <mergeCell ref="A1:L1"/>
  </mergeCells>
  <phoneticPr fontId="25" type="noConversion"/>
  <conditionalFormatting sqref="B5:I16">
    <cfRule type="cellIs" dxfId="70" priority="27" operator="equal">
      <formula>0</formula>
    </cfRule>
  </conditionalFormatting>
  <conditionalFormatting sqref="D17:I18">
    <cfRule type="cellIs" dxfId="69" priority="13" operator="equal">
      <formula>0</formula>
    </cfRule>
  </conditionalFormatting>
  <conditionalFormatting sqref="J5:L18">
    <cfRule type="cellIs" dxfId="68" priority="2" operator="equal">
      <formula>0</formula>
    </cfRule>
  </conditionalFormatting>
  <conditionalFormatting sqref="N5">
    <cfRule type="cellIs" dxfId="67"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51">
    <tabColor indexed="24"/>
    <pageSetUpPr fitToPage="1"/>
  </sheetPr>
  <dimension ref="A1:AK24"/>
  <sheetViews>
    <sheetView showGridLines="0" workbookViewId="0">
      <selection activeCell="K42" sqref="K42"/>
    </sheetView>
  </sheetViews>
  <sheetFormatPr defaultColWidth="9.140625" defaultRowHeight="11.25"/>
  <cols>
    <col min="1" max="1" width="17.140625" style="4" customWidth="1"/>
    <col min="2" max="12" width="7.5703125" style="4" customWidth="1"/>
    <col min="13" max="14" width="5.85546875" style="4" bestFit="1" customWidth="1"/>
    <col min="15" max="16384" width="9.140625" style="4"/>
  </cols>
  <sheetData>
    <row r="1" spans="1:37" s="3" customFormat="1" ht="29.25" customHeight="1">
      <c r="A1" s="611" t="s">
        <v>194</v>
      </c>
      <c r="B1" s="611"/>
      <c r="C1" s="611"/>
      <c r="D1" s="611"/>
      <c r="E1" s="611"/>
      <c r="F1" s="611"/>
      <c r="G1" s="611"/>
      <c r="H1" s="611"/>
      <c r="I1" s="611"/>
      <c r="J1" s="611"/>
      <c r="K1" s="611"/>
      <c r="L1" s="611"/>
    </row>
    <row r="2" spans="1:37" ht="15" customHeight="1">
      <c r="A2" s="11"/>
      <c r="B2" s="12"/>
      <c r="C2" s="98"/>
      <c r="D2" s="98"/>
      <c r="E2" s="98"/>
      <c r="F2" s="98"/>
      <c r="G2" s="98"/>
      <c r="H2" s="98"/>
      <c r="I2" s="98"/>
      <c r="J2" s="98"/>
      <c r="K2" s="98"/>
      <c r="L2" s="98"/>
    </row>
    <row r="3" spans="1:37" ht="15" customHeight="1">
      <c r="A3" s="13" t="s">
        <v>42</v>
      </c>
      <c r="B3" s="10"/>
      <c r="C3" s="98"/>
      <c r="D3" s="98"/>
      <c r="E3" s="98"/>
      <c r="F3" s="98"/>
      <c r="G3" s="98"/>
      <c r="H3" s="98"/>
      <c r="I3" s="98"/>
      <c r="J3" s="98"/>
      <c r="K3" s="98"/>
      <c r="L3" s="98"/>
    </row>
    <row r="4" spans="1:37" ht="28.5" customHeight="1" thickBot="1">
      <c r="A4" s="14"/>
      <c r="B4" s="15">
        <v>2012</v>
      </c>
      <c r="C4" s="15">
        <v>2013</v>
      </c>
      <c r="D4" s="15">
        <v>2014</v>
      </c>
      <c r="E4" s="15">
        <v>2015</v>
      </c>
      <c r="F4" s="15">
        <v>2016</v>
      </c>
      <c r="G4" s="15">
        <v>2017</v>
      </c>
      <c r="H4" s="15">
        <v>2018</v>
      </c>
      <c r="I4" s="15">
        <v>2019</v>
      </c>
      <c r="J4" s="15">
        <v>2020</v>
      </c>
      <c r="K4" s="15">
        <v>2021</v>
      </c>
      <c r="L4" s="15">
        <v>2022</v>
      </c>
      <c r="O4" s="327"/>
      <c r="P4" s="345">
        <f>+B4</f>
        <v>2012</v>
      </c>
      <c r="Q4" s="345">
        <f t="shared" ref="Q4:W4" si="0">+C4</f>
        <v>2013</v>
      </c>
      <c r="R4" s="345">
        <f t="shared" si="0"/>
        <v>2014</v>
      </c>
      <c r="S4" s="345">
        <f t="shared" si="0"/>
        <v>2015</v>
      </c>
      <c r="T4" s="345">
        <f t="shared" si="0"/>
        <v>2016</v>
      </c>
      <c r="U4" s="345">
        <f t="shared" si="0"/>
        <v>2017</v>
      </c>
      <c r="V4" s="345">
        <f t="shared" si="0"/>
        <v>2018</v>
      </c>
      <c r="W4" s="345">
        <f t="shared" si="0"/>
        <v>2019</v>
      </c>
      <c r="X4" s="345">
        <f>+J4</f>
        <v>2020</v>
      </c>
      <c r="Y4" s="345">
        <f t="shared" ref="Y4" si="1">+K4</f>
        <v>2021</v>
      </c>
      <c r="Z4" s="345">
        <f t="shared" ref="Z4" si="2">+L4</f>
        <v>2022</v>
      </c>
      <c r="AA4" s="345">
        <f>+B4</f>
        <v>2012</v>
      </c>
      <c r="AB4" s="345">
        <f t="shared" ref="AB4:AJ4" si="3">+C4</f>
        <v>2013</v>
      </c>
      <c r="AC4" s="345">
        <f t="shared" si="3"/>
        <v>2014</v>
      </c>
      <c r="AD4" s="345">
        <f t="shared" si="3"/>
        <v>2015</v>
      </c>
      <c r="AE4" s="345">
        <f t="shared" si="3"/>
        <v>2016</v>
      </c>
      <c r="AF4" s="345">
        <f t="shared" si="3"/>
        <v>2017</v>
      </c>
      <c r="AG4" s="345">
        <f t="shared" si="3"/>
        <v>2018</v>
      </c>
      <c r="AH4" s="345">
        <f t="shared" si="3"/>
        <v>2019</v>
      </c>
      <c r="AI4" s="345">
        <f t="shared" si="3"/>
        <v>2020</v>
      </c>
      <c r="AJ4" s="345">
        <f t="shared" si="3"/>
        <v>2021</v>
      </c>
      <c r="AK4" s="345">
        <f>+L4</f>
        <v>2022</v>
      </c>
    </row>
    <row r="5" spans="1:37" ht="20.25" customHeight="1" thickTop="1">
      <c r="A5" s="92" t="s">
        <v>12</v>
      </c>
      <c r="B5" s="238">
        <v>268026</v>
      </c>
      <c r="C5" s="238">
        <v>265860</v>
      </c>
      <c r="D5" s="238">
        <v>270181</v>
      </c>
      <c r="E5" s="238">
        <v>273060</v>
      </c>
      <c r="F5" s="238">
        <v>276332</v>
      </c>
      <c r="G5" s="238">
        <v>279191</v>
      </c>
      <c r="H5" s="238">
        <v>282236</v>
      </c>
      <c r="I5" s="238">
        <v>275751</v>
      </c>
      <c r="J5" s="238">
        <v>277641</v>
      </c>
      <c r="K5" s="238">
        <v>271806</v>
      </c>
      <c r="L5" s="238">
        <v>284860</v>
      </c>
    </row>
    <row r="6" spans="1:37" ht="20.25" customHeight="1">
      <c r="A6" s="16" t="s">
        <v>15</v>
      </c>
      <c r="B6" s="239">
        <v>19255</v>
      </c>
      <c r="C6" s="239">
        <v>19183</v>
      </c>
      <c r="D6" s="239">
        <v>19346</v>
      </c>
      <c r="E6" s="239">
        <v>19511</v>
      </c>
      <c r="F6" s="239">
        <v>19753</v>
      </c>
      <c r="G6" s="239">
        <v>19926</v>
      </c>
      <c r="H6" s="239">
        <v>20182</v>
      </c>
      <c r="I6" s="239">
        <v>19828</v>
      </c>
      <c r="J6" s="239">
        <v>19735</v>
      </c>
      <c r="K6" s="239">
        <v>19227</v>
      </c>
      <c r="L6" s="239">
        <v>19850</v>
      </c>
      <c r="N6" s="499">
        <f>+(L6/B6-1)*100</f>
        <v>3.0901064658530153</v>
      </c>
      <c r="O6" s="344">
        <f t="shared" ref="O6:O10" si="4">+L6-B6</f>
        <v>595</v>
      </c>
      <c r="P6" s="499">
        <f>B6*100/B$5</f>
        <v>7.1840045368732888</v>
      </c>
      <c r="Q6" s="499">
        <f t="shared" ref="Q6:Z6" si="5">C6*100/C$5</f>
        <v>7.2154517415180921</v>
      </c>
      <c r="R6" s="499">
        <f t="shared" si="5"/>
        <v>7.1603850751903355</v>
      </c>
      <c r="S6" s="499">
        <f t="shared" si="5"/>
        <v>7.1453160477550721</v>
      </c>
      <c r="T6" s="499">
        <f t="shared" si="5"/>
        <v>7.1482853958282062</v>
      </c>
      <c r="U6" s="499">
        <f t="shared" si="5"/>
        <v>7.1370495467260762</v>
      </c>
      <c r="V6" s="499">
        <f t="shared" si="5"/>
        <v>7.1507532703127881</v>
      </c>
      <c r="W6" s="499">
        <f t="shared" si="5"/>
        <v>7.1905450932181569</v>
      </c>
      <c r="X6" s="499">
        <f t="shared" si="5"/>
        <v>7.108100028454011</v>
      </c>
      <c r="Y6" s="499">
        <f t="shared" si="5"/>
        <v>7.0737952804573849</v>
      </c>
      <c r="Z6" s="499">
        <f t="shared" si="5"/>
        <v>6.9683353226146174</v>
      </c>
      <c r="AA6" s="4">
        <f>+RANK(B6,B$6:B$23,0)</f>
        <v>4</v>
      </c>
      <c r="AB6" s="4">
        <f t="shared" ref="AB6:AK21" si="6">+RANK(C6,C$6:C$23,0)</f>
        <v>4</v>
      </c>
      <c r="AC6" s="4">
        <f t="shared" si="6"/>
        <v>4</v>
      </c>
      <c r="AD6" s="4">
        <f t="shared" si="6"/>
        <v>4</v>
      </c>
      <c r="AE6" s="4">
        <f t="shared" si="6"/>
        <v>4</v>
      </c>
      <c r="AF6" s="4">
        <f t="shared" si="6"/>
        <v>4</v>
      </c>
      <c r="AG6" s="4">
        <f t="shared" si="6"/>
        <v>4</v>
      </c>
      <c r="AH6" s="4">
        <f t="shared" si="6"/>
        <v>4</v>
      </c>
      <c r="AI6" s="4">
        <f t="shared" si="6"/>
        <v>4</v>
      </c>
      <c r="AJ6" s="4">
        <f t="shared" si="6"/>
        <v>4</v>
      </c>
      <c r="AK6" s="4">
        <f>+RANK(L6,L$6:L$23,0)</f>
        <v>4</v>
      </c>
    </row>
    <row r="7" spans="1:37" ht="15" customHeight="1">
      <c r="A7" s="16" t="s">
        <v>16</v>
      </c>
      <c r="B7" s="239">
        <v>4056</v>
      </c>
      <c r="C7" s="239">
        <v>4027</v>
      </c>
      <c r="D7" s="239">
        <v>4126</v>
      </c>
      <c r="E7" s="239">
        <v>4182</v>
      </c>
      <c r="F7" s="239">
        <v>4271</v>
      </c>
      <c r="G7" s="239">
        <v>4352</v>
      </c>
      <c r="H7" s="239">
        <v>4398</v>
      </c>
      <c r="I7" s="239">
        <v>4357</v>
      </c>
      <c r="J7" s="239">
        <v>4387</v>
      </c>
      <c r="K7" s="239">
        <v>4403</v>
      </c>
      <c r="L7" s="239">
        <v>4593</v>
      </c>
      <c r="N7" s="499">
        <f t="shared" ref="N7:N23" si="7">+(L7/B7-1)*100</f>
        <v>13.239644970414211</v>
      </c>
      <c r="O7" s="344">
        <f t="shared" si="4"/>
        <v>537</v>
      </c>
      <c r="P7" s="499">
        <f t="shared" ref="P7:P23" si="8">B7*100/B$5</f>
        <v>1.5132860244901614</v>
      </c>
      <c r="Q7" s="499">
        <f t="shared" ref="Q7:Q23" si="9">C7*100/C$5</f>
        <v>1.5147069886406379</v>
      </c>
      <c r="R7" s="499">
        <f t="shared" ref="R7:R23" si="10">D7*100/D$5</f>
        <v>1.5271244091923561</v>
      </c>
      <c r="S7" s="499">
        <f t="shared" ref="S7:S23" si="11">E7*100/E$5</f>
        <v>1.5315315315315314</v>
      </c>
      <c r="T7" s="499">
        <f t="shared" ref="T7:T23" si="12">F7*100/F$5</f>
        <v>1.5456045626275638</v>
      </c>
      <c r="U7" s="499">
        <f t="shared" ref="U7:U23" si="13">G7*100/G$5</f>
        <v>1.5587895025269438</v>
      </c>
      <c r="V7" s="499">
        <f t="shared" ref="V7:V23" si="14">H7*100/H$5</f>
        <v>1.558270383650562</v>
      </c>
      <c r="W7" s="499">
        <f t="shared" ref="W7:W23" si="15">I7*100/I$5</f>
        <v>1.580048667094589</v>
      </c>
      <c r="X7" s="499">
        <f t="shared" ref="X7:X23" si="16">J7*100/J$5</f>
        <v>1.5800980402750315</v>
      </c>
      <c r="Y7" s="499">
        <f t="shared" ref="Y7:Y23" si="17">K7*100/K$5</f>
        <v>1.6199053736856435</v>
      </c>
      <c r="Z7" s="499">
        <f t="shared" ref="Z7:Z23" si="18">L7*100/L$5</f>
        <v>1.612370989257881</v>
      </c>
      <c r="AA7" s="4">
        <f t="shared" ref="AA7:AA23" si="19">+RANK(B7,B$6:B$23,0)</f>
        <v>16</v>
      </c>
      <c r="AB7" s="4">
        <f t="shared" si="6"/>
        <v>16</v>
      </c>
      <c r="AC7" s="4">
        <f t="shared" si="6"/>
        <v>16</v>
      </c>
      <c r="AD7" s="4">
        <f t="shared" si="6"/>
        <v>16</v>
      </c>
      <c r="AE7" s="4">
        <f t="shared" si="6"/>
        <v>16</v>
      </c>
      <c r="AF7" s="4">
        <f t="shared" si="6"/>
        <v>16</v>
      </c>
      <c r="AG7" s="4">
        <f t="shared" si="6"/>
        <v>15</v>
      </c>
      <c r="AH7" s="4">
        <f t="shared" si="6"/>
        <v>15</v>
      </c>
      <c r="AI7" s="4">
        <f t="shared" si="6"/>
        <v>15</v>
      </c>
      <c r="AJ7" s="4">
        <f t="shared" si="6"/>
        <v>15</v>
      </c>
      <c r="AK7" s="4">
        <f t="shared" si="6"/>
        <v>15</v>
      </c>
    </row>
    <row r="8" spans="1:37" ht="15" customHeight="1">
      <c r="A8" s="16" t="s">
        <v>66</v>
      </c>
      <c r="B8" s="239">
        <v>25267</v>
      </c>
      <c r="C8" s="239">
        <v>25389</v>
      </c>
      <c r="D8" s="239">
        <v>26240</v>
      </c>
      <c r="E8" s="239">
        <v>26600</v>
      </c>
      <c r="F8" s="239">
        <v>27141</v>
      </c>
      <c r="G8" s="239">
        <v>27607</v>
      </c>
      <c r="H8" s="239">
        <v>27722</v>
      </c>
      <c r="I8" s="239">
        <v>26943</v>
      </c>
      <c r="J8" s="239">
        <v>27215</v>
      </c>
      <c r="K8" s="239">
        <v>26761</v>
      </c>
      <c r="L8" s="239">
        <v>28579</v>
      </c>
      <c r="N8" s="499">
        <f t="shared" si="7"/>
        <v>13.108006490679536</v>
      </c>
      <c r="O8" s="344">
        <f t="shared" si="4"/>
        <v>3312</v>
      </c>
      <c r="P8" s="499">
        <f t="shared" si="8"/>
        <v>9.4270705080850359</v>
      </c>
      <c r="Q8" s="499">
        <f t="shared" si="9"/>
        <v>9.5497630331753562</v>
      </c>
      <c r="R8" s="499">
        <f t="shared" si="10"/>
        <v>9.7120078762015094</v>
      </c>
      <c r="S8" s="499">
        <f t="shared" si="11"/>
        <v>9.7414487658390101</v>
      </c>
      <c r="T8" s="499">
        <f t="shared" si="12"/>
        <v>9.8218809258428266</v>
      </c>
      <c r="U8" s="499">
        <f t="shared" si="13"/>
        <v>9.8882127289203456</v>
      </c>
      <c r="V8" s="499">
        <f t="shared" si="14"/>
        <v>9.8222763928060211</v>
      </c>
      <c r="W8" s="499">
        <f t="shared" si="15"/>
        <v>9.7707714568578172</v>
      </c>
      <c r="X8" s="499">
        <f t="shared" si="16"/>
        <v>9.8022266163859086</v>
      </c>
      <c r="Y8" s="499">
        <f t="shared" si="17"/>
        <v>9.8456251885536012</v>
      </c>
      <c r="Z8" s="499">
        <f t="shared" si="18"/>
        <v>10.032647616372955</v>
      </c>
      <c r="AA8" s="4">
        <f t="shared" si="19"/>
        <v>3</v>
      </c>
      <c r="AB8" s="4">
        <f t="shared" si="6"/>
        <v>3</v>
      </c>
      <c r="AC8" s="4">
        <f t="shared" si="6"/>
        <v>3</v>
      </c>
      <c r="AD8" s="4">
        <f t="shared" si="6"/>
        <v>3</v>
      </c>
      <c r="AE8" s="4">
        <f t="shared" si="6"/>
        <v>3</v>
      </c>
      <c r="AF8" s="4">
        <f t="shared" si="6"/>
        <v>3</v>
      </c>
      <c r="AG8" s="4">
        <f t="shared" si="6"/>
        <v>3</v>
      </c>
      <c r="AH8" s="4">
        <f t="shared" si="6"/>
        <v>3</v>
      </c>
      <c r="AI8" s="4">
        <f t="shared" si="6"/>
        <v>3</v>
      </c>
      <c r="AJ8" s="4">
        <f t="shared" si="6"/>
        <v>3</v>
      </c>
      <c r="AK8" s="4">
        <f t="shared" si="6"/>
        <v>3</v>
      </c>
    </row>
    <row r="9" spans="1:37" ht="15" customHeight="1">
      <c r="A9" s="16" t="s">
        <v>17</v>
      </c>
      <c r="B9" s="239">
        <v>3597</v>
      </c>
      <c r="C9" s="239">
        <v>3580</v>
      </c>
      <c r="D9" s="239">
        <v>3603</v>
      </c>
      <c r="E9" s="239">
        <v>3624</v>
      </c>
      <c r="F9" s="239">
        <v>3653</v>
      </c>
      <c r="G9" s="239">
        <v>3691</v>
      </c>
      <c r="H9" s="239">
        <v>3714</v>
      </c>
      <c r="I9" s="239">
        <v>3441</v>
      </c>
      <c r="J9" s="239">
        <v>3474</v>
      </c>
      <c r="K9" s="239">
        <v>3568</v>
      </c>
      <c r="L9" s="239">
        <v>3640</v>
      </c>
      <c r="N9" s="499">
        <f t="shared" si="7"/>
        <v>1.1954406449819377</v>
      </c>
      <c r="O9" s="344">
        <f t="shared" si="4"/>
        <v>43</v>
      </c>
      <c r="P9" s="499">
        <f t="shared" si="8"/>
        <v>1.3420339817778872</v>
      </c>
      <c r="Q9" s="499">
        <f t="shared" si="9"/>
        <v>1.3465733844880765</v>
      </c>
      <c r="R9" s="499">
        <f t="shared" si="10"/>
        <v>1.3335504717208093</v>
      </c>
      <c r="S9" s="499">
        <f t="shared" si="11"/>
        <v>1.3271808393759614</v>
      </c>
      <c r="T9" s="499">
        <f t="shared" si="12"/>
        <v>1.3219605402197356</v>
      </c>
      <c r="U9" s="499">
        <f t="shared" si="13"/>
        <v>1.3220340197212661</v>
      </c>
      <c r="V9" s="499">
        <f t="shared" si="14"/>
        <v>1.3159200102042263</v>
      </c>
      <c r="W9" s="499">
        <f t="shared" si="15"/>
        <v>1.2478649216140649</v>
      </c>
      <c r="X9" s="499">
        <f t="shared" si="16"/>
        <v>1.2512561185127558</v>
      </c>
      <c r="Y9" s="499">
        <f t="shared" si="17"/>
        <v>1.3127009705451682</v>
      </c>
      <c r="Z9" s="499">
        <f t="shared" si="18"/>
        <v>1.2778206838446957</v>
      </c>
      <c r="AA9" s="4">
        <f t="shared" si="19"/>
        <v>17</v>
      </c>
      <c r="AB9" s="4">
        <f t="shared" si="6"/>
        <v>17</v>
      </c>
      <c r="AC9" s="4">
        <f t="shared" si="6"/>
        <v>17</v>
      </c>
      <c r="AD9" s="4">
        <f t="shared" si="6"/>
        <v>17</v>
      </c>
      <c r="AE9" s="4">
        <f t="shared" si="6"/>
        <v>17</v>
      </c>
      <c r="AF9" s="4">
        <f t="shared" si="6"/>
        <v>17</v>
      </c>
      <c r="AG9" s="4">
        <f t="shared" si="6"/>
        <v>17</v>
      </c>
      <c r="AH9" s="4">
        <f t="shared" si="6"/>
        <v>17</v>
      </c>
      <c r="AI9" s="4">
        <f t="shared" si="6"/>
        <v>17</v>
      </c>
      <c r="AJ9" s="4">
        <f t="shared" si="6"/>
        <v>17</v>
      </c>
      <c r="AK9" s="4">
        <f t="shared" si="6"/>
        <v>17</v>
      </c>
    </row>
    <row r="10" spans="1:37" ht="15" customHeight="1">
      <c r="A10" s="16" t="s">
        <v>18</v>
      </c>
      <c r="B10" s="239">
        <v>4768</v>
      </c>
      <c r="C10" s="239">
        <v>4611</v>
      </c>
      <c r="D10" s="239">
        <v>4726</v>
      </c>
      <c r="E10" s="239">
        <v>4738</v>
      </c>
      <c r="F10" s="239">
        <v>4744</v>
      </c>
      <c r="G10" s="239">
        <v>4692</v>
      </c>
      <c r="H10" s="239">
        <v>4696</v>
      </c>
      <c r="I10" s="239">
        <v>4527</v>
      </c>
      <c r="J10" s="239">
        <v>4500</v>
      </c>
      <c r="K10" s="239">
        <v>4479</v>
      </c>
      <c r="L10" s="239">
        <v>4718</v>
      </c>
      <c r="N10" s="499">
        <f t="shared" si="7"/>
        <v>-1.0486577181208045</v>
      </c>
      <c r="O10" s="344">
        <f t="shared" si="4"/>
        <v>-50</v>
      </c>
      <c r="P10" s="499">
        <f t="shared" si="8"/>
        <v>1.7789318946669352</v>
      </c>
      <c r="Q10" s="499">
        <f t="shared" si="9"/>
        <v>1.7343714737079665</v>
      </c>
      <c r="R10" s="499">
        <f t="shared" si="10"/>
        <v>1.7491977600201347</v>
      </c>
      <c r="S10" s="499">
        <f t="shared" si="11"/>
        <v>1.7351497839302716</v>
      </c>
      <c r="T10" s="499">
        <f t="shared" si="12"/>
        <v>1.7167754729817755</v>
      </c>
      <c r="U10" s="499">
        <f t="shared" si="13"/>
        <v>1.6805699324118615</v>
      </c>
      <c r="V10" s="499">
        <f t="shared" si="14"/>
        <v>1.6638557802689948</v>
      </c>
      <c r="W10" s="499">
        <f t="shared" si="15"/>
        <v>1.6416984888540749</v>
      </c>
      <c r="X10" s="499">
        <f t="shared" si="16"/>
        <v>1.6207980809750722</v>
      </c>
      <c r="Y10" s="499">
        <f t="shared" si="17"/>
        <v>1.6478664930133993</v>
      </c>
      <c r="Z10" s="499">
        <f t="shared" si="18"/>
        <v>1.6562521940602402</v>
      </c>
      <c r="AA10" s="4">
        <f t="shared" si="19"/>
        <v>14</v>
      </c>
      <c r="AB10" s="4">
        <f t="shared" si="6"/>
        <v>14</v>
      </c>
      <c r="AC10" s="4">
        <f t="shared" si="6"/>
        <v>14</v>
      </c>
      <c r="AD10" s="4">
        <f t="shared" si="6"/>
        <v>14</v>
      </c>
      <c r="AE10" s="4">
        <f t="shared" si="6"/>
        <v>14</v>
      </c>
      <c r="AF10" s="4">
        <f t="shared" si="6"/>
        <v>14</v>
      </c>
      <c r="AG10" s="4">
        <f t="shared" si="6"/>
        <v>14</v>
      </c>
      <c r="AH10" s="4">
        <f t="shared" si="6"/>
        <v>14</v>
      </c>
      <c r="AI10" s="4">
        <f t="shared" si="6"/>
        <v>14</v>
      </c>
      <c r="AJ10" s="4">
        <f t="shared" si="6"/>
        <v>14</v>
      </c>
      <c r="AK10" s="4">
        <f t="shared" si="6"/>
        <v>14</v>
      </c>
    </row>
    <row r="11" spans="1:37" ht="15" customHeight="1">
      <c r="A11" s="16" t="s">
        <v>19</v>
      </c>
      <c r="B11" s="239">
        <v>10193</v>
      </c>
      <c r="C11" s="239">
        <v>9990</v>
      </c>
      <c r="D11" s="239">
        <v>10077</v>
      </c>
      <c r="E11" s="239">
        <v>10100</v>
      </c>
      <c r="F11" s="239">
        <v>10154</v>
      </c>
      <c r="G11" s="239">
        <v>10202</v>
      </c>
      <c r="H11" s="239">
        <v>10207</v>
      </c>
      <c r="I11" s="239">
        <v>9886</v>
      </c>
      <c r="J11" s="239">
        <v>9993</v>
      </c>
      <c r="K11" s="239">
        <v>9818</v>
      </c>
      <c r="L11" s="239">
        <v>10273</v>
      </c>
      <c r="N11" s="499">
        <f t="shared" si="7"/>
        <v>0.78485234965173234</v>
      </c>
      <c r="O11" s="344">
        <f t="shared" ref="O11:O23" si="20">+L11-B11</f>
        <v>80</v>
      </c>
      <c r="P11" s="499">
        <f t="shared" si="8"/>
        <v>3.8029892622357533</v>
      </c>
      <c r="Q11" s="499">
        <f t="shared" si="9"/>
        <v>3.7576167907921461</v>
      </c>
      <c r="R11" s="499">
        <f t="shared" si="10"/>
        <v>3.7297219271525384</v>
      </c>
      <c r="S11" s="499">
        <f t="shared" si="11"/>
        <v>3.6988207719915036</v>
      </c>
      <c r="T11" s="499">
        <f t="shared" si="12"/>
        <v>3.6745653778787837</v>
      </c>
      <c r="U11" s="499">
        <f t="shared" si="13"/>
        <v>3.654129252017436</v>
      </c>
      <c r="V11" s="499">
        <f t="shared" si="14"/>
        <v>3.6164769908870591</v>
      </c>
      <c r="W11" s="499">
        <f t="shared" si="15"/>
        <v>3.5851184583192808</v>
      </c>
      <c r="X11" s="499">
        <f t="shared" si="16"/>
        <v>3.5992522718186435</v>
      </c>
      <c r="Y11" s="499">
        <f t="shared" si="17"/>
        <v>3.6121351257882459</v>
      </c>
      <c r="Z11" s="499">
        <f t="shared" si="18"/>
        <v>3.6063329354770763</v>
      </c>
      <c r="AA11" s="4">
        <f t="shared" si="19"/>
        <v>9</v>
      </c>
      <c r="AB11" s="4">
        <f t="shared" si="6"/>
        <v>9</v>
      </c>
      <c r="AC11" s="4">
        <f t="shared" si="6"/>
        <v>9</v>
      </c>
      <c r="AD11" s="4">
        <f t="shared" si="6"/>
        <v>9</v>
      </c>
      <c r="AE11" s="4">
        <f t="shared" si="6"/>
        <v>9</v>
      </c>
      <c r="AF11" s="4">
        <f t="shared" si="6"/>
        <v>9</v>
      </c>
      <c r="AG11" s="4">
        <f t="shared" si="6"/>
        <v>9</v>
      </c>
      <c r="AH11" s="4">
        <f t="shared" si="6"/>
        <v>9</v>
      </c>
      <c r="AI11" s="4">
        <f t="shared" si="6"/>
        <v>9</v>
      </c>
      <c r="AJ11" s="4">
        <f t="shared" si="6"/>
        <v>9</v>
      </c>
      <c r="AK11" s="4">
        <f t="shared" si="6"/>
        <v>9</v>
      </c>
    </row>
    <row r="12" spans="1:37" ht="15" customHeight="1">
      <c r="A12" s="16" t="s">
        <v>20</v>
      </c>
      <c r="B12" s="239">
        <v>4842</v>
      </c>
      <c r="C12" s="239">
        <v>4860</v>
      </c>
      <c r="D12" s="239">
        <v>5026</v>
      </c>
      <c r="E12" s="239">
        <v>5065</v>
      </c>
      <c r="F12" s="239">
        <v>5038</v>
      </c>
      <c r="G12" s="239">
        <v>5034</v>
      </c>
      <c r="H12" s="239">
        <v>4966</v>
      </c>
      <c r="I12" s="239">
        <v>4869</v>
      </c>
      <c r="J12" s="239">
        <v>4904</v>
      </c>
      <c r="K12" s="239">
        <v>4640</v>
      </c>
      <c r="L12" s="239">
        <v>5048</v>
      </c>
      <c r="N12" s="499">
        <f t="shared" si="7"/>
        <v>4.2544403139198606</v>
      </c>
      <c r="O12" s="344">
        <f t="shared" si="20"/>
        <v>206</v>
      </c>
      <c r="P12" s="499">
        <f t="shared" si="8"/>
        <v>1.8065411564549707</v>
      </c>
      <c r="Q12" s="499">
        <f t="shared" si="9"/>
        <v>1.8280297901150981</v>
      </c>
      <c r="R12" s="499">
        <f t="shared" si="10"/>
        <v>1.8602344354340239</v>
      </c>
      <c r="S12" s="499">
        <f t="shared" si="11"/>
        <v>1.8549036841719768</v>
      </c>
      <c r="T12" s="499">
        <f t="shared" si="12"/>
        <v>1.8231692312146259</v>
      </c>
      <c r="U12" s="499">
        <f t="shared" si="13"/>
        <v>1.8030667177666901</v>
      </c>
      <c r="V12" s="499">
        <f t="shared" si="14"/>
        <v>1.7595204013662324</v>
      </c>
      <c r="W12" s="499">
        <f t="shared" si="15"/>
        <v>1.7657234243937465</v>
      </c>
      <c r="X12" s="499">
        <f t="shared" si="16"/>
        <v>1.7663097309115008</v>
      </c>
      <c r="Y12" s="499">
        <f t="shared" si="17"/>
        <v>1.707099916852461</v>
      </c>
      <c r="Z12" s="499">
        <f t="shared" si="18"/>
        <v>1.7720985747384681</v>
      </c>
      <c r="AA12" s="4">
        <f t="shared" si="19"/>
        <v>13</v>
      </c>
      <c r="AB12" s="4">
        <f t="shared" si="6"/>
        <v>13</v>
      </c>
      <c r="AC12" s="4">
        <f t="shared" si="6"/>
        <v>12</v>
      </c>
      <c r="AD12" s="4">
        <f t="shared" si="6"/>
        <v>12</v>
      </c>
      <c r="AE12" s="4">
        <f t="shared" si="6"/>
        <v>12</v>
      </c>
      <c r="AF12" s="4">
        <f t="shared" si="6"/>
        <v>13</v>
      </c>
      <c r="AG12" s="4">
        <f t="shared" si="6"/>
        <v>13</v>
      </c>
      <c r="AH12" s="4">
        <f t="shared" si="6"/>
        <v>13</v>
      </c>
      <c r="AI12" s="4">
        <f t="shared" si="6"/>
        <v>13</v>
      </c>
      <c r="AJ12" s="4">
        <f t="shared" si="6"/>
        <v>13</v>
      </c>
      <c r="AK12" s="4">
        <f t="shared" si="6"/>
        <v>13</v>
      </c>
    </row>
    <row r="13" spans="1:37" ht="15" customHeight="1">
      <c r="A13" s="16" t="s">
        <v>21</v>
      </c>
      <c r="B13" s="239">
        <v>15093</v>
      </c>
      <c r="C13" s="239">
        <v>15012</v>
      </c>
      <c r="D13" s="239">
        <v>15485</v>
      </c>
      <c r="E13" s="239">
        <v>15831</v>
      </c>
      <c r="F13" s="239">
        <v>16300</v>
      </c>
      <c r="G13" s="239">
        <v>16481</v>
      </c>
      <c r="H13" s="239">
        <v>17081</v>
      </c>
      <c r="I13" s="239">
        <v>17191</v>
      </c>
      <c r="J13" s="239">
        <v>16775</v>
      </c>
      <c r="K13" s="239">
        <v>16329</v>
      </c>
      <c r="L13" s="239">
        <v>17066</v>
      </c>
      <c r="N13" s="499">
        <f t="shared" si="7"/>
        <v>13.072285165308429</v>
      </c>
      <c r="O13" s="344">
        <f t="shared" si="20"/>
        <v>1973</v>
      </c>
      <c r="P13" s="499">
        <f t="shared" si="8"/>
        <v>5.6311701103624276</v>
      </c>
      <c r="Q13" s="499">
        <f t="shared" si="9"/>
        <v>5.646580907244414</v>
      </c>
      <c r="R13" s="499">
        <f t="shared" si="10"/>
        <v>5.7313430626135808</v>
      </c>
      <c r="S13" s="499">
        <f t="shared" si="11"/>
        <v>5.7976268951878707</v>
      </c>
      <c r="T13" s="499">
        <f t="shared" si="12"/>
        <v>5.8987015618893217</v>
      </c>
      <c r="U13" s="499">
        <f t="shared" si="13"/>
        <v>5.903127249803898</v>
      </c>
      <c r="V13" s="499">
        <f t="shared" si="14"/>
        <v>6.0520273813404382</v>
      </c>
      <c r="W13" s="499">
        <f t="shared" si="15"/>
        <v>6.2342475639254253</v>
      </c>
      <c r="X13" s="499">
        <f t="shared" si="16"/>
        <v>6.0419750685237412</v>
      </c>
      <c r="Y13" s="499">
        <f t="shared" si="17"/>
        <v>6.0075936513542745</v>
      </c>
      <c r="Z13" s="499">
        <f t="shared" si="18"/>
        <v>5.9910131292564772</v>
      </c>
      <c r="AA13" s="4">
        <f t="shared" si="19"/>
        <v>7</v>
      </c>
      <c r="AB13" s="4">
        <f t="shared" si="6"/>
        <v>6</v>
      </c>
      <c r="AC13" s="4">
        <f t="shared" si="6"/>
        <v>6</v>
      </c>
      <c r="AD13" s="4">
        <f t="shared" si="6"/>
        <v>5</v>
      </c>
      <c r="AE13" s="4">
        <f t="shared" si="6"/>
        <v>5</v>
      </c>
      <c r="AF13" s="4">
        <f t="shared" si="6"/>
        <v>5</v>
      </c>
      <c r="AG13" s="4">
        <f t="shared" si="6"/>
        <v>5</v>
      </c>
      <c r="AH13" s="4">
        <f t="shared" si="6"/>
        <v>5</v>
      </c>
      <c r="AI13" s="4">
        <f t="shared" si="6"/>
        <v>5</v>
      </c>
      <c r="AJ13" s="4">
        <f t="shared" si="6"/>
        <v>5</v>
      </c>
      <c r="AK13" s="4">
        <f t="shared" si="6"/>
        <v>5</v>
      </c>
    </row>
    <row r="14" spans="1:37" ht="15" customHeight="1">
      <c r="A14" s="16" t="s">
        <v>22</v>
      </c>
      <c r="B14" s="239">
        <v>4293</v>
      </c>
      <c r="C14" s="239">
        <v>4293</v>
      </c>
      <c r="D14" s="239">
        <v>4352</v>
      </c>
      <c r="E14" s="239">
        <v>4323</v>
      </c>
      <c r="F14" s="239">
        <v>4348</v>
      </c>
      <c r="G14" s="239">
        <v>4380</v>
      </c>
      <c r="H14" s="239">
        <v>4347</v>
      </c>
      <c r="I14" s="239">
        <v>4183</v>
      </c>
      <c r="J14" s="239">
        <v>4178</v>
      </c>
      <c r="K14" s="239">
        <v>4076</v>
      </c>
      <c r="L14" s="239">
        <v>4127</v>
      </c>
      <c r="N14" s="499">
        <f t="shared" si="7"/>
        <v>-3.8667598416026072</v>
      </c>
      <c r="O14" s="344">
        <f t="shared" si="20"/>
        <v>-166</v>
      </c>
      <c r="P14" s="499">
        <f t="shared" si="8"/>
        <v>1.6017102818383291</v>
      </c>
      <c r="Q14" s="499">
        <f t="shared" si="9"/>
        <v>1.6147596479350035</v>
      </c>
      <c r="R14" s="499">
        <f t="shared" si="10"/>
        <v>1.6107720380041528</v>
      </c>
      <c r="S14" s="499">
        <f t="shared" si="11"/>
        <v>1.5831685343880466</v>
      </c>
      <c r="T14" s="499">
        <f t="shared" si="12"/>
        <v>1.5734695945456914</v>
      </c>
      <c r="U14" s="499">
        <f t="shared" si="13"/>
        <v>1.5688184791057018</v>
      </c>
      <c r="V14" s="499">
        <f t="shared" si="14"/>
        <v>1.5402003996655282</v>
      </c>
      <c r="W14" s="499">
        <f t="shared" si="15"/>
        <v>1.5169482612937033</v>
      </c>
      <c r="X14" s="499">
        <f t="shared" si="16"/>
        <v>1.5048209738475224</v>
      </c>
      <c r="Y14" s="499">
        <f t="shared" si="17"/>
        <v>1.4995989786833257</v>
      </c>
      <c r="Z14" s="499">
        <f t="shared" si="18"/>
        <v>1.4487818577546865</v>
      </c>
      <c r="AA14" s="4">
        <f t="shared" si="19"/>
        <v>15</v>
      </c>
      <c r="AB14" s="4">
        <f t="shared" si="6"/>
        <v>15</v>
      </c>
      <c r="AC14" s="4">
        <f t="shared" si="6"/>
        <v>15</v>
      </c>
      <c r="AD14" s="4">
        <f t="shared" si="6"/>
        <v>15</v>
      </c>
      <c r="AE14" s="4">
        <f t="shared" si="6"/>
        <v>15</v>
      </c>
      <c r="AF14" s="4">
        <f t="shared" si="6"/>
        <v>15</v>
      </c>
      <c r="AG14" s="4">
        <f t="shared" si="6"/>
        <v>16</v>
      </c>
      <c r="AH14" s="4">
        <f t="shared" si="6"/>
        <v>16</v>
      </c>
      <c r="AI14" s="4">
        <f t="shared" si="6"/>
        <v>16</v>
      </c>
      <c r="AJ14" s="4">
        <f t="shared" si="6"/>
        <v>16</v>
      </c>
      <c r="AK14" s="4">
        <f t="shared" si="6"/>
        <v>16</v>
      </c>
    </row>
    <row r="15" spans="1:37" ht="15" customHeight="1">
      <c r="A15" s="16" t="s">
        <v>23</v>
      </c>
      <c r="B15" s="239">
        <v>15531</v>
      </c>
      <c r="C15" s="239">
        <v>15459</v>
      </c>
      <c r="D15" s="239">
        <v>15521</v>
      </c>
      <c r="E15" s="239">
        <v>15665</v>
      </c>
      <c r="F15" s="239">
        <v>15801</v>
      </c>
      <c r="G15" s="239">
        <v>15981</v>
      </c>
      <c r="H15" s="239">
        <v>15931</v>
      </c>
      <c r="I15" s="239">
        <v>15567</v>
      </c>
      <c r="J15" s="239">
        <v>15528</v>
      </c>
      <c r="K15" s="239">
        <v>15232</v>
      </c>
      <c r="L15" s="239">
        <v>15824</v>
      </c>
      <c r="N15" s="499">
        <f t="shared" si="7"/>
        <v>1.8865494816817874</v>
      </c>
      <c r="O15" s="344">
        <f t="shared" si="20"/>
        <v>293</v>
      </c>
      <c r="P15" s="499">
        <f t="shared" si="8"/>
        <v>5.7945870922970162</v>
      </c>
      <c r="Q15" s="499">
        <f t="shared" si="9"/>
        <v>5.8147145113969758</v>
      </c>
      <c r="R15" s="499">
        <f t="shared" si="10"/>
        <v>5.744667463663248</v>
      </c>
      <c r="S15" s="499">
        <f t="shared" si="11"/>
        <v>5.7368343953709804</v>
      </c>
      <c r="T15" s="499">
        <f t="shared" si="12"/>
        <v>5.7181216797185996</v>
      </c>
      <c r="U15" s="499">
        <f t="shared" si="13"/>
        <v>5.7240383823260776</v>
      </c>
      <c r="V15" s="499">
        <f t="shared" si="14"/>
        <v>5.6445669581484994</v>
      </c>
      <c r="W15" s="499">
        <f t="shared" si="15"/>
        <v>5.6453104431171601</v>
      </c>
      <c r="X15" s="499">
        <f t="shared" si="16"/>
        <v>5.5928339114179826</v>
      </c>
      <c r="Y15" s="499">
        <f t="shared" si="17"/>
        <v>5.60399696842601</v>
      </c>
      <c r="Z15" s="499">
        <f t="shared" si="18"/>
        <v>5.5550094783402377</v>
      </c>
      <c r="AA15" s="4">
        <f t="shared" si="19"/>
        <v>5</v>
      </c>
      <c r="AB15" s="4">
        <f t="shared" si="6"/>
        <v>5</v>
      </c>
      <c r="AC15" s="4">
        <f t="shared" si="6"/>
        <v>5</v>
      </c>
      <c r="AD15" s="4">
        <f t="shared" si="6"/>
        <v>6</v>
      </c>
      <c r="AE15" s="4">
        <f t="shared" si="6"/>
        <v>6</v>
      </c>
      <c r="AF15" s="4">
        <f t="shared" si="6"/>
        <v>6</v>
      </c>
      <c r="AG15" s="4">
        <f t="shared" si="6"/>
        <v>6</v>
      </c>
      <c r="AH15" s="4">
        <f t="shared" si="6"/>
        <v>6</v>
      </c>
      <c r="AI15" s="4">
        <f t="shared" si="6"/>
        <v>7</v>
      </c>
      <c r="AJ15" s="4">
        <f t="shared" si="6"/>
        <v>7</v>
      </c>
      <c r="AK15" s="4">
        <f t="shared" si="6"/>
        <v>7</v>
      </c>
    </row>
    <row r="16" spans="1:37" ht="15" customHeight="1">
      <c r="A16" s="16" t="s">
        <v>24</v>
      </c>
      <c r="B16" s="239">
        <v>59928</v>
      </c>
      <c r="C16" s="239">
        <v>59109</v>
      </c>
      <c r="D16" s="239">
        <v>59911</v>
      </c>
      <c r="E16" s="239">
        <v>60537</v>
      </c>
      <c r="F16" s="239">
        <v>60939</v>
      </c>
      <c r="G16" s="239">
        <v>61816</v>
      </c>
      <c r="H16" s="239">
        <v>62991</v>
      </c>
      <c r="I16" s="239">
        <v>61257</v>
      </c>
      <c r="J16" s="239">
        <v>62466</v>
      </c>
      <c r="K16" s="239">
        <v>60609</v>
      </c>
      <c r="L16" s="239">
        <v>63924</v>
      </c>
      <c r="N16" s="499">
        <f t="shared" si="7"/>
        <v>6.6680016019223132</v>
      </c>
      <c r="O16" s="344">
        <f t="shared" si="20"/>
        <v>3996</v>
      </c>
      <c r="P16" s="499">
        <f t="shared" si="8"/>
        <v>22.359024870721498</v>
      </c>
      <c r="Q16" s="499">
        <f t="shared" si="9"/>
        <v>22.233130218912208</v>
      </c>
      <c r="R16" s="499">
        <f t="shared" si="10"/>
        <v>22.174394202405054</v>
      </c>
      <c r="S16" s="499">
        <f t="shared" si="11"/>
        <v>22.169852779608878</v>
      </c>
      <c r="T16" s="499">
        <f t="shared" si="12"/>
        <v>22.052820520243763</v>
      </c>
      <c r="U16" s="499">
        <f t="shared" si="13"/>
        <v>22.141114864017823</v>
      </c>
      <c r="V16" s="499">
        <f t="shared" si="14"/>
        <v>22.318556101985571</v>
      </c>
      <c r="W16" s="499">
        <f t="shared" si="15"/>
        <v>22.214606656004875</v>
      </c>
      <c r="X16" s="499">
        <f t="shared" si="16"/>
        <v>22.498838428041967</v>
      </c>
      <c r="Y16" s="499">
        <f t="shared" si="17"/>
        <v>22.298624754420434</v>
      </c>
      <c r="Z16" s="499">
        <f t="shared" si="18"/>
        <v>22.440497086288001</v>
      </c>
      <c r="AA16" s="4">
        <f t="shared" si="19"/>
        <v>1</v>
      </c>
      <c r="AB16" s="4">
        <f t="shared" si="6"/>
        <v>1</v>
      </c>
      <c r="AC16" s="4">
        <f t="shared" si="6"/>
        <v>1</v>
      </c>
      <c r="AD16" s="4">
        <f t="shared" si="6"/>
        <v>1</v>
      </c>
      <c r="AE16" s="4">
        <f t="shared" si="6"/>
        <v>1</v>
      </c>
      <c r="AF16" s="4">
        <f t="shared" si="6"/>
        <v>1</v>
      </c>
      <c r="AG16" s="4">
        <f t="shared" si="6"/>
        <v>1</v>
      </c>
      <c r="AH16" s="4">
        <f t="shared" si="6"/>
        <v>1</v>
      </c>
      <c r="AI16" s="4">
        <f t="shared" si="6"/>
        <v>1</v>
      </c>
      <c r="AJ16" s="4">
        <f t="shared" si="6"/>
        <v>1</v>
      </c>
      <c r="AK16" s="4">
        <f t="shared" si="6"/>
        <v>1</v>
      </c>
    </row>
    <row r="17" spans="1:37" ht="15" customHeight="1">
      <c r="A17" s="16" t="s">
        <v>25</v>
      </c>
      <c r="B17" s="239">
        <v>2862</v>
      </c>
      <c r="C17" s="239">
        <v>2880</v>
      </c>
      <c r="D17" s="239">
        <v>2917</v>
      </c>
      <c r="E17" s="239">
        <v>2906</v>
      </c>
      <c r="F17" s="239">
        <v>2929</v>
      </c>
      <c r="G17" s="239">
        <v>2901</v>
      </c>
      <c r="H17" s="239">
        <v>2878</v>
      </c>
      <c r="I17" s="239">
        <v>2783</v>
      </c>
      <c r="J17" s="239">
        <v>2770</v>
      </c>
      <c r="K17" s="239">
        <v>2634</v>
      </c>
      <c r="L17" s="239">
        <v>2877</v>
      </c>
      <c r="N17" s="499">
        <f t="shared" si="7"/>
        <v>0.524109014675056</v>
      </c>
      <c r="O17" s="344">
        <f t="shared" si="20"/>
        <v>15</v>
      </c>
      <c r="P17" s="499">
        <f t="shared" si="8"/>
        <v>1.0678068545588861</v>
      </c>
      <c r="Q17" s="499">
        <f t="shared" si="9"/>
        <v>1.0832769126607988</v>
      </c>
      <c r="R17" s="499">
        <f t="shared" si="10"/>
        <v>1.0796466072743827</v>
      </c>
      <c r="S17" s="499">
        <f t="shared" si="11"/>
        <v>1.064234966673991</v>
      </c>
      <c r="T17" s="499">
        <f t="shared" si="12"/>
        <v>1.0599568634830565</v>
      </c>
      <c r="U17" s="499">
        <f t="shared" si="13"/>
        <v>1.0390736091063106</v>
      </c>
      <c r="V17" s="499">
        <f t="shared" si="14"/>
        <v>1.0197139982142605</v>
      </c>
      <c r="W17" s="499">
        <f t="shared" si="15"/>
        <v>1.0092438468038194</v>
      </c>
      <c r="X17" s="499">
        <f t="shared" si="16"/>
        <v>0.99769126317798884</v>
      </c>
      <c r="Y17" s="499">
        <f t="shared" si="17"/>
        <v>0.9690735303856427</v>
      </c>
      <c r="Z17" s="499">
        <f t="shared" si="18"/>
        <v>1.0099698097310961</v>
      </c>
      <c r="AA17" s="4">
        <f t="shared" si="19"/>
        <v>18</v>
      </c>
      <c r="AB17" s="4">
        <f t="shared" si="6"/>
        <v>18</v>
      </c>
      <c r="AC17" s="4">
        <f t="shared" si="6"/>
        <v>18</v>
      </c>
      <c r="AD17" s="4">
        <f t="shared" si="6"/>
        <v>18</v>
      </c>
      <c r="AE17" s="4">
        <f t="shared" si="6"/>
        <v>18</v>
      </c>
      <c r="AF17" s="4">
        <f t="shared" si="6"/>
        <v>18</v>
      </c>
      <c r="AG17" s="4">
        <f t="shared" si="6"/>
        <v>18</v>
      </c>
      <c r="AH17" s="4">
        <f t="shared" si="6"/>
        <v>18</v>
      </c>
      <c r="AI17" s="4">
        <f t="shared" si="6"/>
        <v>18</v>
      </c>
      <c r="AJ17" s="4">
        <f t="shared" si="6"/>
        <v>18</v>
      </c>
      <c r="AK17" s="4">
        <f t="shared" si="6"/>
        <v>18</v>
      </c>
    </row>
    <row r="18" spans="1:37" ht="15" customHeight="1">
      <c r="A18" s="16" t="s">
        <v>26</v>
      </c>
      <c r="B18" s="239">
        <v>49685</v>
      </c>
      <c r="C18" s="239">
        <v>49445</v>
      </c>
      <c r="D18" s="239">
        <v>50528</v>
      </c>
      <c r="E18" s="239">
        <v>51144</v>
      </c>
      <c r="F18" s="239">
        <v>51885</v>
      </c>
      <c r="G18" s="239">
        <v>52500</v>
      </c>
      <c r="H18" s="239">
        <v>53324</v>
      </c>
      <c r="I18" s="239">
        <v>52245</v>
      </c>
      <c r="J18" s="239">
        <v>52499</v>
      </c>
      <c r="K18" s="239">
        <v>51434</v>
      </c>
      <c r="L18" s="239">
        <v>53630</v>
      </c>
      <c r="N18" s="499">
        <f t="shared" si="7"/>
        <v>7.9400221394787085</v>
      </c>
      <c r="O18" s="344">
        <f t="shared" si="20"/>
        <v>3945</v>
      </c>
      <c r="P18" s="499">
        <f t="shared" si="8"/>
        <v>18.537380701872205</v>
      </c>
      <c r="Q18" s="499">
        <f t="shared" si="9"/>
        <v>18.598134356428194</v>
      </c>
      <c r="R18" s="499">
        <f t="shared" si="10"/>
        <v>18.701537117709979</v>
      </c>
      <c r="S18" s="499">
        <f t="shared" si="11"/>
        <v>18.72994946165678</v>
      </c>
      <c r="T18" s="499">
        <f t="shared" si="12"/>
        <v>18.776327026909659</v>
      </c>
      <c r="U18" s="499">
        <f t="shared" si="13"/>
        <v>18.804331085171082</v>
      </c>
      <c r="V18" s="499">
        <f t="shared" si="14"/>
        <v>18.89340835329299</v>
      </c>
      <c r="W18" s="499">
        <f t="shared" si="15"/>
        <v>18.946440810731421</v>
      </c>
      <c r="X18" s="499">
        <f t="shared" si="16"/>
        <v>18.908950767357847</v>
      </c>
      <c r="Y18" s="499">
        <f t="shared" si="17"/>
        <v>18.923055414523596</v>
      </c>
      <c r="Z18" s="499">
        <f t="shared" si="18"/>
        <v>18.826792108404128</v>
      </c>
      <c r="AA18" s="4">
        <f t="shared" si="19"/>
        <v>2</v>
      </c>
      <c r="AB18" s="4">
        <f t="shared" si="6"/>
        <v>2</v>
      </c>
      <c r="AC18" s="4">
        <f t="shared" si="6"/>
        <v>2</v>
      </c>
      <c r="AD18" s="4">
        <f t="shared" si="6"/>
        <v>2</v>
      </c>
      <c r="AE18" s="4">
        <f t="shared" si="6"/>
        <v>2</v>
      </c>
      <c r="AF18" s="4">
        <f t="shared" si="6"/>
        <v>2</v>
      </c>
      <c r="AG18" s="4">
        <f t="shared" si="6"/>
        <v>2</v>
      </c>
      <c r="AH18" s="4">
        <f t="shared" si="6"/>
        <v>2</v>
      </c>
      <c r="AI18" s="4">
        <f t="shared" si="6"/>
        <v>2</v>
      </c>
      <c r="AJ18" s="4">
        <f t="shared" si="6"/>
        <v>2</v>
      </c>
      <c r="AK18" s="4">
        <f t="shared" si="6"/>
        <v>2</v>
      </c>
    </row>
    <row r="19" spans="1:37" ht="15" customHeight="1">
      <c r="A19" s="16" t="s">
        <v>27</v>
      </c>
      <c r="B19" s="239">
        <v>12111</v>
      </c>
      <c r="C19" s="239">
        <v>11981</v>
      </c>
      <c r="D19" s="239">
        <v>11954</v>
      </c>
      <c r="E19" s="239">
        <v>12046</v>
      </c>
      <c r="F19" s="239">
        <v>12047</v>
      </c>
      <c r="G19" s="239">
        <v>12029</v>
      </c>
      <c r="H19" s="239">
        <v>11936</v>
      </c>
      <c r="I19" s="239">
        <v>11616</v>
      </c>
      <c r="J19" s="239">
        <v>11534</v>
      </c>
      <c r="K19" s="239">
        <v>11335</v>
      </c>
      <c r="L19" s="239">
        <v>11687</v>
      </c>
      <c r="N19" s="499">
        <f t="shared" si="7"/>
        <v>-3.5009495499958687</v>
      </c>
      <c r="O19" s="344">
        <f t="shared" si="20"/>
        <v>-424</v>
      </c>
      <c r="P19" s="499">
        <f t="shared" si="8"/>
        <v>4.5185914799310511</v>
      </c>
      <c r="Q19" s="499">
        <f t="shared" si="9"/>
        <v>4.5065071842323023</v>
      </c>
      <c r="R19" s="499">
        <f t="shared" si="10"/>
        <v>4.4244413929921054</v>
      </c>
      <c r="S19" s="499">
        <f t="shared" si="11"/>
        <v>4.4114846553870946</v>
      </c>
      <c r="T19" s="499">
        <f t="shared" si="12"/>
        <v>4.3596109028270345</v>
      </c>
      <c r="U19" s="499">
        <f t="shared" si="13"/>
        <v>4.3085199737813902</v>
      </c>
      <c r="V19" s="499">
        <f t="shared" si="14"/>
        <v>4.229084879320852</v>
      </c>
      <c r="W19" s="499">
        <f t="shared" si="15"/>
        <v>4.2124960562246372</v>
      </c>
      <c r="X19" s="499">
        <f t="shared" si="16"/>
        <v>4.1542855702147738</v>
      </c>
      <c r="Y19" s="499">
        <f t="shared" si="17"/>
        <v>4.170253783948846</v>
      </c>
      <c r="Z19" s="499">
        <f t="shared" si="18"/>
        <v>4.1027171242013623</v>
      </c>
      <c r="AA19" s="4">
        <f t="shared" si="19"/>
        <v>8</v>
      </c>
      <c r="AB19" s="4">
        <f t="shared" si="6"/>
        <v>8</v>
      </c>
      <c r="AC19" s="4">
        <f t="shared" si="6"/>
        <v>8</v>
      </c>
      <c r="AD19" s="4">
        <f t="shared" si="6"/>
        <v>8</v>
      </c>
      <c r="AE19" s="4">
        <f t="shared" si="6"/>
        <v>8</v>
      </c>
      <c r="AF19" s="4">
        <f t="shared" si="6"/>
        <v>8</v>
      </c>
      <c r="AG19" s="4">
        <f t="shared" si="6"/>
        <v>8</v>
      </c>
      <c r="AH19" s="4">
        <f t="shared" si="6"/>
        <v>8</v>
      </c>
      <c r="AI19" s="4">
        <f t="shared" si="6"/>
        <v>8</v>
      </c>
      <c r="AJ19" s="4">
        <f t="shared" si="6"/>
        <v>8</v>
      </c>
      <c r="AK19" s="4">
        <f t="shared" si="6"/>
        <v>8</v>
      </c>
    </row>
    <row r="20" spans="1:37" ht="15" customHeight="1">
      <c r="A20" s="16" t="s">
        <v>28</v>
      </c>
      <c r="B20" s="239">
        <v>15209</v>
      </c>
      <c r="C20" s="239">
        <v>14860</v>
      </c>
      <c r="D20" s="239">
        <v>14912</v>
      </c>
      <c r="E20" s="239">
        <v>15034</v>
      </c>
      <c r="F20" s="239">
        <v>15272</v>
      </c>
      <c r="G20" s="239">
        <v>15474</v>
      </c>
      <c r="H20" s="239">
        <v>15628</v>
      </c>
      <c r="I20" s="239">
        <v>15397</v>
      </c>
      <c r="J20" s="239">
        <v>15843</v>
      </c>
      <c r="K20" s="239">
        <v>15594</v>
      </c>
      <c r="L20" s="239">
        <v>16564</v>
      </c>
      <c r="N20" s="499">
        <f t="shared" si="7"/>
        <v>8.9091985008876264</v>
      </c>
      <c r="O20" s="344">
        <f t="shared" si="20"/>
        <v>1355</v>
      </c>
      <c r="P20" s="499">
        <f t="shared" si="8"/>
        <v>5.6744494937058345</v>
      </c>
      <c r="Q20" s="499">
        <f t="shared" si="9"/>
        <v>5.5894079590762056</v>
      </c>
      <c r="R20" s="499">
        <f t="shared" si="10"/>
        <v>5.5192630125730533</v>
      </c>
      <c r="S20" s="499">
        <f t="shared" si="11"/>
        <v>5.5057496520911151</v>
      </c>
      <c r="T20" s="499">
        <f t="shared" si="12"/>
        <v>5.5266852916057498</v>
      </c>
      <c r="U20" s="499">
        <f t="shared" si="13"/>
        <v>5.5424422707035683</v>
      </c>
      <c r="V20" s="499">
        <f t="shared" si="14"/>
        <v>5.5372099944727111</v>
      </c>
      <c r="W20" s="499">
        <f t="shared" si="15"/>
        <v>5.5836606213576738</v>
      </c>
      <c r="X20" s="499">
        <f t="shared" si="16"/>
        <v>5.7062897770862371</v>
      </c>
      <c r="Y20" s="499">
        <f t="shared" si="17"/>
        <v>5.7371801946976886</v>
      </c>
      <c r="Z20" s="499">
        <f t="shared" si="18"/>
        <v>5.8147862107702029</v>
      </c>
      <c r="AA20" s="4">
        <f t="shared" si="19"/>
        <v>6</v>
      </c>
      <c r="AB20" s="4">
        <f t="shared" si="6"/>
        <v>7</v>
      </c>
      <c r="AC20" s="4">
        <f t="shared" si="6"/>
        <v>7</v>
      </c>
      <c r="AD20" s="4">
        <f t="shared" si="6"/>
        <v>7</v>
      </c>
      <c r="AE20" s="4">
        <f t="shared" si="6"/>
        <v>7</v>
      </c>
      <c r="AF20" s="4">
        <f t="shared" si="6"/>
        <v>7</v>
      </c>
      <c r="AG20" s="4">
        <f t="shared" si="6"/>
        <v>7</v>
      </c>
      <c r="AH20" s="4">
        <f t="shared" si="6"/>
        <v>7</v>
      </c>
      <c r="AI20" s="4">
        <f t="shared" si="6"/>
        <v>6</v>
      </c>
      <c r="AJ20" s="4">
        <f t="shared" si="6"/>
        <v>6</v>
      </c>
      <c r="AK20" s="4">
        <f t="shared" si="6"/>
        <v>6</v>
      </c>
    </row>
    <row r="21" spans="1:37" ht="15" customHeight="1">
      <c r="A21" s="16" t="s">
        <v>29</v>
      </c>
      <c r="B21" s="239">
        <v>7126</v>
      </c>
      <c r="C21" s="239">
        <v>7051</v>
      </c>
      <c r="D21" s="239">
        <v>7129</v>
      </c>
      <c r="E21" s="239">
        <v>7173</v>
      </c>
      <c r="F21" s="239">
        <v>7291</v>
      </c>
      <c r="G21" s="239">
        <v>7270</v>
      </c>
      <c r="H21" s="239">
        <v>7341</v>
      </c>
      <c r="I21" s="239">
        <v>7045</v>
      </c>
      <c r="J21" s="239">
        <v>7037</v>
      </c>
      <c r="K21" s="239">
        <v>6974</v>
      </c>
      <c r="L21" s="239">
        <v>7227</v>
      </c>
      <c r="N21" s="499">
        <f t="shared" si="7"/>
        <v>1.4173449340443511</v>
      </c>
      <c r="O21" s="344">
        <f t="shared" si="20"/>
        <v>101</v>
      </c>
      <c r="P21" s="499">
        <f t="shared" si="8"/>
        <v>2.6586972905613635</v>
      </c>
      <c r="Q21" s="499">
        <f t="shared" si="9"/>
        <v>2.6521477469344767</v>
      </c>
      <c r="R21" s="499">
        <f t="shared" si="10"/>
        <v>2.6386015300853871</v>
      </c>
      <c r="S21" s="499">
        <f t="shared" si="11"/>
        <v>2.6268951878707978</v>
      </c>
      <c r="T21" s="499">
        <f t="shared" si="12"/>
        <v>2.6384928274684074</v>
      </c>
      <c r="U21" s="499">
        <f t="shared" si="13"/>
        <v>2.6039521331275006</v>
      </c>
      <c r="V21" s="499">
        <f t="shared" si="14"/>
        <v>2.6010147536104538</v>
      </c>
      <c r="W21" s="499">
        <f t="shared" si="15"/>
        <v>2.5548411429151661</v>
      </c>
      <c r="X21" s="499">
        <f t="shared" si="16"/>
        <v>2.5345680212936852</v>
      </c>
      <c r="Y21" s="499">
        <f t="shared" si="17"/>
        <v>2.5658006077864357</v>
      </c>
      <c r="Z21" s="499">
        <f t="shared" si="18"/>
        <v>2.5370357368531908</v>
      </c>
      <c r="AA21" s="4">
        <f t="shared" si="19"/>
        <v>11</v>
      </c>
      <c r="AB21" s="4">
        <f t="shared" si="6"/>
        <v>11</v>
      </c>
      <c r="AC21" s="4">
        <f t="shared" si="6"/>
        <v>11</v>
      </c>
      <c r="AD21" s="4">
        <f t="shared" si="6"/>
        <v>11</v>
      </c>
      <c r="AE21" s="4">
        <f t="shared" si="6"/>
        <v>11</v>
      </c>
      <c r="AF21" s="4">
        <f t="shared" si="6"/>
        <v>11</v>
      </c>
      <c r="AG21" s="4">
        <f t="shared" si="6"/>
        <v>11</v>
      </c>
      <c r="AH21" s="4">
        <f t="shared" si="6"/>
        <v>11</v>
      </c>
      <c r="AI21" s="4">
        <f t="shared" si="6"/>
        <v>11</v>
      </c>
      <c r="AJ21" s="4">
        <f t="shared" si="6"/>
        <v>11</v>
      </c>
      <c r="AK21" s="4">
        <f t="shared" si="6"/>
        <v>11</v>
      </c>
    </row>
    <row r="22" spans="1:37" ht="15" customHeight="1">
      <c r="A22" s="16" t="s">
        <v>30</v>
      </c>
      <c r="B22" s="239">
        <v>4931</v>
      </c>
      <c r="C22" s="239">
        <v>4874</v>
      </c>
      <c r="D22" s="239">
        <v>4930</v>
      </c>
      <c r="E22" s="239">
        <v>4976</v>
      </c>
      <c r="F22" s="239">
        <v>5034</v>
      </c>
      <c r="G22" s="239">
        <v>5076</v>
      </c>
      <c r="H22" s="239">
        <v>5093</v>
      </c>
      <c r="I22" s="239">
        <v>5005</v>
      </c>
      <c r="J22" s="239">
        <v>5085</v>
      </c>
      <c r="K22" s="239">
        <v>5019</v>
      </c>
      <c r="L22" s="239">
        <v>5152</v>
      </c>
      <c r="N22" s="499">
        <f t="shared" si="7"/>
        <v>4.4818495234232314</v>
      </c>
      <c r="O22" s="344">
        <f t="shared" si="20"/>
        <v>221</v>
      </c>
      <c r="P22" s="499">
        <f t="shared" si="8"/>
        <v>1.8397468902270675</v>
      </c>
      <c r="Q22" s="499">
        <f t="shared" si="9"/>
        <v>1.8332957195516437</v>
      </c>
      <c r="R22" s="499">
        <f t="shared" si="10"/>
        <v>1.8247026993015794</v>
      </c>
      <c r="S22" s="499">
        <f t="shared" si="11"/>
        <v>1.8223101149930419</v>
      </c>
      <c r="T22" s="499">
        <f t="shared" si="12"/>
        <v>1.8217216970890089</v>
      </c>
      <c r="U22" s="499">
        <f t="shared" si="13"/>
        <v>1.8181101826348272</v>
      </c>
      <c r="V22" s="499">
        <f t="shared" si="14"/>
        <v>1.8045182046230814</v>
      </c>
      <c r="W22" s="499">
        <f t="shared" si="15"/>
        <v>1.8150432818013353</v>
      </c>
      <c r="X22" s="499">
        <f t="shared" si="16"/>
        <v>1.8315018315018314</v>
      </c>
      <c r="Y22" s="499">
        <f t="shared" si="17"/>
        <v>1.8465376040264012</v>
      </c>
      <c r="Z22" s="499">
        <f t="shared" si="18"/>
        <v>1.8086077371340308</v>
      </c>
      <c r="AA22" s="4">
        <f t="shared" si="19"/>
        <v>12</v>
      </c>
      <c r="AB22" s="4">
        <f t="shared" ref="AB22:AB23" si="21">+RANK(C22,C$6:C$23,0)</f>
        <v>12</v>
      </c>
      <c r="AC22" s="4">
        <f t="shared" ref="AC22:AC23" si="22">+RANK(D22,D$6:D$23,0)</f>
        <v>13</v>
      </c>
      <c r="AD22" s="4">
        <f t="shared" ref="AD22:AD23" si="23">+RANK(E22,E$6:E$23,0)</f>
        <v>13</v>
      </c>
      <c r="AE22" s="4">
        <f t="shared" ref="AE22:AE23" si="24">+RANK(F22,F$6:F$23,0)</f>
        <v>13</v>
      </c>
      <c r="AF22" s="4">
        <f t="shared" ref="AF22:AF23" si="25">+RANK(G22,G$6:G$23,0)</f>
        <v>12</v>
      </c>
      <c r="AG22" s="4">
        <f t="shared" ref="AG22:AG23" si="26">+RANK(H22,H$6:H$23,0)</f>
        <v>12</v>
      </c>
      <c r="AH22" s="4">
        <f t="shared" ref="AH22:AH23" si="27">+RANK(I22,I$6:I$23,0)</f>
        <v>12</v>
      </c>
      <c r="AI22" s="4">
        <f t="shared" ref="AI22:AI23" si="28">+RANK(J22,J$6:J$23,0)</f>
        <v>12</v>
      </c>
      <c r="AJ22" s="4">
        <f t="shared" ref="AJ22:AK23" si="29">+RANK(K22,K$6:K$23,0)</f>
        <v>12</v>
      </c>
      <c r="AK22" s="4">
        <f t="shared" si="29"/>
        <v>12</v>
      </c>
    </row>
    <row r="23" spans="1:37" s="19" customFormat="1" ht="15" customHeight="1">
      <c r="A23" s="18" t="s">
        <v>31</v>
      </c>
      <c r="B23" s="240">
        <v>9279</v>
      </c>
      <c r="C23" s="240">
        <v>9256</v>
      </c>
      <c r="D23" s="240">
        <v>9398</v>
      </c>
      <c r="E23" s="240">
        <v>9605</v>
      </c>
      <c r="F23" s="240">
        <v>9732</v>
      </c>
      <c r="G23" s="240">
        <v>9779</v>
      </c>
      <c r="H23" s="240">
        <v>9801</v>
      </c>
      <c r="I23" s="240">
        <v>9611</v>
      </c>
      <c r="J23" s="240">
        <v>9718</v>
      </c>
      <c r="K23" s="240">
        <v>9674</v>
      </c>
      <c r="L23" s="240">
        <v>10081</v>
      </c>
      <c r="N23" s="499">
        <f t="shared" si="7"/>
        <v>8.6431727556848692</v>
      </c>
      <c r="O23" s="344">
        <f t="shared" si="20"/>
        <v>802</v>
      </c>
      <c r="P23" s="499">
        <f t="shared" si="8"/>
        <v>3.4619775693402879</v>
      </c>
      <c r="Q23" s="499">
        <f t="shared" si="9"/>
        <v>3.4815316331904009</v>
      </c>
      <c r="R23" s="499">
        <f t="shared" si="10"/>
        <v>3.4784089184657692</v>
      </c>
      <c r="S23" s="499">
        <f t="shared" si="11"/>
        <v>3.5175419321760786</v>
      </c>
      <c r="T23" s="499">
        <f t="shared" si="12"/>
        <v>3.5218505276261887</v>
      </c>
      <c r="U23" s="499">
        <f t="shared" si="13"/>
        <v>3.5026200701312007</v>
      </c>
      <c r="V23" s="499">
        <f t="shared" si="14"/>
        <v>3.4726257458297312</v>
      </c>
      <c r="W23" s="499">
        <f t="shared" si="15"/>
        <v>3.4853908054730538</v>
      </c>
      <c r="X23" s="499">
        <f t="shared" si="16"/>
        <v>3.5002035002035004</v>
      </c>
      <c r="Y23" s="499">
        <f t="shared" si="17"/>
        <v>3.5591561628514454</v>
      </c>
      <c r="Z23" s="499">
        <f t="shared" si="18"/>
        <v>3.5389314049006528</v>
      </c>
      <c r="AA23" s="4">
        <f t="shared" si="19"/>
        <v>10</v>
      </c>
      <c r="AB23" s="4">
        <f t="shared" si="21"/>
        <v>10</v>
      </c>
      <c r="AC23" s="4">
        <f t="shared" si="22"/>
        <v>10</v>
      </c>
      <c r="AD23" s="4">
        <f t="shared" si="23"/>
        <v>10</v>
      </c>
      <c r="AE23" s="4">
        <f t="shared" si="24"/>
        <v>10</v>
      </c>
      <c r="AF23" s="4">
        <f t="shared" si="25"/>
        <v>10</v>
      </c>
      <c r="AG23" s="4">
        <f t="shared" si="26"/>
        <v>10</v>
      </c>
      <c r="AH23" s="4">
        <f t="shared" si="27"/>
        <v>10</v>
      </c>
      <c r="AI23" s="4">
        <f t="shared" si="28"/>
        <v>10</v>
      </c>
      <c r="AJ23" s="4">
        <f t="shared" si="29"/>
        <v>10</v>
      </c>
      <c r="AK23" s="4">
        <f t="shared" si="29"/>
        <v>10</v>
      </c>
    </row>
    <row r="24" spans="1:37" ht="15" customHeight="1">
      <c r="A24" s="20" t="s">
        <v>138</v>
      </c>
      <c r="B24" s="85"/>
      <c r="D24" s="17"/>
      <c r="E24" s="17"/>
      <c r="F24" s="17"/>
      <c r="G24" s="17"/>
      <c r="H24" s="17"/>
      <c r="I24" s="17"/>
      <c r="J24" s="17"/>
      <c r="K24" s="17"/>
      <c r="L24" s="17"/>
    </row>
  </sheetData>
  <mergeCells count="1">
    <mergeCell ref="A1:L1"/>
  </mergeCells>
  <phoneticPr fontId="25" type="noConversion"/>
  <conditionalFormatting sqref="B5:I23">
    <cfRule type="cellIs" dxfId="66" priority="22" operator="equal">
      <formula>0</formula>
    </cfRule>
  </conditionalFormatting>
  <conditionalFormatting sqref="D24:I24">
    <cfRule type="cellIs" dxfId="65" priority="7" operator="equal">
      <formula>0</formula>
    </cfRule>
  </conditionalFormatting>
  <conditionalFormatting sqref="J5:L24">
    <cfRule type="cellIs" dxfId="64"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4BF3E-1E46-43DB-BA5F-790DBE5B1B4C}">
  <sheetPr>
    <tabColor indexed="24"/>
    <pageSetUpPr fitToPage="1"/>
  </sheetPr>
  <dimension ref="A1:L52"/>
  <sheetViews>
    <sheetView showGridLines="0" workbookViewId="0">
      <selection activeCell="K42" sqref="K42"/>
    </sheetView>
  </sheetViews>
  <sheetFormatPr defaultColWidth="9.140625" defaultRowHeight="11.25"/>
  <cols>
    <col min="1" max="1" width="24.140625" style="4" customWidth="1"/>
    <col min="2" max="12" width="7.5703125" style="4" customWidth="1"/>
    <col min="13" max="14" width="5.85546875" style="4" bestFit="1" customWidth="1"/>
    <col min="15" max="16384" width="9.140625" style="4"/>
  </cols>
  <sheetData>
    <row r="1" spans="1:12" s="3" customFormat="1" ht="29.25" customHeight="1">
      <c r="A1" s="612" t="s">
        <v>628</v>
      </c>
      <c r="B1" s="612"/>
      <c r="C1" s="612"/>
      <c r="D1" s="612"/>
      <c r="E1" s="612"/>
      <c r="F1" s="612"/>
      <c r="G1" s="612"/>
      <c r="H1" s="612"/>
      <c r="I1" s="612"/>
      <c r="J1" s="612"/>
      <c r="K1" s="612"/>
      <c r="L1" s="612"/>
    </row>
    <row r="2" spans="1:12" ht="15" customHeight="1">
      <c r="A2" s="11"/>
      <c r="B2" s="98"/>
      <c r="C2" s="98"/>
      <c r="D2" s="98"/>
      <c r="E2" s="98"/>
      <c r="F2" s="98"/>
      <c r="G2" s="98"/>
      <c r="H2" s="98"/>
      <c r="I2" s="98"/>
      <c r="J2" s="98"/>
      <c r="K2" s="98"/>
      <c r="L2" s="98"/>
    </row>
    <row r="3" spans="1:12" ht="15" customHeight="1">
      <c r="A3" s="13" t="s">
        <v>42</v>
      </c>
      <c r="B3" s="98"/>
      <c r="C3" s="98"/>
      <c r="D3" s="98"/>
      <c r="E3" s="98"/>
      <c r="F3" s="98"/>
      <c r="G3" s="98"/>
      <c r="H3" s="98"/>
      <c r="I3" s="98"/>
      <c r="J3" s="98"/>
      <c r="K3" s="98"/>
      <c r="L3" s="98"/>
    </row>
    <row r="4" spans="1:12" ht="28.5" customHeight="1" thickBot="1">
      <c r="A4" s="14"/>
      <c r="B4" s="15">
        <v>2012</v>
      </c>
      <c r="C4" s="15">
        <v>2013</v>
      </c>
      <c r="D4" s="15">
        <v>2014</v>
      </c>
      <c r="E4" s="15">
        <v>2015</v>
      </c>
      <c r="F4" s="15">
        <v>2016</v>
      </c>
      <c r="G4" s="15">
        <v>2017</v>
      </c>
      <c r="H4" s="15">
        <v>2018</v>
      </c>
      <c r="I4" s="15">
        <v>2019</v>
      </c>
      <c r="J4" s="15">
        <v>2020</v>
      </c>
      <c r="K4" s="15">
        <v>2021</v>
      </c>
      <c r="L4" s="15">
        <v>2022</v>
      </c>
    </row>
    <row r="5" spans="1:12" ht="20.25" customHeight="1" thickTop="1">
      <c r="A5" s="92" t="s">
        <v>12</v>
      </c>
      <c r="B5" s="238">
        <v>268026</v>
      </c>
      <c r="C5" s="238">
        <v>265860</v>
      </c>
      <c r="D5" s="238">
        <v>270181</v>
      </c>
      <c r="E5" s="238">
        <v>273060</v>
      </c>
      <c r="F5" s="238">
        <v>276332</v>
      </c>
      <c r="G5" s="238">
        <v>279191</v>
      </c>
      <c r="H5" s="238">
        <v>282236</v>
      </c>
      <c r="I5" s="238">
        <v>275751</v>
      </c>
      <c r="J5" s="238">
        <v>277641</v>
      </c>
      <c r="K5" s="238">
        <v>271806</v>
      </c>
      <c r="L5" s="238">
        <v>284860</v>
      </c>
    </row>
    <row r="6" spans="1:12" ht="20.25" customHeight="1">
      <c r="A6" s="16" t="s">
        <v>629</v>
      </c>
      <c r="B6" s="238">
        <v>102791</v>
      </c>
      <c r="C6" s="238">
        <v>102545</v>
      </c>
      <c r="D6" s="238">
        <v>104739</v>
      </c>
      <c r="E6" s="238">
        <v>105959</v>
      </c>
      <c r="F6" s="238">
        <v>107496</v>
      </c>
      <c r="G6" s="238">
        <v>108796</v>
      </c>
      <c r="H6" s="238">
        <v>109936</v>
      </c>
      <c r="I6" s="238">
        <v>107137</v>
      </c>
      <c r="J6" s="238">
        <v>107805</v>
      </c>
      <c r="K6" s="238">
        <v>106036</v>
      </c>
      <c r="L6" s="238">
        <v>110941</v>
      </c>
    </row>
    <row r="7" spans="1:12" ht="20.25" customHeight="1">
      <c r="A7" s="514" t="s">
        <v>630</v>
      </c>
      <c r="B7" s="239">
        <v>7126</v>
      </c>
      <c r="C7" s="239">
        <v>7051</v>
      </c>
      <c r="D7" s="239">
        <v>7129</v>
      </c>
      <c r="E7" s="239">
        <v>7173</v>
      </c>
      <c r="F7" s="239">
        <v>7291</v>
      </c>
      <c r="G7" s="239">
        <v>7270</v>
      </c>
      <c r="H7" s="239">
        <v>7341</v>
      </c>
      <c r="I7" s="239">
        <v>7045</v>
      </c>
      <c r="J7" s="239">
        <v>7037</v>
      </c>
      <c r="K7" s="239">
        <v>6974</v>
      </c>
      <c r="L7" s="239">
        <v>7227</v>
      </c>
    </row>
    <row r="8" spans="1:12" ht="15" customHeight="1">
      <c r="A8" s="514" t="s">
        <v>631</v>
      </c>
      <c r="B8" s="239">
        <v>12673</v>
      </c>
      <c r="C8" s="239">
        <v>12746</v>
      </c>
      <c r="D8" s="239">
        <v>13169</v>
      </c>
      <c r="E8" s="239">
        <v>13373</v>
      </c>
      <c r="F8" s="239">
        <v>13613</v>
      </c>
      <c r="G8" s="239">
        <v>13840</v>
      </c>
      <c r="H8" s="239">
        <v>13932</v>
      </c>
      <c r="I8" s="239">
        <v>13662</v>
      </c>
      <c r="J8" s="239">
        <v>13781</v>
      </c>
      <c r="K8" s="239">
        <v>13588</v>
      </c>
      <c r="L8" s="239">
        <v>14557</v>
      </c>
    </row>
    <row r="9" spans="1:12" ht="15" customHeight="1">
      <c r="A9" s="514" t="s">
        <v>632</v>
      </c>
      <c r="B9" s="239">
        <v>12307</v>
      </c>
      <c r="C9" s="239">
        <v>12356</v>
      </c>
      <c r="D9" s="239">
        <v>12761</v>
      </c>
      <c r="E9" s="239">
        <v>12914</v>
      </c>
      <c r="F9" s="239">
        <v>13247</v>
      </c>
      <c r="G9" s="239">
        <v>13507</v>
      </c>
      <c r="H9" s="239">
        <v>13505</v>
      </c>
      <c r="I9" s="239">
        <v>13001</v>
      </c>
      <c r="J9" s="239">
        <v>13164</v>
      </c>
      <c r="K9" s="239">
        <v>12897</v>
      </c>
      <c r="L9" s="239">
        <v>13716</v>
      </c>
    </row>
    <row r="10" spans="1:12" ht="15" customHeight="1">
      <c r="A10" s="514" t="s">
        <v>633</v>
      </c>
      <c r="B10" s="239">
        <v>48372</v>
      </c>
      <c r="C10" s="239">
        <v>48330</v>
      </c>
      <c r="D10" s="239">
        <v>49118</v>
      </c>
      <c r="E10" s="239">
        <v>49590</v>
      </c>
      <c r="F10" s="239">
        <v>50179</v>
      </c>
      <c r="G10" s="239">
        <v>50743</v>
      </c>
      <c r="H10" s="239">
        <v>51437</v>
      </c>
      <c r="I10" s="239">
        <v>50377</v>
      </c>
      <c r="J10" s="239">
        <v>50550</v>
      </c>
      <c r="K10" s="239">
        <v>49104</v>
      </c>
      <c r="L10" s="239">
        <v>51243</v>
      </c>
    </row>
    <row r="11" spans="1:12" ht="15" customHeight="1">
      <c r="A11" s="514" t="s">
        <v>634</v>
      </c>
      <c r="B11" s="239">
        <v>2131</v>
      </c>
      <c r="C11" s="239">
        <v>2093</v>
      </c>
      <c r="D11" s="239">
        <v>2147</v>
      </c>
      <c r="E11" s="239">
        <v>2205</v>
      </c>
      <c r="F11" s="239">
        <v>2256</v>
      </c>
      <c r="G11" s="239">
        <v>2272</v>
      </c>
      <c r="H11" s="239">
        <v>2316</v>
      </c>
      <c r="I11" s="239">
        <v>2252</v>
      </c>
      <c r="J11" s="239">
        <v>2299</v>
      </c>
      <c r="K11" s="239">
        <v>2298</v>
      </c>
      <c r="L11" s="239">
        <v>2409</v>
      </c>
    </row>
    <row r="12" spans="1:12" ht="15" customHeight="1">
      <c r="A12" s="514" t="s">
        <v>635</v>
      </c>
      <c r="B12" s="239">
        <v>11876</v>
      </c>
      <c r="C12" s="239">
        <v>11652</v>
      </c>
      <c r="D12" s="239">
        <v>12069</v>
      </c>
      <c r="E12" s="239">
        <v>12343</v>
      </c>
      <c r="F12" s="239">
        <v>12490</v>
      </c>
      <c r="G12" s="239">
        <v>12646</v>
      </c>
      <c r="H12" s="239">
        <v>12900</v>
      </c>
      <c r="I12" s="239">
        <v>12658</v>
      </c>
      <c r="J12" s="239">
        <v>12707</v>
      </c>
      <c r="K12" s="239">
        <v>12875</v>
      </c>
      <c r="L12" s="239">
        <v>13294</v>
      </c>
    </row>
    <row r="13" spans="1:12" ht="15" customHeight="1">
      <c r="A13" s="514" t="s">
        <v>636</v>
      </c>
      <c r="B13" s="239">
        <v>5105</v>
      </c>
      <c r="C13" s="239">
        <v>5147</v>
      </c>
      <c r="D13" s="239">
        <v>5153</v>
      </c>
      <c r="E13" s="239">
        <v>5162</v>
      </c>
      <c r="F13" s="239">
        <v>5182</v>
      </c>
      <c r="G13" s="239">
        <v>5243</v>
      </c>
      <c r="H13" s="239">
        <v>5223</v>
      </c>
      <c r="I13" s="239">
        <v>5096</v>
      </c>
      <c r="J13" s="239">
        <v>5195</v>
      </c>
      <c r="K13" s="239">
        <v>5144</v>
      </c>
      <c r="L13" s="239">
        <v>5301</v>
      </c>
    </row>
    <row r="14" spans="1:12" ht="15" customHeight="1">
      <c r="A14" s="514" t="s">
        <v>637</v>
      </c>
      <c r="B14" s="239">
        <v>3201</v>
      </c>
      <c r="C14" s="239">
        <v>3170</v>
      </c>
      <c r="D14" s="239">
        <v>3193</v>
      </c>
      <c r="E14" s="239">
        <v>3199</v>
      </c>
      <c r="F14" s="239">
        <v>3238</v>
      </c>
      <c r="G14" s="239">
        <v>3275</v>
      </c>
      <c r="H14" s="239">
        <v>3282</v>
      </c>
      <c r="I14" s="239">
        <v>3046</v>
      </c>
      <c r="J14" s="239">
        <v>3072</v>
      </c>
      <c r="K14" s="239">
        <v>3156</v>
      </c>
      <c r="L14" s="239">
        <v>3194</v>
      </c>
    </row>
    <row r="15" spans="1:12" ht="15" customHeight="1">
      <c r="A15" s="16" t="s">
        <v>638</v>
      </c>
      <c r="B15" s="238">
        <v>45815</v>
      </c>
      <c r="C15" s="238">
        <v>45322</v>
      </c>
      <c r="D15" s="238">
        <v>45766</v>
      </c>
      <c r="E15" s="238">
        <v>46049</v>
      </c>
      <c r="F15" s="238">
        <v>46552</v>
      </c>
      <c r="G15" s="238">
        <v>46657</v>
      </c>
      <c r="H15" s="238">
        <v>46766</v>
      </c>
      <c r="I15" s="238">
        <v>45574</v>
      </c>
      <c r="J15" s="238">
        <v>45616</v>
      </c>
      <c r="K15" s="238">
        <v>44838</v>
      </c>
      <c r="L15" s="238">
        <v>46520</v>
      </c>
    </row>
    <row r="16" spans="1:12" ht="15" customHeight="1">
      <c r="A16" s="514" t="s">
        <v>639</v>
      </c>
      <c r="B16" s="239">
        <v>9137</v>
      </c>
      <c r="C16" s="239">
        <v>9095</v>
      </c>
      <c r="D16" s="239">
        <v>9205</v>
      </c>
      <c r="E16" s="239">
        <v>9320</v>
      </c>
      <c r="F16" s="239">
        <v>9561</v>
      </c>
      <c r="G16" s="239">
        <v>9662</v>
      </c>
      <c r="H16" s="239">
        <v>9814</v>
      </c>
      <c r="I16" s="239">
        <v>9682</v>
      </c>
      <c r="J16" s="239">
        <v>9658</v>
      </c>
      <c r="K16" s="239">
        <v>9380</v>
      </c>
      <c r="L16" s="239">
        <v>9676</v>
      </c>
    </row>
    <row r="17" spans="1:12" ht="15" customHeight="1">
      <c r="A17" s="514" t="s">
        <v>640</v>
      </c>
      <c r="B17" s="239">
        <v>10971</v>
      </c>
      <c r="C17" s="239">
        <v>10767</v>
      </c>
      <c r="D17" s="239">
        <v>10830</v>
      </c>
      <c r="E17" s="239">
        <v>10841</v>
      </c>
      <c r="F17" s="239">
        <v>10913</v>
      </c>
      <c r="G17" s="239">
        <v>10920</v>
      </c>
      <c r="H17" s="239">
        <v>10935</v>
      </c>
      <c r="I17" s="239">
        <v>10620</v>
      </c>
      <c r="J17" s="239">
        <v>10718</v>
      </c>
      <c r="K17" s="239">
        <v>10509</v>
      </c>
      <c r="L17" s="239">
        <v>11014</v>
      </c>
    </row>
    <row r="18" spans="1:12" ht="15" customHeight="1">
      <c r="A18" s="514" t="s">
        <v>641</v>
      </c>
      <c r="B18" s="239">
        <v>10212</v>
      </c>
      <c r="C18" s="239">
        <v>10195</v>
      </c>
      <c r="D18" s="239">
        <v>10176</v>
      </c>
      <c r="E18" s="239">
        <v>10214</v>
      </c>
      <c r="F18" s="239">
        <v>10313</v>
      </c>
      <c r="G18" s="239">
        <v>10330</v>
      </c>
      <c r="H18" s="239">
        <v>10275</v>
      </c>
      <c r="I18" s="239">
        <v>9997</v>
      </c>
      <c r="J18" s="239">
        <v>9987</v>
      </c>
      <c r="K18" s="239">
        <v>9844</v>
      </c>
      <c r="L18" s="239">
        <v>10184</v>
      </c>
    </row>
    <row r="19" spans="1:12" ht="15" customHeight="1">
      <c r="A19" s="514" t="s">
        <v>642</v>
      </c>
      <c r="B19" s="239">
        <v>6789</v>
      </c>
      <c r="C19" s="239">
        <v>6734</v>
      </c>
      <c r="D19" s="239">
        <v>6859</v>
      </c>
      <c r="E19" s="239">
        <v>6980</v>
      </c>
      <c r="F19" s="239">
        <v>7045</v>
      </c>
      <c r="G19" s="239">
        <v>7065</v>
      </c>
      <c r="H19" s="239">
        <v>7093</v>
      </c>
      <c r="I19" s="239">
        <v>6962</v>
      </c>
      <c r="J19" s="239">
        <v>6975</v>
      </c>
      <c r="K19" s="239">
        <v>6950</v>
      </c>
      <c r="L19" s="239">
        <v>7226</v>
      </c>
    </row>
    <row r="20" spans="1:12" ht="15" customHeight="1">
      <c r="A20" s="514" t="s">
        <v>643</v>
      </c>
      <c r="B20" s="239">
        <v>2777</v>
      </c>
      <c r="C20" s="239">
        <v>2644</v>
      </c>
      <c r="D20" s="239">
        <v>2688</v>
      </c>
      <c r="E20" s="239">
        <v>2715</v>
      </c>
      <c r="F20" s="239">
        <v>2717</v>
      </c>
      <c r="G20" s="239">
        <v>2654</v>
      </c>
      <c r="H20" s="239">
        <v>2682</v>
      </c>
      <c r="I20" s="239">
        <v>2637</v>
      </c>
      <c r="J20" s="239">
        <v>2619</v>
      </c>
      <c r="K20" s="239">
        <v>2630</v>
      </c>
      <c r="L20" s="239">
        <v>2733</v>
      </c>
    </row>
    <row r="21" spans="1:12" ht="15" customHeight="1">
      <c r="A21" s="514" t="s">
        <v>644</v>
      </c>
      <c r="B21" s="239">
        <v>5929</v>
      </c>
      <c r="C21" s="239">
        <v>5887</v>
      </c>
      <c r="D21" s="239">
        <v>6008</v>
      </c>
      <c r="E21" s="239">
        <v>5979</v>
      </c>
      <c r="F21" s="239">
        <v>6003</v>
      </c>
      <c r="G21" s="239">
        <v>6026</v>
      </c>
      <c r="H21" s="239">
        <v>5967</v>
      </c>
      <c r="I21" s="239">
        <v>5676</v>
      </c>
      <c r="J21" s="239">
        <v>5659</v>
      </c>
      <c r="K21" s="239">
        <v>5525</v>
      </c>
      <c r="L21" s="239">
        <v>5687</v>
      </c>
    </row>
    <row r="22" spans="1:12" ht="15" customHeight="1">
      <c r="A22" s="16" t="s">
        <v>645</v>
      </c>
      <c r="B22" s="238">
        <v>23086</v>
      </c>
      <c r="C22" s="238">
        <v>22669</v>
      </c>
      <c r="D22" s="238">
        <v>22795</v>
      </c>
      <c r="E22" s="238">
        <v>23005</v>
      </c>
      <c r="F22" s="238">
        <v>23120</v>
      </c>
      <c r="G22" s="238">
        <v>23388</v>
      </c>
      <c r="H22" s="238">
        <v>23374</v>
      </c>
      <c r="I22" s="238">
        <v>22884</v>
      </c>
      <c r="J22" s="238">
        <v>22898</v>
      </c>
      <c r="K22" s="238">
        <v>22539</v>
      </c>
      <c r="L22" s="238">
        <v>23397</v>
      </c>
    </row>
    <row r="23" spans="1:12" ht="15" customHeight="1">
      <c r="A23" s="514" t="s">
        <v>646</v>
      </c>
      <c r="B23" s="239">
        <v>10592</v>
      </c>
      <c r="C23" s="239">
        <v>10311</v>
      </c>
      <c r="D23" s="239">
        <v>10433</v>
      </c>
      <c r="E23" s="239">
        <v>10563</v>
      </c>
      <c r="F23" s="239">
        <v>10676</v>
      </c>
      <c r="G23" s="239">
        <v>10940</v>
      </c>
      <c r="H23" s="239">
        <v>11025</v>
      </c>
      <c r="I23" s="239">
        <v>10864</v>
      </c>
      <c r="J23" s="239">
        <v>10952</v>
      </c>
      <c r="K23" s="239">
        <v>10812</v>
      </c>
      <c r="L23" s="239">
        <v>11295</v>
      </c>
    </row>
    <row r="24" spans="1:12" ht="15" customHeight="1">
      <c r="A24" s="514" t="s">
        <v>647</v>
      </c>
      <c r="B24" s="239">
        <v>6231</v>
      </c>
      <c r="C24" s="239">
        <v>6080</v>
      </c>
      <c r="D24" s="239">
        <v>6017</v>
      </c>
      <c r="E24" s="239">
        <v>6079</v>
      </c>
      <c r="F24" s="239">
        <v>6040</v>
      </c>
      <c r="G24" s="239">
        <v>6030</v>
      </c>
      <c r="H24" s="239">
        <v>5964</v>
      </c>
      <c r="I24" s="239">
        <v>5812</v>
      </c>
      <c r="J24" s="239">
        <v>5778</v>
      </c>
      <c r="K24" s="239">
        <v>5770</v>
      </c>
      <c r="L24" s="239">
        <v>5900</v>
      </c>
    </row>
    <row r="25" spans="1:12" ht="15" customHeight="1">
      <c r="A25" s="514" t="s">
        <v>648</v>
      </c>
      <c r="B25" s="239">
        <v>6263</v>
      </c>
      <c r="C25" s="239">
        <v>6278</v>
      </c>
      <c r="D25" s="239">
        <v>6345</v>
      </c>
      <c r="E25" s="239">
        <v>6363</v>
      </c>
      <c r="F25" s="239">
        <v>6404</v>
      </c>
      <c r="G25" s="239">
        <v>6418</v>
      </c>
      <c r="H25" s="239">
        <v>6385</v>
      </c>
      <c r="I25" s="239">
        <v>6208</v>
      </c>
      <c r="J25" s="239">
        <v>6168</v>
      </c>
      <c r="K25" s="239">
        <v>5957</v>
      </c>
      <c r="L25" s="239">
        <v>6202</v>
      </c>
    </row>
    <row r="26" spans="1:12" ht="15" customHeight="1">
      <c r="A26" s="16" t="s">
        <v>649</v>
      </c>
      <c r="B26" s="238">
        <v>54272</v>
      </c>
      <c r="C26" s="238">
        <v>53685</v>
      </c>
      <c r="D26" s="238">
        <v>54415</v>
      </c>
      <c r="E26" s="238">
        <v>55029</v>
      </c>
      <c r="F26" s="238">
        <v>55354</v>
      </c>
      <c r="G26" s="238">
        <v>56108</v>
      </c>
      <c r="H26" s="238">
        <v>57209</v>
      </c>
      <c r="I26" s="238">
        <v>55559</v>
      </c>
      <c r="J26" s="238">
        <v>56643</v>
      </c>
      <c r="K26" s="238">
        <v>54793</v>
      </c>
      <c r="L26" s="238">
        <v>57854</v>
      </c>
    </row>
    <row r="27" spans="1:12" ht="15" customHeight="1">
      <c r="A27" s="16" t="s">
        <v>650</v>
      </c>
      <c r="B27" s="238">
        <v>13489</v>
      </c>
      <c r="C27" s="238">
        <v>13094</v>
      </c>
      <c r="D27" s="238">
        <v>13124</v>
      </c>
      <c r="E27" s="238">
        <v>13250</v>
      </c>
      <c r="F27" s="238">
        <v>13484</v>
      </c>
      <c r="G27" s="238">
        <v>13666</v>
      </c>
      <c r="H27" s="238">
        <v>13850</v>
      </c>
      <c r="I27" s="238">
        <v>13653</v>
      </c>
      <c r="J27" s="238">
        <v>14047</v>
      </c>
      <c r="K27" s="238">
        <v>13853</v>
      </c>
      <c r="L27" s="238">
        <v>14699</v>
      </c>
    </row>
    <row r="28" spans="1:12" ht="15" customHeight="1">
      <c r="A28" s="16" t="s">
        <v>651</v>
      </c>
      <c r="B28" s="238">
        <v>13480</v>
      </c>
      <c r="C28" s="238">
        <v>13533</v>
      </c>
      <c r="D28" s="238">
        <v>13857</v>
      </c>
      <c r="E28" s="238">
        <v>13937</v>
      </c>
      <c r="F28" s="238">
        <v>14026</v>
      </c>
      <c r="G28" s="238">
        <v>14095</v>
      </c>
      <c r="H28" s="238">
        <v>14020</v>
      </c>
      <c r="I28" s="238">
        <v>13753</v>
      </c>
      <c r="J28" s="238">
        <v>13857</v>
      </c>
      <c r="K28" s="238">
        <v>13418</v>
      </c>
      <c r="L28" s="238">
        <v>14383</v>
      </c>
    </row>
    <row r="29" spans="1:12" ht="15" customHeight="1">
      <c r="A29" s="514" t="s">
        <v>652</v>
      </c>
      <c r="B29" s="239">
        <v>2411</v>
      </c>
      <c r="C29" s="239">
        <v>2468</v>
      </c>
      <c r="D29" s="239">
        <v>2495</v>
      </c>
      <c r="E29" s="239">
        <v>2491</v>
      </c>
      <c r="F29" s="239">
        <v>2550</v>
      </c>
      <c r="G29" s="239">
        <v>2586</v>
      </c>
      <c r="H29" s="239">
        <v>2592</v>
      </c>
      <c r="I29" s="239">
        <v>2596</v>
      </c>
      <c r="J29" s="239">
        <v>2681</v>
      </c>
      <c r="K29" s="239">
        <v>2645</v>
      </c>
      <c r="L29" s="239">
        <v>2804</v>
      </c>
    </row>
    <row r="30" spans="1:12" ht="15" customHeight="1">
      <c r="A30" s="514" t="s">
        <v>653</v>
      </c>
      <c r="B30" s="239">
        <v>3365</v>
      </c>
      <c r="C30" s="239">
        <v>3325</v>
      </c>
      <c r="D30" s="239">
        <v>3419</v>
      </c>
      <c r="E30" s="239">
        <v>3475</v>
      </c>
      <c r="F30" s="239">
        <v>3509</v>
      </c>
      <c r="G30" s="239">
        <v>3574</v>
      </c>
      <c r="H30" s="239">
        <v>3584</v>
      </c>
      <c r="I30" s="239">
        <v>3505</v>
      </c>
      <c r="J30" s="239">
        <v>3502</v>
      </c>
      <c r="K30" s="239">
        <v>3499</v>
      </c>
      <c r="L30" s="239">
        <v>3654</v>
      </c>
    </row>
    <row r="31" spans="1:12" ht="15" customHeight="1">
      <c r="A31" s="514" t="s">
        <v>654</v>
      </c>
      <c r="B31" s="239">
        <v>2862</v>
      </c>
      <c r="C31" s="239">
        <v>2880</v>
      </c>
      <c r="D31" s="239">
        <v>2917</v>
      </c>
      <c r="E31" s="239">
        <v>2906</v>
      </c>
      <c r="F31" s="239">
        <v>2929</v>
      </c>
      <c r="G31" s="239">
        <v>2901</v>
      </c>
      <c r="H31" s="239">
        <v>2878</v>
      </c>
      <c r="I31" s="239">
        <v>2783</v>
      </c>
      <c r="J31" s="239">
        <v>2770</v>
      </c>
      <c r="K31" s="239">
        <v>2634</v>
      </c>
      <c r="L31" s="239">
        <v>2877</v>
      </c>
    </row>
    <row r="32" spans="1:12" ht="15" customHeight="1">
      <c r="A32" s="514" t="s">
        <v>655</v>
      </c>
      <c r="B32" s="239">
        <v>4842</v>
      </c>
      <c r="C32" s="239">
        <v>4860</v>
      </c>
      <c r="D32" s="239">
        <v>5026</v>
      </c>
      <c r="E32" s="239">
        <v>5065</v>
      </c>
      <c r="F32" s="239">
        <v>5038</v>
      </c>
      <c r="G32" s="239">
        <v>5034</v>
      </c>
      <c r="H32" s="239">
        <v>4966</v>
      </c>
      <c r="I32" s="239">
        <v>4869</v>
      </c>
      <c r="J32" s="239">
        <v>4904</v>
      </c>
      <c r="K32" s="239">
        <v>4640</v>
      </c>
      <c r="L32" s="239">
        <v>5048</v>
      </c>
    </row>
    <row r="33" spans="1:12" s="19" customFormat="1" ht="15" customHeight="1">
      <c r="A33" s="18" t="s">
        <v>656</v>
      </c>
      <c r="B33" s="515">
        <v>15093</v>
      </c>
      <c r="C33" s="515">
        <v>15012</v>
      </c>
      <c r="D33" s="515">
        <v>15485</v>
      </c>
      <c r="E33" s="515">
        <v>15831</v>
      </c>
      <c r="F33" s="515">
        <v>16300</v>
      </c>
      <c r="G33" s="515">
        <v>16481</v>
      </c>
      <c r="H33" s="515">
        <v>17081</v>
      </c>
      <c r="I33" s="515">
        <v>17191</v>
      </c>
      <c r="J33" s="515">
        <v>16775</v>
      </c>
      <c r="K33" s="515">
        <v>16329</v>
      </c>
      <c r="L33" s="515">
        <v>17066</v>
      </c>
    </row>
    <row r="34" spans="1:12" ht="15" customHeight="1">
      <c r="A34" s="20" t="s">
        <v>138</v>
      </c>
      <c r="C34" s="17"/>
      <c r="D34" s="17"/>
      <c r="E34" s="17"/>
      <c r="F34" s="17"/>
      <c r="G34" s="17"/>
      <c r="H34" s="17"/>
      <c r="I34" s="17"/>
      <c r="J34" s="17"/>
      <c r="K34" s="17"/>
      <c r="L34" s="17"/>
    </row>
    <row r="52" spans="9:10">
      <c r="I52" s="344"/>
      <c r="J52" s="344"/>
    </row>
  </sheetData>
  <mergeCells count="1">
    <mergeCell ref="A1:L1"/>
  </mergeCells>
  <conditionalFormatting sqref="B5:L33">
    <cfRule type="cellIs" dxfId="63" priority="9" operator="equal">
      <formula>0</formula>
    </cfRule>
  </conditionalFormatting>
  <conditionalFormatting sqref="C34:L34">
    <cfRule type="cellIs" dxfId="62"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94" orientation="portrait" r:id="rId1"/>
  <headerFooter>
    <oddHeader xml:space="preserve">&amp;C&amp;G
</oddHead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71">
    <tabColor indexed="24"/>
    <pageSetUpPr fitToPage="1"/>
  </sheetPr>
  <dimension ref="A1:P51"/>
  <sheetViews>
    <sheetView showGridLines="0" zoomScaleNormal="100" workbookViewId="0">
      <selection activeCell="K42" sqref="K42"/>
    </sheetView>
  </sheetViews>
  <sheetFormatPr defaultColWidth="9.140625" defaultRowHeight="11.25"/>
  <cols>
    <col min="1" max="1" width="2" style="4" customWidth="1"/>
    <col min="2" max="2" width="28.28515625" style="4" customWidth="1"/>
    <col min="3" max="3" width="6.7109375" style="4" customWidth="1"/>
    <col min="4" max="5" width="6.7109375" style="95" customWidth="1"/>
    <col min="6" max="13" width="6.7109375" style="4" customWidth="1"/>
    <col min="14" max="16384" width="9.140625" style="4"/>
  </cols>
  <sheetData>
    <row r="1" spans="1:16" s="3" customFormat="1" ht="28.5" customHeight="1">
      <c r="A1" s="613" t="s">
        <v>195</v>
      </c>
      <c r="B1" s="613"/>
      <c r="C1" s="613"/>
      <c r="D1" s="613"/>
      <c r="E1" s="613"/>
      <c r="F1" s="613"/>
      <c r="G1" s="613"/>
      <c r="H1" s="613"/>
      <c r="I1" s="613"/>
      <c r="J1" s="613"/>
      <c r="K1" s="613"/>
      <c r="L1" s="613"/>
      <c r="M1" s="613"/>
    </row>
    <row r="2" spans="1:16" ht="15.75" customHeight="1">
      <c r="A2" s="125"/>
      <c r="B2" s="125"/>
      <c r="C2" s="130"/>
      <c r="D2" s="98"/>
      <c r="E2" s="98"/>
      <c r="F2" s="98"/>
      <c r="G2" s="98"/>
      <c r="H2" s="98"/>
      <c r="I2" s="98"/>
      <c r="J2" s="98"/>
      <c r="K2" s="98"/>
      <c r="L2" s="98"/>
      <c r="M2" s="98"/>
    </row>
    <row r="3" spans="1:16" ht="15" customHeight="1">
      <c r="A3" s="124" t="s">
        <v>42</v>
      </c>
      <c r="B3" s="126"/>
      <c r="C3" s="98"/>
      <c r="D3" s="98"/>
      <c r="E3" s="98"/>
      <c r="F3" s="98"/>
      <c r="G3" s="98"/>
      <c r="H3" s="98"/>
      <c r="I3" s="98"/>
      <c r="J3" s="98"/>
      <c r="K3" s="98"/>
      <c r="L3" s="98"/>
      <c r="M3" s="98"/>
    </row>
    <row r="4" spans="1:16" ht="28.5" customHeight="1" thickBot="1">
      <c r="A4" s="84" t="s">
        <v>1</v>
      </c>
      <c r="B4" s="6"/>
      <c r="C4" s="15">
        <v>2012</v>
      </c>
      <c r="D4" s="15">
        <v>2013</v>
      </c>
      <c r="E4" s="15">
        <v>2014</v>
      </c>
      <c r="F4" s="15">
        <v>2015</v>
      </c>
      <c r="G4" s="15">
        <v>2016</v>
      </c>
      <c r="H4" s="15">
        <v>2017</v>
      </c>
      <c r="I4" s="15">
        <v>2018</v>
      </c>
      <c r="J4" s="15">
        <v>2019</v>
      </c>
      <c r="K4" s="15">
        <v>2020</v>
      </c>
      <c r="L4" s="15">
        <v>2021</v>
      </c>
      <c r="M4" s="15">
        <v>2022</v>
      </c>
    </row>
    <row r="5" spans="1:16" ht="16.5" customHeight="1" thickTop="1">
      <c r="A5" s="30" t="s">
        <v>43</v>
      </c>
      <c r="B5" s="11"/>
      <c r="C5" s="231">
        <v>319177</v>
      </c>
      <c r="D5" s="231">
        <v>315112</v>
      </c>
      <c r="E5" s="231">
        <v>318886</v>
      </c>
      <c r="F5" s="231">
        <v>321500</v>
      </c>
      <c r="G5" s="231">
        <v>324933</v>
      </c>
      <c r="H5" s="231">
        <v>327295</v>
      </c>
      <c r="I5" s="231">
        <v>330668</v>
      </c>
      <c r="J5" s="231">
        <v>322978</v>
      </c>
      <c r="K5" s="231">
        <v>324959</v>
      </c>
      <c r="L5" s="231">
        <v>318254</v>
      </c>
      <c r="M5" s="231">
        <v>332683</v>
      </c>
    </row>
    <row r="6" spans="1:16" ht="16.5" customHeight="1">
      <c r="A6" s="11" t="s">
        <v>73</v>
      </c>
      <c r="B6" s="30" t="s">
        <v>172</v>
      </c>
      <c r="C6" s="232">
        <v>12737</v>
      </c>
      <c r="D6" s="232">
        <v>13206</v>
      </c>
      <c r="E6" s="232">
        <v>13885</v>
      </c>
      <c r="F6" s="232">
        <v>14286</v>
      </c>
      <c r="G6" s="232">
        <v>14632</v>
      </c>
      <c r="H6" s="232">
        <v>14726</v>
      </c>
      <c r="I6" s="232">
        <v>14824</v>
      </c>
      <c r="J6" s="232">
        <v>14355</v>
      </c>
      <c r="K6" s="232">
        <v>14520</v>
      </c>
      <c r="L6" s="232">
        <v>14031</v>
      </c>
      <c r="M6" s="232">
        <v>14449</v>
      </c>
    </row>
    <row r="7" spans="1:16" ht="12.75" customHeight="1">
      <c r="A7" s="11" t="s">
        <v>74</v>
      </c>
      <c r="B7" s="30" t="s">
        <v>102</v>
      </c>
      <c r="C7" s="232">
        <v>836</v>
      </c>
      <c r="D7" s="232">
        <v>795</v>
      </c>
      <c r="E7" s="232">
        <v>765</v>
      </c>
      <c r="F7" s="232">
        <v>762</v>
      </c>
      <c r="G7" s="232">
        <v>737</v>
      </c>
      <c r="H7" s="232">
        <v>744</v>
      </c>
      <c r="I7" s="232">
        <v>728</v>
      </c>
      <c r="J7" s="232">
        <v>697</v>
      </c>
      <c r="K7" s="232">
        <v>684</v>
      </c>
      <c r="L7" s="232">
        <v>657</v>
      </c>
      <c r="M7" s="232">
        <v>665</v>
      </c>
    </row>
    <row r="8" spans="1:16" ht="12.75" customHeight="1">
      <c r="A8" s="11" t="s">
        <v>75</v>
      </c>
      <c r="B8" s="30" t="s">
        <v>101</v>
      </c>
      <c r="C8" s="232">
        <v>36497</v>
      </c>
      <c r="D8" s="232">
        <v>36152</v>
      </c>
      <c r="E8" s="232">
        <v>36167</v>
      </c>
      <c r="F8" s="232">
        <v>36172</v>
      </c>
      <c r="G8" s="232">
        <v>36485</v>
      </c>
      <c r="H8" s="232">
        <v>36402</v>
      </c>
      <c r="I8" s="232">
        <v>36243</v>
      </c>
      <c r="J8" s="232">
        <v>34835</v>
      </c>
      <c r="K8" s="232">
        <v>34676</v>
      </c>
      <c r="L8" s="232">
        <v>33711</v>
      </c>
      <c r="M8" s="232">
        <v>34690</v>
      </c>
      <c r="O8" s="4">
        <f>+C8/$C$5*100</f>
        <v>11.434721173518142</v>
      </c>
      <c r="P8" s="4">
        <f>+M8/$M$5*100</f>
        <v>10.427343747651669</v>
      </c>
    </row>
    <row r="9" spans="1:16" ht="12.75" customHeight="1">
      <c r="A9" s="83"/>
      <c r="B9" s="10" t="s">
        <v>88</v>
      </c>
      <c r="C9" s="233">
        <v>6519</v>
      </c>
      <c r="D9" s="233">
        <v>6553</v>
      </c>
      <c r="E9" s="233">
        <v>6521</v>
      </c>
      <c r="F9" s="233">
        <v>6422</v>
      </c>
      <c r="G9" s="233">
        <v>6402</v>
      </c>
      <c r="H9" s="233">
        <v>6272</v>
      </c>
      <c r="I9" s="233">
        <v>6097</v>
      </c>
      <c r="J9" s="233">
        <v>5825</v>
      </c>
      <c r="K9" s="233">
        <v>5700</v>
      </c>
      <c r="L9" s="233">
        <v>5473</v>
      </c>
      <c r="M9" s="233">
        <v>5531</v>
      </c>
      <c r="O9" s="4">
        <f>+C9/$C$5*100</f>
        <v>2.0424404014073696</v>
      </c>
      <c r="P9" s="4">
        <f>+M9/$M$5*100</f>
        <v>1.6625436226077077</v>
      </c>
    </row>
    <row r="10" spans="1:16" ht="12.75" customHeight="1">
      <c r="A10" s="83"/>
      <c r="B10" s="10" t="s">
        <v>89</v>
      </c>
      <c r="C10" s="233">
        <v>675</v>
      </c>
      <c r="D10" s="233">
        <v>716</v>
      </c>
      <c r="E10" s="233">
        <v>751</v>
      </c>
      <c r="F10" s="233">
        <v>754</v>
      </c>
      <c r="G10" s="233">
        <v>787</v>
      </c>
      <c r="H10" s="233">
        <v>786</v>
      </c>
      <c r="I10" s="233">
        <v>808</v>
      </c>
      <c r="J10" s="233">
        <v>814</v>
      </c>
      <c r="K10" s="233">
        <v>816</v>
      </c>
      <c r="L10" s="233">
        <v>807</v>
      </c>
      <c r="M10" s="233">
        <v>845</v>
      </c>
    </row>
    <row r="11" spans="1:16" ht="12.75" customHeight="1">
      <c r="A11" s="83"/>
      <c r="B11" s="10" t="s">
        <v>90</v>
      </c>
      <c r="C11" s="233">
        <v>1</v>
      </c>
      <c r="D11" s="233">
        <v>1</v>
      </c>
      <c r="E11" s="233">
        <v>1</v>
      </c>
      <c r="F11" s="233">
        <v>1</v>
      </c>
      <c r="G11" s="233">
        <v>1</v>
      </c>
      <c r="H11" s="233">
        <v>1</v>
      </c>
      <c r="I11" s="233">
        <v>1</v>
      </c>
      <c r="J11" s="233">
        <v>1</v>
      </c>
      <c r="K11" s="233">
        <v>1</v>
      </c>
      <c r="L11" s="233">
        <v>1</v>
      </c>
      <c r="M11" s="233">
        <v>1</v>
      </c>
      <c r="O11" s="4">
        <f>+C11/$C$5*100</f>
        <v>3.1330578331145416E-4</v>
      </c>
      <c r="P11" s="4">
        <f>+M11/$M$5*100</f>
        <v>3.0058644415254161E-4</v>
      </c>
    </row>
    <row r="12" spans="1:16" ht="12.75" customHeight="1">
      <c r="A12" s="83"/>
      <c r="B12" s="10" t="s">
        <v>0</v>
      </c>
      <c r="C12" s="233">
        <v>1676</v>
      </c>
      <c r="D12" s="233">
        <v>1682</v>
      </c>
      <c r="E12" s="233">
        <v>1685</v>
      </c>
      <c r="F12" s="233">
        <v>1709</v>
      </c>
      <c r="G12" s="233">
        <v>1718</v>
      </c>
      <c r="H12" s="233">
        <v>1708</v>
      </c>
      <c r="I12" s="233">
        <v>1697</v>
      </c>
      <c r="J12" s="233">
        <v>1612</v>
      </c>
      <c r="K12" s="233">
        <v>1584</v>
      </c>
      <c r="L12" s="233">
        <v>1562</v>
      </c>
      <c r="M12" s="233">
        <v>1614</v>
      </c>
    </row>
    <row r="13" spans="1:16" ht="12.75" customHeight="1">
      <c r="A13" s="83"/>
      <c r="B13" s="10" t="s">
        <v>91</v>
      </c>
      <c r="C13" s="233">
        <v>3915</v>
      </c>
      <c r="D13" s="233">
        <v>3904</v>
      </c>
      <c r="E13" s="233">
        <v>4042</v>
      </c>
      <c r="F13" s="233">
        <v>4081</v>
      </c>
      <c r="G13" s="233">
        <v>4156</v>
      </c>
      <c r="H13" s="233">
        <v>4122</v>
      </c>
      <c r="I13" s="233">
        <v>3991</v>
      </c>
      <c r="J13" s="233">
        <v>3625</v>
      </c>
      <c r="K13" s="233">
        <v>3528</v>
      </c>
      <c r="L13" s="233">
        <v>3412</v>
      </c>
      <c r="M13" s="233">
        <v>3478</v>
      </c>
    </row>
    <row r="14" spans="1:16" ht="12.75" customHeight="1">
      <c r="A14" s="83"/>
      <c r="B14" s="10" t="s">
        <v>146</v>
      </c>
      <c r="C14" s="233">
        <v>1798</v>
      </c>
      <c r="D14" s="233">
        <v>1896</v>
      </c>
      <c r="E14" s="233">
        <v>1942</v>
      </c>
      <c r="F14" s="233">
        <v>1994</v>
      </c>
      <c r="G14" s="233">
        <v>2022</v>
      </c>
      <c r="H14" s="233">
        <v>1987</v>
      </c>
      <c r="I14" s="233">
        <v>1938</v>
      </c>
      <c r="J14" s="233">
        <v>1745</v>
      </c>
      <c r="K14" s="233">
        <v>1691</v>
      </c>
      <c r="L14" s="233">
        <v>1606</v>
      </c>
      <c r="M14" s="233">
        <v>1675</v>
      </c>
    </row>
    <row r="15" spans="1:16" ht="12.75" customHeight="1">
      <c r="A15" s="83"/>
      <c r="B15" s="10" t="s">
        <v>147</v>
      </c>
      <c r="C15" s="233">
        <v>2430</v>
      </c>
      <c r="D15" s="233">
        <v>2320</v>
      </c>
      <c r="E15" s="233">
        <v>2285</v>
      </c>
      <c r="F15" s="233">
        <v>2267</v>
      </c>
      <c r="G15" s="233">
        <v>2256</v>
      </c>
      <c r="H15" s="233">
        <v>2214</v>
      </c>
      <c r="I15" s="233">
        <v>2223</v>
      </c>
      <c r="J15" s="233">
        <v>2164</v>
      </c>
      <c r="K15" s="233">
        <v>2140</v>
      </c>
      <c r="L15" s="233">
        <v>2069</v>
      </c>
      <c r="M15" s="233">
        <v>2125</v>
      </c>
    </row>
    <row r="16" spans="1:16" ht="12.75" customHeight="1">
      <c r="A16" s="83"/>
      <c r="B16" s="10" t="s">
        <v>148</v>
      </c>
      <c r="C16" s="233">
        <v>341</v>
      </c>
      <c r="D16" s="233">
        <v>340</v>
      </c>
      <c r="E16" s="233">
        <v>339</v>
      </c>
      <c r="F16" s="233">
        <v>344</v>
      </c>
      <c r="G16" s="233">
        <v>347</v>
      </c>
      <c r="H16" s="233">
        <v>337</v>
      </c>
      <c r="I16" s="233">
        <v>353</v>
      </c>
      <c r="J16" s="233">
        <v>365</v>
      </c>
      <c r="K16" s="233">
        <v>371</v>
      </c>
      <c r="L16" s="233">
        <v>365</v>
      </c>
      <c r="M16" s="233">
        <v>366</v>
      </c>
    </row>
    <row r="17" spans="1:13" ht="12.75" customHeight="1">
      <c r="A17" s="83"/>
      <c r="B17" s="10" t="s">
        <v>149</v>
      </c>
      <c r="C17" s="233">
        <v>1448</v>
      </c>
      <c r="D17" s="233">
        <v>1389</v>
      </c>
      <c r="E17" s="233">
        <v>1375</v>
      </c>
      <c r="F17" s="233">
        <v>1337</v>
      </c>
      <c r="G17" s="233">
        <v>1309</v>
      </c>
      <c r="H17" s="233">
        <v>1301</v>
      </c>
      <c r="I17" s="233">
        <v>1270</v>
      </c>
      <c r="J17" s="233">
        <v>1195</v>
      </c>
      <c r="K17" s="233">
        <v>1168</v>
      </c>
      <c r="L17" s="233">
        <v>1106</v>
      </c>
      <c r="M17" s="233">
        <v>1134</v>
      </c>
    </row>
    <row r="18" spans="1:13" ht="12.75" customHeight="1">
      <c r="A18" s="83"/>
      <c r="B18" s="10" t="s">
        <v>150</v>
      </c>
      <c r="C18" s="233">
        <v>18</v>
      </c>
      <c r="D18" s="233">
        <v>18</v>
      </c>
      <c r="E18" s="233">
        <v>17</v>
      </c>
      <c r="F18" s="233">
        <v>15</v>
      </c>
      <c r="G18" s="233">
        <v>20</v>
      </c>
      <c r="H18" s="233">
        <v>19</v>
      </c>
      <c r="I18" s="233">
        <v>20</v>
      </c>
      <c r="J18" s="233">
        <v>22</v>
      </c>
      <c r="K18" s="233">
        <v>19</v>
      </c>
      <c r="L18" s="233">
        <v>18</v>
      </c>
      <c r="M18" s="233">
        <v>21</v>
      </c>
    </row>
    <row r="19" spans="1:13" ht="12.75" customHeight="1">
      <c r="A19" s="83"/>
      <c r="B19" s="10" t="s">
        <v>151</v>
      </c>
      <c r="C19" s="233">
        <v>687</v>
      </c>
      <c r="D19" s="233">
        <v>684</v>
      </c>
      <c r="E19" s="233">
        <v>704</v>
      </c>
      <c r="F19" s="233">
        <v>684</v>
      </c>
      <c r="G19" s="233">
        <v>687</v>
      </c>
      <c r="H19" s="233">
        <v>677</v>
      </c>
      <c r="I19" s="233">
        <v>684</v>
      </c>
      <c r="J19" s="233">
        <v>649</v>
      </c>
      <c r="K19" s="233">
        <v>650</v>
      </c>
      <c r="L19" s="233">
        <v>662</v>
      </c>
      <c r="M19" s="233">
        <v>661</v>
      </c>
    </row>
    <row r="20" spans="1:13" ht="12.75" customHeight="1">
      <c r="A20" s="83"/>
      <c r="B20" s="10" t="s">
        <v>160</v>
      </c>
      <c r="C20" s="233">
        <v>111</v>
      </c>
      <c r="D20" s="233">
        <v>114</v>
      </c>
      <c r="E20" s="233">
        <v>116</v>
      </c>
      <c r="F20" s="233">
        <v>110</v>
      </c>
      <c r="G20" s="233">
        <v>109</v>
      </c>
      <c r="H20" s="233">
        <v>114</v>
      </c>
      <c r="I20" s="233">
        <v>108</v>
      </c>
      <c r="J20" s="233">
        <v>114</v>
      </c>
      <c r="K20" s="233">
        <v>115</v>
      </c>
      <c r="L20" s="233">
        <v>126</v>
      </c>
      <c r="M20" s="233">
        <v>138</v>
      </c>
    </row>
    <row r="21" spans="1:13" ht="12.75" customHeight="1">
      <c r="A21" s="83"/>
      <c r="B21" s="10" t="s">
        <v>152</v>
      </c>
      <c r="C21" s="233">
        <v>790</v>
      </c>
      <c r="D21" s="233">
        <v>781</v>
      </c>
      <c r="E21" s="233">
        <v>790</v>
      </c>
      <c r="F21" s="233">
        <v>807</v>
      </c>
      <c r="G21" s="233">
        <v>827</v>
      </c>
      <c r="H21" s="233">
        <v>826</v>
      </c>
      <c r="I21" s="233">
        <v>820</v>
      </c>
      <c r="J21" s="233">
        <v>830</v>
      </c>
      <c r="K21" s="233">
        <v>840</v>
      </c>
      <c r="L21" s="233">
        <v>815</v>
      </c>
      <c r="M21" s="233">
        <v>813</v>
      </c>
    </row>
    <row r="22" spans="1:13" ht="12.75" customHeight="1">
      <c r="A22" s="83"/>
      <c r="B22" s="10" t="s">
        <v>159</v>
      </c>
      <c r="C22" s="233">
        <v>2543</v>
      </c>
      <c r="D22" s="233">
        <v>2396</v>
      </c>
      <c r="E22" s="233">
        <v>2344</v>
      </c>
      <c r="F22" s="233">
        <v>2293</v>
      </c>
      <c r="G22" s="233">
        <v>2288</v>
      </c>
      <c r="H22" s="233">
        <v>2298</v>
      </c>
      <c r="I22" s="233">
        <v>2261</v>
      </c>
      <c r="J22" s="233">
        <v>2169</v>
      </c>
      <c r="K22" s="233">
        <v>2185</v>
      </c>
      <c r="L22" s="233">
        <v>2158</v>
      </c>
      <c r="M22" s="233">
        <v>2197</v>
      </c>
    </row>
    <row r="23" spans="1:13" ht="12.75" customHeight="1">
      <c r="A23" s="83"/>
      <c r="B23" s="10" t="s">
        <v>92</v>
      </c>
      <c r="C23" s="233">
        <v>268</v>
      </c>
      <c r="D23" s="233">
        <v>258</v>
      </c>
      <c r="E23" s="233">
        <v>247</v>
      </c>
      <c r="F23" s="233">
        <v>240</v>
      </c>
      <c r="G23" s="233">
        <v>230</v>
      </c>
      <c r="H23" s="233">
        <v>231</v>
      </c>
      <c r="I23" s="233">
        <v>227</v>
      </c>
      <c r="J23" s="233">
        <v>259</v>
      </c>
      <c r="K23" s="233">
        <v>257</v>
      </c>
      <c r="L23" s="233">
        <v>260</v>
      </c>
      <c r="M23" s="233">
        <v>256</v>
      </c>
    </row>
    <row r="24" spans="1:13" ht="12.75" customHeight="1">
      <c r="A24" s="83"/>
      <c r="B24" s="10" t="s">
        <v>157</v>
      </c>
      <c r="C24" s="233">
        <v>5924</v>
      </c>
      <c r="D24" s="233">
        <v>5850</v>
      </c>
      <c r="E24" s="233">
        <v>5848</v>
      </c>
      <c r="F24" s="233">
        <v>5854</v>
      </c>
      <c r="G24" s="233">
        <v>5995</v>
      </c>
      <c r="H24" s="233">
        <v>6066</v>
      </c>
      <c r="I24" s="233">
        <v>6195</v>
      </c>
      <c r="J24" s="233">
        <v>6111</v>
      </c>
      <c r="K24" s="233">
        <v>6199</v>
      </c>
      <c r="L24" s="233">
        <v>6051</v>
      </c>
      <c r="M24" s="233">
        <v>6325</v>
      </c>
    </row>
    <row r="25" spans="1:13" ht="12.75" customHeight="1">
      <c r="A25" s="83"/>
      <c r="B25" s="10" t="s">
        <v>158</v>
      </c>
      <c r="C25" s="233">
        <v>175</v>
      </c>
      <c r="D25" s="233">
        <v>170</v>
      </c>
      <c r="E25" s="233">
        <v>187</v>
      </c>
      <c r="F25" s="233">
        <v>174</v>
      </c>
      <c r="G25" s="233">
        <v>176</v>
      </c>
      <c r="H25" s="233">
        <v>184</v>
      </c>
      <c r="I25" s="233">
        <v>190</v>
      </c>
      <c r="J25" s="233">
        <v>188</v>
      </c>
      <c r="K25" s="233">
        <v>190</v>
      </c>
      <c r="L25" s="233">
        <v>190</v>
      </c>
      <c r="M25" s="233">
        <v>203</v>
      </c>
    </row>
    <row r="26" spans="1:13" ht="12.75" customHeight="1">
      <c r="A26" s="83"/>
      <c r="B26" s="10" t="s">
        <v>153</v>
      </c>
      <c r="C26" s="233">
        <v>421</v>
      </c>
      <c r="D26" s="233">
        <v>431</v>
      </c>
      <c r="E26" s="233">
        <v>408</v>
      </c>
      <c r="F26" s="233">
        <v>393</v>
      </c>
      <c r="G26" s="233">
        <v>383</v>
      </c>
      <c r="H26" s="233">
        <v>383</v>
      </c>
      <c r="I26" s="233">
        <v>389</v>
      </c>
      <c r="J26" s="233">
        <v>364</v>
      </c>
      <c r="K26" s="233">
        <v>369</v>
      </c>
      <c r="L26" s="233">
        <v>353</v>
      </c>
      <c r="M26" s="233">
        <v>368</v>
      </c>
    </row>
    <row r="27" spans="1:13" ht="12.75" customHeight="1">
      <c r="A27" s="83"/>
      <c r="B27" s="10" t="s">
        <v>161</v>
      </c>
      <c r="C27" s="233">
        <v>1042</v>
      </c>
      <c r="D27" s="233">
        <v>1027</v>
      </c>
      <c r="E27" s="233">
        <v>1028</v>
      </c>
      <c r="F27" s="233">
        <v>1052</v>
      </c>
      <c r="G27" s="233">
        <v>1071</v>
      </c>
      <c r="H27" s="233">
        <v>1058</v>
      </c>
      <c r="I27" s="233">
        <v>1052</v>
      </c>
      <c r="J27" s="233">
        <v>1025</v>
      </c>
      <c r="K27" s="233">
        <v>1033</v>
      </c>
      <c r="L27" s="233">
        <v>993</v>
      </c>
      <c r="M27" s="233">
        <v>1010</v>
      </c>
    </row>
    <row r="28" spans="1:13" ht="12.75" customHeight="1">
      <c r="A28" s="83"/>
      <c r="B28" s="10" t="s">
        <v>154</v>
      </c>
      <c r="C28" s="233">
        <v>369</v>
      </c>
      <c r="D28" s="233">
        <v>363</v>
      </c>
      <c r="E28" s="233">
        <v>367</v>
      </c>
      <c r="F28" s="233">
        <v>379</v>
      </c>
      <c r="G28" s="233">
        <v>388</v>
      </c>
      <c r="H28" s="233">
        <v>392</v>
      </c>
      <c r="I28" s="233">
        <v>408</v>
      </c>
      <c r="J28" s="233">
        <v>378</v>
      </c>
      <c r="K28" s="233">
        <v>380</v>
      </c>
      <c r="L28" s="233">
        <v>371</v>
      </c>
      <c r="M28" s="233">
        <v>382</v>
      </c>
    </row>
    <row r="29" spans="1:13" ht="12.75" customHeight="1">
      <c r="A29" s="83"/>
      <c r="B29" s="10" t="s">
        <v>162</v>
      </c>
      <c r="C29" s="233">
        <v>123</v>
      </c>
      <c r="D29" s="233">
        <v>129</v>
      </c>
      <c r="E29" s="233">
        <v>125</v>
      </c>
      <c r="F29" s="233">
        <v>127</v>
      </c>
      <c r="G29" s="233">
        <v>137</v>
      </c>
      <c r="H29" s="233">
        <v>148</v>
      </c>
      <c r="I29" s="233">
        <v>139</v>
      </c>
      <c r="J29" s="233">
        <v>141</v>
      </c>
      <c r="K29" s="233">
        <v>145</v>
      </c>
      <c r="L29" s="233">
        <v>151</v>
      </c>
      <c r="M29" s="233">
        <v>162</v>
      </c>
    </row>
    <row r="30" spans="1:13" ht="12.75" customHeight="1">
      <c r="A30" s="83"/>
      <c r="B30" s="10" t="s">
        <v>155</v>
      </c>
      <c r="C30" s="233">
        <v>2627</v>
      </c>
      <c r="D30" s="233">
        <v>2489</v>
      </c>
      <c r="E30" s="233">
        <v>2433</v>
      </c>
      <c r="F30" s="233">
        <v>2442</v>
      </c>
      <c r="G30" s="233">
        <v>2444</v>
      </c>
      <c r="H30" s="233">
        <v>2501</v>
      </c>
      <c r="I30" s="233">
        <v>2512</v>
      </c>
      <c r="J30" s="233">
        <v>2452</v>
      </c>
      <c r="K30" s="233">
        <v>2459</v>
      </c>
      <c r="L30" s="233">
        <v>2386</v>
      </c>
      <c r="M30" s="233">
        <v>2469</v>
      </c>
    </row>
    <row r="31" spans="1:13" ht="12.75" customHeight="1">
      <c r="A31" s="83"/>
      <c r="B31" s="10" t="s">
        <v>156</v>
      </c>
      <c r="C31" s="233">
        <v>1074</v>
      </c>
      <c r="D31" s="233">
        <v>1084</v>
      </c>
      <c r="E31" s="233">
        <v>1099</v>
      </c>
      <c r="F31" s="233">
        <v>1115</v>
      </c>
      <c r="G31" s="233">
        <v>1112</v>
      </c>
      <c r="H31" s="233">
        <v>1122</v>
      </c>
      <c r="I31" s="233">
        <v>1123</v>
      </c>
      <c r="J31" s="233">
        <v>1077</v>
      </c>
      <c r="K31" s="233">
        <v>1092</v>
      </c>
      <c r="L31" s="233">
        <v>1030</v>
      </c>
      <c r="M31" s="233">
        <v>1090</v>
      </c>
    </row>
    <row r="32" spans="1:13" ht="12.75" customHeight="1">
      <c r="A32" s="83"/>
      <c r="B32" s="10" t="s">
        <v>163</v>
      </c>
      <c r="C32" s="233">
        <v>1522</v>
      </c>
      <c r="D32" s="233">
        <v>1557</v>
      </c>
      <c r="E32" s="233">
        <v>1513</v>
      </c>
      <c r="F32" s="233">
        <v>1578</v>
      </c>
      <c r="G32" s="233">
        <v>1620</v>
      </c>
      <c r="H32" s="233">
        <v>1655</v>
      </c>
      <c r="I32" s="233">
        <v>1737</v>
      </c>
      <c r="J32" s="233">
        <v>1710</v>
      </c>
      <c r="K32" s="233">
        <v>1744</v>
      </c>
      <c r="L32" s="233">
        <v>1746</v>
      </c>
      <c r="M32" s="233">
        <v>1826</v>
      </c>
    </row>
    <row r="33" spans="1:16" ht="16.5" customHeight="1">
      <c r="A33" s="11" t="s">
        <v>76</v>
      </c>
      <c r="B33" s="30" t="s">
        <v>164</v>
      </c>
      <c r="C33" s="232">
        <v>409</v>
      </c>
      <c r="D33" s="232">
        <v>394</v>
      </c>
      <c r="E33" s="232">
        <v>409</v>
      </c>
      <c r="F33" s="232">
        <v>429</v>
      </c>
      <c r="G33" s="232">
        <v>412</v>
      </c>
      <c r="H33" s="232">
        <v>403</v>
      </c>
      <c r="I33" s="232">
        <v>388</v>
      </c>
      <c r="J33" s="232">
        <v>385</v>
      </c>
      <c r="K33" s="232">
        <v>391</v>
      </c>
      <c r="L33" s="232">
        <v>387</v>
      </c>
      <c r="M33" s="232">
        <v>394</v>
      </c>
    </row>
    <row r="34" spans="1:16" ht="12.75" customHeight="1">
      <c r="A34" s="11" t="s">
        <v>77</v>
      </c>
      <c r="B34" s="30" t="s">
        <v>173</v>
      </c>
      <c r="C34" s="232">
        <v>1220</v>
      </c>
      <c r="D34" s="232">
        <v>1177</v>
      </c>
      <c r="E34" s="232">
        <v>1146</v>
      </c>
      <c r="F34" s="232">
        <v>1088</v>
      </c>
      <c r="G34" s="232">
        <v>1094</v>
      </c>
      <c r="H34" s="232">
        <v>1101</v>
      </c>
      <c r="I34" s="232">
        <v>1095</v>
      </c>
      <c r="J34" s="232">
        <v>1141</v>
      </c>
      <c r="K34" s="232">
        <v>1231</v>
      </c>
      <c r="L34" s="232">
        <v>1253</v>
      </c>
      <c r="M34" s="232">
        <v>1259</v>
      </c>
    </row>
    <row r="35" spans="1:16" ht="12.75" customHeight="1">
      <c r="A35" s="11" t="s">
        <v>78</v>
      </c>
      <c r="B35" s="30" t="s">
        <v>79</v>
      </c>
      <c r="C35" s="232">
        <v>30934</v>
      </c>
      <c r="D35" s="232">
        <v>28828</v>
      </c>
      <c r="E35" s="232">
        <v>28421</v>
      </c>
      <c r="F35" s="232">
        <v>28140</v>
      </c>
      <c r="G35" s="232">
        <v>28678</v>
      </c>
      <c r="H35" s="232">
        <v>29363</v>
      </c>
      <c r="I35" s="232">
        <v>30329</v>
      </c>
      <c r="J35" s="232">
        <v>30816</v>
      </c>
      <c r="K35" s="232">
        <v>32069</v>
      </c>
      <c r="L35" s="232">
        <v>32036</v>
      </c>
      <c r="M35" s="232">
        <v>34322</v>
      </c>
      <c r="O35" s="4">
        <f>+C35/$C$5*100</f>
        <v>9.691801100956523</v>
      </c>
      <c r="P35" s="4">
        <f>+M35/$M$5*100</f>
        <v>10.316727936203533</v>
      </c>
    </row>
    <row r="36" spans="1:16" ht="12.75" customHeight="1">
      <c r="A36" s="11" t="s">
        <v>80</v>
      </c>
      <c r="B36" s="30" t="s">
        <v>174</v>
      </c>
      <c r="C36" s="232">
        <v>95848</v>
      </c>
      <c r="D36" s="232">
        <v>94026</v>
      </c>
      <c r="E36" s="232">
        <v>94440</v>
      </c>
      <c r="F36" s="232">
        <v>94937</v>
      </c>
      <c r="G36" s="232">
        <v>94933</v>
      </c>
      <c r="H36" s="232">
        <v>94292</v>
      </c>
      <c r="I36" s="232">
        <v>93805</v>
      </c>
      <c r="J36" s="232">
        <v>90517</v>
      </c>
      <c r="K36" s="232">
        <v>89750</v>
      </c>
      <c r="L36" s="232">
        <v>87838</v>
      </c>
      <c r="M36" s="232">
        <v>90136</v>
      </c>
      <c r="O36" s="4">
        <f>+C36/$C$5*100</f>
        <v>30.029732718836254</v>
      </c>
      <c r="P36" s="4">
        <f>+M36/$M$5*100</f>
        <v>27.093659730133488</v>
      </c>
    </row>
    <row r="37" spans="1:16" ht="12.75" customHeight="1">
      <c r="A37" s="11" t="s">
        <v>53</v>
      </c>
      <c r="B37" s="30" t="s">
        <v>93</v>
      </c>
      <c r="C37" s="232">
        <v>12979</v>
      </c>
      <c r="D37" s="232">
        <v>12579</v>
      </c>
      <c r="E37" s="232">
        <v>12572</v>
      </c>
      <c r="F37" s="232">
        <v>12496</v>
      </c>
      <c r="G37" s="232">
        <v>12468</v>
      </c>
      <c r="H37" s="232">
        <v>12539</v>
      </c>
      <c r="I37" s="232">
        <v>12486</v>
      </c>
      <c r="J37" s="232">
        <v>12253</v>
      </c>
      <c r="K37" s="232">
        <v>12258</v>
      </c>
      <c r="L37" s="232">
        <v>11760</v>
      </c>
      <c r="M37" s="232">
        <v>12360</v>
      </c>
    </row>
    <row r="38" spans="1:16" ht="12.75" customHeight="1">
      <c r="A38" s="11" t="s">
        <v>10</v>
      </c>
      <c r="B38" s="30" t="s">
        <v>165</v>
      </c>
      <c r="C38" s="232">
        <v>34027</v>
      </c>
      <c r="D38" s="232">
        <v>33970</v>
      </c>
      <c r="E38" s="232">
        <v>34983</v>
      </c>
      <c r="F38" s="232">
        <v>36106</v>
      </c>
      <c r="G38" s="232">
        <v>37220</v>
      </c>
      <c r="H38" s="232">
        <v>38276</v>
      </c>
      <c r="I38" s="232">
        <v>39308</v>
      </c>
      <c r="J38" s="232">
        <v>38184</v>
      </c>
      <c r="K38" s="232">
        <v>37633</v>
      </c>
      <c r="L38" s="232">
        <v>36899</v>
      </c>
      <c r="M38" s="232">
        <v>39006</v>
      </c>
      <c r="O38" s="4">
        <f>+C38/$C$5*100</f>
        <v>10.660855888738849</v>
      </c>
      <c r="P38" s="4">
        <f>+M38/$M$5*100</f>
        <v>11.724674840614039</v>
      </c>
    </row>
    <row r="39" spans="1:16" ht="12.75" customHeight="1">
      <c r="A39" s="11" t="s">
        <v>81</v>
      </c>
      <c r="B39" s="30" t="s">
        <v>171</v>
      </c>
      <c r="C39" s="232">
        <v>4874</v>
      </c>
      <c r="D39" s="232">
        <v>5148</v>
      </c>
      <c r="E39" s="232">
        <v>5434</v>
      </c>
      <c r="F39" s="232">
        <v>5478</v>
      </c>
      <c r="G39" s="232">
        <v>5601</v>
      </c>
      <c r="H39" s="232">
        <v>5842</v>
      </c>
      <c r="I39" s="232">
        <v>6025</v>
      </c>
      <c r="J39" s="232">
        <v>6100</v>
      </c>
      <c r="K39" s="232">
        <v>6379</v>
      </c>
      <c r="L39" s="232">
        <v>6485</v>
      </c>
      <c r="M39" s="232">
        <v>7163</v>
      </c>
    </row>
    <row r="40" spans="1:16" ht="12.75" customHeight="1">
      <c r="A40" s="11" t="s">
        <v>82</v>
      </c>
      <c r="B40" s="30" t="s">
        <v>166</v>
      </c>
      <c r="C40" s="232">
        <v>10322</v>
      </c>
      <c r="D40" s="232">
        <v>10077</v>
      </c>
      <c r="E40" s="232">
        <v>9931</v>
      </c>
      <c r="F40" s="232">
        <v>9555</v>
      </c>
      <c r="G40" s="232">
        <v>9207</v>
      </c>
      <c r="H40" s="232">
        <v>8732</v>
      </c>
      <c r="I40" s="232">
        <v>8475</v>
      </c>
      <c r="J40" s="232">
        <v>7752</v>
      </c>
      <c r="K40" s="232">
        <v>8108</v>
      </c>
      <c r="L40" s="232">
        <v>7672</v>
      </c>
      <c r="M40" s="232">
        <v>7674</v>
      </c>
    </row>
    <row r="41" spans="1:16" ht="12.75" customHeight="1">
      <c r="A41" s="11" t="s">
        <v>83</v>
      </c>
      <c r="B41" s="30" t="s">
        <v>103</v>
      </c>
      <c r="C41" s="232">
        <v>6535</v>
      </c>
      <c r="D41" s="232">
        <v>6341</v>
      </c>
      <c r="E41" s="232">
        <v>6647</v>
      </c>
      <c r="F41" s="232">
        <v>6971</v>
      </c>
      <c r="G41" s="232">
        <v>7401</v>
      </c>
      <c r="H41" s="232">
        <v>8035</v>
      </c>
      <c r="I41" s="232">
        <v>8846</v>
      </c>
      <c r="J41" s="232">
        <v>9215</v>
      </c>
      <c r="K41" s="232">
        <v>9861</v>
      </c>
      <c r="L41" s="232">
        <v>10096</v>
      </c>
      <c r="M41" s="232">
        <v>10812</v>
      </c>
    </row>
    <row r="42" spans="1:16" ht="12.75" customHeight="1">
      <c r="A42" s="11" t="s">
        <v>54</v>
      </c>
      <c r="B42" s="30" t="s">
        <v>175</v>
      </c>
      <c r="C42" s="232">
        <v>21694</v>
      </c>
      <c r="D42" s="232">
        <v>21901</v>
      </c>
      <c r="E42" s="232">
        <v>22569</v>
      </c>
      <c r="F42" s="232">
        <v>22865</v>
      </c>
      <c r="G42" s="232">
        <v>23189</v>
      </c>
      <c r="H42" s="232">
        <v>23749</v>
      </c>
      <c r="I42" s="232">
        <v>24467</v>
      </c>
      <c r="J42" s="232">
        <v>24250</v>
      </c>
      <c r="K42" s="232">
        <v>24826</v>
      </c>
      <c r="L42" s="232">
        <v>24675</v>
      </c>
      <c r="M42" s="232">
        <v>25874</v>
      </c>
    </row>
    <row r="43" spans="1:16" ht="12.75" customHeight="1">
      <c r="A43" s="11" t="s">
        <v>85</v>
      </c>
      <c r="B43" s="30" t="s">
        <v>169</v>
      </c>
      <c r="C43" s="232">
        <v>8740</v>
      </c>
      <c r="D43" s="232">
        <v>8739</v>
      </c>
      <c r="E43" s="232">
        <v>8861</v>
      </c>
      <c r="F43" s="232">
        <v>8995</v>
      </c>
      <c r="G43" s="232">
        <v>9301</v>
      </c>
      <c r="H43" s="232">
        <v>9347</v>
      </c>
      <c r="I43" s="232">
        <v>9298</v>
      </c>
      <c r="J43" s="232">
        <v>9391</v>
      </c>
      <c r="K43" s="232">
        <v>9385</v>
      </c>
      <c r="L43" s="232">
        <v>8843</v>
      </c>
      <c r="M43" s="232">
        <v>9894</v>
      </c>
    </row>
    <row r="44" spans="1:16" ht="12.75" customHeight="1">
      <c r="A44" s="11" t="s">
        <v>86</v>
      </c>
      <c r="B44" s="30" t="s">
        <v>170</v>
      </c>
      <c r="C44" s="232">
        <v>739</v>
      </c>
      <c r="D44" s="232">
        <v>683</v>
      </c>
      <c r="E44" s="232">
        <v>686</v>
      </c>
      <c r="F44" s="232">
        <v>660</v>
      </c>
      <c r="G44" s="232">
        <v>627</v>
      </c>
      <c r="H44" s="232">
        <v>630</v>
      </c>
      <c r="I44" s="232">
        <v>601</v>
      </c>
      <c r="J44" s="232">
        <v>613</v>
      </c>
      <c r="K44" s="232">
        <v>624</v>
      </c>
      <c r="L44" s="232">
        <v>590</v>
      </c>
      <c r="M44" s="232">
        <v>574</v>
      </c>
    </row>
    <row r="45" spans="1:16" ht="12.75" customHeight="1">
      <c r="A45" s="11" t="s">
        <v>94</v>
      </c>
      <c r="B45" s="30" t="s">
        <v>84</v>
      </c>
      <c r="C45" s="232">
        <v>4322</v>
      </c>
      <c r="D45" s="232">
        <v>4337</v>
      </c>
      <c r="E45" s="232">
        <v>4573</v>
      </c>
      <c r="F45" s="232">
        <v>4701</v>
      </c>
      <c r="G45" s="232">
        <v>4675</v>
      </c>
      <c r="H45" s="232">
        <v>4647</v>
      </c>
      <c r="I45" s="232">
        <v>4681</v>
      </c>
      <c r="J45" s="232">
        <v>4531</v>
      </c>
      <c r="K45" s="232">
        <v>4576</v>
      </c>
      <c r="L45" s="232">
        <v>4414</v>
      </c>
      <c r="M45" s="232">
        <v>4635</v>
      </c>
    </row>
    <row r="46" spans="1:16" ht="12.75" customHeight="1">
      <c r="A46" s="11" t="s">
        <v>87</v>
      </c>
      <c r="B46" s="30" t="s">
        <v>141</v>
      </c>
      <c r="C46" s="232">
        <v>17808</v>
      </c>
      <c r="D46" s="232">
        <v>18120</v>
      </c>
      <c r="E46" s="232">
        <v>18418</v>
      </c>
      <c r="F46" s="232">
        <v>18727</v>
      </c>
      <c r="G46" s="232">
        <v>19044</v>
      </c>
      <c r="H46" s="232">
        <v>19162</v>
      </c>
      <c r="I46" s="232">
        <v>19323</v>
      </c>
      <c r="J46" s="232">
        <v>19089</v>
      </c>
      <c r="K46" s="232">
        <v>19487</v>
      </c>
      <c r="L46" s="232">
        <v>19087</v>
      </c>
      <c r="M46" s="232">
        <v>20082</v>
      </c>
    </row>
    <row r="47" spans="1:16" ht="12.75" customHeight="1">
      <c r="A47" s="11" t="s">
        <v>95</v>
      </c>
      <c r="B47" s="30" t="s">
        <v>167</v>
      </c>
      <c r="C47" s="232">
        <v>3164</v>
      </c>
      <c r="D47" s="232">
        <v>3274</v>
      </c>
      <c r="E47" s="232">
        <v>3448</v>
      </c>
      <c r="F47" s="232">
        <v>3581</v>
      </c>
      <c r="G47" s="232">
        <v>3745</v>
      </c>
      <c r="H47" s="232">
        <v>3985</v>
      </c>
      <c r="I47" s="232">
        <v>4371</v>
      </c>
      <c r="J47" s="232">
        <v>4404</v>
      </c>
      <c r="K47" s="232">
        <v>4397</v>
      </c>
      <c r="L47" s="232">
        <v>4424</v>
      </c>
      <c r="M47" s="232">
        <v>4761</v>
      </c>
    </row>
    <row r="48" spans="1:16" ht="12.75" customHeight="1">
      <c r="A48" s="11" t="s">
        <v>96</v>
      </c>
      <c r="B48" s="30" t="s">
        <v>104</v>
      </c>
      <c r="C48" s="232">
        <v>15483</v>
      </c>
      <c r="D48" s="232">
        <v>15353</v>
      </c>
      <c r="E48" s="232">
        <v>15515</v>
      </c>
      <c r="F48" s="232">
        <v>15537</v>
      </c>
      <c r="G48" s="232">
        <v>15467</v>
      </c>
      <c r="H48" s="232">
        <v>15306</v>
      </c>
      <c r="I48" s="232">
        <v>15360</v>
      </c>
      <c r="J48" s="232">
        <v>14434</v>
      </c>
      <c r="K48" s="232">
        <v>14086</v>
      </c>
      <c r="L48" s="232">
        <v>13379</v>
      </c>
      <c r="M48" s="232">
        <v>13917</v>
      </c>
    </row>
    <row r="49" spans="1:13" ht="12.75" customHeight="1">
      <c r="A49" s="32" t="s">
        <v>97</v>
      </c>
      <c r="B49" s="33" t="s">
        <v>168</v>
      </c>
      <c r="C49" s="234">
        <v>9</v>
      </c>
      <c r="D49" s="234">
        <v>12</v>
      </c>
      <c r="E49" s="234">
        <v>16</v>
      </c>
      <c r="F49" s="234">
        <v>14</v>
      </c>
      <c r="G49" s="234">
        <v>17</v>
      </c>
      <c r="H49" s="234">
        <v>14</v>
      </c>
      <c r="I49" s="234">
        <v>15</v>
      </c>
      <c r="J49" s="234">
        <v>16</v>
      </c>
      <c r="K49" s="234">
        <v>18</v>
      </c>
      <c r="L49" s="234">
        <v>17</v>
      </c>
      <c r="M49" s="234">
        <v>16</v>
      </c>
    </row>
    <row r="50" spans="1:13">
      <c r="A50" s="20" t="s">
        <v>139</v>
      </c>
      <c r="B50" s="10"/>
      <c r="D50" s="4"/>
      <c r="E50" s="4"/>
      <c r="F50" s="29"/>
      <c r="G50" s="29"/>
      <c r="H50" s="29"/>
      <c r="I50" s="29"/>
      <c r="J50" s="29"/>
      <c r="K50" s="29"/>
      <c r="L50" s="29"/>
      <c r="M50" s="29"/>
    </row>
    <row r="51" spans="1:13" ht="20.25" customHeight="1">
      <c r="B51" s="145"/>
    </row>
  </sheetData>
  <mergeCells count="1">
    <mergeCell ref="A1:M1"/>
  </mergeCells>
  <phoneticPr fontId="25" type="noConversion"/>
  <conditionalFormatting sqref="C5:J49">
    <cfRule type="cellIs" dxfId="61" priority="17" operator="equal">
      <formula>0</formula>
    </cfRule>
  </conditionalFormatting>
  <conditionalFormatting sqref="F50:J50">
    <cfRule type="cellIs" dxfId="60" priority="7" operator="equal">
      <formula>0</formula>
    </cfRule>
  </conditionalFormatting>
  <conditionalFormatting sqref="K5:M50">
    <cfRule type="cellIs" dxfId="59"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96" orientation="portrait" r:id="rId1"/>
  <headerFooter>
    <oddHeader xml:space="preserve">&amp;C&amp;G
</oddHead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811">
    <tabColor indexed="24"/>
    <pageSetUpPr fitToPage="1"/>
  </sheetPr>
  <dimension ref="A1:N29"/>
  <sheetViews>
    <sheetView showGridLines="0" workbookViewId="0">
      <selection activeCell="K42" sqref="K42"/>
    </sheetView>
  </sheetViews>
  <sheetFormatPr defaultColWidth="9.140625" defaultRowHeight="11.25"/>
  <cols>
    <col min="1" max="1" width="17.140625" style="8" customWidth="1"/>
    <col min="2" max="12" width="7.5703125" style="8" customWidth="1"/>
    <col min="13" max="16384" width="9.140625" style="8"/>
  </cols>
  <sheetData>
    <row r="1" spans="1:14" s="21" customFormat="1" ht="28.5" customHeight="1">
      <c r="A1" s="614" t="s">
        <v>196</v>
      </c>
      <c r="B1" s="614"/>
      <c r="C1" s="614"/>
      <c r="D1" s="614"/>
      <c r="E1" s="614"/>
      <c r="F1" s="614"/>
      <c r="G1" s="614"/>
      <c r="H1" s="614"/>
      <c r="I1" s="614"/>
      <c r="J1" s="614"/>
      <c r="K1" s="614"/>
      <c r="L1" s="614"/>
    </row>
    <row r="2" spans="1:14" ht="15" customHeight="1">
      <c r="A2" s="22"/>
      <c r="B2" s="22"/>
      <c r="C2" s="110"/>
      <c r="D2" s="110"/>
      <c r="E2" s="110"/>
      <c r="F2" s="110"/>
      <c r="G2" s="110"/>
      <c r="H2" s="110"/>
      <c r="I2" s="110"/>
      <c r="J2" s="110"/>
      <c r="K2" s="110"/>
      <c r="L2" s="110"/>
    </row>
    <row r="3" spans="1:14" ht="15" customHeight="1">
      <c r="A3" s="23" t="s">
        <v>14</v>
      </c>
      <c r="B3" s="22"/>
      <c r="C3" s="110"/>
      <c r="D3" s="110"/>
      <c r="E3" s="110"/>
      <c r="F3" s="110"/>
      <c r="G3" s="110"/>
      <c r="H3" s="110"/>
      <c r="I3" s="110"/>
      <c r="J3" s="110"/>
      <c r="K3" s="110"/>
      <c r="L3" s="110"/>
    </row>
    <row r="4" spans="1:14" ht="28.5" customHeight="1" thickBot="1">
      <c r="A4" s="24"/>
      <c r="B4" s="24">
        <v>2012</v>
      </c>
      <c r="C4" s="24">
        <v>2013</v>
      </c>
      <c r="D4" s="24">
        <v>2014</v>
      </c>
      <c r="E4" s="24">
        <v>2015</v>
      </c>
      <c r="F4" s="24">
        <v>2016</v>
      </c>
      <c r="G4" s="24">
        <v>2017</v>
      </c>
      <c r="H4" s="24">
        <v>2018</v>
      </c>
      <c r="I4" s="24">
        <v>2019</v>
      </c>
      <c r="J4" s="24">
        <v>2020</v>
      </c>
      <c r="K4" s="24">
        <v>2021</v>
      </c>
      <c r="L4" s="24">
        <v>2022</v>
      </c>
    </row>
    <row r="5" spans="1:14" ht="20.25" customHeight="1" thickTop="1">
      <c r="A5" s="44" t="s">
        <v>12</v>
      </c>
      <c r="B5" s="241">
        <v>319177</v>
      </c>
      <c r="C5" s="241">
        <v>315112</v>
      </c>
      <c r="D5" s="241">
        <v>318886</v>
      </c>
      <c r="E5" s="241">
        <v>321500</v>
      </c>
      <c r="F5" s="241">
        <v>324933</v>
      </c>
      <c r="G5" s="241">
        <v>327295</v>
      </c>
      <c r="H5" s="241">
        <v>330668</v>
      </c>
      <c r="I5" s="241">
        <v>322978</v>
      </c>
      <c r="J5" s="241">
        <v>324959</v>
      </c>
      <c r="K5" s="241">
        <v>318254</v>
      </c>
      <c r="L5" s="241">
        <v>332683</v>
      </c>
      <c r="N5" s="498">
        <f>+(L5/B5-1)*100</f>
        <v>4.2315079094044972</v>
      </c>
    </row>
    <row r="6" spans="1:14" ht="20.25" customHeight="1">
      <c r="A6" s="23" t="s">
        <v>32</v>
      </c>
      <c r="B6" s="242">
        <v>215863</v>
      </c>
      <c r="C6" s="242">
        <v>213657</v>
      </c>
      <c r="D6" s="242">
        <v>215180</v>
      </c>
      <c r="E6" s="242">
        <v>215177</v>
      </c>
      <c r="F6" s="242">
        <v>215546</v>
      </c>
      <c r="G6" s="242">
        <v>214186</v>
      </c>
      <c r="H6" s="242">
        <v>213938</v>
      </c>
      <c r="I6" s="242">
        <v>205320</v>
      </c>
      <c r="J6" s="242">
        <v>208453</v>
      </c>
      <c r="K6" s="242">
        <v>202280</v>
      </c>
      <c r="L6" s="242">
        <v>209018</v>
      </c>
    </row>
    <row r="7" spans="1:14" ht="15" customHeight="1">
      <c r="A7" s="23" t="s">
        <v>33</v>
      </c>
      <c r="B7" s="242">
        <v>56431</v>
      </c>
      <c r="C7" s="242">
        <v>55141</v>
      </c>
      <c r="D7" s="242">
        <v>55967</v>
      </c>
      <c r="E7" s="242">
        <v>57124</v>
      </c>
      <c r="F7" s="242">
        <v>58447</v>
      </c>
      <c r="G7" s="242">
        <v>59898</v>
      </c>
      <c r="H7" s="242">
        <v>61191</v>
      </c>
      <c r="I7" s="242">
        <v>61000</v>
      </c>
      <c r="J7" s="242">
        <v>60460</v>
      </c>
      <c r="K7" s="242">
        <v>59731</v>
      </c>
      <c r="L7" s="242">
        <v>63044</v>
      </c>
    </row>
    <row r="8" spans="1:14" ht="15" customHeight="1">
      <c r="A8" s="23" t="s">
        <v>34</v>
      </c>
      <c r="B8" s="242">
        <v>24685</v>
      </c>
      <c r="C8" s="242">
        <v>24325</v>
      </c>
      <c r="D8" s="242">
        <v>25212</v>
      </c>
      <c r="E8" s="242">
        <v>25986</v>
      </c>
      <c r="F8" s="242">
        <v>26743</v>
      </c>
      <c r="G8" s="242">
        <v>27993</v>
      </c>
      <c r="H8" s="242">
        <v>29309</v>
      </c>
      <c r="I8" s="242">
        <v>29775</v>
      </c>
      <c r="J8" s="242">
        <v>29016</v>
      </c>
      <c r="K8" s="242">
        <v>29146</v>
      </c>
      <c r="L8" s="242">
        <v>31330</v>
      </c>
      <c r="M8" s="139"/>
    </row>
    <row r="9" spans="1:14" ht="15" customHeight="1">
      <c r="A9" s="23" t="s">
        <v>35</v>
      </c>
      <c r="B9" s="242">
        <v>13889</v>
      </c>
      <c r="C9" s="242">
        <v>13738</v>
      </c>
      <c r="D9" s="242">
        <v>14153</v>
      </c>
      <c r="E9" s="242">
        <v>14675</v>
      </c>
      <c r="F9" s="242">
        <v>15288</v>
      </c>
      <c r="G9" s="242">
        <v>15980</v>
      </c>
      <c r="H9" s="242">
        <v>16588</v>
      </c>
      <c r="I9" s="242">
        <v>16982</v>
      </c>
      <c r="J9" s="242">
        <v>16741</v>
      </c>
      <c r="K9" s="242">
        <v>17006</v>
      </c>
      <c r="L9" s="242">
        <v>18391</v>
      </c>
      <c r="M9" s="139"/>
    </row>
    <row r="10" spans="1:14" ht="15" customHeight="1">
      <c r="A10" s="23" t="s">
        <v>36</v>
      </c>
      <c r="B10" s="242">
        <v>3991</v>
      </c>
      <c r="C10" s="242">
        <v>3948</v>
      </c>
      <c r="D10" s="242">
        <v>4049</v>
      </c>
      <c r="E10" s="242">
        <v>4263</v>
      </c>
      <c r="F10" s="242">
        <v>4486</v>
      </c>
      <c r="G10" s="242">
        <v>4665</v>
      </c>
      <c r="H10" s="242">
        <v>4930</v>
      </c>
      <c r="I10" s="242">
        <v>5071</v>
      </c>
      <c r="J10" s="242">
        <v>5028</v>
      </c>
      <c r="K10" s="242">
        <v>5096</v>
      </c>
      <c r="L10" s="242">
        <v>5582</v>
      </c>
      <c r="M10" s="139"/>
    </row>
    <row r="11" spans="1:14" ht="15" customHeight="1">
      <c r="A11" s="23" t="s">
        <v>37</v>
      </c>
      <c r="B11" s="242">
        <v>1104</v>
      </c>
      <c r="C11" s="242">
        <v>1137</v>
      </c>
      <c r="D11" s="242">
        <v>1192</v>
      </c>
      <c r="E11" s="242">
        <v>1143</v>
      </c>
      <c r="F11" s="242">
        <v>1193</v>
      </c>
      <c r="G11" s="242">
        <v>1244</v>
      </c>
      <c r="H11" s="242">
        <v>1302</v>
      </c>
      <c r="I11" s="242">
        <v>1335</v>
      </c>
      <c r="J11" s="242">
        <v>1297</v>
      </c>
      <c r="K11" s="242">
        <v>1348</v>
      </c>
      <c r="L11" s="242">
        <v>1460</v>
      </c>
      <c r="M11" s="139"/>
    </row>
    <row r="12" spans="1:14" ht="15" customHeight="1">
      <c r="A12" s="23" t="s">
        <v>38</v>
      </c>
      <c r="B12" s="242">
        <v>520</v>
      </c>
      <c r="C12" s="242">
        <v>520</v>
      </c>
      <c r="D12" s="242">
        <v>510</v>
      </c>
      <c r="E12" s="242">
        <v>546</v>
      </c>
      <c r="F12" s="242">
        <v>560</v>
      </c>
      <c r="G12" s="242">
        <v>571</v>
      </c>
      <c r="H12" s="242">
        <v>622</v>
      </c>
      <c r="I12" s="242">
        <v>627</v>
      </c>
      <c r="J12" s="242">
        <v>587</v>
      </c>
      <c r="K12" s="242">
        <v>632</v>
      </c>
      <c r="L12" s="242">
        <v>706</v>
      </c>
      <c r="M12" s="139"/>
    </row>
    <row r="13" spans="1:14" ht="15" customHeight="1">
      <c r="A13" s="23" t="s">
        <v>39</v>
      </c>
      <c r="B13" s="242">
        <v>249</v>
      </c>
      <c r="C13" s="242">
        <v>259</v>
      </c>
      <c r="D13" s="242">
        <v>281</v>
      </c>
      <c r="E13" s="242">
        <v>292</v>
      </c>
      <c r="F13" s="242">
        <v>302</v>
      </c>
      <c r="G13" s="242">
        <v>342</v>
      </c>
      <c r="H13" s="242">
        <v>352</v>
      </c>
      <c r="I13" s="242">
        <v>351</v>
      </c>
      <c r="J13" s="242">
        <v>353</v>
      </c>
      <c r="K13" s="242">
        <v>361</v>
      </c>
      <c r="L13" s="242">
        <v>395</v>
      </c>
      <c r="M13" s="139"/>
    </row>
    <row r="14" spans="1:14" ht="15" customHeight="1">
      <c r="A14" s="23" t="s">
        <v>40</v>
      </c>
      <c r="B14" s="242">
        <v>471</v>
      </c>
      <c r="C14" s="242">
        <v>462</v>
      </c>
      <c r="D14" s="242">
        <v>448</v>
      </c>
      <c r="E14" s="242">
        <v>487</v>
      </c>
      <c r="F14" s="242">
        <v>529</v>
      </c>
      <c r="G14" s="242">
        <v>559</v>
      </c>
      <c r="H14" s="242">
        <v>595</v>
      </c>
      <c r="I14" s="242">
        <v>602</v>
      </c>
      <c r="J14" s="242">
        <v>581</v>
      </c>
      <c r="K14" s="242">
        <v>593</v>
      </c>
      <c r="L14" s="242">
        <v>638</v>
      </c>
      <c r="M14" s="139"/>
    </row>
    <row r="15" spans="1:14" ht="15" customHeight="1">
      <c r="A15" s="23" t="s">
        <v>41</v>
      </c>
      <c r="B15" s="242">
        <v>160</v>
      </c>
      <c r="C15" s="242">
        <v>168</v>
      </c>
      <c r="D15" s="242">
        <v>180</v>
      </c>
      <c r="E15" s="242">
        <v>179</v>
      </c>
      <c r="F15" s="242">
        <v>175</v>
      </c>
      <c r="G15" s="242">
        <v>186</v>
      </c>
      <c r="H15" s="242">
        <v>193</v>
      </c>
      <c r="I15" s="242">
        <v>223</v>
      </c>
      <c r="J15" s="242">
        <v>222</v>
      </c>
      <c r="K15" s="242">
        <v>217</v>
      </c>
      <c r="L15" s="242">
        <v>248</v>
      </c>
      <c r="M15" s="139"/>
    </row>
    <row r="16" spans="1:14" ht="15" customHeight="1">
      <c r="A16" s="26" t="s">
        <v>72</v>
      </c>
      <c r="B16" s="243">
        <v>77</v>
      </c>
      <c r="C16" s="243">
        <v>84</v>
      </c>
      <c r="D16" s="243">
        <v>94</v>
      </c>
      <c r="E16" s="243">
        <v>93</v>
      </c>
      <c r="F16" s="243">
        <v>100</v>
      </c>
      <c r="G16" s="243">
        <v>110</v>
      </c>
      <c r="H16" s="243">
        <v>116</v>
      </c>
      <c r="I16" s="243">
        <v>115</v>
      </c>
      <c r="J16" s="243">
        <v>119</v>
      </c>
      <c r="K16" s="243">
        <v>127</v>
      </c>
      <c r="L16" s="243">
        <v>131</v>
      </c>
      <c r="M16" s="139"/>
    </row>
    <row r="17" spans="1:12" ht="15" customHeight="1">
      <c r="A17" s="120" t="s">
        <v>242</v>
      </c>
      <c r="B17" s="154"/>
      <c r="C17" s="110"/>
      <c r="D17" s="110"/>
      <c r="E17" s="110"/>
      <c r="F17" s="110"/>
      <c r="G17" s="110"/>
      <c r="H17" s="110"/>
      <c r="I17" s="110"/>
      <c r="J17" s="110"/>
      <c r="K17" s="110"/>
      <c r="L17" s="110"/>
    </row>
    <row r="18" spans="1:12" s="4" customFormat="1" ht="15" customHeight="1">
      <c r="A18" s="20" t="s">
        <v>138</v>
      </c>
      <c r="B18" s="98"/>
      <c r="C18" s="98"/>
      <c r="D18" s="98"/>
      <c r="E18" s="98"/>
      <c r="F18" s="98"/>
      <c r="G18" s="98"/>
      <c r="H18" s="98"/>
      <c r="I18" s="98"/>
      <c r="J18" s="98"/>
      <c r="K18" s="98"/>
      <c r="L18" s="98"/>
    </row>
    <row r="21" spans="1:12">
      <c r="B21" s="407">
        <f>SUM(B6:B9)</f>
        <v>310868</v>
      </c>
      <c r="C21" s="407">
        <f t="shared" ref="C21:L21" si="0">SUM(C6:C9)</f>
        <v>306861</v>
      </c>
      <c r="D21" s="407">
        <f t="shared" si="0"/>
        <v>310512</v>
      </c>
      <c r="E21" s="407">
        <f t="shared" si="0"/>
        <v>312962</v>
      </c>
      <c r="F21" s="407">
        <f t="shared" si="0"/>
        <v>316024</v>
      </c>
      <c r="G21" s="407">
        <f t="shared" si="0"/>
        <v>318057</v>
      </c>
      <c r="H21" s="407">
        <f t="shared" si="0"/>
        <v>321026</v>
      </c>
      <c r="I21" s="407">
        <f t="shared" si="0"/>
        <v>313077</v>
      </c>
      <c r="J21" s="407">
        <f t="shared" si="0"/>
        <v>314670</v>
      </c>
      <c r="K21" s="407">
        <f t="shared" si="0"/>
        <v>308163</v>
      </c>
      <c r="L21" s="407">
        <f t="shared" si="0"/>
        <v>321783</v>
      </c>
    </row>
    <row r="22" spans="1:12">
      <c r="B22" s="216">
        <f>+B21/B5*100</f>
        <v>97.396742246465124</v>
      </c>
      <c r="C22" s="216">
        <f t="shared" ref="C22:L22" si="1">+C21/C5*100</f>
        <v>97.381565919419117</v>
      </c>
      <c r="D22" s="216">
        <f t="shared" si="1"/>
        <v>97.373983178941685</v>
      </c>
      <c r="E22" s="216">
        <f t="shared" si="1"/>
        <v>97.344323483670294</v>
      </c>
      <c r="F22" s="216">
        <f t="shared" si="1"/>
        <v>97.25820399897826</v>
      </c>
      <c r="G22" s="216">
        <f t="shared" si="1"/>
        <v>97.177469866634084</v>
      </c>
      <c r="H22" s="216">
        <f t="shared" si="1"/>
        <v>97.084084338369607</v>
      </c>
      <c r="I22" s="216">
        <f t="shared" si="1"/>
        <v>96.934466124627676</v>
      </c>
      <c r="J22" s="216">
        <f t="shared" si="1"/>
        <v>96.833754412095061</v>
      </c>
      <c r="K22" s="216">
        <f t="shared" si="1"/>
        <v>96.829262161669604</v>
      </c>
      <c r="L22" s="216">
        <f t="shared" si="1"/>
        <v>96.723607758737302</v>
      </c>
    </row>
    <row r="24" spans="1:12">
      <c r="B24" s="407">
        <f>+B6+B7</f>
        <v>272294</v>
      </c>
      <c r="C24" s="407">
        <f t="shared" ref="C24:L24" si="2">+C6+C7</f>
        <v>268798</v>
      </c>
      <c r="D24" s="407">
        <f t="shared" si="2"/>
        <v>271147</v>
      </c>
      <c r="E24" s="407">
        <f t="shared" si="2"/>
        <v>272301</v>
      </c>
      <c r="F24" s="407">
        <f t="shared" si="2"/>
        <v>273993</v>
      </c>
      <c r="G24" s="407">
        <f t="shared" si="2"/>
        <v>274084</v>
      </c>
      <c r="H24" s="407">
        <f t="shared" si="2"/>
        <v>275129</v>
      </c>
      <c r="I24" s="407">
        <f t="shared" si="2"/>
        <v>266320</v>
      </c>
      <c r="J24" s="407">
        <f t="shared" si="2"/>
        <v>268913</v>
      </c>
      <c r="K24" s="407">
        <f t="shared" si="2"/>
        <v>262011</v>
      </c>
      <c r="L24" s="407">
        <f t="shared" si="2"/>
        <v>272062</v>
      </c>
    </row>
    <row r="25" spans="1:12">
      <c r="B25" s="216">
        <f>+B24/B5*100</f>
        <v>85.311284961009093</v>
      </c>
      <c r="C25" s="216">
        <f t="shared" ref="C25:L25" si="3">+C24/C5*100</f>
        <v>85.302368681611611</v>
      </c>
      <c r="D25" s="216">
        <f t="shared" si="3"/>
        <v>85.029446259791897</v>
      </c>
      <c r="E25" s="216">
        <f t="shared" si="3"/>
        <v>84.697045101088648</v>
      </c>
      <c r="F25" s="216">
        <f t="shared" si="3"/>
        <v>84.322921956218664</v>
      </c>
      <c r="G25" s="216">
        <f t="shared" si="3"/>
        <v>83.742189767640824</v>
      </c>
      <c r="H25" s="216">
        <f t="shared" si="3"/>
        <v>83.203999177422673</v>
      </c>
      <c r="I25" s="216">
        <f t="shared" si="3"/>
        <v>82.457628692975987</v>
      </c>
      <c r="J25" s="216">
        <f t="shared" si="3"/>
        <v>82.752901135220142</v>
      </c>
      <c r="K25" s="216">
        <f t="shared" si="3"/>
        <v>82.327637673053601</v>
      </c>
      <c r="L25" s="216">
        <f t="shared" si="3"/>
        <v>81.778149169028779</v>
      </c>
    </row>
    <row r="28" spans="1:12">
      <c r="B28" s="407">
        <f>+B8+B9</f>
        <v>38574</v>
      </c>
      <c r="C28" s="407">
        <f t="shared" ref="C28:L28" si="4">+C8+C9</f>
        <v>38063</v>
      </c>
      <c r="D28" s="407">
        <f t="shared" si="4"/>
        <v>39365</v>
      </c>
      <c r="E28" s="407">
        <f t="shared" si="4"/>
        <v>40661</v>
      </c>
      <c r="F28" s="407">
        <f t="shared" si="4"/>
        <v>42031</v>
      </c>
      <c r="G28" s="407">
        <f t="shared" si="4"/>
        <v>43973</v>
      </c>
      <c r="H28" s="407">
        <f t="shared" si="4"/>
        <v>45897</v>
      </c>
      <c r="I28" s="407">
        <f t="shared" si="4"/>
        <v>46757</v>
      </c>
      <c r="J28" s="407">
        <f t="shared" si="4"/>
        <v>45757</v>
      </c>
      <c r="K28" s="407">
        <f t="shared" si="4"/>
        <v>46152</v>
      </c>
      <c r="L28" s="407">
        <f t="shared" si="4"/>
        <v>49721</v>
      </c>
    </row>
    <row r="29" spans="1:12">
      <c r="B29" s="216">
        <f>+B28/B5*100</f>
        <v>12.085457285456032</v>
      </c>
      <c r="C29" s="216">
        <f t="shared" ref="C29:L29" si="5">+C28/C5*100</f>
        <v>12.079197237807509</v>
      </c>
      <c r="D29" s="216">
        <f t="shared" si="5"/>
        <v>12.344536919149791</v>
      </c>
      <c r="E29" s="216">
        <f t="shared" si="5"/>
        <v>12.647278382581648</v>
      </c>
      <c r="F29" s="216">
        <f t="shared" si="5"/>
        <v>12.935282042759585</v>
      </c>
      <c r="G29" s="216">
        <f t="shared" si="5"/>
        <v>13.435280098993264</v>
      </c>
      <c r="H29" s="216">
        <f t="shared" si="5"/>
        <v>13.880085160946932</v>
      </c>
      <c r="I29" s="216">
        <f t="shared" si="5"/>
        <v>14.47683743165169</v>
      </c>
      <c r="J29" s="216">
        <f t="shared" si="5"/>
        <v>14.080853276874929</v>
      </c>
      <c r="K29" s="216">
        <f t="shared" si="5"/>
        <v>14.501624488616011</v>
      </c>
      <c r="L29" s="216">
        <f t="shared" si="5"/>
        <v>14.945458589708521</v>
      </c>
    </row>
  </sheetData>
  <mergeCells count="1">
    <mergeCell ref="A1:L1"/>
  </mergeCells>
  <phoneticPr fontId="25" type="noConversion"/>
  <conditionalFormatting sqref="A1 M1:N7 O1:XFD1048576 N8:N16 M17:N1048576 A21:A29">
    <cfRule type="cellIs" dxfId="58" priority="22" operator="equal">
      <formula>0</formula>
    </cfRule>
  </conditionalFormatting>
  <conditionalFormatting sqref="A2:L20 A30:L1048576">
    <cfRule type="cellIs" dxfId="57"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6"/>
  <dimension ref="A1"/>
  <sheetViews>
    <sheetView showGridLines="0" topLeftCell="A16" workbookViewId="0">
      <selection activeCell="N58" sqref="N58"/>
    </sheetView>
  </sheetViews>
  <sheetFormatPr defaultRowHeight="12.75"/>
  <sheetData/>
  <pageMargins left="0.70866141732283472" right="0.70866141732283472" top="0.74803149606299213" bottom="0.74803149606299213" header="0.31496062992125984" footer="0.31496062992125984"/>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91">
    <tabColor indexed="24"/>
    <pageSetUpPr fitToPage="1"/>
  </sheetPr>
  <dimension ref="A1:AK24"/>
  <sheetViews>
    <sheetView showGridLines="0" workbookViewId="0">
      <selection activeCell="K42" sqref="K42"/>
    </sheetView>
  </sheetViews>
  <sheetFormatPr defaultColWidth="9.140625" defaultRowHeight="11.25"/>
  <cols>
    <col min="1" max="1" width="17.140625" style="4" customWidth="1"/>
    <col min="2" max="12" width="7.5703125" style="4" customWidth="1"/>
    <col min="13" max="14" width="5.85546875" style="4" bestFit="1" customWidth="1"/>
    <col min="15" max="16384" width="9.140625" style="4"/>
  </cols>
  <sheetData>
    <row r="1" spans="1:37" s="3" customFormat="1" ht="28.5" customHeight="1">
      <c r="A1" s="611" t="s">
        <v>197</v>
      </c>
      <c r="B1" s="611"/>
      <c r="C1" s="611"/>
      <c r="D1" s="611"/>
      <c r="E1" s="611"/>
      <c r="F1" s="611"/>
      <c r="G1" s="611"/>
      <c r="H1" s="611"/>
      <c r="I1" s="611"/>
      <c r="J1" s="611"/>
      <c r="K1" s="611"/>
      <c r="L1" s="611"/>
    </row>
    <row r="2" spans="1:37" ht="15" customHeight="1">
      <c r="A2" s="11"/>
      <c r="B2" s="12"/>
      <c r="C2" s="12"/>
      <c r="D2" s="12"/>
      <c r="E2" s="12"/>
      <c r="F2" s="12"/>
      <c r="G2" s="12"/>
      <c r="H2" s="12"/>
      <c r="I2" s="12"/>
      <c r="J2" s="12"/>
      <c r="K2" s="12"/>
      <c r="L2" s="12"/>
    </row>
    <row r="3" spans="1:37" ht="15" customHeight="1">
      <c r="A3" s="13" t="s">
        <v>14</v>
      </c>
      <c r="B3" s="10"/>
      <c r="C3" s="10"/>
      <c r="D3" s="10"/>
      <c r="E3" s="10"/>
      <c r="F3" s="10"/>
      <c r="G3" s="10"/>
      <c r="H3" s="10"/>
      <c r="I3" s="10"/>
      <c r="J3" s="10"/>
      <c r="K3" s="10"/>
      <c r="L3" s="10"/>
    </row>
    <row r="4" spans="1:37" ht="29.25" customHeight="1" thickBot="1">
      <c r="A4" s="14"/>
      <c r="B4" s="24">
        <v>2012</v>
      </c>
      <c r="C4" s="24">
        <v>2013</v>
      </c>
      <c r="D4" s="24">
        <v>2014</v>
      </c>
      <c r="E4" s="24">
        <v>2015</v>
      </c>
      <c r="F4" s="24">
        <v>2016</v>
      </c>
      <c r="G4" s="24">
        <v>2017</v>
      </c>
      <c r="H4" s="24">
        <v>2018</v>
      </c>
      <c r="I4" s="24">
        <v>2019</v>
      </c>
      <c r="J4" s="24">
        <v>2020</v>
      </c>
      <c r="K4" s="24">
        <v>2021</v>
      </c>
      <c r="L4" s="24">
        <v>2022</v>
      </c>
      <c r="O4" s="327"/>
      <c r="P4" s="345">
        <f>+B4</f>
        <v>2012</v>
      </c>
      <c r="Q4" s="345">
        <f t="shared" ref="Q4:W4" si="0">+C4</f>
        <v>2013</v>
      </c>
      <c r="R4" s="345">
        <f t="shared" si="0"/>
        <v>2014</v>
      </c>
      <c r="S4" s="345">
        <f t="shared" si="0"/>
        <v>2015</v>
      </c>
      <c r="T4" s="345">
        <f t="shared" si="0"/>
        <v>2016</v>
      </c>
      <c r="U4" s="345">
        <f t="shared" si="0"/>
        <v>2017</v>
      </c>
      <c r="V4" s="345">
        <f t="shared" si="0"/>
        <v>2018</v>
      </c>
      <c r="W4" s="345">
        <f t="shared" si="0"/>
        <v>2019</v>
      </c>
      <c r="X4" s="345">
        <f>+J4</f>
        <v>2020</v>
      </c>
      <c r="Y4" s="345">
        <f t="shared" ref="Y4:Z4" si="1">+K4</f>
        <v>2021</v>
      </c>
      <c r="Z4" s="345">
        <f t="shared" si="1"/>
        <v>2022</v>
      </c>
      <c r="AA4" s="345">
        <f>+B4</f>
        <v>2012</v>
      </c>
      <c r="AB4" s="345">
        <f t="shared" ref="AB4:AJ4" si="2">+C4</f>
        <v>2013</v>
      </c>
      <c r="AC4" s="345">
        <f t="shared" si="2"/>
        <v>2014</v>
      </c>
      <c r="AD4" s="345">
        <f t="shared" si="2"/>
        <v>2015</v>
      </c>
      <c r="AE4" s="345">
        <f t="shared" si="2"/>
        <v>2016</v>
      </c>
      <c r="AF4" s="345">
        <f t="shared" si="2"/>
        <v>2017</v>
      </c>
      <c r="AG4" s="345">
        <f t="shared" si="2"/>
        <v>2018</v>
      </c>
      <c r="AH4" s="345">
        <f t="shared" si="2"/>
        <v>2019</v>
      </c>
      <c r="AI4" s="345">
        <f t="shared" si="2"/>
        <v>2020</v>
      </c>
      <c r="AJ4" s="345">
        <f t="shared" si="2"/>
        <v>2021</v>
      </c>
      <c r="AK4" s="345">
        <f>+L4</f>
        <v>2022</v>
      </c>
    </row>
    <row r="5" spans="1:37" ht="20.25" customHeight="1" thickTop="1">
      <c r="A5" s="16" t="s">
        <v>12</v>
      </c>
      <c r="B5" s="244">
        <v>319177</v>
      </c>
      <c r="C5" s="244">
        <v>315112</v>
      </c>
      <c r="D5" s="244">
        <v>318886</v>
      </c>
      <c r="E5" s="244">
        <v>321500</v>
      </c>
      <c r="F5" s="244">
        <v>324933</v>
      </c>
      <c r="G5" s="244">
        <v>327295</v>
      </c>
      <c r="H5" s="244">
        <v>330668</v>
      </c>
      <c r="I5" s="244">
        <v>322978</v>
      </c>
      <c r="J5" s="244">
        <v>324959</v>
      </c>
      <c r="K5" s="244">
        <v>318254</v>
      </c>
      <c r="L5" s="244">
        <v>332683</v>
      </c>
    </row>
    <row r="6" spans="1:37" ht="20.25" customHeight="1">
      <c r="A6" s="16" t="s">
        <v>15</v>
      </c>
      <c r="B6" s="239">
        <v>22122</v>
      </c>
      <c r="C6" s="239">
        <v>21892</v>
      </c>
      <c r="D6" s="239">
        <v>21970</v>
      </c>
      <c r="E6" s="239">
        <v>22127</v>
      </c>
      <c r="F6" s="239">
        <v>22400</v>
      </c>
      <c r="G6" s="239">
        <v>22594</v>
      </c>
      <c r="H6" s="239">
        <v>22863</v>
      </c>
      <c r="I6" s="239">
        <v>22490</v>
      </c>
      <c r="J6" s="239">
        <v>22462</v>
      </c>
      <c r="K6" s="239">
        <v>21931</v>
      </c>
      <c r="L6" s="239">
        <v>22628</v>
      </c>
      <c r="N6" s="499">
        <f>+(L6/B6-1)*100</f>
        <v>2.2873157942319811</v>
      </c>
      <c r="O6" s="344">
        <f t="shared" ref="O6:O10" si="3">+L6-B6</f>
        <v>506</v>
      </c>
      <c r="P6" s="499">
        <f>B6*100/B$5</f>
        <v>6.9309505384159884</v>
      </c>
      <c r="Q6" s="499">
        <f t="shared" ref="Q6:Z21" si="4">C6*100/C$5</f>
        <v>6.947371093452487</v>
      </c>
      <c r="R6" s="499">
        <f t="shared" si="4"/>
        <v>6.8896094529079361</v>
      </c>
      <c r="S6" s="499">
        <f t="shared" si="4"/>
        <v>6.8824261275272161</v>
      </c>
      <c r="T6" s="499">
        <f t="shared" si="4"/>
        <v>6.8937288610267347</v>
      </c>
      <c r="U6" s="499">
        <f t="shared" si="4"/>
        <v>6.9032524175438059</v>
      </c>
      <c r="V6" s="499">
        <f t="shared" si="4"/>
        <v>6.914185829895847</v>
      </c>
      <c r="W6" s="499">
        <f t="shared" si="4"/>
        <v>6.963322579246884</v>
      </c>
      <c r="X6" s="499">
        <f t="shared" si="4"/>
        <v>6.912256623143227</v>
      </c>
      <c r="Y6" s="499">
        <f t="shared" si="4"/>
        <v>6.8910367190985813</v>
      </c>
      <c r="Z6" s="499">
        <f t="shared" si="4"/>
        <v>6.8016700582837117</v>
      </c>
      <c r="AA6" s="4">
        <f>+RANK(B6,B$6:B$23,0)</f>
        <v>4</v>
      </c>
      <c r="AB6" s="4">
        <f t="shared" ref="AB6:AK21" si="5">+RANK(C6,C$6:C$23,0)</f>
        <v>4</v>
      </c>
      <c r="AC6" s="4">
        <f t="shared" si="5"/>
        <v>4</v>
      </c>
      <c r="AD6" s="4">
        <f t="shared" si="5"/>
        <v>4</v>
      </c>
      <c r="AE6" s="4">
        <f t="shared" si="5"/>
        <v>4</v>
      </c>
      <c r="AF6" s="4">
        <f t="shared" si="5"/>
        <v>4</v>
      </c>
      <c r="AG6" s="4">
        <f t="shared" si="5"/>
        <v>4</v>
      </c>
      <c r="AH6" s="4">
        <f t="shared" si="5"/>
        <v>4</v>
      </c>
      <c r="AI6" s="4">
        <f t="shared" si="5"/>
        <v>4</v>
      </c>
      <c r="AJ6" s="4">
        <f t="shared" si="5"/>
        <v>4</v>
      </c>
      <c r="AK6" s="4">
        <f>+RANK(L6,L$6:L$23,0)</f>
        <v>4</v>
      </c>
    </row>
    <row r="7" spans="1:37" ht="15" customHeight="1">
      <c r="A7" s="16" t="s">
        <v>16</v>
      </c>
      <c r="B7" s="239">
        <v>4815</v>
      </c>
      <c r="C7" s="239">
        <v>4788</v>
      </c>
      <c r="D7" s="239">
        <v>4897</v>
      </c>
      <c r="E7" s="239">
        <v>4930</v>
      </c>
      <c r="F7" s="239">
        <v>5018</v>
      </c>
      <c r="G7" s="239">
        <v>5102</v>
      </c>
      <c r="H7" s="239">
        <v>5142</v>
      </c>
      <c r="I7" s="239">
        <v>5061</v>
      </c>
      <c r="J7" s="239">
        <v>5111</v>
      </c>
      <c r="K7" s="239">
        <v>5088</v>
      </c>
      <c r="L7" s="239">
        <v>5312</v>
      </c>
      <c r="N7" s="499">
        <f t="shared" ref="N7:N23" si="6">+(L7/B7-1)*100</f>
        <v>10.321910695742464</v>
      </c>
      <c r="O7" s="344">
        <f t="shared" si="3"/>
        <v>497</v>
      </c>
      <c r="P7" s="499">
        <f t="shared" ref="P7:Z23" si="7">B7*100/B$5</f>
        <v>1.5085673466446516</v>
      </c>
      <c r="Q7" s="499">
        <f t="shared" si="4"/>
        <v>1.5194597476452816</v>
      </c>
      <c r="R7" s="499">
        <f t="shared" si="4"/>
        <v>1.5356585111920875</v>
      </c>
      <c r="S7" s="499">
        <f t="shared" si="4"/>
        <v>1.5334370139968896</v>
      </c>
      <c r="T7" s="499">
        <f t="shared" si="4"/>
        <v>1.5443183671710783</v>
      </c>
      <c r="U7" s="499">
        <f t="shared" si="4"/>
        <v>1.5588383568340487</v>
      </c>
      <c r="V7" s="499">
        <f t="shared" si="4"/>
        <v>1.5550340522820472</v>
      </c>
      <c r="W7" s="499">
        <f t="shared" si="4"/>
        <v>1.5669797942893944</v>
      </c>
      <c r="X7" s="499">
        <f t="shared" si="4"/>
        <v>1.5728138011256805</v>
      </c>
      <c r="Y7" s="499">
        <f t="shared" si="4"/>
        <v>1.5987230325463309</v>
      </c>
      <c r="Z7" s="499">
        <f t="shared" si="4"/>
        <v>1.5967151913383011</v>
      </c>
      <c r="AA7" s="4">
        <f t="shared" ref="AA7:AK23" si="8">+RANK(B7,B$6:B$23,0)</f>
        <v>16</v>
      </c>
      <c r="AB7" s="4">
        <f t="shared" si="5"/>
        <v>16</v>
      </c>
      <c r="AC7" s="4">
        <f t="shared" si="5"/>
        <v>16</v>
      </c>
      <c r="AD7" s="4">
        <f t="shared" si="5"/>
        <v>16</v>
      </c>
      <c r="AE7" s="4">
        <f t="shared" si="5"/>
        <v>16</v>
      </c>
      <c r="AF7" s="4">
        <f t="shared" si="5"/>
        <v>15</v>
      </c>
      <c r="AG7" s="4">
        <f t="shared" si="5"/>
        <v>15</v>
      </c>
      <c r="AH7" s="4">
        <f t="shared" si="5"/>
        <v>15</v>
      </c>
      <c r="AI7" s="4">
        <f t="shared" si="5"/>
        <v>15</v>
      </c>
      <c r="AJ7" s="4">
        <f t="shared" si="5"/>
        <v>15</v>
      </c>
      <c r="AK7" s="4">
        <f t="shared" si="5"/>
        <v>15</v>
      </c>
    </row>
    <row r="8" spans="1:37" ht="15" customHeight="1">
      <c r="A8" s="16" t="s">
        <v>66</v>
      </c>
      <c r="B8" s="239">
        <v>28776</v>
      </c>
      <c r="C8" s="239">
        <v>28756</v>
      </c>
      <c r="D8" s="239">
        <v>29605</v>
      </c>
      <c r="E8" s="239">
        <v>29920</v>
      </c>
      <c r="F8" s="239">
        <v>30520</v>
      </c>
      <c r="G8" s="239">
        <v>30960</v>
      </c>
      <c r="H8" s="239">
        <v>31136</v>
      </c>
      <c r="I8" s="239">
        <v>30216</v>
      </c>
      <c r="J8" s="239">
        <v>30496</v>
      </c>
      <c r="K8" s="239">
        <v>29956</v>
      </c>
      <c r="L8" s="239">
        <v>31910</v>
      </c>
      <c r="N8" s="499">
        <f t="shared" si="6"/>
        <v>10.891020294690023</v>
      </c>
      <c r="O8" s="344">
        <f t="shared" si="3"/>
        <v>3134</v>
      </c>
      <c r="P8" s="499">
        <f t="shared" si="7"/>
        <v>9.0156872205704044</v>
      </c>
      <c r="Q8" s="499">
        <f t="shared" si="4"/>
        <v>9.1256442153900839</v>
      </c>
      <c r="R8" s="499">
        <f t="shared" si="4"/>
        <v>9.2838820142621508</v>
      </c>
      <c r="S8" s="499">
        <f t="shared" si="4"/>
        <v>9.3063763608087093</v>
      </c>
      <c r="T8" s="499">
        <f t="shared" si="4"/>
        <v>9.3927055731489268</v>
      </c>
      <c r="U8" s="499">
        <f t="shared" si="4"/>
        <v>9.4593562382560084</v>
      </c>
      <c r="V8" s="499">
        <f t="shared" si="4"/>
        <v>9.4160910641489348</v>
      </c>
      <c r="W8" s="499">
        <f t="shared" si="4"/>
        <v>9.3554359739672677</v>
      </c>
      <c r="X8" s="499">
        <f t="shared" si="4"/>
        <v>9.3845685147972517</v>
      </c>
      <c r="Y8" s="499">
        <f t="shared" si="4"/>
        <v>9.4126075398895228</v>
      </c>
      <c r="Z8" s="499">
        <f t="shared" si="4"/>
        <v>9.5917134329076035</v>
      </c>
      <c r="AA8" s="4">
        <f t="shared" si="8"/>
        <v>3</v>
      </c>
      <c r="AB8" s="4">
        <f t="shared" si="5"/>
        <v>3</v>
      </c>
      <c r="AC8" s="4">
        <f t="shared" si="5"/>
        <v>3</v>
      </c>
      <c r="AD8" s="4">
        <f t="shared" si="5"/>
        <v>3</v>
      </c>
      <c r="AE8" s="4">
        <f t="shared" si="5"/>
        <v>3</v>
      </c>
      <c r="AF8" s="4">
        <f t="shared" si="5"/>
        <v>3</v>
      </c>
      <c r="AG8" s="4">
        <f t="shared" si="5"/>
        <v>3</v>
      </c>
      <c r="AH8" s="4">
        <f t="shared" si="5"/>
        <v>3</v>
      </c>
      <c r="AI8" s="4">
        <f t="shared" si="5"/>
        <v>3</v>
      </c>
      <c r="AJ8" s="4">
        <f t="shared" si="5"/>
        <v>3</v>
      </c>
      <c r="AK8" s="4">
        <f t="shared" si="5"/>
        <v>3</v>
      </c>
    </row>
    <row r="9" spans="1:37" ht="15" customHeight="1">
      <c r="A9" s="16" t="s">
        <v>17</v>
      </c>
      <c r="B9" s="239">
        <v>4213</v>
      </c>
      <c r="C9" s="239">
        <v>4169</v>
      </c>
      <c r="D9" s="239">
        <v>4203</v>
      </c>
      <c r="E9" s="239">
        <v>4211</v>
      </c>
      <c r="F9" s="239">
        <v>4240</v>
      </c>
      <c r="G9" s="239">
        <v>4267</v>
      </c>
      <c r="H9" s="239">
        <v>4280</v>
      </c>
      <c r="I9" s="239">
        <v>3997</v>
      </c>
      <c r="J9" s="239">
        <v>4025</v>
      </c>
      <c r="K9" s="239">
        <v>4148</v>
      </c>
      <c r="L9" s="239">
        <v>4210</v>
      </c>
      <c r="N9" s="499">
        <f t="shared" si="6"/>
        <v>-7.1208165202940599E-2</v>
      </c>
      <c r="O9" s="344">
        <f t="shared" si="3"/>
        <v>-3</v>
      </c>
      <c r="P9" s="499">
        <f t="shared" si="7"/>
        <v>1.3199572650911564</v>
      </c>
      <c r="Q9" s="499">
        <f t="shared" si="4"/>
        <v>1.3230216557922263</v>
      </c>
      <c r="R9" s="499">
        <f t="shared" si="4"/>
        <v>1.3180258775863474</v>
      </c>
      <c r="S9" s="499">
        <f t="shared" si="4"/>
        <v>1.3097978227060654</v>
      </c>
      <c r="T9" s="499">
        <f t="shared" si="4"/>
        <v>1.3048843915514892</v>
      </c>
      <c r="U9" s="499">
        <f t="shared" si="4"/>
        <v>1.3037168303823767</v>
      </c>
      <c r="V9" s="499">
        <f t="shared" si="4"/>
        <v>1.2943496195579856</v>
      </c>
      <c r="W9" s="499">
        <f t="shared" si="4"/>
        <v>1.2375455913405866</v>
      </c>
      <c r="X9" s="499">
        <f t="shared" si="4"/>
        <v>1.2386177948602748</v>
      </c>
      <c r="Y9" s="499">
        <f t="shared" si="4"/>
        <v>1.3033614659988562</v>
      </c>
      <c r="Z9" s="499">
        <f t="shared" si="4"/>
        <v>1.2654689298822002</v>
      </c>
      <c r="AA9" s="4">
        <f t="shared" si="8"/>
        <v>17</v>
      </c>
      <c r="AB9" s="4">
        <f t="shared" si="5"/>
        <v>17</v>
      </c>
      <c r="AC9" s="4">
        <f t="shared" si="5"/>
        <v>17</v>
      </c>
      <c r="AD9" s="4">
        <f t="shared" si="5"/>
        <v>17</v>
      </c>
      <c r="AE9" s="4">
        <f t="shared" si="5"/>
        <v>17</v>
      </c>
      <c r="AF9" s="4">
        <f t="shared" si="5"/>
        <v>17</v>
      </c>
      <c r="AG9" s="4">
        <f t="shared" si="5"/>
        <v>17</v>
      </c>
      <c r="AH9" s="4">
        <f t="shared" si="5"/>
        <v>17</v>
      </c>
      <c r="AI9" s="4">
        <f t="shared" si="5"/>
        <v>17</v>
      </c>
      <c r="AJ9" s="4">
        <f t="shared" si="5"/>
        <v>17</v>
      </c>
      <c r="AK9" s="4">
        <f t="shared" si="5"/>
        <v>17</v>
      </c>
    </row>
    <row r="10" spans="1:37" ht="15" customHeight="1">
      <c r="A10" s="16" t="s">
        <v>18</v>
      </c>
      <c r="B10" s="239">
        <v>5838</v>
      </c>
      <c r="C10" s="239">
        <v>5629</v>
      </c>
      <c r="D10" s="239">
        <v>5698</v>
      </c>
      <c r="E10" s="239">
        <v>5686</v>
      </c>
      <c r="F10" s="239">
        <v>5691</v>
      </c>
      <c r="G10" s="239">
        <v>5612</v>
      </c>
      <c r="H10" s="239">
        <v>5626</v>
      </c>
      <c r="I10" s="239">
        <v>5451</v>
      </c>
      <c r="J10" s="239">
        <v>5400</v>
      </c>
      <c r="K10" s="239">
        <v>5369</v>
      </c>
      <c r="L10" s="239">
        <v>5592</v>
      </c>
      <c r="N10" s="499">
        <f t="shared" si="6"/>
        <v>-4.2137718396711215</v>
      </c>
      <c r="O10" s="344">
        <f t="shared" si="3"/>
        <v>-246</v>
      </c>
      <c r="P10" s="499">
        <f t="shared" si="7"/>
        <v>1.8290791629722694</v>
      </c>
      <c r="Q10" s="499">
        <f t="shared" si="4"/>
        <v>1.7863489806798853</v>
      </c>
      <c r="R10" s="499">
        <f t="shared" si="4"/>
        <v>1.7868454557428046</v>
      </c>
      <c r="S10" s="499">
        <f t="shared" si="4"/>
        <v>1.7685847589424573</v>
      </c>
      <c r="T10" s="499">
        <f t="shared" si="4"/>
        <v>1.7514379887546048</v>
      </c>
      <c r="U10" s="499">
        <f t="shared" si="4"/>
        <v>1.7146610855650102</v>
      </c>
      <c r="V10" s="499">
        <f t="shared" si="4"/>
        <v>1.7014044298208475</v>
      </c>
      <c r="W10" s="499">
        <f t="shared" si="4"/>
        <v>1.6877310528890512</v>
      </c>
      <c r="X10" s="499">
        <f t="shared" si="4"/>
        <v>1.661748097452294</v>
      </c>
      <c r="Y10" s="499">
        <f t="shared" si="4"/>
        <v>1.687017288078076</v>
      </c>
      <c r="Z10" s="499">
        <f t="shared" si="4"/>
        <v>1.6808793957010126</v>
      </c>
      <c r="AA10" s="4">
        <f t="shared" si="8"/>
        <v>14</v>
      </c>
      <c r="AB10" s="4">
        <f t="shared" si="5"/>
        <v>14</v>
      </c>
      <c r="AC10" s="4">
        <f t="shared" si="5"/>
        <v>14</v>
      </c>
      <c r="AD10" s="4">
        <f t="shared" si="5"/>
        <v>14</v>
      </c>
      <c r="AE10" s="4">
        <f t="shared" si="5"/>
        <v>14</v>
      </c>
      <c r="AF10" s="4">
        <f t="shared" si="5"/>
        <v>14</v>
      </c>
      <c r="AG10" s="4">
        <f t="shared" si="5"/>
        <v>14</v>
      </c>
      <c r="AH10" s="4">
        <f t="shared" si="5"/>
        <v>14</v>
      </c>
      <c r="AI10" s="4">
        <f t="shared" si="5"/>
        <v>14</v>
      </c>
      <c r="AJ10" s="4">
        <f t="shared" si="5"/>
        <v>14</v>
      </c>
      <c r="AK10" s="4">
        <f t="shared" si="5"/>
        <v>14</v>
      </c>
    </row>
    <row r="11" spans="1:37" ht="15" customHeight="1">
      <c r="A11" s="16" t="s">
        <v>19</v>
      </c>
      <c r="B11" s="239">
        <v>12556</v>
      </c>
      <c r="C11" s="239">
        <v>12300</v>
      </c>
      <c r="D11" s="239">
        <v>12323</v>
      </c>
      <c r="E11" s="239">
        <v>12342</v>
      </c>
      <c r="F11" s="239">
        <v>12392</v>
      </c>
      <c r="G11" s="239">
        <v>12407</v>
      </c>
      <c r="H11" s="239">
        <v>12372</v>
      </c>
      <c r="I11" s="239">
        <v>11967</v>
      </c>
      <c r="J11" s="239">
        <v>12128</v>
      </c>
      <c r="K11" s="239">
        <v>11961</v>
      </c>
      <c r="L11" s="239">
        <v>12457</v>
      </c>
      <c r="N11" s="499">
        <f t="shared" si="6"/>
        <v>-0.78846766486142528</v>
      </c>
      <c r="O11" s="344">
        <f t="shared" ref="O11:O23" si="9">+L11-B11</f>
        <v>-99</v>
      </c>
      <c r="P11" s="499">
        <f t="shared" si="7"/>
        <v>3.9338674152586184</v>
      </c>
      <c r="Q11" s="499">
        <f t="shared" si="4"/>
        <v>3.9033740384371272</v>
      </c>
      <c r="R11" s="499">
        <f t="shared" si="4"/>
        <v>3.8643904091117203</v>
      </c>
      <c r="S11" s="499">
        <f t="shared" si="4"/>
        <v>3.8388802488335925</v>
      </c>
      <c r="T11" s="499">
        <f t="shared" si="4"/>
        <v>3.8137092877608616</v>
      </c>
      <c r="U11" s="499">
        <f t="shared" si="4"/>
        <v>3.7907697948334071</v>
      </c>
      <c r="V11" s="499">
        <f t="shared" si="4"/>
        <v>3.7415171713017288</v>
      </c>
      <c r="W11" s="499">
        <f t="shared" si="4"/>
        <v>3.7052059273387044</v>
      </c>
      <c r="X11" s="499">
        <f t="shared" si="4"/>
        <v>3.7321631344261892</v>
      </c>
      <c r="Y11" s="499">
        <f t="shared" si="4"/>
        <v>3.7583188271003665</v>
      </c>
      <c r="Z11" s="499">
        <f t="shared" si="4"/>
        <v>3.7444053348082109</v>
      </c>
      <c r="AA11" s="4">
        <f t="shared" si="8"/>
        <v>9</v>
      </c>
      <c r="AB11" s="4">
        <f t="shared" si="5"/>
        <v>9</v>
      </c>
      <c r="AC11" s="4">
        <f t="shared" si="5"/>
        <v>9</v>
      </c>
      <c r="AD11" s="4">
        <f t="shared" si="5"/>
        <v>9</v>
      </c>
      <c r="AE11" s="4">
        <f t="shared" si="5"/>
        <v>9</v>
      </c>
      <c r="AF11" s="4">
        <f t="shared" si="5"/>
        <v>9</v>
      </c>
      <c r="AG11" s="4">
        <f t="shared" si="5"/>
        <v>9</v>
      </c>
      <c r="AH11" s="4">
        <f t="shared" si="5"/>
        <v>9</v>
      </c>
      <c r="AI11" s="4">
        <f t="shared" si="5"/>
        <v>9</v>
      </c>
      <c r="AJ11" s="4">
        <f t="shared" si="5"/>
        <v>9</v>
      </c>
      <c r="AK11" s="4">
        <f t="shared" si="5"/>
        <v>9</v>
      </c>
    </row>
    <row r="12" spans="1:37" ht="15" customHeight="1">
      <c r="A12" s="16" t="s">
        <v>20</v>
      </c>
      <c r="B12" s="239">
        <v>5976</v>
      </c>
      <c r="C12" s="239">
        <v>5978</v>
      </c>
      <c r="D12" s="239">
        <v>6131</v>
      </c>
      <c r="E12" s="239">
        <v>6132</v>
      </c>
      <c r="F12" s="239">
        <v>6087</v>
      </c>
      <c r="G12" s="239">
        <v>6073</v>
      </c>
      <c r="H12" s="239">
        <v>6029</v>
      </c>
      <c r="I12" s="239">
        <v>5879</v>
      </c>
      <c r="J12" s="239">
        <v>5902</v>
      </c>
      <c r="K12" s="239">
        <v>5608</v>
      </c>
      <c r="L12" s="239">
        <v>6051</v>
      </c>
      <c r="N12" s="499">
        <f t="shared" si="6"/>
        <v>1.2550200803212785</v>
      </c>
      <c r="O12" s="344">
        <f t="shared" si="9"/>
        <v>75</v>
      </c>
      <c r="P12" s="499">
        <f t="shared" si="7"/>
        <v>1.87231536106925</v>
      </c>
      <c r="Q12" s="499">
        <f t="shared" si="4"/>
        <v>1.8971032521770037</v>
      </c>
      <c r="R12" s="499">
        <f t="shared" si="4"/>
        <v>1.9226306579780863</v>
      </c>
      <c r="S12" s="499">
        <f t="shared" si="4"/>
        <v>1.9073094867807154</v>
      </c>
      <c r="T12" s="499">
        <f t="shared" si="4"/>
        <v>1.8733092668334703</v>
      </c>
      <c r="U12" s="499">
        <f t="shared" si="4"/>
        <v>1.8555126109473106</v>
      </c>
      <c r="V12" s="499">
        <f t="shared" si="4"/>
        <v>1.8232789383913774</v>
      </c>
      <c r="W12" s="499">
        <f t="shared" si="4"/>
        <v>1.82024781873688</v>
      </c>
      <c r="X12" s="499">
        <f t="shared" si="4"/>
        <v>1.8162291242895257</v>
      </c>
      <c r="Y12" s="499">
        <f t="shared" si="4"/>
        <v>1.7621145374449338</v>
      </c>
      <c r="Z12" s="499">
        <f t="shared" si="4"/>
        <v>1.8188485735670292</v>
      </c>
      <c r="AA12" s="4">
        <f t="shared" si="8"/>
        <v>12</v>
      </c>
      <c r="AB12" s="4">
        <f t="shared" si="5"/>
        <v>12</v>
      </c>
      <c r="AC12" s="4">
        <f t="shared" si="5"/>
        <v>12</v>
      </c>
      <c r="AD12" s="4">
        <f t="shared" si="5"/>
        <v>12</v>
      </c>
      <c r="AE12" s="4">
        <f t="shared" si="5"/>
        <v>12</v>
      </c>
      <c r="AF12" s="4">
        <f t="shared" si="5"/>
        <v>12</v>
      </c>
      <c r="AG12" s="4">
        <f t="shared" si="5"/>
        <v>12</v>
      </c>
      <c r="AH12" s="4">
        <f t="shared" si="5"/>
        <v>13</v>
      </c>
      <c r="AI12" s="4">
        <f t="shared" si="5"/>
        <v>13</v>
      </c>
      <c r="AJ12" s="4">
        <f t="shared" si="5"/>
        <v>13</v>
      </c>
      <c r="AK12" s="4">
        <f t="shared" si="5"/>
        <v>13</v>
      </c>
    </row>
    <row r="13" spans="1:37" ht="15" customHeight="1">
      <c r="A13" s="16" t="s">
        <v>21</v>
      </c>
      <c r="B13" s="239">
        <v>18829</v>
      </c>
      <c r="C13" s="239">
        <v>18636</v>
      </c>
      <c r="D13" s="239">
        <v>19056</v>
      </c>
      <c r="E13" s="239">
        <v>19415</v>
      </c>
      <c r="F13" s="239">
        <v>19902</v>
      </c>
      <c r="G13" s="239">
        <v>20073</v>
      </c>
      <c r="H13" s="239">
        <v>20768</v>
      </c>
      <c r="I13" s="239">
        <v>20888</v>
      </c>
      <c r="J13" s="239">
        <v>20366</v>
      </c>
      <c r="K13" s="239">
        <v>19836</v>
      </c>
      <c r="L13" s="239">
        <v>20699</v>
      </c>
      <c r="N13" s="499">
        <f t="shared" si="6"/>
        <v>9.931488661107867</v>
      </c>
      <c r="O13" s="344">
        <f t="shared" si="9"/>
        <v>1870</v>
      </c>
      <c r="P13" s="499">
        <f t="shared" si="7"/>
        <v>5.8992345939713697</v>
      </c>
      <c r="Q13" s="499">
        <f t="shared" si="4"/>
        <v>5.9140876894564469</v>
      </c>
      <c r="R13" s="499">
        <f t="shared" si="4"/>
        <v>5.9758032651166877</v>
      </c>
      <c r="S13" s="499">
        <f t="shared" si="4"/>
        <v>6.0388802488335926</v>
      </c>
      <c r="T13" s="499">
        <f t="shared" si="4"/>
        <v>6.1249549907211644</v>
      </c>
      <c r="U13" s="499">
        <f t="shared" si="4"/>
        <v>6.1329992819933086</v>
      </c>
      <c r="V13" s="499">
        <f t="shared" si="4"/>
        <v>6.280619836210338</v>
      </c>
      <c r="W13" s="499">
        <f t="shared" si="4"/>
        <v>6.4673135631529082</v>
      </c>
      <c r="X13" s="499">
        <f t="shared" si="4"/>
        <v>6.2672521764284106</v>
      </c>
      <c r="Y13" s="499">
        <f t="shared" si="4"/>
        <v>6.2327574830167096</v>
      </c>
      <c r="Z13" s="499">
        <f t="shared" si="4"/>
        <v>6.2218388075134587</v>
      </c>
      <c r="AA13" s="4">
        <f t="shared" si="8"/>
        <v>6</v>
      </c>
      <c r="AB13" s="4">
        <f t="shared" si="5"/>
        <v>6</v>
      </c>
      <c r="AC13" s="4">
        <f t="shared" si="5"/>
        <v>5</v>
      </c>
      <c r="AD13" s="4">
        <f t="shared" si="5"/>
        <v>5</v>
      </c>
      <c r="AE13" s="4">
        <f t="shared" si="5"/>
        <v>5</v>
      </c>
      <c r="AF13" s="4">
        <f t="shared" si="5"/>
        <v>5</v>
      </c>
      <c r="AG13" s="4">
        <f t="shared" si="5"/>
        <v>5</v>
      </c>
      <c r="AH13" s="4">
        <f t="shared" si="5"/>
        <v>5</v>
      </c>
      <c r="AI13" s="4">
        <f t="shared" si="5"/>
        <v>5</v>
      </c>
      <c r="AJ13" s="4">
        <f t="shared" si="5"/>
        <v>5</v>
      </c>
      <c r="AK13" s="4">
        <f t="shared" si="5"/>
        <v>5</v>
      </c>
    </row>
    <row r="14" spans="1:37" ht="15" customHeight="1">
      <c r="A14" s="16" t="s">
        <v>22</v>
      </c>
      <c r="B14" s="239">
        <v>5059</v>
      </c>
      <c r="C14" s="239">
        <v>5026</v>
      </c>
      <c r="D14" s="239">
        <v>5076</v>
      </c>
      <c r="E14" s="239">
        <v>5042</v>
      </c>
      <c r="F14" s="239">
        <v>5051</v>
      </c>
      <c r="G14" s="239">
        <v>5078</v>
      </c>
      <c r="H14" s="239">
        <v>5030</v>
      </c>
      <c r="I14" s="239">
        <v>4836</v>
      </c>
      <c r="J14" s="239">
        <v>4831</v>
      </c>
      <c r="K14" s="239">
        <v>4694</v>
      </c>
      <c r="L14" s="239">
        <v>4760</v>
      </c>
      <c r="N14" s="499">
        <f t="shared" si="6"/>
        <v>-5.9102589444554265</v>
      </c>
      <c r="O14" s="344">
        <f t="shared" si="9"/>
        <v>-299</v>
      </c>
      <c r="P14" s="499">
        <f t="shared" si="7"/>
        <v>1.5850139577726465</v>
      </c>
      <c r="Q14" s="499">
        <f t="shared" si="4"/>
        <v>1.5949884485516261</v>
      </c>
      <c r="R14" s="499">
        <f t="shared" si="4"/>
        <v>1.5917914238944324</v>
      </c>
      <c r="S14" s="499">
        <f t="shared" si="4"/>
        <v>1.5682737169517884</v>
      </c>
      <c r="T14" s="499">
        <f t="shared" si="4"/>
        <v>1.5544743070109839</v>
      </c>
      <c r="U14" s="499">
        <f t="shared" si="4"/>
        <v>1.5515055225408272</v>
      </c>
      <c r="V14" s="499">
        <f t="shared" si="4"/>
        <v>1.521163221116044</v>
      </c>
      <c r="W14" s="499">
        <f t="shared" si="4"/>
        <v>1.497315606635746</v>
      </c>
      <c r="X14" s="499">
        <f t="shared" si="4"/>
        <v>1.4866490849614875</v>
      </c>
      <c r="Y14" s="499">
        <f t="shared" si="4"/>
        <v>1.4749225461423894</v>
      </c>
      <c r="Z14" s="499">
        <f t="shared" si="4"/>
        <v>1.4307914741660981</v>
      </c>
      <c r="AA14" s="4">
        <f t="shared" si="8"/>
        <v>15</v>
      </c>
      <c r="AB14" s="4">
        <f t="shared" si="5"/>
        <v>15</v>
      </c>
      <c r="AC14" s="4">
        <f t="shared" si="5"/>
        <v>15</v>
      </c>
      <c r="AD14" s="4">
        <f t="shared" si="5"/>
        <v>15</v>
      </c>
      <c r="AE14" s="4">
        <f t="shared" si="5"/>
        <v>15</v>
      </c>
      <c r="AF14" s="4">
        <f t="shared" si="5"/>
        <v>16</v>
      </c>
      <c r="AG14" s="4">
        <f t="shared" si="5"/>
        <v>16</v>
      </c>
      <c r="AH14" s="4">
        <f t="shared" si="5"/>
        <v>16</v>
      </c>
      <c r="AI14" s="4">
        <f t="shared" si="5"/>
        <v>16</v>
      </c>
      <c r="AJ14" s="4">
        <f t="shared" si="5"/>
        <v>16</v>
      </c>
      <c r="AK14" s="4">
        <f t="shared" si="5"/>
        <v>16</v>
      </c>
    </row>
    <row r="15" spans="1:37" ht="15" customHeight="1">
      <c r="A15" s="16" t="s">
        <v>23</v>
      </c>
      <c r="B15" s="239">
        <v>18118</v>
      </c>
      <c r="C15" s="239">
        <v>17969</v>
      </c>
      <c r="D15" s="239">
        <v>17991</v>
      </c>
      <c r="E15" s="239">
        <v>18146</v>
      </c>
      <c r="F15" s="239">
        <v>18317</v>
      </c>
      <c r="G15" s="239">
        <v>18481</v>
      </c>
      <c r="H15" s="239">
        <v>18423</v>
      </c>
      <c r="I15" s="239">
        <v>18034</v>
      </c>
      <c r="J15" s="239">
        <v>18042</v>
      </c>
      <c r="K15" s="239">
        <v>17743</v>
      </c>
      <c r="L15" s="239">
        <v>18449</v>
      </c>
      <c r="N15" s="499">
        <f t="shared" si="6"/>
        <v>1.8269124627442235</v>
      </c>
      <c r="O15" s="344">
        <f t="shared" si="9"/>
        <v>331</v>
      </c>
      <c r="P15" s="499">
        <f t="shared" si="7"/>
        <v>5.6764741820369267</v>
      </c>
      <c r="Q15" s="499">
        <f t="shared" si="4"/>
        <v>5.7024169184290034</v>
      </c>
      <c r="R15" s="499">
        <f t="shared" si="4"/>
        <v>5.6418281141222879</v>
      </c>
      <c r="S15" s="499">
        <f t="shared" si="4"/>
        <v>5.6441679626749615</v>
      </c>
      <c r="T15" s="499">
        <f t="shared" si="4"/>
        <v>5.6371621226529776</v>
      </c>
      <c r="U15" s="499">
        <f t="shared" si="4"/>
        <v>5.6465879405429353</v>
      </c>
      <c r="V15" s="499">
        <f t="shared" si="4"/>
        <v>5.5714493086721424</v>
      </c>
      <c r="W15" s="499">
        <f t="shared" si="4"/>
        <v>5.5836620450928542</v>
      </c>
      <c r="X15" s="499">
        <f t="shared" si="4"/>
        <v>5.5520850322656088</v>
      </c>
      <c r="Y15" s="499">
        <f t="shared" si="4"/>
        <v>5.5751066757998329</v>
      </c>
      <c r="Z15" s="499">
        <f t="shared" si="4"/>
        <v>5.5455193081702401</v>
      </c>
      <c r="AA15" s="4">
        <f t="shared" si="8"/>
        <v>7</v>
      </c>
      <c r="AB15" s="4">
        <f t="shared" si="5"/>
        <v>7</v>
      </c>
      <c r="AC15" s="4">
        <f t="shared" si="5"/>
        <v>7</v>
      </c>
      <c r="AD15" s="4">
        <f t="shared" si="5"/>
        <v>7</v>
      </c>
      <c r="AE15" s="4">
        <f t="shared" si="5"/>
        <v>7</v>
      </c>
      <c r="AF15" s="4">
        <f t="shared" si="5"/>
        <v>7</v>
      </c>
      <c r="AG15" s="4">
        <f t="shared" si="5"/>
        <v>7</v>
      </c>
      <c r="AH15" s="4">
        <f t="shared" si="5"/>
        <v>7</v>
      </c>
      <c r="AI15" s="4">
        <f t="shared" si="5"/>
        <v>7</v>
      </c>
      <c r="AJ15" s="4">
        <f t="shared" si="5"/>
        <v>7</v>
      </c>
      <c r="AK15" s="4">
        <f t="shared" si="5"/>
        <v>7</v>
      </c>
    </row>
    <row r="16" spans="1:37" ht="15" customHeight="1">
      <c r="A16" s="16" t="s">
        <v>24</v>
      </c>
      <c r="B16" s="239">
        <v>72164</v>
      </c>
      <c r="C16" s="239">
        <v>70961</v>
      </c>
      <c r="D16" s="239">
        <v>71690</v>
      </c>
      <c r="E16" s="239">
        <v>72246</v>
      </c>
      <c r="F16" s="239">
        <v>72756</v>
      </c>
      <c r="G16" s="239">
        <v>73389</v>
      </c>
      <c r="H16" s="239">
        <v>74689</v>
      </c>
      <c r="I16" s="239">
        <v>72677</v>
      </c>
      <c r="J16" s="239">
        <v>73809</v>
      </c>
      <c r="K16" s="239">
        <v>71616</v>
      </c>
      <c r="L16" s="239">
        <v>75266</v>
      </c>
      <c r="N16" s="499">
        <f t="shared" si="6"/>
        <v>4.2985422094119041</v>
      </c>
      <c r="O16" s="344">
        <f t="shared" si="9"/>
        <v>3102</v>
      </c>
      <c r="P16" s="499">
        <f t="shared" si="7"/>
        <v>22.609398546887778</v>
      </c>
      <c r="Q16" s="499">
        <f t="shared" si="4"/>
        <v>22.519294726954225</v>
      </c>
      <c r="R16" s="499">
        <f t="shared" si="4"/>
        <v>22.481388333134724</v>
      </c>
      <c r="S16" s="499">
        <f t="shared" si="4"/>
        <v>22.47153965785381</v>
      </c>
      <c r="T16" s="499">
        <f t="shared" si="4"/>
        <v>22.391077545217016</v>
      </c>
      <c r="U16" s="499">
        <f t="shared" si="4"/>
        <v>22.422890664385342</v>
      </c>
      <c r="V16" s="499">
        <f t="shared" si="4"/>
        <v>22.58730811569308</v>
      </c>
      <c r="W16" s="499">
        <f t="shared" si="4"/>
        <v>22.502151849351968</v>
      </c>
      <c r="X16" s="499">
        <f t="shared" si="4"/>
        <v>22.713326912010437</v>
      </c>
      <c r="Y16" s="499">
        <f t="shared" si="4"/>
        <v>22.502780797727603</v>
      </c>
      <c r="Z16" s="499">
        <f t="shared" si="4"/>
        <v>22.623939305585196</v>
      </c>
      <c r="AA16" s="4">
        <f t="shared" si="8"/>
        <v>1</v>
      </c>
      <c r="AB16" s="4">
        <f t="shared" si="5"/>
        <v>1</v>
      </c>
      <c r="AC16" s="4">
        <f t="shared" si="5"/>
        <v>1</v>
      </c>
      <c r="AD16" s="4">
        <f t="shared" si="5"/>
        <v>1</v>
      </c>
      <c r="AE16" s="4">
        <f t="shared" si="5"/>
        <v>1</v>
      </c>
      <c r="AF16" s="4">
        <f t="shared" si="5"/>
        <v>1</v>
      </c>
      <c r="AG16" s="4">
        <f t="shared" si="5"/>
        <v>1</v>
      </c>
      <c r="AH16" s="4">
        <f t="shared" si="5"/>
        <v>1</v>
      </c>
      <c r="AI16" s="4">
        <f t="shared" si="5"/>
        <v>1</v>
      </c>
      <c r="AJ16" s="4">
        <f t="shared" si="5"/>
        <v>1</v>
      </c>
      <c r="AK16" s="4">
        <f t="shared" si="5"/>
        <v>1</v>
      </c>
    </row>
    <row r="17" spans="1:37" ht="15" customHeight="1">
      <c r="A17" s="16" t="s">
        <v>25</v>
      </c>
      <c r="B17" s="239">
        <v>3495</v>
      </c>
      <c r="C17" s="239">
        <v>3471</v>
      </c>
      <c r="D17" s="239">
        <v>3518</v>
      </c>
      <c r="E17" s="239">
        <v>3504</v>
      </c>
      <c r="F17" s="239">
        <v>3523</v>
      </c>
      <c r="G17" s="239">
        <v>3473</v>
      </c>
      <c r="H17" s="239">
        <v>3444</v>
      </c>
      <c r="I17" s="239">
        <v>3298</v>
      </c>
      <c r="J17" s="239">
        <v>3302</v>
      </c>
      <c r="K17" s="239">
        <v>3192</v>
      </c>
      <c r="L17" s="239">
        <v>3433</v>
      </c>
      <c r="N17" s="499">
        <f t="shared" si="6"/>
        <v>-1.7739628040057243</v>
      </c>
      <c r="O17" s="344">
        <f t="shared" si="9"/>
        <v>-62</v>
      </c>
      <c r="P17" s="499">
        <f t="shared" si="7"/>
        <v>1.0950037126735321</v>
      </c>
      <c r="Q17" s="499">
        <f t="shared" si="4"/>
        <v>1.1015131127979894</v>
      </c>
      <c r="R17" s="499">
        <f t="shared" si="4"/>
        <v>1.1032155692002785</v>
      </c>
      <c r="S17" s="499">
        <f t="shared" si="4"/>
        <v>1.0898911353032659</v>
      </c>
      <c r="T17" s="499">
        <f t="shared" si="4"/>
        <v>1.0842235168480887</v>
      </c>
      <c r="U17" s="499">
        <f t="shared" si="4"/>
        <v>1.0611222291816251</v>
      </c>
      <c r="V17" s="499">
        <f t="shared" si="4"/>
        <v>1.0415280583546034</v>
      </c>
      <c r="W17" s="499">
        <f t="shared" si="4"/>
        <v>1.0211221816965861</v>
      </c>
      <c r="X17" s="499">
        <f t="shared" si="4"/>
        <v>1.016128188479162</v>
      </c>
      <c r="Y17" s="499">
        <f t="shared" si="4"/>
        <v>1.0029724685314245</v>
      </c>
      <c r="Z17" s="499">
        <f t="shared" si="4"/>
        <v>1.0319132627756753</v>
      </c>
      <c r="AA17" s="4">
        <f t="shared" si="8"/>
        <v>18</v>
      </c>
      <c r="AB17" s="4">
        <f t="shared" si="5"/>
        <v>18</v>
      </c>
      <c r="AC17" s="4">
        <f t="shared" si="5"/>
        <v>18</v>
      </c>
      <c r="AD17" s="4">
        <f t="shared" si="5"/>
        <v>18</v>
      </c>
      <c r="AE17" s="4">
        <f t="shared" si="5"/>
        <v>18</v>
      </c>
      <c r="AF17" s="4">
        <f t="shared" si="5"/>
        <v>18</v>
      </c>
      <c r="AG17" s="4">
        <f t="shared" si="5"/>
        <v>18</v>
      </c>
      <c r="AH17" s="4">
        <f t="shared" si="5"/>
        <v>18</v>
      </c>
      <c r="AI17" s="4">
        <f t="shared" si="5"/>
        <v>18</v>
      </c>
      <c r="AJ17" s="4">
        <f t="shared" si="5"/>
        <v>18</v>
      </c>
      <c r="AK17" s="4">
        <f t="shared" si="5"/>
        <v>18</v>
      </c>
    </row>
    <row r="18" spans="1:37" ht="15" customHeight="1">
      <c r="A18" s="16" t="s">
        <v>26</v>
      </c>
      <c r="B18" s="239">
        <v>58207</v>
      </c>
      <c r="C18" s="239">
        <v>57670</v>
      </c>
      <c r="D18" s="239">
        <v>58698</v>
      </c>
      <c r="E18" s="239">
        <v>59308</v>
      </c>
      <c r="F18" s="239">
        <v>60064</v>
      </c>
      <c r="G18" s="239">
        <v>60629</v>
      </c>
      <c r="H18" s="239">
        <v>61580</v>
      </c>
      <c r="I18" s="239">
        <v>60330</v>
      </c>
      <c r="J18" s="239">
        <v>60643</v>
      </c>
      <c r="K18" s="239">
        <v>59433</v>
      </c>
      <c r="L18" s="239">
        <v>61907</v>
      </c>
      <c r="N18" s="499">
        <f t="shared" si="6"/>
        <v>6.356623773772907</v>
      </c>
      <c r="O18" s="344">
        <f t="shared" si="9"/>
        <v>3700</v>
      </c>
      <c r="P18" s="499">
        <f t="shared" si="7"/>
        <v>18.236589729209811</v>
      </c>
      <c r="Q18" s="499">
        <f t="shared" si="4"/>
        <v>18.301429333062529</v>
      </c>
      <c r="R18" s="499">
        <f t="shared" si="4"/>
        <v>18.40720508269413</v>
      </c>
      <c r="S18" s="499">
        <f t="shared" si="4"/>
        <v>18.447278382581647</v>
      </c>
      <c r="T18" s="499">
        <f t="shared" si="4"/>
        <v>18.485041531638831</v>
      </c>
      <c r="U18" s="499">
        <f t="shared" si="4"/>
        <v>18.52426709848913</v>
      </c>
      <c r="V18" s="499">
        <f t="shared" si="4"/>
        <v>18.622908778593636</v>
      </c>
      <c r="W18" s="499">
        <f t="shared" si="4"/>
        <v>18.679290849531547</v>
      </c>
      <c r="X18" s="499">
        <f t="shared" si="4"/>
        <v>18.661738865518419</v>
      </c>
      <c r="Y18" s="499">
        <f t="shared" si="4"/>
        <v>18.674706366612831</v>
      </c>
      <c r="Z18" s="499">
        <f t="shared" si="4"/>
        <v>18.608404998151393</v>
      </c>
      <c r="AA18" s="4">
        <f t="shared" si="8"/>
        <v>2</v>
      </c>
      <c r="AB18" s="4">
        <f t="shared" si="5"/>
        <v>2</v>
      </c>
      <c r="AC18" s="4">
        <f t="shared" si="5"/>
        <v>2</v>
      </c>
      <c r="AD18" s="4">
        <f t="shared" si="5"/>
        <v>2</v>
      </c>
      <c r="AE18" s="4">
        <f t="shared" si="5"/>
        <v>2</v>
      </c>
      <c r="AF18" s="4">
        <f t="shared" si="5"/>
        <v>2</v>
      </c>
      <c r="AG18" s="4">
        <f t="shared" si="5"/>
        <v>2</v>
      </c>
      <c r="AH18" s="4">
        <f t="shared" si="5"/>
        <v>2</v>
      </c>
      <c r="AI18" s="4">
        <f t="shared" si="5"/>
        <v>2</v>
      </c>
      <c r="AJ18" s="4">
        <f t="shared" si="5"/>
        <v>2</v>
      </c>
      <c r="AK18" s="4">
        <f t="shared" si="5"/>
        <v>2</v>
      </c>
    </row>
    <row r="19" spans="1:37" ht="15" customHeight="1">
      <c r="A19" s="16" t="s">
        <v>27</v>
      </c>
      <c r="B19" s="239">
        <v>14634</v>
      </c>
      <c r="C19" s="239">
        <v>14366</v>
      </c>
      <c r="D19" s="239">
        <v>14316</v>
      </c>
      <c r="E19" s="239">
        <v>14410</v>
      </c>
      <c r="F19" s="239">
        <v>14376</v>
      </c>
      <c r="G19" s="239">
        <v>14353</v>
      </c>
      <c r="H19" s="239">
        <v>14254</v>
      </c>
      <c r="I19" s="239">
        <v>13858</v>
      </c>
      <c r="J19" s="239">
        <v>13738</v>
      </c>
      <c r="K19" s="239">
        <v>13511</v>
      </c>
      <c r="L19" s="239">
        <v>13899</v>
      </c>
      <c r="N19" s="499">
        <f t="shared" si="6"/>
        <v>-5.0225502255022541</v>
      </c>
      <c r="O19" s="344">
        <f t="shared" si="9"/>
        <v>-735</v>
      </c>
      <c r="P19" s="499">
        <f t="shared" si="7"/>
        <v>4.58491683297982</v>
      </c>
      <c r="Q19" s="499">
        <f t="shared" si="4"/>
        <v>4.5590139379014447</v>
      </c>
      <c r="R19" s="499">
        <f t="shared" si="4"/>
        <v>4.4893786494233048</v>
      </c>
      <c r="S19" s="499">
        <f t="shared" si="4"/>
        <v>4.482115085536547</v>
      </c>
      <c r="T19" s="499">
        <f t="shared" si="4"/>
        <v>4.424296701166087</v>
      </c>
      <c r="U19" s="499">
        <f t="shared" si="4"/>
        <v>4.3853404421088014</v>
      </c>
      <c r="V19" s="499">
        <f t="shared" si="4"/>
        <v>4.3106681021447493</v>
      </c>
      <c r="W19" s="499">
        <f t="shared" si="4"/>
        <v>4.2906947222411436</v>
      </c>
      <c r="X19" s="499">
        <f t="shared" si="4"/>
        <v>4.2276102523702992</v>
      </c>
      <c r="Y19" s="499">
        <f t="shared" si="4"/>
        <v>4.2453511974712024</v>
      </c>
      <c r="Z19" s="499">
        <f t="shared" si="4"/>
        <v>4.1778509872761758</v>
      </c>
      <c r="AA19" s="4">
        <f t="shared" si="8"/>
        <v>8</v>
      </c>
      <c r="AB19" s="4">
        <f t="shared" si="5"/>
        <v>8</v>
      </c>
      <c r="AC19" s="4">
        <f t="shared" si="5"/>
        <v>8</v>
      </c>
      <c r="AD19" s="4">
        <f t="shared" si="5"/>
        <v>8</v>
      </c>
      <c r="AE19" s="4">
        <f t="shared" si="5"/>
        <v>8</v>
      </c>
      <c r="AF19" s="4">
        <f t="shared" si="5"/>
        <v>8</v>
      </c>
      <c r="AG19" s="4">
        <f t="shared" si="5"/>
        <v>8</v>
      </c>
      <c r="AH19" s="4">
        <f t="shared" si="5"/>
        <v>8</v>
      </c>
      <c r="AI19" s="4">
        <f t="shared" si="5"/>
        <v>8</v>
      </c>
      <c r="AJ19" s="4">
        <f t="shared" si="5"/>
        <v>8</v>
      </c>
      <c r="AK19" s="4">
        <f t="shared" si="5"/>
        <v>8</v>
      </c>
    </row>
    <row r="20" spans="1:37" ht="15" customHeight="1">
      <c r="A20" s="16" t="s">
        <v>28</v>
      </c>
      <c r="B20" s="239">
        <v>19270</v>
      </c>
      <c r="C20" s="239">
        <v>18705</v>
      </c>
      <c r="D20" s="239">
        <v>18689</v>
      </c>
      <c r="E20" s="239">
        <v>18787</v>
      </c>
      <c r="F20" s="239">
        <v>18918</v>
      </c>
      <c r="G20" s="239">
        <v>19094</v>
      </c>
      <c r="H20" s="239">
        <v>19213</v>
      </c>
      <c r="I20" s="239">
        <v>18872</v>
      </c>
      <c r="J20" s="239">
        <v>19347</v>
      </c>
      <c r="K20" s="239">
        <v>19056</v>
      </c>
      <c r="L20" s="239">
        <v>20105</v>
      </c>
      <c r="N20" s="499">
        <f t="shared" si="6"/>
        <v>4.3331603528801166</v>
      </c>
      <c r="O20" s="344">
        <f t="shared" si="9"/>
        <v>835</v>
      </c>
      <c r="P20" s="499">
        <f t="shared" si="7"/>
        <v>6.0374024444117218</v>
      </c>
      <c r="Q20" s="499">
        <f t="shared" si="4"/>
        <v>5.9359846657696309</v>
      </c>
      <c r="R20" s="499">
        <f t="shared" si="4"/>
        <v>5.8607151144923266</v>
      </c>
      <c r="S20" s="499">
        <f t="shared" si="4"/>
        <v>5.8435458786936234</v>
      </c>
      <c r="T20" s="499">
        <f t="shared" si="4"/>
        <v>5.8221233300403465</v>
      </c>
      <c r="U20" s="499">
        <f t="shared" si="4"/>
        <v>5.8338807497823062</v>
      </c>
      <c r="V20" s="499">
        <f t="shared" si="4"/>
        <v>5.8103596356466305</v>
      </c>
      <c r="W20" s="499">
        <f t="shared" si="4"/>
        <v>5.8431224417762202</v>
      </c>
      <c r="X20" s="499">
        <f t="shared" si="4"/>
        <v>5.9536741558165795</v>
      </c>
      <c r="Y20" s="499">
        <f t="shared" si="4"/>
        <v>5.987670225668805</v>
      </c>
      <c r="Z20" s="499">
        <f t="shared" si="4"/>
        <v>6.0432904596868493</v>
      </c>
      <c r="AA20" s="4">
        <f t="shared" si="8"/>
        <v>5</v>
      </c>
      <c r="AB20" s="4">
        <f t="shared" si="5"/>
        <v>5</v>
      </c>
      <c r="AC20" s="4">
        <f t="shared" si="5"/>
        <v>6</v>
      </c>
      <c r="AD20" s="4">
        <f t="shared" si="5"/>
        <v>6</v>
      </c>
      <c r="AE20" s="4">
        <f t="shared" si="5"/>
        <v>6</v>
      </c>
      <c r="AF20" s="4">
        <f t="shared" si="5"/>
        <v>6</v>
      </c>
      <c r="AG20" s="4">
        <f t="shared" si="5"/>
        <v>6</v>
      </c>
      <c r="AH20" s="4">
        <f t="shared" si="5"/>
        <v>6</v>
      </c>
      <c r="AI20" s="4">
        <f t="shared" si="5"/>
        <v>6</v>
      </c>
      <c r="AJ20" s="4">
        <f t="shared" si="5"/>
        <v>6</v>
      </c>
      <c r="AK20" s="4">
        <f t="shared" si="5"/>
        <v>6</v>
      </c>
    </row>
    <row r="21" spans="1:37" ht="15" customHeight="1">
      <c r="A21" s="16" t="s">
        <v>29</v>
      </c>
      <c r="B21" s="239">
        <v>8273</v>
      </c>
      <c r="C21" s="239">
        <v>8133</v>
      </c>
      <c r="D21" s="239">
        <v>8188</v>
      </c>
      <c r="E21" s="239">
        <v>8233</v>
      </c>
      <c r="F21" s="239">
        <v>8364</v>
      </c>
      <c r="G21" s="239">
        <v>8315</v>
      </c>
      <c r="H21" s="239">
        <v>8400</v>
      </c>
      <c r="I21" s="239">
        <v>8045</v>
      </c>
      <c r="J21" s="239">
        <v>8065</v>
      </c>
      <c r="K21" s="239">
        <v>7974</v>
      </c>
      <c r="L21" s="239">
        <v>8261</v>
      </c>
      <c r="N21" s="499">
        <f t="shared" si="6"/>
        <v>-0.14505016318143715</v>
      </c>
      <c r="O21" s="344">
        <f t="shared" si="9"/>
        <v>-12</v>
      </c>
      <c r="P21" s="499">
        <f t="shared" si="7"/>
        <v>2.59197874533566</v>
      </c>
      <c r="Q21" s="499">
        <f t="shared" si="4"/>
        <v>2.5809870776105006</v>
      </c>
      <c r="R21" s="499">
        <f t="shared" si="4"/>
        <v>2.5676887665184425</v>
      </c>
      <c r="S21" s="499">
        <f t="shared" si="4"/>
        <v>2.5608087091757388</v>
      </c>
      <c r="T21" s="499">
        <f t="shared" si="4"/>
        <v>2.5740691157869469</v>
      </c>
      <c r="U21" s="499">
        <f t="shared" si="4"/>
        <v>2.5405215478391052</v>
      </c>
      <c r="V21" s="499">
        <f t="shared" si="4"/>
        <v>2.5403123374502523</v>
      </c>
      <c r="W21" s="499">
        <f t="shared" si="4"/>
        <v>2.4908817318826668</v>
      </c>
      <c r="X21" s="499">
        <f t="shared" si="4"/>
        <v>2.4818515566579169</v>
      </c>
      <c r="Y21" s="499">
        <f t="shared" si="4"/>
        <v>2.5055458847335776</v>
      </c>
      <c r="Z21" s="499">
        <f t="shared" si="4"/>
        <v>2.4831446151441461</v>
      </c>
      <c r="AA21" s="4">
        <f t="shared" si="8"/>
        <v>11</v>
      </c>
      <c r="AB21" s="4">
        <f t="shared" si="5"/>
        <v>11</v>
      </c>
      <c r="AC21" s="4">
        <f t="shared" si="5"/>
        <v>11</v>
      </c>
      <c r="AD21" s="4">
        <f t="shared" si="5"/>
        <v>11</v>
      </c>
      <c r="AE21" s="4">
        <f t="shared" si="5"/>
        <v>11</v>
      </c>
      <c r="AF21" s="4">
        <f t="shared" si="5"/>
        <v>11</v>
      </c>
      <c r="AG21" s="4">
        <f t="shared" si="5"/>
        <v>11</v>
      </c>
      <c r="AH21" s="4">
        <f t="shared" si="5"/>
        <v>11</v>
      </c>
      <c r="AI21" s="4">
        <f t="shared" si="5"/>
        <v>11</v>
      </c>
      <c r="AJ21" s="4">
        <f t="shared" si="5"/>
        <v>11</v>
      </c>
      <c r="AK21" s="4">
        <f t="shared" si="5"/>
        <v>11</v>
      </c>
    </row>
    <row r="22" spans="1:37" ht="15" customHeight="1">
      <c r="A22" s="16" t="s">
        <v>30</v>
      </c>
      <c r="B22" s="239">
        <v>5919</v>
      </c>
      <c r="C22" s="239">
        <v>5849</v>
      </c>
      <c r="D22" s="239">
        <v>5912</v>
      </c>
      <c r="E22" s="239">
        <v>5937</v>
      </c>
      <c r="F22" s="239">
        <v>6002</v>
      </c>
      <c r="G22" s="239">
        <v>6020</v>
      </c>
      <c r="H22" s="239">
        <v>6022</v>
      </c>
      <c r="I22" s="239">
        <v>5921</v>
      </c>
      <c r="J22" s="239">
        <v>5994</v>
      </c>
      <c r="K22" s="239">
        <v>5922</v>
      </c>
      <c r="L22" s="239">
        <v>6063</v>
      </c>
      <c r="N22" s="499">
        <f t="shared" si="6"/>
        <v>2.4328433857070397</v>
      </c>
      <c r="O22" s="344">
        <f t="shared" si="9"/>
        <v>144</v>
      </c>
      <c r="P22" s="499">
        <f t="shared" si="7"/>
        <v>1.8544569314204971</v>
      </c>
      <c r="Q22" s="499">
        <f t="shared" si="7"/>
        <v>1.8561654268958339</v>
      </c>
      <c r="R22" s="499">
        <f t="shared" si="7"/>
        <v>1.853954077632759</v>
      </c>
      <c r="S22" s="499">
        <f t="shared" si="7"/>
        <v>1.846656298600311</v>
      </c>
      <c r="T22" s="499">
        <f t="shared" si="7"/>
        <v>1.8471500278518955</v>
      </c>
      <c r="U22" s="499">
        <f t="shared" si="7"/>
        <v>1.8393192685497792</v>
      </c>
      <c r="V22" s="499">
        <f t="shared" si="7"/>
        <v>1.8211620114435023</v>
      </c>
      <c r="W22" s="499">
        <f t="shared" si="7"/>
        <v>1.8332518004322276</v>
      </c>
      <c r="X22" s="499">
        <f t="shared" si="7"/>
        <v>1.8445403881720464</v>
      </c>
      <c r="Y22" s="499">
        <f t="shared" si="7"/>
        <v>1.8607778692490904</v>
      </c>
      <c r="Z22" s="499">
        <f t="shared" si="7"/>
        <v>1.8224556108968597</v>
      </c>
      <c r="AA22" s="4">
        <f t="shared" si="8"/>
        <v>13</v>
      </c>
      <c r="AB22" s="4">
        <f t="shared" si="8"/>
        <v>13</v>
      </c>
      <c r="AC22" s="4">
        <f t="shared" si="8"/>
        <v>13</v>
      </c>
      <c r="AD22" s="4">
        <f t="shared" si="8"/>
        <v>13</v>
      </c>
      <c r="AE22" s="4">
        <f t="shared" si="8"/>
        <v>13</v>
      </c>
      <c r="AF22" s="4">
        <f t="shared" si="8"/>
        <v>13</v>
      </c>
      <c r="AG22" s="4">
        <f t="shared" si="8"/>
        <v>13</v>
      </c>
      <c r="AH22" s="4">
        <f t="shared" si="8"/>
        <v>12</v>
      </c>
      <c r="AI22" s="4">
        <f t="shared" si="8"/>
        <v>12</v>
      </c>
      <c r="AJ22" s="4">
        <f t="shared" si="8"/>
        <v>12</v>
      </c>
      <c r="AK22" s="4">
        <f t="shared" si="8"/>
        <v>12</v>
      </c>
    </row>
    <row r="23" spans="1:37" s="19" customFormat="1" ht="15" customHeight="1">
      <c r="A23" s="18" t="s">
        <v>31</v>
      </c>
      <c r="B23" s="240">
        <v>10913</v>
      </c>
      <c r="C23" s="240">
        <v>10814</v>
      </c>
      <c r="D23" s="240">
        <v>10925</v>
      </c>
      <c r="E23" s="240">
        <v>11124</v>
      </c>
      <c r="F23" s="240">
        <v>11312</v>
      </c>
      <c r="G23" s="240">
        <v>11375</v>
      </c>
      <c r="H23" s="240">
        <v>11397</v>
      </c>
      <c r="I23" s="240">
        <v>11158</v>
      </c>
      <c r="J23" s="240">
        <v>11298</v>
      </c>
      <c r="K23" s="240">
        <v>11216</v>
      </c>
      <c r="L23" s="240">
        <v>11681</v>
      </c>
      <c r="N23" s="499">
        <f t="shared" si="6"/>
        <v>7.0374782369650779</v>
      </c>
      <c r="O23" s="344">
        <f t="shared" si="9"/>
        <v>768</v>
      </c>
      <c r="P23" s="499">
        <f t="shared" si="7"/>
        <v>3.419106013277899</v>
      </c>
      <c r="Q23" s="499">
        <f t="shared" si="7"/>
        <v>3.4317956789966741</v>
      </c>
      <c r="R23" s="499">
        <f t="shared" si="7"/>
        <v>3.4259892249894945</v>
      </c>
      <c r="S23" s="499">
        <f t="shared" si="7"/>
        <v>3.460031104199067</v>
      </c>
      <c r="T23" s="499">
        <f t="shared" si="7"/>
        <v>3.481333074818501</v>
      </c>
      <c r="U23" s="499">
        <f t="shared" si="7"/>
        <v>3.4754579202248737</v>
      </c>
      <c r="V23" s="499">
        <f t="shared" si="7"/>
        <v>3.4466594892762528</v>
      </c>
      <c r="W23" s="499">
        <f t="shared" si="7"/>
        <v>3.4547244703973647</v>
      </c>
      <c r="X23" s="499">
        <f t="shared" si="7"/>
        <v>3.4767462972251884</v>
      </c>
      <c r="Y23" s="499">
        <f t="shared" si="7"/>
        <v>3.5242290748898677</v>
      </c>
      <c r="Z23" s="499">
        <f t="shared" si="7"/>
        <v>3.5111502541458384</v>
      </c>
      <c r="AA23" s="4">
        <f t="shared" si="8"/>
        <v>10</v>
      </c>
      <c r="AB23" s="4">
        <f t="shared" si="8"/>
        <v>10</v>
      </c>
      <c r="AC23" s="4">
        <f t="shared" si="8"/>
        <v>10</v>
      </c>
      <c r="AD23" s="4">
        <f t="shared" si="8"/>
        <v>10</v>
      </c>
      <c r="AE23" s="4">
        <f t="shared" si="8"/>
        <v>10</v>
      </c>
      <c r="AF23" s="4">
        <f t="shared" si="8"/>
        <v>10</v>
      </c>
      <c r="AG23" s="4">
        <f t="shared" si="8"/>
        <v>10</v>
      </c>
      <c r="AH23" s="4">
        <f t="shared" si="8"/>
        <v>10</v>
      </c>
      <c r="AI23" s="4">
        <f t="shared" si="8"/>
        <v>10</v>
      </c>
      <c r="AJ23" s="4">
        <f t="shared" si="8"/>
        <v>10</v>
      </c>
      <c r="AK23" s="4">
        <f t="shared" si="8"/>
        <v>10</v>
      </c>
    </row>
    <row r="24" spans="1:37" ht="15" customHeight="1">
      <c r="A24" s="20" t="s">
        <v>138</v>
      </c>
      <c r="B24" s="10"/>
      <c r="C24" s="10"/>
      <c r="D24" s="10"/>
      <c r="E24" s="17"/>
      <c r="F24" s="17"/>
      <c r="G24" s="17"/>
      <c r="H24" s="17"/>
      <c r="I24" s="17"/>
      <c r="J24" s="17"/>
      <c r="K24" s="17"/>
      <c r="L24" s="17"/>
    </row>
  </sheetData>
  <mergeCells count="1">
    <mergeCell ref="A1:L1"/>
  </mergeCells>
  <phoneticPr fontId="25" type="noConversion"/>
  <conditionalFormatting sqref="M5">
    <cfRule type="containsText" dxfId="56" priority="41" operator="containsText" text="FALSO">
      <formula>NOT(ISERROR(SEARCH("FALSO",M5)))</formula>
    </cfRule>
  </conditionalFormatting>
  <conditionalFormatting sqref="M1:XFD3 A1:A1048576 B2:E3 B4:D4 M4:M23 AL4:XFD23 B5:I22 B23:E1048576 M24:XFD1048576">
    <cfRule type="cellIs" dxfId="55" priority="42"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4D3DF-7868-49BF-B1DB-1AE1110C1282}">
  <sheetPr>
    <tabColor indexed="24"/>
    <pageSetUpPr fitToPage="1"/>
  </sheetPr>
  <dimension ref="A1:L34"/>
  <sheetViews>
    <sheetView showGridLines="0" workbookViewId="0">
      <selection activeCell="K42" sqref="K42"/>
    </sheetView>
  </sheetViews>
  <sheetFormatPr defaultColWidth="9.140625" defaultRowHeight="11.25"/>
  <cols>
    <col min="1" max="1" width="24.140625" style="4" customWidth="1"/>
    <col min="2" max="12" width="7.5703125" style="4" customWidth="1"/>
    <col min="13" max="14" width="5.85546875" style="4" bestFit="1" customWidth="1"/>
    <col min="15" max="16384" width="9.140625" style="4"/>
  </cols>
  <sheetData>
    <row r="1" spans="1:12" s="3" customFormat="1" ht="29.25" customHeight="1">
      <c r="A1" s="612" t="s">
        <v>657</v>
      </c>
      <c r="B1" s="612"/>
      <c r="C1" s="612"/>
      <c r="D1" s="612"/>
      <c r="E1" s="612"/>
      <c r="F1" s="612"/>
      <c r="G1" s="612"/>
      <c r="H1" s="612"/>
      <c r="I1" s="612"/>
      <c r="J1" s="612"/>
      <c r="K1" s="612"/>
      <c r="L1" s="612"/>
    </row>
    <row r="2" spans="1:12" ht="15" customHeight="1">
      <c r="A2" s="11"/>
      <c r="B2" s="98"/>
      <c r="C2" s="98"/>
      <c r="D2" s="98"/>
      <c r="E2" s="98"/>
      <c r="F2" s="98"/>
      <c r="G2" s="98"/>
      <c r="H2" s="98"/>
      <c r="I2" s="98"/>
      <c r="J2" s="98"/>
      <c r="K2" s="98"/>
      <c r="L2" s="98"/>
    </row>
    <row r="3" spans="1:12" ht="15" customHeight="1">
      <c r="A3" s="13" t="s">
        <v>42</v>
      </c>
      <c r="B3" s="98"/>
      <c r="C3" s="98"/>
      <c r="D3" s="98"/>
      <c r="E3" s="98"/>
      <c r="F3" s="98"/>
      <c r="G3" s="98"/>
      <c r="H3" s="98"/>
      <c r="I3" s="98"/>
      <c r="J3" s="98"/>
      <c r="K3" s="98"/>
      <c r="L3" s="98"/>
    </row>
    <row r="4" spans="1:12" ht="28.5" customHeight="1" thickBot="1">
      <c r="A4" s="14"/>
      <c r="B4" s="15">
        <v>2012</v>
      </c>
      <c r="C4" s="15">
        <v>2013</v>
      </c>
      <c r="D4" s="15">
        <v>2014</v>
      </c>
      <c r="E4" s="15">
        <v>2015</v>
      </c>
      <c r="F4" s="15">
        <v>2016</v>
      </c>
      <c r="G4" s="15">
        <v>2017</v>
      </c>
      <c r="H4" s="15">
        <v>2018</v>
      </c>
      <c r="I4" s="15">
        <v>2019</v>
      </c>
      <c r="J4" s="15">
        <v>2020</v>
      </c>
      <c r="K4" s="15">
        <v>2021</v>
      </c>
      <c r="L4" s="15">
        <v>2022</v>
      </c>
    </row>
    <row r="5" spans="1:12" ht="20.25" customHeight="1" thickTop="1">
      <c r="A5" s="92" t="s">
        <v>12</v>
      </c>
      <c r="B5" s="238">
        <v>319177</v>
      </c>
      <c r="C5" s="238">
        <v>315112</v>
      </c>
      <c r="D5" s="238">
        <v>318886</v>
      </c>
      <c r="E5" s="238">
        <v>321500</v>
      </c>
      <c r="F5" s="238">
        <v>324933</v>
      </c>
      <c r="G5" s="238">
        <v>327295</v>
      </c>
      <c r="H5" s="238">
        <v>330668</v>
      </c>
      <c r="I5" s="238">
        <v>322978</v>
      </c>
      <c r="J5" s="238">
        <v>324959</v>
      </c>
      <c r="K5" s="238">
        <v>318254</v>
      </c>
      <c r="L5" s="238">
        <v>332683</v>
      </c>
    </row>
    <row r="6" spans="1:12" ht="20.25" customHeight="1">
      <c r="A6" s="16" t="s">
        <v>629</v>
      </c>
      <c r="B6" s="238">
        <v>118959</v>
      </c>
      <c r="C6" s="238">
        <v>118120</v>
      </c>
      <c r="D6" s="238">
        <v>120246</v>
      </c>
      <c r="E6" s="238">
        <v>121392</v>
      </c>
      <c r="F6" s="238">
        <v>123068</v>
      </c>
      <c r="G6" s="238">
        <v>124207</v>
      </c>
      <c r="H6" s="238">
        <v>125524</v>
      </c>
      <c r="I6" s="238">
        <v>122296</v>
      </c>
      <c r="J6" s="238">
        <v>123094</v>
      </c>
      <c r="K6" s="238">
        <v>121078</v>
      </c>
      <c r="L6" s="238">
        <v>126463</v>
      </c>
    </row>
    <row r="7" spans="1:12" ht="20.25" customHeight="1">
      <c r="A7" s="514" t="s">
        <v>630</v>
      </c>
      <c r="B7" s="239">
        <v>8273</v>
      </c>
      <c r="C7" s="239">
        <v>8133</v>
      </c>
      <c r="D7" s="239">
        <v>8188</v>
      </c>
      <c r="E7" s="239">
        <v>8233</v>
      </c>
      <c r="F7" s="239">
        <v>8364</v>
      </c>
      <c r="G7" s="239">
        <v>8315</v>
      </c>
      <c r="H7" s="239">
        <v>8400</v>
      </c>
      <c r="I7" s="239">
        <v>8045</v>
      </c>
      <c r="J7" s="239">
        <v>8065</v>
      </c>
      <c r="K7" s="239">
        <v>7974</v>
      </c>
      <c r="L7" s="239">
        <v>8261</v>
      </c>
    </row>
    <row r="8" spans="1:12" ht="15" customHeight="1">
      <c r="A8" s="514" t="s">
        <v>631</v>
      </c>
      <c r="B8" s="239">
        <v>14521</v>
      </c>
      <c r="C8" s="239">
        <v>14520</v>
      </c>
      <c r="D8" s="239">
        <v>14930</v>
      </c>
      <c r="E8" s="239">
        <v>15116</v>
      </c>
      <c r="F8" s="239">
        <v>15401</v>
      </c>
      <c r="G8" s="239">
        <v>15634</v>
      </c>
      <c r="H8" s="239">
        <v>15756</v>
      </c>
      <c r="I8" s="239">
        <v>15412</v>
      </c>
      <c r="J8" s="239">
        <v>15514</v>
      </c>
      <c r="K8" s="239">
        <v>15289</v>
      </c>
      <c r="L8" s="239">
        <v>16345</v>
      </c>
    </row>
    <row r="9" spans="1:12" ht="15" customHeight="1">
      <c r="A9" s="514" t="s">
        <v>632</v>
      </c>
      <c r="B9" s="239">
        <v>13968</v>
      </c>
      <c r="C9" s="239">
        <v>13948</v>
      </c>
      <c r="D9" s="239">
        <v>14360</v>
      </c>
      <c r="E9" s="239">
        <v>14483</v>
      </c>
      <c r="F9" s="239">
        <v>14818</v>
      </c>
      <c r="G9" s="239">
        <v>15050</v>
      </c>
      <c r="H9" s="239">
        <v>15078</v>
      </c>
      <c r="I9" s="239">
        <v>14513</v>
      </c>
      <c r="J9" s="239">
        <v>14697</v>
      </c>
      <c r="K9" s="239">
        <v>14380</v>
      </c>
      <c r="L9" s="239">
        <v>15257</v>
      </c>
    </row>
    <row r="10" spans="1:12" ht="15" customHeight="1">
      <c r="A10" s="514" t="s">
        <v>633</v>
      </c>
      <c r="B10" s="239">
        <v>56816</v>
      </c>
      <c r="C10" s="239">
        <v>56488</v>
      </c>
      <c r="D10" s="239">
        <v>57194</v>
      </c>
      <c r="E10" s="239">
        <v>57692</v>
      </c>
      <c r="F10" s="239">
        <v>58291</v>
      </c>
      <c r="G10" s="239">
        <v>58794</v>
      </c>
      <c r="H10" s="239">
        <v>59602</v>
      </c>
      <c r="I10" s="239">
        <v>58375</v>
      </c>
      <c r="J10" s="239">
        <v>58630</v>
      </c>
      <c r="K10" s="239">
        <v>57051</v>
      </c>
      <c r="L10" s="239">
        <v>59479</v>
      </c>
    </row>
    <row r="11" spans="1:12" ht="15" customHeight="1">
      <c r="A11" s="514" t="s">
        <v>634</v>
      </c>
      <c r="B11" s="239">
        <v>2492</v>
      </c>
      <c r="C11" s="239">
        <v>2450</v>
      </c>
      <c r="D11" s="239">
        <v>2505</v>
      </c>
      <c r="E11" s="239">
        <v>2562</v>
      </c>
      <c r="F11" s="239">
        <v>2620</v>
      </c>
      <c r="G11" s="239">
        <v>2636</v>
      </c>
      <c r="H11" s="239">
        <v>2669</v>
      </c>
      <c r="I11" s="239">
        <v>2590</v>
      </c>
      <c r="J11" s="239">
        <v>2642</v>
      </c>
      <c r="K11" s="239">
        <v>2629</v>
      </c>
      <c r="L11" s="239">
        <v>2739</v>
      </c>
    </row>
    <row r="12" spans="1:12" ht="15" customHeight="1">
      <c r="A12" s="514" t="s">
        <v>635</v>
      </c>
      <c r="B12" s="239">
        <v>13063</v>
      </c>
      <c r="C12" s="239">
        <v>12781</v>
      </c>
      <c r="D12" s="239">
        <v>13219</v>
      </c>
      <c r="E12" s="239">
        <v>13492</v>
      </c>
      <c r="F12" s="239">
        <v>13669</v>
      </c>
      <c r="G12" s="239">
        <v>13820</v>
      </c>
      <c r="H12" s="239">
        <v>14097</v>
      </c>
      <c r="I12" s="239">
        <v>13814</v>
      </c>
      <c r="J12" s="239">
        <v>13874</v>
      </c>
      <c r="K12" s="239">
        <v>14035</v>
      </c>
      <c r="L12" s="239">
        <v>14461</v>
      </c>
    </row>
    <row r="13" spans="1:12" ht="15" customHeight="1">
      <c r="A13" s="514" t="s">
        <v>636</v>
      </c>
      <c r="B13" s="239">
        <v>6068</v>
      </c>
      <c r="C13" s="239">
        <v>6105</v>
      </c>
      <c r="D13" s="239">
        <v>6125</v>
      </c>
      <c r="E13" s="239">
        <v>6090</v>
      </c>
      <c r="F13" s="239">
        <v>6142</v>
      </c>
      <c r="G13" s="239">
        <v>6166</v>
      </c>
      <c r="H13" s="239">
        <v>6137</v>
      </c>
      <c r="I13" s="239">
        <v>6006</v>
      </c>
      <c r="J13" s="239">
        <v>6107</v>
      </c>
      <c r="K13" s="239">
        <v>6046</v>
      </c>
      <c r="L13" s="239">
        <v>6219</v>
      </c>
    </row>
    <row r="14" spans="1:12" ht="15" customHeight="1">
      <c r="A14" s="514" t="s">
        <v>637</v>
      </c>
      <c r="B14" s="239">
        <v>3758</v>
      </c>
      <c r="C14" s="239">
        <v>3695</v>
      </c>
      <c r="D14" s="239">
        <v>3725</v>
      </c>
      <c r="E14" s="239">
        <v>3724</v>
      </c>
      <c r="F14" s="239">
        <v>3763</v>
      </c>
      <c r="G14" s="239">
        <v>3792</v>
      </c>
      <c r="H14" s="239">
        <v>3785</v>
      </c>
      <c r="I14" s="239">
        <v>3541</v>
      </c>
      <c r="J14" s="239">
        <v>3565</v>
      </c>
      <c r="K14" s="239">
        <v>3674</v>
      </c>
      <c r="L14" s="239">
        <v>3702</v>
      </c>
    </row>
    <row r="15" spans="1:12" ht="15" customHeight="1">
      <c r="A15" s="16" t="s">
        <v>638</v>
      </c>
      <c r="B15" s="238">
        <v>54765</v>
      </c>
      <c r="C15" s="238">
        <v>53918</v>
      </c>
      <c r="D15" s="238">
        <v>54102</v>
      </c>
      <c r="E15" s="238">
        <v>54333</v>
      </c>
      <c r="F15" s="238">
        <v>54880</v>
      </c>
      <c r="G15" s="238">
        <v>54959</v>
      </c>
      <c r="H15" s="238">
        <v>55026</v>
      </c>
      <c r="I15" s="238">
        <v>53653</v>
      </c>
      <c r="J15" s="238">
        <v>53834</v>
      </c>
      <c r="K15" s="238">
        <v>52972</v>
      </c>
      <c r="L15" s="238">
        <v>54851</v>
      </c>
    </row>
    <row r="16" spans="1:12" ht="15" customHeight="1">
      <c r="A16" s="514" t="s">
        <v>639</v>
      </c>
      <c r="B16" s="239">
        <v>10885</v>
      </c>
      <c r="C16" s="239">
        <v>10733</v>
      </c>
      <c r="D16" s="239">
        <v>10771</v>
      </c>
      <c r="E16" s="239">
        <v>10850</v>
      </c>
      <c r="F16" s="239">
        <v>11109</v>
      </c>
      <c r="G16" s="239">
        <v>11238</v>
      </c>
      <c r="H16" s="239">
        <v>11392</v>
      </c>
      <c r="I16" s="239">
        <v>11270</v>
      </c>
      <c r="J16" s="239">
        <v>11291</v>
      </c>
      <c r="K16" s="239">
        <v>10980</v>
      </c>
      <c r="L16" s="239">
        <v>11325</v>
      </c>
    </row>
    <row r="17" spans="1:12" ht="15" customHeight="1">
      <c r="A17" s="514" t="s">
        <v>640</v>
      </c>
      <c r="B17" s="239">
        <v>13475</v>
      </c>
      <c r="C17" s="239">
        <v>13209</v>
      </c>
      <c r="D17" s="239">
        <v>13210</v>
      </c>
      <c r="E17" s="239">
        <v>13220</v>
      </c>
      <c r="F17" s="239">
        <v>13289</v>
      </c>
      <c r="G17" s="239">
        <v>13260</v>
      </c>
      <c r="H17" s="239">
        <v>13232</v>
      </c>
      <c r="I17" s="239">
        <v>12834</v>
      </c>
      <c r="J17" s="239">
        <v>12976</v>
      </c>
      <c r="K17" s="239">
        <v>12780</v>
      </c>
      <c r="L17" s="239">
        <v>13325</v>
      </c>
    </row>
    <row r="18" spans="1:12" ht="15" customHeight="1">
      <c r="A18" s="514" t="s">
        <v>641</v>
      </c>
      <c r="B18" s="239">
        <v>11848</v>
      </c>
      <c r="C18" s="239">
        <v>11800</v>
      </c>
      <c r="D18" s="239">
        <v>11750</v>
      </c>
      <c r="E18" s="239">
        <v>11795</v>
      </c>
      <c r="F18" s="239">
        <v>11912</v>
      </c>
      <c r="G18" s="239">
        <v>11909</v>
      </c>
      <c r="H18" s="239">
        <v>11844</v>
      </c>
      <c r="I18" s="239">
        <v>11538</v>
      </c>
      <c r="J18" s="239">
        <v>11586</v>
      </c>
      <c r="K18" s="239">
        <v>11446</v>
      </c>
      <c r="L18" s="239">
        <v>11845</v>
      </c>
    </row>
    <row r="19" spans="1:12" ht="15" customHeight="1">
      <c r="A19" s="514" t="s">
        <v>642</v>
      </c>
      <c r="B19" s="239">
        <v>8071</v>
      </c>
      <c r="C19" s="239">
        <v>7951</v>
      </c>
      <c r="D19" s="239">
        <v>8035</v>
      </c>
      <c r="E19" s="239">
        <v>8168</v>
      </c>
      <c r="F19" s="239">
        <v>8259</v>
      </c>
      <c r="G19" s="239">
        <v>8311</v>
      </c>
      <c r="H19" s="239">
        <v>8351</v>
      </c>
      <c r="I19" s="239">
        <v>8174</v>
      </c>
      <c r="J19" s="239">
        <v>8205</v>
      </c>
      <c r="K19" s="239">
        <v>8152</v>
      </c>
      <c r="L19" s="239">
        <v>8478</v>
      </c>
    </row>
    <row r="20" spans="1:12" ht="15" customHeight="1">
      <c r="A20" s="514" t="s">
        <v>643</v>
      </c>
      <c r="B20" s="239">
        <v>3414</v>
      </c>
      <c r="C20" s="239">
        <v>3267</v>
      </c>
      <c r="D20" s="239">
        <v>3287</v>
      </c>
      <c r="E20" s="239">
        <v>3291</v>
      </c>
      <c r="F20" s="239">
        <v>3288</v>
      </c>
      <c r="G20" s="239">
        <v>3208</v>
      </c>
      <c r="H20" s="239">
        <v>3244</v>
      </c>
      <c r="I20" s="239">
        <v>3195</v>
      </c>
      <c r="J20" s="239">
        <v>3163</v>
      </c>
      <c r="K20" s="239">
        <v>3161</v>
      </c>
      <c r="L20" s="239">
        <v>3245</v>
      </c>
    </row>
    <row r="21" spans="1:12" ht="15" customHeight="1">
      <c r="A21" s="514" t="s">
        <v>644</v>
      </c>
      <c r="B21" s="239">
        <v>7072</v>
      </c>
      <c r="C21" s="239">
        <v>6958</v>
      </c>
      <c r="D21" s="239">
        <v>7049</v>
      </c>
      <c r="E21" s="239">
        <v>7009</v>
      </c>
      <c r="F21" s="239">
        <v>7023</v>
      </c>
      <c r="G21" s="239">
        <v>7033</v>
      </c>
      <c r="H21" s="239">
        <v>6963</v>
      </c>
      <c r="I21" s="239">
        <v>6642</v>
      </c>
      <c r="J21" s="239">
        <v>6613</v>
      </c>
      <c r="K21" s="239">
        <v>6453</v>
      </c>
      <c r="L21" s="239">
        <v>6633</v>
      </c>
    </row>
    <row r="22" spans="1:12" ht="15" customHeight="1">
      <c r="A22" s="16" t="s">
        <v>645</v>
      </c>
      <c r="B22" s="238">
        <v>27529</v>
      </c>
      <c r="C22" s="238">
        <v>26909</v>
      </c>
      <c r="D22" s="238">
        <v>26958</v>
      </c>
      <c r="E22" s="238">
        <v>27160</v>
      </c>
      <c r="F22" s="238">
        <v>27317</v>
      </c>
      <c r="G22" s="238">
        <v>27550</v>
      </c>
      <c r="H22" s="238">
        <v>27533</v>
      </c>
      <c r="I22" s="238">
        <v>26916</v>
      </c>
      <c r="J22" s="238">
        <v>26902</v>
      </c>
      <c r="K22" s="238">
        <v>26497</v>
      </c>
      <c r="L22" s="238">
        <v>27499</v>
      </c>
    </row>
    <row r="23" spans="1:12" ht="15" customHeight="1">
      <c r="A23" s="514" t="s">
        <v>646</v>
      </c>
      <c r="B23" s="239">
        <v>12415</v>
      </c>
      <c r="C23" s="239">
        <v>12085</v>
      </c>
      <c r="D23" s="239">
        <v>12157</v>
      </c>
      <c r="E23" s="239">
        <v>12279</v>
      </c>
      <c r="F23" s="239">
        <v>12458</v>
      </c>
      <c r="G23" s="239">
        <v>12690</v>
      </c>
      <c r="H23" s="239">
        <v>12776</v>
      </c>
      <c r="I23" s="239">
        <v>12579</v>
      </c>
      <c r="J23" s="239">
        <v>12676</v>
      </c>
      <c r="K23" s="239">
        <v>12522</v>
      </c>
      <c r="L23" s="239">
        <v>13106</v>
      </c>
    </row>
    <row r="24" spans="1:12" ht="15" customHeight="1">
      <c r="A24" s="514" t="s">
        <v>647</v>
      </c>
      <c r="B24" s="239">
        <v>7519</v>
      </c>
      <c r="C24" s="239">
        <v>7290</v>
      </c>
      <c r="D24" s="239">
        <v>7236</v>
      </c>
      <c r="E24" s="239">
        <v>7301</v>
      </c>
      <c r="F24" s="239">
        <v>7236</v>
      </c>
      <c r="G24" s="239">
        <v>7229</v>
      </c>
      <c r="H24" s="239">
        <v>7144</v>
      </c>
      <c r="I24" s="239">
        <v>6955</v>
      </c>
      <c r="J24" s="239">
        <v>6887</v>
      </c>
      <c r="K24" s="239">
        <v>6863</v>
      </c>
      <c r="L24" s="239">
        <v>7027</v>
      </c>
    </row>
    <row r="25" spans="1:12" ht="15" customHeight="1">
      <c r="A25" s="514" t="s">
        <v>648</v>
      </c>
      <c r="B25" s="239">
        <v>7595</v>
      </c>
      <c r="C25" s="239">
        <v>7534</v>
      </c>
      <c r="D25" s="239">
        <v>7565</v>
      </c>
      <c r="E25" s="239">
        <v>7580</v>
      </c>
      <c r="F25" s="239">
        <v>7623</v>
      </c>
      <c r="G25" s="239">
        <v>7631</v>
      </c>
      <c r="H25" s="239">
        <v>7613</v>
      </c>
      <c r="I25" s="239">
        <v>7382</v>
      </c>
      <c r="J25" s="239">
        <v>7339</v>
      </c>
      <c r="K25" s="239">
        <v>7112</v>
      </c>
      <c r="L25" s="239">
        <v>7366</v>
      </c>
    </row>
    <row r="26" spans="1:12" ht="15" customHeight="1">
      <c r="A26" s="16" t="s">
        <v>649</v>
      </c>
      <c r="B26" s="238">
        <v>65539</v>
      </c>
      <c r="C26" s="238">
        <v>64587</v>
      </c>
      <c r="D26" s="238">
        <v>65289</v>
      </c>
      <c r="E26" s="238">
        <v>65847</v>
      </c>
      <c r="F26" s="238">
        <v>66220</v>
      </c>
      <c r="G26" s="238">
        <v>66764</v>
      </c>
      <c r="H26" s="238">
        <v>67989</v>
      </c>
      <c r="I26" s="238">
        <v>66115</v>
      </c>
      <c r="J26" s="238">
        <v>67101</v>
      </c>
      <c r="K26" s="238">
        <v>64927</v>
      </c>
      <c r="L26" s="238">
        <v>68270</v>
      </c>
    </row>
    <row r="27" spans="1:12" ht="15" customHeight="1">
      <c r="A27" s="16" t="s">
        <v>650</v>
      </c>
      <c r="B27" s="238">
        <v>17029</v>
      </c>
      <c r="C27" s="238">
        <v>16429</v>
      </c>
      <c r="D27" s="238">
        <v>16417</v>
      </c>
      <c r="E27" s="238">
        <v>16509</v>
      </c>
      <c r="F27" s="238">
        <v>16639</v>
      </c>
      <c r="G27" s="238">
        <v>16803</v>
      </c>
      <c r="H27" s="238">
        <v>16960</v>
      </c>
      <c r="I27" s="238">
        <v>16656</v>
      </c>
      <c r="J27" s="238">
        <v>17101</v>
      </c>
      <c r="K27" s="238">
        <v>16860</v>
      </c>
      <c r="L27" s="238">
        <v>17786</v>
      </c>
    </row>
    <row r="28" spans="1:12" ht="15" customHeight="1">
      <c r="A28" s="16" t="s">
        <v>651</v>
      </c>
      <c r="B28" s="238">
        <v>16527</v>
      </c>
      <c r="C28" s="238">
        <v>16513</v>
      </c>
      <c r="D28" s="238">
        <v>16818</v>
      </c>
      <c r="E28" s="238">
        <v>16844</v>
      </c>
      <c r="F28" s="238">
        <v>16907</v>
      </c>
      <c r="G28" s="238">
        <v>16939</v>
      </c>
      <c r="H28" s="238">
        <v>16868</v>
      </c>
      <c r="I28" s="238">
        <v>16454</v>
      </c>
      <c r="J28" s="238">
        <v>16561</v>
      </c>
      <c r="K28" s="238">
        <v>16084</v>
      </c>
      <c r="L28" s="238">
        <v>17115</v>
      </c>
    </row>
    <row r="29" spans="1:12" ht="15" customHeight="1">
      <c r="A29" s="514" t="s">
        <v>652</v>
      </c>
      <c r="B29" s="239">
        <v>3048</v>
      </c>
      <c r="C29" s="239">
        <v>3087</v>
      </c>
      <c r="D29" s="239">
        <v>3079</v>
      </c>
      <c r="E29" s="239">
        <v>3085</v>
      </c>
      <c r="F29" s="239">
        <v>3145</v>
      </c>
      <c r="G29" s="239">
        <v>3176</v>
      </c>
      <c r="H29" s="239">
        <v>3187</v>
      </c>
      <c r="I29" s="239">
        <v>3177</v>
      </c>
      <c r="J29" s="239">
        <v>3249</v>
      </c>
      <c r="K29" s="239">
        <v>3219</v>
      </c>
      <c r="L29" s="239">
        <v>3368</v>
      </c>
    </row>
    <row r="30" spans="1:12" ht="15" customHeight="1">
      <c r="A30" s="514" t="s">
        <v>653</v>
      </c>
      <c r="B30" s="239">
        <v>4008</v>
      </c>
      <c r="C30" s="239">
        <v>3977</v>
      </c>
      <c r="D30" s="239">
        <v>4090</v>
      </c>
      <c r="E30" s="239">
        <v>4123</v>
      </c>
      <c r="F30" s="239">
        <v>4152</v>
      </c>
      <c r="G30" s="239">
        <v>4217</v>
      </c>
      <c r="H30" s="239">
        <v>4208</v>
      </c>
      <c r="I30" s="239">
        <v>4100</v>
      </c>
      <c r="J30" s="239">
        <v>4108</v>
      </c>
      <c r="K30" s="239">
        <v>4065</v>
      </c>
      <c r="L30" s="239">
        <v>4263</v>
      </c>
    </row>
    <row r="31" spans="1:12" ht="15" customHeight="1">
      <c r="A31" s="514" t="s">
        <v>654</v>
      </c>
      <c r="B31" s="239">
        <v>3495</v>
      </c>
      <c r="C31" s="239">
        <v>3471</v>
      </c>
      <c r="D31" s="239">
        <v>3518</v>
      </c>
      <c r="E31" s="239">
        <v>3504</v>
      </c>
      <c r="F31" s="239">
        <v>3523</v>
      </c>
      <c r="G31" s="239">
        <v>3473</v>
      </c>
      <c r="H31" s="239">
        <v>3444</v>
      </c>
      <c r="I31" s="239">
        <v>3298</v>
      </c>
      <c r="J31" s="239">
        <v>3302</v>
      </c>
      <c r="K31" s="239">
        <v>3192</v>
      </c>
      <c r="L31" s="239">
        <v>3433</v>
      </c>
    </row>
    <row r="32" spans="1:12" ht="15" customHeight="1">
      <c r="A32" s="514" t="s">
        <v>655</v>
      </c>
      <c r="B32" s="239">
        <v>5976</v>
      </c>
      <c r="C32" s="239">
        <v>5978</v>
      </c>
      <c r="D32" s="239">
        <v>6131</v>
      </c>
      <c r="E32" s="239">
        <v>6132</v>
      </c>
      <c r="F32" s="239">
        <v>6087</v>
      </c>
      <c r="G32" s="239">
        <v>6073</v>
      </c>
      <c r="H32" s="239">
        <v>6029</v>
      </c>
      <c r="I32" s="239">
        <v>5879</v>
      </c>
      <c r="J32" s="239">
        <v>5902</v>
      </c>
      <c r="K32" s="239">
        <v>5608</v>
      </c>
      <c r="L32" s="239">
        <v>6051</v>
      </c>
    </row>
    <row r="33" spans="1:12" s="19" customFormat="1" ht="15" customHeight="1">
      <c r="A33" s="18" t="s">
        <v>656</v>
      </c>
      <c r="B33" s="515">
        <v>18829</v>
      </c>
      <c r="C33" s="515">
        <v>18636</v>
      </c>
      <c r="D33" s="515">
        <v>19056</v>
      </c>
      <c r="E33" s="515">
        <v>19415</v>
      </c>
      <c r="F33" s="515">
        <v>19902</v>
      </c>
      <c r="G33" s="515">
        <v>20073</v>
      </c>
      <c r="H33" s="515">
        <v>20768</v>
      </c>
      <c r="I33" s="515">
        <v>20888</v>
      </c>
      <c r="J33" s="515">
        <v>20366</v>
      </c>
      <c r="K33" s="515">
        <v>19836</v>
      </c>
      <c r="L33" s="515">
        <v>20699</v>
      </c>
    </row>
    <row r="34" spans="1:12" ht="15" customHeight="1">
      <c r="A34" s="20" t="s">
        <v>138</v>
      </c>
      <c r="C34" s="17"/>
      <c r="D34" s="17"/>
      <c r="E34" s="17"/>
      <c r="F34" s="17"/>
      <c r="G34" s="17"/>
      <c r="H34" s="17"/>
      <c r="I34" s="17"/>
      <c r="J34" s="17"/>
      <c r="K34" s="17"/>
      <c r="L34" s="17"/>
    </row>
  </sheetData>
  <mergeCells count="1">
    <mergeCell ref="A1:L1"/>
  </mergeCells>
  <conditionalFormatting sqref="B5:L33">
    <cfRule type="cellIs" dxfId="54" priority="9" operator="equal">
      <formula>0</formula>
    </cfRule>
  </conditionalFormatting>
  <conditionalFormatting sqref="C34:L34">
    <cfRule type="cellIs" dxfId="53"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94" orientation="portrait" r:id="rId1"/>
  <headerFooter>
    <oddHeader xml:space="preserve">&amp;C&amp;G
</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28">
    <tabColor theme="5" tint="0.39997558519241921"/>
  </sheetPr>
  <dimension ref="A1"/>
  <sheetViews>
    <sheetView showGridLines="0" workbookViewId="0">
      <selection activeCell="K42" sqref="K42"/>
    </sheetView>
  </sheetViews>
  <sheetFormatPr defaultColWidth="8.7109375" defaultRowHeight="15"/>
  <cols>
    <col min="1" max="16384" width="8.7109375" style="326"/>
  </cols>
  <sheetData/>
  <pageMargins left="0.19685039370078741" right="0" top="0.74803149606299213" bottom="0.74803149606299213" header="0.31496062992125984" footer="0.31496062992125984"/>
  <pageSetup paperSize="9"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11">
    <tabColor indexed="25"/>
    <pageSetUpPr fitToPage="1"/>
  </sheetPr>
  <dimension ref="A1:P51"/>
  <sheetViews>
    <sheetView showGridLines="0" workbookViewId="0">
      <selection activeCell="K42" sqref="K42"/>
    </sheetView>
  </sheetViews>
  <sheetFormatPr defaultColWidth="9.140625" defaultRowHeight="11.25"/>
  <cols>
    <col min="1" max="1" width="2" style="8" customWidth="1"/>
    <col min="2" max="2" width="27.85546875" style="8" customWidth="1"/>
    <col min="3" max="13" width="7.5703125" style="8" customWidth="1"/>
    <col min="14" max="16384" width="9.140625" style="8"/>
  </cols>
  <sheetData>
    <row r="1" spans="1:16" s="3" customFormat="1" ht="28.5" customHeight="1">
      <c r="A1" s="613" t="s">
        <v>198</v>
      </c>
      <c r="B1" s="613"/>
      <c r="C1" s="613"/>
      <c r="D1" s="613"/>
      <c r="E1" s="613"/>
      <c r="F1" s="613"/>
      <c r="G1" s="613"/>
      <c r="H1" s="613"/>
      <c r="I1" s="613"/>
      <c r="J1" s="613"/>
      <c r="K1" s="613"/>
      <c r="L1" s="613"/>
      <c r="M1" s="613"/>
    </row>
    <row r="2" spans="1:16" s="4" customFormat="1" ht="15" customHeight="1">
      <c r="A2" s="125"/>
      <c r="B2" s="125"/>
      <c r="C2" s="125"/>
      <c r="D2" s="98"/>
      <c r="E2" s="98"/>
      <c r="F2" s="98"/>
      <c r="G2" s="98"/>
      <c r="H2" s="98"/>
      <c r="I2" s="98"/>
      <c r="J2" s="98"/>
      <c r="K2" s="98"/>
      <c r="L2" s="98"/>
      <c r="M2" s="98"/>
    </row>
    <row r="3" spans="1:16" s="4" customFormat="1" ht="15" customHeight="1">
      <c r="A3" s="124" t="s">
        <v>42</v>
      </c>
      <c r="B3" s="126"/>
      <c r="C3" s="119"/>
      <c r="D3" s="98"/>
      <c r="E3" s="98"/>
      <c r="F3" s="98"/>
      <c r="G3" s="98"/>
      <c r="H3" s="98"/>
      <c r="I3" s="98"/>
      <c r="J3" s="98"/>
      <c r="K3" s="98"/>
      <c r="L3" s="98"/>
      <c r="M3" s="98"/>
    </row>
    <row r="4" spans="1:16" s="4" customFormat="1" ht="28.5" customHeight="1" thickBot="1">
      <c r="A4" s="146" t="s">
        <v>1</v>
      </c>
      <c r="B4" s="146"/>
      <c r="C4" s="6">
        <v>2012</v>
      </c>
      <c r="D4" s="6">
        <v>2013</v>
      </c>
      <c r="E4" s="6">
        <v>2014</v>
      </c>
      <c r="F4" s="6">
        <v>2015</v>
      </c>
      <c r="G4" s="6">
        <v>2016</v>
      </c>
      <c r="H4" s="6">
        <v>2017</v>
      </c>
      <c r="I4" s="6">
        <v>2018</v>
      </c>
      <c r="J4" s="6">
        <v>2019</v>
      </c>
      <c r="K4" s="6">
        <v>2020</v>
      </c>
      <c r="L4" s="6">
        <v>2021</v>
      </c>
      <c r="M4" s="6">
        <v>2022</v>
      </c>
    </row>
    <row r="5" spans="1:16" s="4" customFormat="1" ht="16.5" customHeight="1" thickTop="1">
      <c r="A5" s="30" t="s">
        <v>43</v>
      </c>
      <c r="B5" s="11"/>
      <c r="C5" s="245">
        <v>2559732</v>
      </c>
      <c r="D5" s="245">
        <v>2555676</v>
      </c>
      <c r="E5" s="245">
        <v>2636881</v>
      </c>
      <c r="F5" s="245">
        <v>2716011</v>
      </c>
      <c r="G5" s="245">
        <v>2819978</v>
      </c>
      <c r="H5" s="245">
        <v>2946903</v>
      </c>
      <c r="I5" s="245">
        <v>3060489</v>
      </c>
      <c r="J5" s="245">
        <v>3110949</v>
      </c>
      <c r="K5" s="245">
        <v>3085566</v>
      </c>
      <c r="L5" s="245">
        <v>3102345</v>
      </c>
      <c r="M5" s="245">
        <v>3337082</v>
      </c>
      <c r="O5" s="344">
        <f>+M5-16779</f>
        <v>3320303</v>
      </c>
      <c r="P5" s="4">
        <f>+(M5/L5-1)*100</f>
        <v>7.5664376463610683</v>
      </c>
    </row>
    <row r="6" spans="1:16" s="4" customFormat="1" ht="16.5" customHeight="1">
      <c r="A6" s="11" t="s">
        <v>73</v>
      </c>
      <c r="B6" s="30" t="s">
        <v>172</v>
      </c>
      <c r="C6" s="245">
        <v>52484</v>
      </c>
      <c r="D6" s="245">
        <v>57477</v>
      </c>
      <c r="E6" s="245">
        <v>59974</v>
      </c>
      <c r="F6" s="245">
        <v>62767</v>
      </c>
      <c r="G6" s="245">
        <v>66231</v>
      </c>
      <c r="H6" s="245">
        <v>67785</v>
      </c>
      <c r="I6" s="245">
        <v>71264</v>
      </c>
      <c r="J6" s="245">
        <v>72158</v>
      </c>
      <c r="K6" s="245">
        <v>76190</v>
      </c>
      <c r="L6" s="245">
        <v>74598</v>
      </c>
      <c r="M6" s="245">
        <v>80596</v>
      </c>
    </row>
    <row r="7" spans="1:16" s="4" customFormat="1" ht="12.75" customHeight="1">
      <c r="A7" s="11" t="s">
        <v>74</v>
      </c>
      <c r="B7" s="30" t="s">
        <v>102</v>
      </c>
      <c r="C7" s="245">
        <v>8683</v>
      </c>
      <c r="D7" s="245">
        <v>8685</v>
      </c>
      <c r="E7" s="245">
        <v>8514</v>
      </c>
      <c r="F7" s="245">
        <v>8479</v>
      </c>
      <c r="G7" s="245">
        <v>8384</v>
      </c>
      <c r="H7" s="245">
        <v>8723</v>
      </c>
      <c r="I7" s="245">
        <v>8644</v>
      </c>
      <c r="J7" s="245">
        <v>8455</v>
      </c>
      <c r="K7" s="245">
        <v>8318</v>
      </c>
      <c r="L7" s="245">
        <v>8437</v>
      </c>
      <c r="M7" s="245">
        <v>8822</v>
      </c>
    </row>
    <row r="8" spans="1:16" s="4" customFormat="1" ht="16.5" customHeight="1">
      <c r="A8" s="11" t="s">
        <v>75</v>
      </c>
      <c r="B8" s="30" t="s">
        <v>101</v>
      </c>
      <c r="C8" s="245">
        <v>565182</v>
      </c>
      <c r="D8" s="245">
        <v>566564</v>
      </c>
      <c r="E8" s="245">
        <v>583685</v>
      </c>
      <c r="F8" s="245">
        <v>598482</v>
      </c>
      <c r="G8" s="245">
        <v>615556</v>
      </c>
      <c r="H8" s="245">
        <v>639429</v>
      </c>
      <c r="I8" s="245">
        <v>659459</v>
      </c>
      <c r="J8" s="245">
        <v>650638</v>
      </c>
      <c r="K8" s="245">
        <v>639517</v>
      </c>
      <c r="L8" s="245">
        <v>636329</v>
      </c>
      <c r="M8" s="245">
        <v>667361</v>
      </c>
      <c r="O8" s="499">
        <f>+C8/$C$5*100</f>
        <v>22.079733347084773</v>
      </c>
      <c r="P8" s="499">
        <f>+M8/$M$5*100</f>
        <v>19.998339866985589</v>
      </c>
    </row>
    <row r="9" spans="1:16" s="4" customFormat="1" ht="12.75" customHeight="1">
      <c r="A9" s="83"/>
      <c r="B9" s="10" t="s">
        <v>88</v>
      </c>
      <c r="C9" s="246">
        <v>73746</v>
      </c>
      <c r="D9" s="246">
        <v>72788</v>
      </c>
      <c r="E9" s="246">
        <v>74615</v>
      </c>
      <c r="F9" s="246">
        <v>75933</v>
      </c>
      <c r="G9" s="246">
        <v>77704</v>
      </c>
      <c r="H9" s="246">
        <v>79619</v>
      </c>
      <c r="I9" s="246">
        <v>79921</v>
      </c>
      <c r="J9" s="246">
        <v>80556</v>
      </c>
      <c r="K9" s="246">
        <v>78649</v>
      </c>
      <c r="L9" s="246">
        <v>77825</v>
      </c>
      <c r="M9" s="246">
        <v>81302</v>
      </c>
      <c r="O9" s="499">
        <f t="shared" ref="O9:O40" si="0">+C9/$C$5*100</f>
        <v>2.8810047301826911</v>
      </c>
      <c r="P9" s="499">
        <f t="shared" ref="P9:P40" si="1">+M9/$M$5*100</f>
        <v>2.4363201143993463</v>
      </c>
    </row>
    <row r="10" spans="1:16" s="4" customFormat="1" ht="12.75" customHeight="1">
      <c r="A10" s="83"/>
      <c r="B10" s="10" t="s">
        <v>89</v>
      </c>
      <c r="C10" s="246">
        <v>11759</v>
      </c>
      <c r="D10" s="246">
        <v>11682</v>
      </c>
      <c r="E10" s="246">
        <v>11814</v>
      </c>
      <c r="F10" s="246">
        <v>11868</v>
      </c>
      <c r="G10" s="246">
        <v>12215</v>
      </c>
      <c r="H10" s="246">
        <v>12419</v>
      </c>
      <c r="I10" s="246">
        <v>13246</v>
      </c>
      <c r="J10" s="246">
        <v>13756</v>
      </c>
      <c r="K10" s="246">
        <v>12984</v>
      </c>
      <c r="L10" s="246">
        <v>12838</v>
      </c>
      <c r="M10" s="246">
        <v>13817</v>
      </c>
      <c r="O10" s="499">
        <f t="shared" si="0"/>
        <v>0.45938402926556376</v>
      </c>
      <c r="P10" s="499">
        <f t="shared" si="1"/>
        <v>0.41404436570632663</v>
      </c>
    </row>
    <row r="11" spans="1:16" s="4" customFormat="1" ht="12.75" customHeight="1">
      <c r="A11" s="83"/>
      <c r="B11" s="10" t="s">
        <v>90</v>
      </c>
      <c r="C11" s="246">
        <v>441</v>
      </c>
      <c r="D11" s="246">
        <v>432</v>
      </c>
      <c r="E11" s="246">
        <v>448</v>
      </c>
      <c r="F11" s="246">
        <v>517</v>
      </c>
      <c r="G11" s="246">
        <v>482</v>
      </c>
      <c r="H11" s="246">
        <v>495</v>
      </c>
      <c r="I11" s="246">
        <v>484</v>
      </c>
      <c r="J11" s="246">
        <v>488</v>
      </c>
      <c r="K11" s="246">
        <v>487</v>
      </c>
      <c r="L11" s="246">
        <v>465</v>
      </c>
      <c r="M11" s="246">
        <v>471</v>
      </c>
      <c r="O11" s="499">
        <f t="shared" si="0"/>
        <v>1.7228366094575526E-2</v>
      </c>
      <c r="P11" s="499">
        <f t="shared" si="1"/>
        <v>1.4114127252491847E-2</v>
      </c>
    </row>
    <row r="12" spans="1:16" s="4" customFormat="1" ht="12.75" customHeight="1">
      <c r="A12" s="83"/>
      <c r="B12" s="10" t="s">
        <v>0</v>
      </c>
      <c r="C12" s="246">
        <v>39503</v>
      </c>
      <c r="D12" s="246">
        <v>40676</v>
      </c>
      <c r="E12" s="246">
        <v>41824</v>
      </c>
      <c r="F12" s="246">
        <v>42910</v>
      </c>
      <c r="G12" s="246">
        <v>42135</v>
      </c>
      <c r="H12" s="246">
        <v>42600</v>
      </c>
      <c r="I12" s="246">
        <v>43189</v>
      </c>
      <c r="J12" s="246">
        <v>41474</v>
      </c>
      <c r="K12" s="246">
        <v>40066</v>
      </c>
      <c r="L12" s="246">
        <v>40372</v>
      </c>
      <c r="M12" s="246">
        <v>42726</v>
      </c>
      <c r="O12" s="499">
        <f t="shared" si="0"/>
        <v>1.5432474962222607</v>
      </c>
      <c r="P12" s="499">
        <f t="shared" si="1"/>
        <v>1.2803401294903751</v>
      </c>
    </row>
    <row r="13" spans="1:16" s="4" customFormat="1" ht="12.75" customHeight="1">
      <c r="A13" s="83"/>
      <c r="B13" s="10" t="s">
        <v>91</v>
      </c>
      <c r="C13" s="246">
        <v>71806</v>
      </c>
      <c r="D13" s="246">
        <v>72574</v>
      </c>
      <c r="E13" s="246">
        <v>77085</v>
      </c>
      <c r="F13" s="246">
        <v>78730</v>
      </c>
      <c r="G13" s="246">
        <v>79880</v>
      </c>
      <c r="H13" s="246">
        <v>80607</v>
      </c>
      <c r="I13" s="246">
        <v>79392</v>
      </c>
      <c r="J13" s="246">
        <v>73192</v>
      </c>
      <c r="K13" s="246">
        <v>69965</v>
      </c>
      <c r="L13" s="246">
        <v>67155</v>
      </c>
      <c r="M13" s="246">
        <v>69672</v>
      </c>
      <c r="O13" s="499">
        <f t="shared" si="0"/>
        <v>2.8052155460024721</v>
      </c>
      <c r="P13" s="499">
        <f t="shared" si="1"/>
        <v>2.0878120465724246</v>
      </c>
    </row>
    <row r="14" spans="1:16" s="4" customFormat="1" ht="12.75" customHeight="1">
      <c r="A14" s="83"/>
      <c r="B14" s="10" t="s">
        <v>146</v>
      </c>
      <c r="C14" s="246">
        <v>41828</v>
      </c>
      <c r="D14" s="246">
        <v>44898</v>
      </c>
      <c r="E14" s="246">
        <v>47431</v>
      </c>
      <c r="F14" s="246">
        <v>47504</v>
      </c>
      <c r="G14" s="246">
        <v>49072</v>
      </c>
      <c r="H14" s="246">
        <v>49394</v>
      </c>
      <c r="I14" s="246">
        <v>48101</v>
      </c>
      <c r="J14" s="246">
        <v>44197</v>
      </c>
      <c r="K14" s="246">
        <v>42179</v>
      </c>
      <c r="L14" s="246">
        <v>42028</v>
      </c>
      <c r="M14" s="246">
        <v>44151</v>
      </c>
      <c r="O14" s="499">
        <f t="shared" si="0"/>
        <v>1.6340773174691725</v>
      </c>
      <c r="P14" s="499">
        <f t="shared" si="1"/>
        <v>1.3230421068466403</v>
      </c>
    </row>
    <row r="15" spans="1:16" s="4" customFormat="1" ht="12.75" customHeight="1">
      <c r="A15" s="83"/>
      <c r="B15" s="10" t="s">
        <v>147</v>
      </c>
      <c r="C15" s="246">
        <v>24196</v>
      </c>
      <c r="D15" s="246">
        <v>23544</v>
      </c>
      <c r="E15" s="246">
        <v>23825</v>
      </c>
      <c r="F15" s="246">
        <v>24278</v>
      </c>
      <c r="G15" s="246">
        <v>24256</v>
      </c>
      <c r="H15" s="246">
        <v>24754</v>
      </c>
      <c r="I15" s="246">
        <v>25549</v>
      </c>
      <c r="J15" s="246">
        <v>25543</v>
      </c>
      <c r="K15" s="246">
        <v>24550</v>
      </c>
      <c r="L15" s="246">
        <v>24481</v>
      </c>
      <c r="M15" s="246">
        <v>25724</v>
      </c>
      <c r="O15" s="499">
        <f t="shared" si="0"/>
        <v>0.94525520640442051</v>
      </c>
      <c r="P15" s="499">
        <f t="shared" si="1"/>
        <v>0.77085309860530848</v>
      </c>
    </row>
    <row r="16" spans="1:16" s="4" customFormat="1" ht="12.75" customHeight="1">
      <c r="A16" s="83"/>
      <c r="B16" s="10" t="s">
        <v>148</v>
      </c>
      <c r="C16" s="246">
        <v>10604</v>
      </c>
      <c r="D16" s="246">
        <v>10737</v>
      </c>
      <c r="E16" s="246">
        <v>10847</v>
      </c>
      <c r="F16" s="246">
        <v>10539</v>
      </c>
      <c r="G16" s="246">
        <v>11104</v>
      </c>
      <c r="H16" s="246">
        <v>11561</v>
      </c>
      <c r="I16" s="246">
        <v>12847</v>
      </c>
      <c r="J16" s="246">
        <v>12747</v>
      </c>
      <c r="K16" s="246">
        <v>13114</v>
      </c>
      <c r="L16" s="246">
        <v>13211</v>
      </c>
      <c r="M16" s="246">
        <v>13751</v>
      </c>
      <c r="O16" s="499">
        <f t="shared" si="0"/>
        <v>0.41426211806548496</v>
      </c>
      <c r="P16" s="499">
        <f t="shared" si="1"/>
        <v>0.41206658991298384</v>
      </c>
    </row>
    <row r="17" spans="1:16" s="4" customFormat="1" ht="12.75" customHeight="1">
      <c r="A17" s="83"/>
      <c r="B17" s="10" t="s">
        <v>149</v>
      </c>
      <c r="C17" s="246">
        <v>13071</v>
      </c>
      <c r="D17" s="246">
        <v>12810</v>
      </c>
      <c r="E17" s="246">
        <v>12847</v>
      </c>
      <c r="F17" s="246">
        <v>12797</v>
      </c>
      <c r="G17" s="246">
        <v>12836</v>
      </c>
      <c r="H17" s="246">
        <v>12885</v>
      </c>
      <c r="I17" s="246">
        <v>12704</v>
      </c>
      <c r="J17" s="246">
        <v>12087</v>
      </c>
      <c r="K17" s="246">
        <v>11683</v>
      </c>
      <c r="L17" s="246">
        <v>11406</v>
      </c>
      <c r="M17" s="246">
        <v>11948</v>
      </c>
      <c r="O17" s="499">
        <f t="shared" si="0"/>
        <v>0.51063939506167055</v>
      </c>
      <c r="P17" s="499">
        <f t="shared" si="1"/>
        <v>0.35803735119484625</v>
      </c>
    </row>
    <row r="18" spans="1:16" s="4" customFormat="1" ht="12.75" customHeight="1">
      <c r="A18" s="83"/>
      <c r="B18" s="10" t="s">
        <v>150</v>
      </c>
      <c r="C18" s="246">
        <v>2174</v>
      </c>
      <c r="D18" s="246">
        <v>2072</v>
      </c>
      <c r="E18" s="246">
        <v>1982</v>
      </c>
      <c r="F18" s="246">
        <v>1852</v>
      </c>
      <c r="G18" s="246">
        <v>1850</v>
      </c>
      <c r="H18" s="246">
        <v>1816</v>
      </c>
      <c r="I18" s="246">
        <v>1812</v>
      </c>
      <c r="J18" s="246">
        <v>1737</v>
      </c>
      <c r="K18" s="246">
        <v>1597</v>
      </c>
      <c r="L18" s="246">
        <v>1318</v>
      </c>
      <c r="M18" s="246">
        <v>1449</v>
      </c>
      <c r="O18" s="499">
        <f t="shared" si="0"/>
        <v>8.4930766189585477E-2</v>
      </c>
      <c r="P18" s="499">
        <f t="shared" si="1"/>
        <v>4.3421168553844341E-2</v>
      </c>
    </row>
    <row r="19" spans="1:16" s="4" customFormat="1" ht="12.75" customHeight="1">
      <c r="A19" s="83"/>
      <c r="B19" s="10" t="s">
        <v>151</v>
      </c>
      <c r="C19" s="246">
        <v>11321</v>
      </c>
      <c r="D19" s="246">
        <v>11049</v>
      </c>
      <c r="E19" s="246">
        <v>11214</v>
      </c>
      <c r="F19" s="246">
        <v>11337</v>
      </c>
      <c r="G19" s="246">
        <v>11725</v>
      </c>
      <c r="H19" s="246">
        <v>11746</v>
      </c>
      <c r="I19" s="246">
        <v>12212</v>
      </c>
      <c r="J19" s="246">
        <v>11991</v>
      </c>
      <c r="K19" s="246">
        <v>12152</v>
      </c>
      <c r="L19" s="246">
        <v>12604</v>
      </c>
      <c r="M19" s="246">
        <v>13066</v>
      </c>
      <c r="O19" s="499">
        <f t="shared" si="0"/>
        <v>0.44227286294033902</v>
      </c>
      <c r="P19" s="499">
        <f t="shared" si="1"/>
        <v>0.39153967448207744</v>
      </c>
    </row>
    <row r="20" spans="1:16" s="4" customFormat="1" ht="12.75" customHeight="1">
      <c r="A20" s="83"/>
      <c r="B20" s="10" t="s">
        <v>160</v>
      </c>
      <c r="C20" s="246">
        <v>5919</v>
      </c>
      <c r="D20" s="246">
        <v>6198</v>
      </c>
      <c r="E20" s="246">
        <v>6419</v>
      </c>
      <c r="F20" s="246">
        <v>6654</v>
      </c>
      <c r="G20" s="246">
        <v>7072</v>
      </c>
      <c r="H20" s="246">
        <v>7606</v>
      </c>
      <c r="I20" s="246">
        <v>8271</v>
      </c>
      <c r="J20" s="246">
        <v>8946</v>
      </c>
      <c r="K20" s="246">
        <v>9437</v>
      </c>
      <c r="L20" s="246">
        <v>9677</v>
      </c>
      <c r="M20" s="246">
        <v>10327</v>
      </c>
      <c r="O20" s="499">
        <f t="shared" si="0"/>
        <v>0.2312351449292348</v>
      </c>
      <c r="P20" s="499">
        <f t="shared" si="1"/>
        <v>0.30946197905835099</v>
      </c>
    </row>
    <row r="21" spans="1:16" s="4" customFormat="1" ht="12.75" customHeight="1">
      <c r="A21" s="83"/>
      <c r="B21" s="10" t="s">
        <v>152</v>
      </c>
      <c r="C21" s="246">
        <v>22635</v>
      </c>
      <c r="D21" s="246">
        <v>22411</v>
      </c>
      <c r="E21" s="246">
        <v>23382</v>
      </c>
      <c r="F21" s="246">
        <v>24581</v>
      </c>
      <c r="G21" s="246">
        <v>25547</v>
      </c>
      <c r="H21" s="246">
        <v>27653</v>
      </c>
      <c r="I21" s="246">
        <v>28666</v>
      </c>
      <c r="J21" s="246">
        <v>29832</v>
      </c>
      <c r="K21" s="246">
        <v>30199</v>
      </c>
      <c r="L21" s="246">
        <v>29926</v>
      </c>
      <c r="M21" s="246">
        <v>28544</v>
      </c>
      <c r="O21" s="499">
        <f t="shared" si="0"/>
        <v>0.88427225975219281</v>
      </c>
      <c r="P21" s="499">
        <f t="shared" si="1"/>
        <v>0.85535806432086481</v>
      </c>
    </row>
    <row r="22" spans="1:16" s="4" customFormat="1" ht="12.75" customHeight="1">
      <c r="A22" s="83"/>
      <c r="B22" s="10" t="s">
        <v>159</v>
      </c>
      <c r="C22" s="246">
        <v>35835</v>
      </c>
      <c r="D22" s="246">
        <v>34345</v>
      </c>
      <c r="E22" s="246">
        <v>34935</v>
      </c>
      <c r="F22" s="246">
        <v>35393</v>
      </c>
      <c r="G22" s="246">
        <v>36342</v>
      </c>
      <c r="H22" s="246">
        <v>37733</v>
      </c>
      <c r="I22" s="246">
        <v>38276</v>
      </c>
      <c r="J22" s="246">
        <v>38270</v>
      </c>
      <c r="K22" s="246">
        <v>38700</v>
      </c>
      <c r="L22" s="246">
        <v>40168</v>
      </c>
      <c r="M22" s="246">
        <v>40818</v>
      </c>
      <c r="O22" s="499">
        <f t="shared" si="0"/>
        <v>1.3999512448959499</v>
      </c>
      <c r="P22" s="499">
        <f t="shared" si="1"/>
        <v>1.2231644292828285</v>
      </c>
    </row>
    <row r="23" spans="1:16" s="4" customFormat="1" ht="12.75" customHeight="1">
      <c r="A23" s="83"/>
      <c r="B23" s="10" t="s">
        <v>92</v>
      </c>
      <c r="C23" s="246">
        <v>7915</v>
      </c>
      <c r="D23" s="246">
        <v>7867</v>
      </c>
      <c r="E23" s="246">
        <v>7896</v>
      </c>
      <c r="F23" s="246">
        <v>8121</v>
      </c>
      <c r="G23" s="246">
        <v>8310</v>
      </c>
      <c r="H23" s="246">
        <v>8791</v>
      </c>
      <c r="I23" s="246">
        <v>8753</v>
      </c>
      <c r="J23" s="246">
        <v>8994</v>
      </c>
      <c r="K23" s="246">
        <v>8862</v>
      </c>
      <c r="L23" s="246">
        <v>9138</v>
      </c>
      <c r="M23" s="246">
        <v>9391</v>
      </c>
      <c r="O23" s="499">
        <f t="shared" si="0"/>
        <v>0.30921205813733627</v>
      </c>
      <c r="P23" s="499">
        <f t="shared" si="1"/>
        <v>0.28141352235276212</v>
      </c>
    </row>
    <row r="24" spans="1:16" s="4" customFormat="1" ht="12.75" customHeight="1">
      <c r="A24" s="83"/>
      <c r="B24" s="10" t="s">
        <v>157</v>
      </c>
      <c r="C24" s="246">
        <v>64978</v>
      </c>
      <c r="D24" s="246">
        <v>65163</v>
      </c>
      <c r="E24" s="246">
        <v>66933</v>
      </c>
      <c r="F24" s="246">
        <v>69079</v>
      </c>
      <c r="G24" s="246">
        <v>72491</v>
      </c>
      <c r="H24" s="246">
        <v>75996</v>
      </c>
      <c r="I24" s="246">
        <v>80055</v>
      </c>
      <c r="J24" s="246">
        <v>80462</v>
      </c>
      <c r="K24" s="246">
        <v>80997</v>
      </c>
      <c r="L24" s="246">
        <v>81797</v>
      </c>
      <c r="M24" s="246">
        <v>86266</v>
      </c>
      <c r="O24" s="499">
        <f t="shared" si="0"/>
        <v>2.5384688709599286</v>
      </c>
      <c r="P24" s="499">
        <f t="shared" si="1"/>
        <v>2.5850728270986449</v>
      </c>
    </row>
    <row r="25" spans="1:16" s="4" customFormat="1" ht="12.75" customHeight="1">
      <c r="A25" s="83"/>
      <c r="B25" s="10" t="s">
        <v>158</v>
      </c>
      <c r="C25" s="246">
        <v>10452</v>
      </c>
      <c r="D25" s="246">
        <v>9018</v>
      </c>
      <c r="E25" s="246">
        <v>9627</v>
      </c>
      <c r="F25" s="246">
        <v>9466</v>
      </c>
      <c r="G25" s="246">
        <v>9894</v>
      </c>
      <c r="H25" s="246">
        <v>11097</v>
      </c>
      <c r="I25" s="246">
        <v>12182</v>
      </c>
      <c r="J25" s="246">
        <v>12736</v>
      </c>
      <c r="K25" s="246">
        <v>12550</v>
      </c>
      <c r="L25" s="246">
        <v>12284</v>
      </c>
      <c r="M25" s="246">
        <v>12614</v>
      </c>
      <c r="O25" s="499">
        <f t="shared" si="0"/>
        <v>0.40832399641837508</v>
      </c>
      <c r="P25" s="499">
        <f t="shared" si="1"/>
        <v>0.37799490692766913</v>
      </c>
    </row>
    <row r="26" spans="1:16" s="4" customFormat="1" ht="12.75" customHeight="1">
      <c r="A26" s="83"/>
      <c r="B26" s="10" t="s">
        <v>153</v>
      </c>
      <c r="C26" s="246">
        <v>15101</v>
      </c>
      <c r="D26" s="246">
        <v>16895</v>
      </c>
      <c r="E26" s="246">
        <v>15645</v>
      </c>
      <c r="F26" s="246">
        <v>17501</v>
      </c>
      <c r="G26" s="246">
        <v>17302</v>
      </c>
      <c r="H26" s="246">
        <v>18400</v>
      </c>
      <c r="I26" s="246">
        <v>19235</v>
      </c>
      <c r="J26" s="246">
        <v>17947</v>
      </c>
      <c r="K26" s="246">
        <v>19219</v>
      </c>
      <c r="L26" s="246">
        <v>18297</v>
      </c>
      <c r="M26" s="246">
        <v>21199</v>
      </c>
      <c r="O26" s="499">
        <f t="shared" si="0"/>
        <v>0.58994457232241504</v>
      </c>
      <c r="P26" s="499">
        <f t="shared" si="1"/>
        <v>0.63525559156172962</v>
      </c>
    </row>
    <row r="27" spans="1:16" s="4" customFormat="1" ht="12.75" customHeight="1">
      <c r="A27" s="83"/>
      <c r="B27" s="10" t="s">
        <v>161</v>
      </c>
      <c r="C27" s="246">
        <v>18683</v>
      </c>
      <c r="D27" s="246">
        <v>18983</v>
      </c>
      <c r="E27" s="246">
        <v>20331</v>
      </c>
      <c r="F27" s="246">
        <v>21309</v>
      </c>
      <c r="G27" s="246">
        <v>21378</v>
      </c>
      <c r="H27" s="246">
        <v>22227</v>
      </c>
      <c r="I27" s="246">
        <v>23169</v>
      </c>
      <c r="J27" s="246">
        <v>23425</v>
      </c>
      <c r="K27" s="246">
        <v>23519</v>
      </c>
      <c r="L27" s="246">
        <v>23685</v>
      </c>
      <c r="M27" s="246">
        <v>24837</v>
      </c>
      <c r="O27" s="499">
        <f t="shared" si="0"/>
        <v>0.7298810969273346</v>
      </c>
      <c r="P27" s="499">
        <f t="shared" si="1"/>
        <v>0.74427299059477714</v>
      </c>
    </row>
    <row r="28" spans="1:16" s="4" customFormat="1" ht="12.75" customHeight="1">
      <c r="A28" s="83"/>
      <c r="B28" s="10" t="s">
        <v>154</v>
      </c>
      <c r="C28" s="246">
        <v>26459</v>
      </c>
      <c r="D28" s="246">
        <v>26846</v>
      </c>
      <c r="E28" s="246">
        <v>27289</v>
      </c>
      <c r="F28" s="246">
        <v>28445</v>
      </c>
      <c r="G28" s="246">
        <v>31757</v>
      </c>
      <c r="H28" s="246">
        <v>35600</v>
      </c>
      <c r="I28" s="246">
        <v>41536</v>
      </c>
      <c r="J28" s="246">
        <v>41668</v>
      </c>
      <c r="K28" s="246">
        <v>39890</v>
      </c>
      <c r="L28" s="246">
        <v>39290</v>
      </c>
      <c r="M28" s="246">
        <v>39255</v>
      </c>
      <c r="O28" s="499">
        <f t="shared" si="0"/>
        <v>1.0336628990847478</v>
      </c>
      <c r="P28" s="499">
        <f t="shared" si="1"/>
        <v>1.1763271025404829</v>
      </c>
    </row>
    <row r="29" spans="1:16" s="4" customFormat="1" ht="12.75" customHeight="1">
      <c r="A29" s="83"/>
      <c r="B29" s="10" t="s">
        <v>162</v>
      </c>
      <c r="C29" s="246">
        <v>3591</v>
      </c>
      <c r="D29" s="246">
        <v>3671</v>
      </c>
      <c r="E29" s="246">
        <v>3291</v>
      </c>
      <c r="F29" s="246">
        <v>3760</v>
      </c>
      <c r="G29" s="246">
        <v>4182</v>
      </c>
      <c r="H29" s="246">
        <v>4492</v>
      </c>
      <c r="I29" s="246">
        <v>5262</v>
      </c>
      <c r="J29" s="246">
        <v>6046</v>
      </c>
      <c r="K29" s="246">
        <v>5574</v>
      </c>
      <c r="L29" s="246">
        <v>6375</v>
      </c>
      <c r="M29" s="246">
        <v>7995</v>
      </c>
      <c r="O29" s="499">
        <f t="shared" si="0"/>
        <v>0.14028812391297213</v>
      </c>
      <c r="P29" s="499">
        <f t="shared" si="1"/>
        <v>0.23958056769357181</v>
      </c>
    </row>
    <row r="30" spans="1:16" s="4" customFormat="1" ht="12.75" customHeight="1">
      <c r="A30" s="83"/>
      <c r="B30" s="10" t="s">
        <v>155</v>
      </c>
      <c r="C30" s="246">
        <v>25798</v>
      </c>
      <c r="D30" s="246">
        <v>24704</v>
      </c>
      <c r="E30" s="246">
        <v>25702</v>
      </c>
      <c r="F30" s="246">
        <v>26443</v>
      </c>
      <c r="G30" s="246">
        <v>27558</v>
      </c>
      <c r="H30" s="246">
        <v>29080</v>
      </c>
      <c r="I30" s="246">
        <v>30030</v>
      </c>
      <c r="J30" s="246">
        <v>29697</v>
      </c>
      <c r="K30" s="246">
        <v>30230</v>
      </c>
      <c r="L30" s="246">
        <v>29482</v>
      </c>
      <c r="M30" s="246">
        <v>32012</v>
      </c>
      <c r="O30" s="499">
        <f t="shared" si="0"/>
        <v>1.0078398832377764</v>
      </c>
      <c r="P30" s="499">
        <f t="shared" si="1"/>
        <v>0.95928119237105958</v>
      </c>
    </row>
    <row r="31" spans="1:16" s="4" customFormat="1" ht="12.75" customHeight="1">
      <c r="A31" s="83"/>
      <c r="B31" s="10" t="s">
        <v>156</v>
      </c>
      <c r="C31" s="246">
        <v>10431</v>
      </c>
      <c r="D31" s="246">
        <v>10264</v>
      </c>
      <c r="E31" s="246">
        <v>10734</v>
      </c>
      <c r="F31" s="246">
        <v>11469</v>
      </c>
      <c r="G31" s="246">
        <v>11853</v>
      </c>
      <c r="H31" s="246">
        <v>12746</v>
      </c>
      <c r="I31" s="246">
        <v>12933</v>
      </c>
      <c r="J31" s="246">
        <v>12752</v>
      </c>
      <c r="K31" s="246">
        <v>13044</v>
      </c>
      <c r="L31" s="246">
        <v>11505</v>
      </c>
      <c r="M31" s="246">
        <v>14067</v>
      </c>
      <c r="O31" s="499">
        <f t="shared" si="0"/>
        <v>0.40750359803291902</v>
      </c>
      <c r="P31" s="499">
        <f t="shared" si="1"/>
        <v>0.42153594068111006</v>
      </c>
    </row>
    <row r="32" spans="1:16" s="4" customFormat="1" ht="12.75" customHeight="1">
      <c r="A32" s="83"/>
      <c r="B32" s="10" t="s">
        <v>163</v>
      </c>
      <c r="C32" s="246">
        <v>16936</v>
      </c>
      <c r="D32" s="246">
        <v>16937</v>
      </c>
      <c r="E32" s="246">
        <v>17569</v>
      </c>
      <c r="F32" s="246">
        <v>17996</v>
      </c>
      <c r="G32" s="246">
        <v>18611</v>
      </c>
      <c r="H32" s="246">
        <v>20112</v>
      </c>
      <c r="I32" s="246">
        <v>21634</v>
      </c>
      <c r="J32" s="246">
        <v>22095</v>
      </c>
      <c r="K32" s="246">
        <v>19870</v>
      </c>
      <c r="L32" s="246">
        <v>21002</v>
      </c>
      <c r="M32" s="246">
        <v>21959</v>
      </c>
      <c r="O32" s="499">
        <f t="shared" si="0"/>
        <v>0.661631764575354</v>
      </c>
      <c r="P32" s="499">
        <f t="shared" si="1"/>
        <v>0.65802997948507103</v>
      </c>
    </row>
    <row r="33" spans="1:16" s="4" customFormat="1" ht="16.5" customHeight="1">
      <c r="A33" s="11" t="s">
        <v>76</v>
      </c>
      <c r="B33" s="30" t="s">
        <v>164</v>
      </c>
      <c r="C33" s="245">
        <v>6892</v>
      </c>
      <c r="D33" s="245">
        <v>6642</v>
      </c>
      <c r="E33" s="245">
        <v>6369</v>
      </c>
      <c r="F33" s="245">
        <v>6704</v>
      </c>
      <c r="G33" s="245">
        <v>6470</v>
      </c>
      <c r="H33" s="245">
        <v>6573</v>
      </c>
      <c r="I33" s="245">
        <v>6821</v>
      </c>
      <c r="J33" s="245">
        <v>6807</v>
      </c>
      <c r="K33" s="245">
        <v>6753</v>
      </c>
      <c r="L33" s="245">
        <v>6643</v>
      </c>
      <c r="M33" s="245">
        <v>6615</v>
      </c>
      <c r="O33" s="499">
        <f t="shared" si="0"/>
        <v>0.2692469367886951</v>
      </c>
      <c r="P33" s="499">
        <f t="shared" si="1"/>
        <v>0.19822707383276766</v>
      </c>
    </row>
    <row r="34" spans="1:16" s="4" customFormat="1" ht="12.75" customHeight="1">
      <c r="A34" s="11" t="s">
        <v>77</v>
      </c>
      <c r="B34" s="30" t="s">
        <v>173</v>
      </c>
      <c r="C34" s="245">
        <v>20231</v>
      </c>
      <c r="D34" s="245">
        <v>20721</v>
      </c>
      <c r="E34" s="245">
        <v>20728</v>
      </c>
      <c r="F34" s="245">
        <v>21233</v>
      </c>
      <c r="G34" s="245">
        <v>22585</v>
      </c>
      <c r="H34" s="245">
        <v>23439</v>
      </c>
      <c r="I34" s="245">
        <v>23927</v>
      </c>
      <c r="J34" s="245">
        <v>25301</v>
      </c>
      <c r="K34" s="245">
        <v>26123</v>
      </c>
      <c r="L34" s="245">
        <v>27869</v>
      </c>
      <c r="M34" s="245">
        <v>29036</v>
      </c>
      <c r="O34" s="499">
        <f t="shared" si="0"/>
        <v>0.79035617791237511</v>
      </c>
      <c r="P34" s="499">
        <f t="shared" si="1"/>
        <v>0.87010148387123842</v>
      </c>
    </row>
    <row r="35" spans="1:16" s="4" customFormat="1" ht="12.75" customHeight="1">
      <c r="A35" s="11" t="s">
        <v>78</v>
      </c>
      <c r="B35" s="30" t="s">
        <v>79</v>
      </c>
      <c r="C35" s="245">
        <v>212909</v>
      </c>
      <c r="D35" s="245">
        <v>197944</v>
      </c>
      <c r="E35" s="245">
        <v>197951</v>
      </c>
      <c r="F35" s="245">
        <v>198073</v>
      </c>
      <c r="G35" s="245">
        <v>203068</v>
      </c>
      <c r="H35" s="245">
        <v>215365</v>
      </c>
      <c r="I35" s="245">
        <v>227394</v>
      </c>
      <c r="J35" s="245">
        <v>241160</v>
      </c>
      <c r="K35" s="245">
        <v>254572</v>
      </c>
      <c r="L35" s="245">
        <v>256768</v>
      </c>
      <c r="M35" s="245">
        <v>277485</v>
      </c>
      <c r="O35" s="499">
        <f t="shared" si="0"/>
        <v>8.3176285642403194</v>
      </c>
      <c r="P35" s="499">
        <f t="shared" si="1"/>
        <v>8.3151987275110422</v>
      </c>
    </row>
    <row r="36" spans="1:16" s="4" customFormat="1" ht="12.75" customHeight="1">
      <c r="A36" s="11" t="s">
        <v>80</v>
      </c>
      <c r="B36" s="30" t="s">
        <v>174</v>
      </c>
      <c r="C36" s="245">
        <v>510226</v>
      </c>
      <c r="D36" s="245">
        <v>501601</v>
      </c>
      <c r="E36" s="245">
        <v>513639</v>
      </c>
      <c r="F36" s="245">
        <v>528110</v>
      </c>
      <c r="G36" s="245">
        <v>541723</v>
      </c>
      <c r="H36" s="245">
        <v>556229</v>
      </c>
      <c r="I36" s="245">
        <v>571387</v>
      </c>
      <c r="J36" s="245">
        <v>585267</v>
      </c>
      <c r="K36" s="245">
        <v>572866</v>
      </c>
      <c r="L36" s="245">
        <v>579715</v>
      </c>
      <c r="M36" s="245">
        <v>606424</v>
      </c>
      <c r="O36" s="499">
        <f t="shared" si="0"/>
        <v>19.932789838936262</v>
      </c>
      <c r="P36" s="499">
        <f t="shared" si="1"/>
        <v>18.172283450032094</v>
      </c>
    </row>
    <row r="37" spans="1:16" s="4" customFormat="1" ht="12.75" customHeight="1">
      <c r="A37" s="11" t="s">
        <v>53</v>
      </c>
      <c r="B37" s="30" t="s">
        <v>93</v>
      </c>
      <c r="C37" s="245">
        <v>126215</v>
      </c>
      <c r="D37" s="245">
        <v>124544</v>
      </c>
      <c r="E37" s="245">
        <v>130835</v>
      </c>
      <c r="F37" s="245">
        <v>134827</v>
      </c>
      <c r="G37" s="245">
        <v>140298</v>
      </c>
      <c r="H37" s="245">
        <v>147627</v>
      </c>
      <c r="I37" s="245">
        <v>153184</v>
      </c>
      <c r="J37" s="245">
        <v>154795</v>
      </c>
      <c r="K37" s="245">
        <v>153703</v>
      </c>
      <c r="L37" s="245">
        <v>150030</v>
      </c>
      <c r="M37" s="245">
        <v>157420</v>
      </c>
      <c r="O37" s="499">
        <f t="shared" si="0"/>
        <v>4.9307896295393423</v>
      </c>
      <c r="P37" s="499">
        <f t="shared" si="1"/>
        <v>4.717294930121585</v>
      </c>
    </row>
    <row r="38" spans="1:16" s="4" customFormat="1" ht="12.75" customHeight="1">
      <c r="A38" s="11" t="s">
        <v>10</v>
      </c>
      <c r="B38" s="30" t="s">
        <v>165</v>
      </c>
      <c r="C38" s="245">
        <v>184574</v>
      </c>
      <c r="D38" s="245">
        <v>184439</v>
      </c>
      <c r="E38" s="245">
        <v>193103</v>
      </c>
      <c r="F38" s="245">
        <v>207980</v>
      </c>
      <c r="G38" s="245">
        <v>223137</v>
      </c>
      <c r="H38" s="245">
        <v>243205</v>
      </c>
      <c r="I38" s="245">
        <v>261730</v>
      </c>
      <c r="J38" s="245">
        <v>270796</v>
      </c>
      <c r="K38" s="245">
        <v>233699</v>
      </c>
      <c r="L38" s="245">
        <v>239745</v>
      </c>
      <c r="M38" s="245">
        <v>279781</v>
      </c>
      <c r="O38" s="499">
        <f t="shared" si="0"/>
        <v>7.2106767427215042</v>
      </c>
      <c r="P38" s="499">
        <f t="shared" si="1"/>
        <v>8.3840013520794514</v>
      </c>
    </row>
    <row r="39" spans="1:16" ht="12.75" customHeight="1">
      <c r="A39" s="11" t="s">
        <v>81</v>
      </c>
      <c r="B39" s="30" t="s">
        <v>171</v>
      </c>
      <c r="C39" s="245">
        <v>66590</v>
      </c>
      <c r="D39" s="245">
        <v>68157</v>
      </c>
      <c r="E39" s="245">
        <v>71993</v>
      </c>
      <c r="F39" s="245">
        <v>72956</v>
      </c>
      <c r="G39" s="245">
        <v>77039</v>
      </c>
      <c r="H39" s="245">
        <v>83632</v>
      </c>
      <c r="I39" s="245">
        <v>91709</v>
      </c>
      <c r="J39" s="245">
        <v>99727</v>
      </c>
      <c r="K39" s="245">
        <v>107652</v>
      </c>
      <c r="L39" s="245">
        <v>114093</v>
      </c>
      <c r="M39" s="245">
        <v>132730</v>
      </c>
      <c r="O39" s="499">
        <f t="shared" si="0"/>
        <v>2.6014442136911207</v>
      </c>
      <c r="P39" s="499">
        <f t="shared" si="1"/>
        <v>3.9774269856119808</v>
      </c>
    </row>
    <row r="40" spans="1:16" ht="12.75" customHeight="1">
      <c r="A40" s="11" t="s">
        <v>82</v>
      </c>
      <c r="B40" s="30" t="s">
        <v>166</v>
      </c>
      <c r="C40" s="245">
        <v>85558</v>
      </c>
      <c r="D40" s="245">
        <v>83701</v>
      </c>
      <c r="E40" s="245">
        <v>82983</v>
      </c>
      <c r="F40" s="245">
        <v>81189</v>
      </c>
      <c r="G40" s="245">
        <v>79408</v>
      </c>
      <c r="H40" s="245">
        <v>78025</v>
      </c>
      <c r="I40" s="245">
        <v>78807</v>
      </c>
      <c r="J40" s="245">
        <v>72314</v>
      </c>
      <c r="K40" s="245">
        <v>78746</v>
      </c>
      <c r="L40" s="245">
        <v>77632</v>
      </c>
      <c r="M40" s="245">
        <v>80352</v>
      </c>
      <c r="O40" s="499">
        <f t="shared" si="0"/>
        <v>3.3424592887067868</v>
      </c>
      <c r="P40" s="499">
        <f t="shared" si="1"/>
        <v>2.4078521294951698</v>
      </c>
    </row>
    <row r="41" spans="1:16" ht="12.75" customHeight="1">
      <c r="A41" s="11" t="s">
        <v>83</v>
      </c>
      <c r="B41" s="30" t="s">
        <v>103</v>
      </c>
      <c r="C41" s="245">
        <v>18785</v>
      </c>
      <c r="D41" s="245">
        <v>18455</v>
      </c>
      <c r="E41" s="245">
        <v>19960</v>
      </c>
      <c r="F41" s="245">
        <v>21488</v>
      </c>
      <c r="G41" s="245">
        <v>22728</v>
      </c>
      <c r="H41" s="245">
        <v>25240</v>
      </c>
      <c r="I41" s="245">
        <v>28146</v>
      </c>
      <c r="J41" s="245">
        <v>29700</v>
      </c>
      <c r="K41" s="245">
        <v>30554</v>
      </c>
      <c r="L41" s="245">
        <v>32205</v>
      </c>
      <c r="M41" s="245">
        <v>35036</v>
      </c>
      <c r="O41" s="499">
        <f t="shared" ref="O41:O47" si="2">+C41/$C$5*100</f>
        <v>0.73386588908526362</v>
      </c>
      <c r="P41" s="499">
        <f t="shared" ref="P41:P47" si="3">+M41/$M$5*100</f>
        <v>1.049899283266039</v>
      </c>
    </row>
    <row r="42" spans="1:16" ht="12.75" customHeight="1">
      <c r="A42" s="11" t="s">
        <v>54</v>
      </c>
      <c r="B42" s="30" t="s">
        <v>175</v>
      </c>
      <c r="C42" s="245">
        <v>111963</v>
      </c>
      <c r="D42" s="245">
        <v>111886</v>
      </c>
      <c r="E42" s="245">
        <v>120671</v>
      </c>
      <c r="F42" s="245">
        <v>125288</v>
      </c>
      <c r="G42" s="245">
        <v>127354</v>
      </c>
      <c r="H42" s="245">
        <v>128982</v>
      </c>
      <c r="I42" s="245">
        <v>139971</v>
      </c>
      <c r="J42" s="245">
        <v>148924</v>
      </c>
      <c r="K42" s="245">
        <v>150763</v>
      </c>
      <c r="L42" s="245">
        <v>156464</v>
      </c>
      <c r="M42" s="245">
        <v>177058</v>
      </c>
      <c r="O42" s="499">
        <f t="shared" si="2"/>
        <v>4.3740125919432185</v>
      </c>
      <c r="P42" s="499">
        <f t="shared" si="3"/>
        <v>5.3057731275407676</v>
      </c>
    </row>
    <row r="43" spans="1:16" ht="12.75" customHeight="1">
      <c r="A43" s="11" t="s">
        <v>85</v>
      </c>
      <c r="B43" s="30" t="s">
        <v>169</v>
      </c>
      <c r="C43" s="245">
        <v>218662</v>
      </c>
      <c r="D43" s="245">
        <v>230370</v>
      </c>
      <c r="E43" s="245">
        <v>243964</v>
      </c>
      <c r="F43" s="245">
        <v>251590</v>
      </c>
      <c r="G43" s="245">
        <v>273459</v>
      </c>
      <c r="H43" s="245">
        <v>299479</v>
      </c>
      <c r="I43" s="245">
        <v>298771</v>
      </c>
      <c r="J43" s="245">
        <v>299376</v>
      </c>
      <c r="K43" s="245">
        <v>291316</v>
      </c>
      <c r="L43" s="245">
        <v>280916</v>
      </c>
      <c r="M43" s="245">
        <v>313802</v>
      </c>
      <c r="O43" s="499">
        <f t="shared" si="2"/>
        <v>8.5423786552654732</v>
      </c>
      <c r="P43" s="499">
        <f t="shared" si="3"/>
        <v>9.4034848409478702</v>
      </c>
    </row>
    <row r="44" spans="1:16" ht="12.75" customHeight="1">
      <c r="A44" s="11" t="s">
        <v>86</v>
      </c>
      <c r="B44" s="30" t="s">
        <v>170</v>
      </c>
      <c r="C44" s="245">
        <v>10490</v>
      </c>
      <c r="D44" s="245">
        <v>10265</v>
      </c>
      <c r="E44" s="245">
        <v>10823</v>
      </c>
      <c r="F44" s="245">
        <v>10646</v>
      </c>
      <c r="G44" s="245">
        <v>10719</v>
      </c>
      <c r="H44" s="245">
        <v>11285</v>
      </c>
      <c r="I44" s="245">
        <v>11658</v>
      </c>
      <c r="J44" s="245">
        <v>11877</v>
      </c>
      <c r="K44" s="245">
        <v>12408</v>
      </c>
      <c r="L44" s="245">
        <v>12061</v>
      </c>
      <c r="M44" s="245">
        <v>13207</v>
      </c>
      <c r="O44" s="499">
        <f t="shared" si="2"/>
        <v>0.40980852683015256</v>
      </c>
      <c r="P44" s="499">
        <f t="shared" si="3"/>
        <v>0.3957649227678553</v>
      </c>
    </row>
    <row r="45" spans="1:16" ht="12.75" customHeight="1">
      <c r="A45" s="11" t="s">
        <v>94</v>
      </c>
      <c r="B45" s="30" t="s">
        <v>84</v>
      </c>
      <c r="C45" s="245">
        <v>54453</v>
      </c>
      <c r="D45" s="245">
        <v>53165</v>
      </c>
      <c r="E45" s="245">
        <v>53776</v>
      </c>
      <c r="F45" s="245">
        <v>56603</v>
      </c>
      <c r="G45" s="245">
        <v>56595</v>
      </c>
      <c r="H45" s="245">
        <v>56216</v>
      </c>
      <c r="I45" s="245">
        <v>60367</v>
      </c>
      <c r="J45" s="245">
        <v>60849</v>
      </c>
      <c r="K45" s="245">
        <v>62433</v>
      </c>
      <c r="L45" s="245">
        <v>61474</v>
      </c>
      <c r="M45" s="245">
        <v>64779</v>
      </c>
      <c r="O45" s="499">
        <f t="shared" si="2"/>
        <v>2.1272930134873493</v>
      </c>
      <c r="P45" s="499">
        <f t="shared" si="3"/>
        <v>1.9411869411659648</v>
      </c>
    </row>
    <row r="46" spans="1:16" ht="12.75" customHeight="1">
      <c r="A46" s="11" t="s">
        <v>87</v>
      </c>
      <c r="B46" s="30" t="s">
        <v>141</v>
      </c>
      <c r="C46" s="245">
        <v>216882</v>
      </c>
      <c r="D46" s="245">
        <v>222574</v>
      </c>
      <c r="E46" s="245">
        <v>229330</v>
      </c>
      <c r="F46" s="245">
        <v>241051</v>
      </c>
      <c r="G46" s="245">
        <v>254988</v>
      </c>
      <c r="H46" s="245">
        <v>265423</v>
      </c>
      <c r="I46" s="245">
        <v>271575</v>
      </c>
      <c r="J46" s="245">
        <v>278424</v>
      </c>
      <c r="K46" s="245">
        <v>289188</v>
      </c>
      <c r="L46" s="245">
        <v>295748</v>
      </c>
      <c r="M46" s="245">
        <v>309107</v>
      </c>
      <c r="O46" s="499">
        <f t="shared" si="2"/>
        <v>8.4728401254506327</v>
      </c>
      <c r="P46" s="499">
        <f t="shared" si="3"/>
        <v>9.262793062921439</v>
      </c>
    </row>
    <row r="47" spans="1:16" ht="12.75" customHeight="1">
      <c r="A47" s="11" t="s">
        <v>95</v>
      </c>
      <c r="B47" s="30" t="s">
        <v>167</v>
      </c>
      <c r="C47" s="245">
        <v>21132</v>
      </c>
      <c r="D47" s="245">
        <v>21362</v>
      </c>
      <c r="E47" s="245">
        <v>20524</v>
      </c>
      <c r="F47" s="245">
        <v>22785</v>
      </c>
      <c r="G47" s="245">
        <v>23892</v>
      </c>
      <c r="H47" s="245">
        <v>26109</v>
      </c>
      <c r="I47" s="245">
        <v>28777</v>
      </c>
      <c r="J47" s="245">
        <v>30427</v>
      </c>
      <c r="K47" s="245">
        <v>28691</v>
      </c>
      <c r="L47" s="245">
        <v>31034</v>
      </c>
      <c r="M47" s="245">
        <v>33359</v>
      </c>
      <c r="O47" s="499">
        <f t="shared" si="2"/>
        <v>0.82555517530741496</v>
      </c>
      <c r="P47" s="499">
        <f t="shared" si="3"/>
        <v>0.99964579833519229</v>
      </c>
    </row>
    <row r="48" spans="1:16" ht="12.75" customHeight="1">
      <c r="A48" s="11" t="s">
        <v>96</v>
      </c>
      <c r="B48" s="30" t="s">
        <v>104</v>
      </c>
      <c r="C48" s="245">
        <v>67765</v>
      </c>
      <c r="D48" s="245">
        <v>67041</v>
      </c>
      <c r="E48" s="245">
        <v>67966</v>
      </c>
      <c r="F48" s="245">
        <v>65669</v>
      </c>
      <c r="G48" s="245">
        <v>66238</v>
      </c>
      <c r="H48" s="245">
        <v>64042</v>
      </c>
      <c r="I48" s="245">
        <v>66801</v>
      </c>
      <c r="J48" s="245">
        <v>63852</v>
      </c>
      <c r="K48" s="245">
        <v>61955</v>
      </c>
      <c r="L48" s="245">
        <v>60477</v>
      </c>
      <c r="M48" s="245">
        <v>63987</v>
      </c>
    </row>
    <row r="49" spans="1:13" ht="12.75" customHeight="1">
      <c r="A49" s="32" t="s">
        <v>97</v>
      </c>
      <c r="B49" s="33" t="s">
        <v>168</v>
      </c>
      <c r="C49" s="247">
        <v>56</v>
      </c>
      <c r="D49" s="247">
        <v>83</v>
      </c>
      <c r="E49" s="247">
        <v>93</v>
      </c>
      <c r="F49" s="247">
        <v>91</v>
      </c>
      <c r="G49" s="247">
        <v>106</v>
      </c>
      <c r="H49" s="247">
        <v>95</v>
      </c>
      <c r="I49" s="247">
        <v>97</v>
      </c>
      <c r="J49" s="247">
        <v>102</v>
      </c>
      <c r="K49" s="247">
        <v>119</v>
      </c>
      <c r="L49" s="247">
        <v>107</v>
      </c>
      <c r="M49" s="247">
        <v>125</v>
      </c>
    </row>
    <row r="50" spans="1:13" ht="15" customHeight="1">
      <c r="A50" s="20" t="s">
        <v>138</v>
      </c>
      <c r="B50" s="10"/>
      <c r="C50" s="7"/>
      <c r="D50" s="128"/>
      <c r="E50" s="128"/>
      <c r="F50" s="7"/>
      <c r="G50" s="7"/>
      <c r="H50" s="7"/>
      <c r="I50" s="7"/>
      <c r="J50" s="7"/>
      <c r="K50" s="7"/>
      <c r="L50" s="7"/>
      <c r="M50" s="7"/>
    </row>
    <row r="51" spans="1:13" ht="21" customHeight="1">
      <c r="B51" s="145"/>
    </row>
  </sheetData>
  <mergeCells count="1">
    <mergeCell ref="A1:M1"/>
  </mergeCells>
  <phoneticPr fontId="25" type="noConversion"/>
  <conditionalFormatting sqref="A1 N1:XFD7 A2:B5 N8:N47 Q8:XFD47 N48:XFD1048576">
    <cfRule type="cellIs" dxfId="52" priority="34" operator="equal">
      <formula>0</formula>
    </cfRule>
  </conditionalFormatting>
  <conditionalFormatting sqref="A50:J1048576">
    <cfRule type="cellIs" dxfId="51" priority="17" operator="equal">
      <formula>0</formula>
    </cfRule>
  </conditionalFormatting>
  <conditionalFormatting sqref="C2:J49">
    <cfRule type="cellIs" dxfId="50" priority="18" operator="equal">
      <formula>0</formula>
    </cfRule>
  </conditionalFormatting>
  <conditionalFormatting sqref="K2:M1048576">
    <cfRule type="cellIs" dxfId="49"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88" orientation="portrait" r:id="rId1"/>
  <headerFooter>
    <oddHeader>&amp;C&amp;G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21">
    <tabColor indexed="25"/>
    <pageSetUpPr fitToPage="1"/>
  </sheetPr>
  <dimension ref="A1:L29"/>
  <sheetViews>
    <sheetView showGridLines="0" workbookViewId="0">
      <selection activeCell="K42" sqref="K42"/>
    </sheetView>
  </sheetViews>
  <sheetFormatPr defaultColWidth="9.140625" defaultRowHeight="11.25"/>
  <cols>
    <col min="1" max="1" width="17.140625" style="8" customWidth="1"/>
    <col min="2" max="12" width="7.5703125" style="8" customWidth="1"/>
    <col min="13" max="16384" width="9.140625" style="8"/>
  </cols>
  <sheetData>
    <row r="1" spans="1:12" s="21" customFormat="1" ht="28.5" customHeight="1">
      <c r="A1" s="614" t="s">
        <v>199</v>
      </c>
      <c r="B1" s="614"/>
      <c r="C1" s="614"/>
      <c r="D1" s="614"/>
      <c r="E1" s="614"/>
      <c r="F1" s="614"/>
      <c r="G1" s="614"/>
      <c r="H1" s="614"/>
      <c r="I1" s="614"/>
      <c r="J1" s="614"/>
      <c r="K1" s="614"/>
      <c r="L1" s="614"/>
    </row>
    <row r="2" spans="1:12" ht="15" customHeight="1">
      <c r="A2" s="22"/>
      <c r="B2" s="22"/>
      <c r="C2" s="22"/>
      <c r="D2" s="22"/>
      <c r="E2" s="22"/>
      <c r="F2" s="22"/>
      <c r="G2" s="22"/>
      <c r="H2" s="22"/>
      <c r="I2" s="22"/>
      <c r="J2" s="22"/>
      <c r="K2" s="22"/>
      <c r="L2" s="22"/>
    </row>
    <row r="3" spans="1:12" ht="15" customHeight="1">
      <c r="A3" s="23" t="s">
        <v>14</v>
      </c>
      <c r="B3" s="22"/>
      <c r="C3" s="22"/>
      <c r="D3" s="22"/>
      <c r="E3" s="22"/>
      <c r="F3" s="22"/>
      <c r="G3" s="22"/>
      <c r="H3" s="22"/>
      <c r="I3" s="22"/>
      <c r="J3" s="22"/>
      <c r="K3" s="22"/>
      <c r="L3" s="22"/>
    </row>
    <row r="4" spans="1:12" ht="28.5" customHeight="1" thickBot="1">
      <c r="A4" s="24"/>
      <c r="B4" s="24">
        <v>2012</v>
      </c>
      <c r="C4" s="24">
        <v>2013</v>
      </c>
      <c r="D4" s="24">
        <v>2014</v>
      </c>
      <c r="E4" s="24">
        <v>2015</v>
      </c>
      <c r="F4" s="24">
        <v>2016</v>
      </c>
      <c r="G4" s="24">
        <v>2017</v>
      </c>
      <c r="H4" s="24">
        <v>2018</v>
      </c>
      <c r="I4" s="24">
        <v>2019</v>
      </c>
      <c r="J4" s="24">
        <v>2020</v>
      </c>
      <c r="K4" s="24">
        <v>2021</v>
      </c>
      <c r="L4" s="24">
        <v>2022</v>
      </c>
    </row>
    <row r="5" spans="1:12" ht="20.25" customHeight="1" thickTop="1">
      <c r="A5" s="44" t="s">
        <v>12</v>
      </c>
      <c r="B5" s="235">
        <v>2559732</v>
      </c>
      <c r="C5" s="235">
        <v>2555676</v>
      </c>
      <c r="D5" s="235">
        <v>2636881</v>
      </c>
      <c r="E5" s="235">
        <v>2716011</v>
      </c>
      <c r="F5" s="235">
        <v>2819978</v>
      </c>
      <c r="G5" s="235">
        <v>2946903</v>
      </c>
      <c r="H5" s="235">
        <v>3060489</v>
      </c>
      <c r="I5" s="235">
        <v>3110949</v>
      </c>
      <c r="J5" s="235">
        <v>3085566</v>
      </c>
      <c r="K5" s="235">
        <v>3102345</v>
      </c>
      <c r="L5" s="235">
        <v>3337082</v>
      </c>
    </row>
    <row r="6" spans="1:12" ht="20.25" customHeight="1">
      <c r="A6" s="23" t="s">
        <v>32</v>
      </c>
      <c r="B6" s="236">
        <v>450529</v>
      </c>
      <c r="C6" s="236">
        <v>444303</v>
      </c>
      <c r="D6" s="236">
        <v>449006</v>
      </c>
      <c r="E6" s="236">
        <v>451803</v>
      </c>
      <c r="F6" s="236">
        <v>454121</v>
      </c>
      <c r="G6" s="236">
        <v>452417</v>
      </c>
      <c r="H6" s="236">
        <v>454619</v>
      </c>
      <c r="I6" s="236">
        <v>439733</v>
      </c>
      <c r="J6" s="236">
        <v>448843</v>
      </c>
      <c r="K6" s="236">
        <v>438683</v>
      </c>
      <c r="L6" s="236">
        <v>451936</v>
      </c>
    </row>
    <row r="7" spans="1:12" ht="15" customHeight="1">
      <c r="A7" s="23" t="s">
        <v>33</v>
      </c>
      <c r="B7" s="236">
        <v>371107</v>
      </c>
      <c r="C7" s="236">
        <v>362732</v>
      </c>
      <c r="D7" s="236">
        <v>368712</v>
      </c>
      <c r="E7" s="236">
        <v>377162</v>
      </c>
      <c r="F7" s="236">
        <v>386671</v>
      </c>
      <c r="G7" s="236">
        <v>397238</v>
      </c>
      <c r="H7" s="236">
        <v>406492</v>
      </c>
      <c r="I7" s="236">
        <v>406143</v>
      </c>
      <c r="J7" s="236">
        <v>404233</v>
      </c>
      <c r="K7" s="236">
        <v>398986</v>
      </c>
      <c r="L7" s="236">
        <v>421133</v>
      </c>
    </row>
    <row r="8" spans="1:12" ht="15" customHeight="1">
      <c r="A8" s="23" t="s">
        <v>34</v>
      </c>
      <c r="B8" s="236">
        <v>335308</v>
      </c>
      <c r="C8" s="236">
        <v>330636</v>
      </c>
      <c r="D8" s="236">
        <v>343342</v>
      </c>
      <c r="E8" s="236">
        <v>354293</v>
      </c>
      <c r="F8" s="236">
        <v>365201</v>
      </c>
      <c r="G8" s="236">
        <v>383522</v>
      </c>
      <c r="H8" s="236">
        <v>401357</v>
      </c>
      <c r="I8" s="236">
        <v>409110</v>
      </c>
      <c r="J8" s="236">
        <v>400157</v>
      </c>
      <c r="K8" s="236">
        <v>401868</v>
      </c>
      <c r="L8" s="236">
        <v>431686</v>
      </c>
    </row>
    <row r="9" spans="1:12" ht="15" customHeight="1">
      <c r="A9" s="23" t="s">
        <v>35</v>
      </c>
      <c r="B9" s="236">
        <v>427384</v>
      </c>
      <c r="C9" s="236">
        <v>423867</v>
      </c>
      <c r="D9" s="236">
        <v>437660</v>
      </c>
      <c r="E9" s="236">
        <v>454971</v>
      </c>
      <c r="F9" s="236">
        <v>473205</v>
      </c>
      <c r="G9" s="236">
        <v>496645</v>
      </c>
      <c r="H9" s="236">
        <v>515248</v>
      </c>
      <c r="I9" s="236">
        <v>527523</v>
      </c>
      <c r="J9" s="236">
        <v>522962</v>
      </c>
      <c r="K9" s="236">
        <v>530709</v>
      </c>
      <c r="L9" s="236">
        <v>572567</v>
      </c>
    </row>
    <row r="10" spans="1:12" ht="15" customHeight="1">
      <c r="A10" s="23" t="s">
        <v>36</v>
      </c>
      <c r="B10" s="236">
        <v>278553</v>
      </c>
      <c r="C10" s="236">
        <v>276061</v>
      </c>
      <c r="D10" s="236">
        <v>284359</v>
      </c>
      <c r="E10" s="236">
        <v>300215</v>
      </c>
      <c r="F10" s="236">
        <v>315576</v>
      </c>
      <c r="G10" s="236">
        <v>328764</v>
      </c>
      <c r="H10" s="236">
        <v>346248</v>
      </c>
      <c r="I10" s="236">
        <v>357624</v>
      </c>
      <c r="J10" s="236">
        <v>356334</v>
      </c>
      <c r="K10" s="236">
        <v>360932</v>
      </c>
      <c r="L10" s="236">
        <v>393972</v>
      </c>
    </row>
    <row r="11" spans="1:12" ht="15" customHeight="1">
      <c r="A11" s="23" t="s">
        <v>37</v>
      </c>
      <c r="B11" s="236">
        <v>136916</v>
      </c>
      <c r="C11" s="236">
        <v>140451</v>
      </c>
      <c r="D11" s="236">
        <v>148023</v>
      </c>
      <c r="E11" s="236">
        <v>142086</v>
      </c>
      <c r="F11" s="236">
        <v>148366</v>
      </c>
      <c r="G11" s="236">
        <v>155487</v>
      </c>
      <c r="H11" s="236">
        <v>162423</v>
      </c>
      <c r="I11" s="236">
        <v>166497</v>
      </c>
      <c r="J11" s="236">
        <v>163234</v>
      </c>
      <c r="K11" s="236">
        <v>168483</v>
      </c>
      <c r="L11" s="236">
        <v>182719</v>
      </c>
    </row>
    <row r="12" spans="1:12" ht="15" customHeight="1">
      <c r="A12" s="23" t="s">
        <v>38</v>
      </c>
      <c r="B12" s="236">
        <v>91376</v>
      </c>
      <c r="C12" s="236">
        <v>91789</v>
      </c>
      <c r="D12" s="236">
        <v>90218</v>
      </c>
      <c r="E12" s="236">
        <v>96734</v>
      </c>
      <c r="F12" s="236">
        <v>99251</v>
      </c>
      <c r="G12" s="236">
        <v>101661</v>
      </c>
      <c r="H12" s="236">
        <v>110765</v>
      </c>
      <c r="I12" s="236">
        <v>111651</v>
      </c>
      <c r="J12" s="236">
        <v>104871</v>
      </c>
      <c r="K12" s="236">
        <v>112676</v>
      </c>
      <c r="L12" s="236">
        <v>126418</v>
      </c>
    </row>
    <row r="13" spans="1:12" ht="15" customHeight="1">
      <c r="A13" s="23" t="s">
        <v>39</v>
      </c>
      <c r="B13" s="236">
        <v>56675</v>
      </c>
      <c r="C13" s="236">
        <v>59508</v>
      </c>
      <c r="D13" s="236">
        <v>64078</v>
      </c>
      <c r="E13" s="236">
        <v>67068</v>
      </c>
      <c r="F13" s="236">
        <v>69419</v>
      </c>
      <c r="G13" s="236">
        <v>78519</v>
      </c>
      <c r="H13" s="236">
        <v>80663</v>
      </c>
      <c r="I13" s="236">
        <v>81016</v>
      </c>
      <c r="J13" s="236">
        <v>81434</v>
      </c>
      <c r="K13" s="236">
        <v>82744</v>
      </c>
      <c r="L13" s="236">
        <v>91087</v>
      </c>
    </row>
    <row r="14" spans="1:12" ht="15" customHeight="1">
      <c r="A14" s="23" t="s">
        <v>40</v>
      </c>
      <c r="B14" s="236">
        <v>165298</v>
      </c>
      <c r="C14" s="236">
        <v>162537</v>
      </c>
      <c r="D14" s="236">
        <v>156617</v>
      </c>
      <c r="E14" s="236">
        <v>172526</v>
      </c>
      <c r="F14" s="236">
        <v>186358</v>
      </c>
      <c r="G14" s="236">
        <v>200357</v>
      </c>
      <c r="H14" s="236">
        <v>212187</v>
      </c>
      <c r="I14" s="236">
        <v>214194</v>
      </c>
      <c r="J14" s="236">
        <v>206670</v>
      </c>
      <c r="K14" s="236">
        <v>211582</v>
      </c>
      <c r="L14" s="236">
        <v>228130</v>
      </c>
    </row>
    <row r="15" spans="1:12" ht="15" customHeight="1">
      <c r="A15" s="23" t="s">
        <v>41</v>
      </c>
      <c r="B15" s="236">
        <v>109326</v>
      </c>
      <c r="C15" s="236">
        <v>112488</v>
      </c>
      <c r="D15" s="236">
        <v>120797</v>
      </c>
      <c r="E15" s="236">
        <v>123881</v>
      </c>
      <c r="F15" s="236">
        <v>122214</v>
      </c>
      <c r="G15" s="236">
        <v>129436</v>
      </c>
      <c r="H15" s="236">
        <v>136862</v>
      </c>
      <c r="I15" s="236">
        <v>156478</v>
      </c>
      <c r="J15" s="236">
        <v>156121</v>
      </c>
      <c r="K15" s="236">
        <v>150546</v>
      </c>
      <c r="L15" s="236">
        <v>175499</v>
      </c>
    </row>
    <row r="16" spans="1:12" ht="15" customHeight="1">
      <c r="A16" s="26" t="s">
        <v>72</v>
      </c>
      <c r="B16" s="237">
        <v>134762</v>
      </c>
      <c r="C16" s="237">
        <v>149085</v>
      </c>
      <c r="D16" s="237">
        <v>171677</v>
      </c>
      <c r="E16" s="237">
        <v>173315</v>
      </c>
      <c r="F16" s="237">
        <v>197602</v>
      </c>
      <c r="G16" s="237">
        <v>220941</v>
      </c>
      <c r="H16" s="237">
        <v>231785</v>
      </c>
      <c r="I16" s="237">
        <v>238681</v>
      </c>
      <c r="J16" s="237">
        <v>237134</v>
      </c>
      <c r="K16" s="237">
        <v>242765</v>
      </c>
      <c r="L16" s="237">
        <v>259677</v>
      </c>
    </row>
    <row r="17" spans="1:12" ht="15" customHeight="1">
      <c r="A17" s="226" t="s">
        <v>243</v>
      </c>
      <c r="B17" s="20"/>
      <c r="C17" s="20"/>
      <c r="D17" s="20"/>
      <c r="E17" s="30"/>
      <c r="F17" s="30"/>
      <c r="G17" s="30"/>
      <c r="H17" s="30"/>
      <c r="I17" s="30"/>
      <c r="J17" s="30"/>
      <c r="K17" s="30"/>
      <c r="L17" s="30"/>
    </row>
    <row r="18" spans="1:12" s="4" customFormat="1" ht="15" customHeight="1">
      <c r="A18" s="20" t="s">
        <v>139</v>
      </c>
      <c r="B18" s="25"/>
      <c r="C18" s="25"/>
      <c r="D18" s="25"/>
      <c r="E18" s="25"/>
      <c r="F18" s="25"/>
      <c r="G18" s="25"/>
      <c r="H18" s="25"/>
      <c r="I18" s="25"/>
      <c r="J18" s="25"/>
      <c r="K18" s="25"/>
      <c r="L18" s="25"/>
    </row>
    <row r="21" spans="1:12">
      <c r="B21" s="407">
        <f>SUM(B6:B9)</f>
        <v>1584328</v>
      </c>
      <c r="C21" s="407">
        <f t="shared" ref="C21:L21" si="0">SUM(C6:C9)</f>
        <v>1561538</v>
      </c>
      <c r="D21" s="407">
        <f t="shared" si="0"/>
        <v>1598720</v>
      </c>
      <c r="E21" s="407">
        <f t="shared" si="0"/>
        <v>1638229</v>
      </c>
      <c r="F21" s="407">
        <f t="shared" si="0"/>
        <v>1679198</v>
      </c>
      <c r="G21" s="407">
        <f t="shared" si="0"/>
        <v>1729822</v>
      </c>
      <c r="H21" s="407">
        <f t="shared" si="0"/>
        <v>1777716</v>
      </c>
      <c r="I21" s="407">
        <f t="shared" si="0"/>
        <v>1782509</v>
      </c>
      <c r="J21" s="407">
        <f t="shared" si="0"/>
        <v>1776195</v>
      </c>
      <c r="K21" s="407">
        <f t="shared" si="0"/>
        <v>1770246</v>
      </c>
      <c r="L21" s="407">
        <f t="shared" si="0"/>
        <v>1877322</v>
      </c>
    </row>
    <row r="22" spans="1:12">
      <c r="B22" s="216">
        <f>+B21/B5*100</f>
        <v>61.894292058699897</v>
      </c>
      <c r="C22" s="216">
        <f t="shared" ref="C22:L22" si="1">+C21/C5*100</f>
        <v>61.100781163183434</v>
      </c>
      <c r="D22" s="216">
        <f t="shared" si="1"/>
        <v>60.629205489364132</v>
      </c>
      <c r="E22" s="216">
        <f t="shared" si="1"/>
        <v>60.317465577274909</v>
      </c>
      <c r="F22" s="216">
        <f t="shared" si="1"/>
        <v>59.546492915902185</v>
      </c>
      <c r="G22" s="216">
        <f t="shared" si="1"/>
        <v>58.699658590730678</v>
      </c>
      <c r="H22" s="216">
        <f t="shared" si="1"/>
        <v>58.086011745181899</v>
      </c>
      <c r="I22" s="216">
        <f t="shared" si="1"/>
        <v>57.297917773643988</v>
      </c>
      <c r="J22" s="216">
        <f t="shared" si="1"/>
        <v>57.564641300818067</v>
      </c>
      <c r="K22" s="216">
        <f t="shared" si="1"/>
        <v>57.061545379382373</v>
      </c>
      <c r="L22" s="216">
        <f t="shared" si="1"/>
        <v>56.256394059240975</v>
      </c>
    </row>
    <row r="24" spans="1:12">
      <c r="B24" s="407">
        <f>+B6+B7</f>
        <v>821636</v>
      </c>
      <c r="C24" s="407">
        <f t="shared" ref="C24:L24" si="2">+C6+C7</f>
        <v>807035</v>
      </c>
      <c r="D24" s="407">
        <f t="shared" si="2"/>
        <v>817718</v>
      </c>
      <c r="E24" s="407">
        <f t="shared" si="2"/>
        <v>828965</v>
      </c>
      <c r="F24" s="407">
        <f t="shared" si="2"/>
        <v>840792</v>
      </c>
      <c r="G24" s="407">
        <f t="shared" si="2"/>
        <v>849655</v>
      </c>
      <c r="H24" s="407">
        <f t="shared" si="2"/>
        <v>861111</v>
      </c>
      <c r="I24" s="407">
        <f t="shared" si="2"/>
        <v>845876</v>
      </c>
      <c r="J24" s="407">
        <f t="shared" si="2"/>
        <v>853076</v>
      </c>
      <c r="K24" s="407">
        <f t="shared" si="2"/>
        <v>837669</v>
      </c>
      <c r="L24" s="407">
        <f t="shared" si="2"/>
        <v>873069</v>
      </c>
    </row>
    <row r="25" spans="1:12">
      <c r="B25" s="216">
        <f>+B24/B5*100</f>
        <v>32.098516563452741</v>
      </c>
      <c r="C25" s="216">
        <f t="shared" ref="C25:L25" si="3">+C24/C5*100</f>
        <v>31.578142143213771</v>
      </c>
      <c r="D25" s="216">
        <f t="shared" si="3"/>
        <v>31.010804052211682</v>
      </c>
      <c r="E25" s="216">
        <f t="shared" si="3"/>
        <v>30.521415414002373</v>
      </c>
      <c r="F25" s="216">
        <f t="shared" si="3"/>
        <v>29.815551752531405</v>
      </c>
      <c r="G25" s="216">
        <f t="shared" si="3"/>
        <v>28.83213325990031</v>
      </c>
      <c r="H25" s="216">
        <f t="shared" si="3"/>
        <v>28.136386048111923</v>
      </c>
      <c r="I25" s="216">
        <f t="shared" si="3"/>
        <v>27.190288236804911</v>
      </c>
      <c r="J25" s="216">
        <f t="shared" si="3"/>
        <v>27.647310088327394</v>
      </c>
      <c r="K25" s="216">
        <f t="shared" si="3"/>
        <v>27.00115557747446</v>
      </c>
      <c r="L25" s="216">
        <f t="shared" si="3"/>
        <v>26.16264748663653</v>
      </c>
    </row>
    <row r="28" spans="1:12">
      <c r="B28" s="407">
        <f>+B8+B9</f>
        <v>762692</v>
      </c>
      <c r="C28" s="407">
        <f t="shared" ref="C28:L28" si="4">+C8+C9</f>
        <v>754503</v>
      </c>
      <c r="D28" s="407">
        <f t="shared" si="4"/>
        <v>781002</v>
      </c>
      <c r="E28" s="407">
        <f t="shared" si="4"/>
        <v>809264</v>
      </c>
      <c r="F28" s="407">
        <f t="shared" si="4"/>
        <v>838406</v>
      </c>
      <c r="G28" s="407">
        <f t="shared" si="4"/>
        <v>880167</v>
      </c>
      <c r="H28" s="407">
        <f t="shared" si="4"/>
        <v>916605</v>
      </c>
      <c r="I28" s="407">
        <f t="shared" si="4"/>
        <v>936633</v>
      </c>
      <c r="J28" s="407">
        <f t="shared" si="4"/>
        <v>923119</v>
      </c>
      <c r="K28" s="407">
        <f t="shared" si="4"/>
        <v>932577</v>
      </c>
      <c r="L28" s="407">
        <f t="shared" si="4"/>
        <v>1004253</v>
      </c>
    </row>
    <row r="29" spans="1:12">
      <c r="B29" s="216">
        <f>+B28/B5*100</f>
        <v>29.795775495247156</v>
      </c>
      <c r="C29" s="216">
        <f t="shared" ref="C29:L29" si="5">+C28/C5*100</f>
        <v>29.522639019969667</v>
      </c>
      <c r="D29" s="216">
        <f t="shared" si="5"/>
        <v>29.618401437152453</v>
      </c>
      <c r="E29" s="216">
        <f t="shared" si="5"/>
        <v>29.796050163272536</v>
      </c>
      <c r="F29" s="216">
        <f t="shared" si="5"/>
        <v>29.730941163370776</v>
      </c>
      <c r="G29" s="216">
        <f t="shared" si="5"/>
        <v>29.867525330830368</v>
      </c>
      <c r="H29" s="216">
        <f t="shared" si="5"/>
        <v>29.949625697069976</v>
      </c>
      <c r="I29" s="216">
        <f t="shared" si="5"/>
        <v>30.107629536839081</v>
      </c>
      <c r="J29" s="216">
        <f t="shared" si="5"/>
        <v>29.917331212490673</v>
      </c>
      <c r="K29" s="216">
        <f t="shared" si="5"/>
        <v>30.06038980190791</v>
      </c>
      <c r="L29" s="216">
        <f t="shared" si="5"/>
        <v>30.093746572604452</v>
      </c>
    </row>
  </sheetData>
  <mergeCells count="1">
    <mergeCell ref="A1:L1"/>
  </mergeCells>
  <phoneticPr fontId="25" type="noConversion"/>
  <conditionalFormatting sqref="A1 M1:XFD1048576 A2:F3 A4:D4 B5:I16 A5:A17 A18:F20 A21:A29 A30:F1048576">
    <cfRule type="cellIs" dxfId="48" priority="25" operator="equal">
      <formula>0</formula>
    </cfRule>
  </conditionalFormatting>
  <conditionalFormatting sqref="M5:N5">
    <cfRule type="containsText" dxfId="47" priority="23" operator="containsText" text="FALSO">
      <formula>NOT(ISERROR(SEARCH("FALSO",M5)))</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31">
    <tabColor indexed="25"/>
    <pageSetUpPr fitToPage="1"/>
  </sheetPr>
  <dimension ref="A1:AK24"/>
  <sheetViews>
    <sheetView showGridLines="0" workbookViewId="0">
      <selection activeCell="K42" sqref="K42"/>
    </sheetView>
  </sheetViews>
  <sheetFormatPr defaultColWidth="9.140625" defaultRowHeight="17.45" customHeight="1"/>
  <cols>
    <col min="1" max="1" width="17.140625" style="4" customWidth="1"/>
    <col min="2" max="12" width="7.5703125" style="4" customWidth="1"/>
    <col min="13" max="14" width="5.85546875" style="4" bestFit="1" customWidth="1"/>
    <col min="15" max="16384" width="9.140625" style="4"/>
  </cols>
  <sheetData>
    <row r="1" spans="1:37" s="3" customFormat="1" ht="28.5" customHeight="1">
      <c r="A1" s="609" t="s">
        <v>200</v>
      </c>
      <c r="B1" s="609"/>
      <c r="C1" s="609"/>
      <c r="D1" s="609"/>
      <c r="E1" s="609"/>
      <c r="F1" s="609"/>
      <c r="G1" s="609"/>
      <c r="H1" s="609"/>
      <c r="I1" s="609"/>
      <c r="J1" s="609"/>
      <c r="K1" s="609"/>
      <c r="L1" s="609"/>
    </row>
    <row r="2" spans="1:37" ht="15" customHeight="1">
      <c r="A2" s="11"/>
      <c r="B2" s="10"/>
      <c r="C2" s="98"/>
      <c r="D2" s="98"/>
      <c r="E2" s="98"/>
      <c r="F2" s="98"/>
      <c r="G2" s="98"/>
      <c r="H2" s="98"/>
      <c r="I2" s="98"/>
      <c r="J2" s="98"/>
      <c r="K2" s="98"/>
      <c r="L2" s="98"/>
    </row>
    <row r="3" spans="1:37" ht="15" customHeight="1">
      <c r="A3" s="13" t="s">
        <v>14</v>
      </c>
      <c r="B3" s="10"/>
      <c r="C3" s="98"/>
      <c r="D3" s="98"/>
      <c r="E3" s="98"/>
      <c r="F3" s="98"/>
      <c r="G3" s="98"/>
      <c r="H3" s="98"/>
      <c r="I3" s="98"/>
      <c r="J3" s="98"/>
      <c r="K3" s="98"/>
      <c r="L3" s="98"/>
    </row>
    <row r="4" spans="1:37" ht="28.5" customHeight="1" thickBot="1">
      <c r="A4" s="14"/>
      <c r="B4" s="15">
        <v>2012</v>
      </c>
      <c r="C4" s="15">
        <v>2013</v>
      </c>
      <c r="D4" s="15">
        <v>2014</v>
      </c>
      <c r="E4" s="15">
        <v>2015</v>
      </c>
      <c r="F4" s="15">
        <v>2016</v>
      </c>
      <c r="G4" s="15">
        <v>2017</v>
      </c>
      <c r="H4" s="15">
        <v>2018</v>
      </c>
      <c r="I4" s="15">
        <v>2019</v>
      </c>
      <c r="J4" s="15">
        <v>2020</v>
      </c>
      <c r="K4" s="15">
        <v>2021</v>
      </c>
      <c r="L4" s="15">
        <v>2022</v>
      </c>
      <c r="O4" s="327"/>
      <c r="P4" s="345">
        <f>+B4</f>
        <v>2012</v>
      </c>
      <c r="Q4" s="345">
        <f t="shared" ref="Q4:W4" si="0">+C4</f>
        <v>2013</v>
      </c>
      <c r="R4" s="345">
        <f t="shared" si="0"/>
        <v>2014</v>
      </c>
      <c r="S4" s="345">
        <f t="shared" si="0"/>
        <v>2015</v>
      </c>
      <c r="T4" s="345">
        <f t="shared" si="0"/>
        <v>2016</v>
      </c>
      <c r="U4" s="345">
        <f t="shared" si="0"/>
        <v>2017</v>
      </c>
      <c r="V4" s="345">
        <f t="shared" si="0"/>
        <v>2018</v>
      </c>
      <c r="W4" s="345">
        <f t="shared" si="0"/>
        <v>2019</v>
      </c>
      <c r="X4" s="345">
        <f>+J4</f>
        <v>2020</v>
      </c>
      <c r="Y4" s="345">
        <f t="shared" ref="Y4:Z4" si="1">+K4</f>
        <v>2021</v>
      </c>
      <c r="Z4" s="345">
        <f t="shared" si="1"/>
        <v>2022</v>
      </c>
      <c r="AA4" s="345">
        <f>+B4</f>
        <v>2012</v>
      </c>
      <c r="AB4" s="345">
        <f t="shared" ref="AB4:AJ4" si="2">+C4</f>
        <v>2013</v>
      </c>
      <c r="AC4" s="345">
        <f t="shared" si="2"/>
        <v>2014</v>
      </c>
      <c r="AD4" s="345">
        <f t="shared" si="2"/>
        <v>2015</v>
      </c>
      <c r="AE4" s="345">
        <f t="shared" si="2"/>
        <v>2016</v>
      </c>
      <c r="AF4" s="345">
        <f t="shared" si="2"/>
        <v>2017</v>
      </c>
      <c r="AG4" s="345">
        <f t="shared" si="2"/>
        <v>2018</v>
      </c>
      <c r="AH4" s="345">
        <f t="shared" si="2"/>
        <v>2019</v>
      </c>
      <c r="AI4" s="345">
        <f t="shared" si="2"/>
        <v>2020</v>
      </c>
      <c r="AJ4" s="345">
        <f t="shared" si="2"/>
        <v>2021</v>
      </c>
      <c r="AK4" s="345">
        <f>+L4</f>
        <v>2022</v>
      </c>
    </row>
    <row r="5" spans="1:37" ht="20.25" customHeight="1" thickTop="1">
      <c r="A5" s="16" t="s">
        <v>12</v>
      </c>
      <c r="B5" s="238">
        <v>2559732</v>
      </c>
      <c r="C5" s="238">
        <v>2555676</v>
      </c>
      <c r="D5" s="238">
        <v>2636881</v>
      </c>
      <c r="E5" s="238">
        <v>2716011</v>
      </c>
      <c r="F5" s="238">
        <v>2819978</v>
      </c>
      <c r="G5" s="238">
        <v>2946903</v>
      </c>
      <c r="H5" s="238">
        <v>3060489</v>
      </c>
      <c r="I5" s="238">
        <v>3110949</v>
      </c>
      <c r="J5" s="238">
        <v>3085566</v>
      </c>
      <c r="K5" s="238">
        <v>3102345</v>
      </c>
      <c r="L5" s="238">
        <v>3337082</v>
      </c>
    </row>
    <row r="6" spans="1:37" ht="21" customHeight="1">
      <c r="A6" s="16" t="s">
        <v>15</v>
      </c>
      <c r="B6" s="239">
        <v>197528</v>
      </c>
      <c r="C6" s="239">
        <v>197532</v>
      </c>
      <c r="D6" s="239">
        <v>203446</v>
      </c>
      <c r="E6" s="239">
        <v>208145</v>
      </c>
      <c r="F6" s="239">
        <v>216490</v>
      </c>
      <c r="G6" s="239">
        <v>226181</v>
      </c>
      <c r="H6" s="239">
        <v>234445</v>
      </c>
      <c r="I6" s="239">
        <v>236315</v>
      </c>
      <c r="J6" s="239">
        <v>234063</v>
      </c>
      <c r="K6" s="239">
        <v>234211</v>
      </c>
      <c r="L6" s="239">
        <v>250317</v>
      </c>
      <c r="N6" s="499">
        <f>+(L6/B6-1)*100</f>
        <v>26.724818759872026</v>
      </c>
      <c r="O6" s="344">
        <f t="shared" ref="O6:O10" si="3">+L6-B6</f>
        <v>52789</v>
      </c>
      <c r="P6" s="499">
        <f>B6*100/B$5</f>
        <v>7.7167453467784908</v>
      </c>
      <c r="Q6" s="499">
        <f t="shared" ref="Q6:Z21" si="4">C6*100/C$5</f>
        <v>7.7291487653364515</v>
      </c>
      <c r="R6" s="499">
        <f t="shared" si="4"/>
        <v>7.7154031600212525</v>
      </c>
      <c r="S6" s="499">
        <f t="shared" si="4"/>
        <v>7.6636287555536411</v>
      </c>
      <c r="T6" s="499">
        <f t="shared" si="4"/>
        <v>7.6770102461792256</v>
      </c>
      <c r="U6" s="499">
        <f t="shared" si="4"/>
        <v>7.675210212212618</v>
      </c>
      <c r="V6" s="499">
        <f t="shared" si="4"/>
        <v>7.6603771488804568</v>
      </c>
      <c r="W6" s="499">
        <f t="shared" si="4"/>
        <v>7.5962351038220168</v>
      </c>
      <c r="X6" s="499">
        <f t="shared" si="4"/>
        <v>7.5857395369277469</v>
      </c>
      <c r="Y6" s="499">
        <f t="shared" si="4"/>
        <v>7.5494827299994034</v>
      </c>
      <c r="Z6" s="499">
        <f t="shared" si="4"/>
        <v>7.501074291851384</v>
      </c>
      <c r="AA6" s="4">
        <f>+RANK(B6,B$6:B$23,0)</f>
        <v>4</v>
      </c>
      <c r="AB6" s="4">
        <f t="shared" ref="AB6:AK21" si="5">+RANK(C6,C$6:C$23,0)</f>
        <v>4</v>
      </c>
      <c r="AC6" s="4">
        <f t="shared" si="5"/>
        <v>4</v>
      </c>
      <c r="AD6" s="4">
        <f t="shared" si="5"/>
        <v>4</v>
      </c>
      <c r="AE6" s="4">
        <f t="shared" si="5"/>
        <v>4</v>
      </c>
      <c r="AF6" s="4">
        <f t="shared" si="5"/>
        <v>4</v>
      </c>
      <c r="AG6" s="4">
        <f t="shared" si="5"/>
        <v>4</v>
      </c>
      <c r="AH6" s="4">
        <f t="shared" si="5"/>
        <v>4</v>
      </c>
      <c r="AI6" s="4">
        <f t="shared" si="5"/>
        <v>4</v>
      </c>
      <c r="AJ6" s="4">
        <f t="shared" si="5"/>
        <v>4</v>
      </c>
      <c r="AK6" s="4">
        <f>+RANK(L6,L$6:L$23,0)</f>
        <v>4</v>
      </c>
    </row>
    <row r="7" spans="1:37" ht="15" customHeight="1">
      <c r="A7" s="16" t="s">
        <v>16</v>
      </c>
      <c r="B7" s="239">
        <v>29172</v>
      </c>
      <c r="C7" s="239">
        <v>29270</v>
      </c>
      <c r="D7" s="239">
        <v>30159</v>
      </c>
      <c r="E7" s="239">
        <v>32039</v>
      </c>
      <c r="F7" s="239">
        <v>33160</v>
      </c>
      <c r="G7" s="239">
        <v>35441</v>
      </c>
      <c r="H7" s="239">
        <v>36806</v>
      </c>
      <c r="I7" s="239">
        <v>38732</v>
      </c>
      <c r="J7" s="239">
        <v>41050</v>
      </c>
      <c r="K7" s="239">
        <v>41359</v>
      </c>
      <c r="L7" s="239">
        <v>45331</v>
      </c>
      <c r="N7" s="499">
        <f t="shared" ref="N7:N23" si="6">+(L7/B7-1)*100</f>
        <v>55.392156862745104</v>
      </c>
      <c r="O7" s="344">
        <f t="shared" si="3"/>
        <v>16159</v>
      </c>
      <c r="P7" s="499">
        <f t="shared" ref="P7:Z23" si="7">B7*100/B$5</f>
        <v>1.1396505571677036</v>
      </c>
      <c r="Q7" s="499">
        <f t="shared" si="4"/>
        <v>1.1452938478899517</v>
      </c>
      <c r="R7" s="499">
        <f t="shared" si="4"/>
        <v>1.1437376203173371</v>
      </c>
      <c r="S7" s="499">
        <f t="shared" si="4"/>
        <v>1.179634397651556</v>
      </c>
      <c r="T7" s="499">
        <f t="shared" si="4"/>
        <v>1.1758956984770803</v>
      </c>
      <c r="U7" s="499">
        <f t="shared" si="4"/>
        <v>1.2026524117013693</v>
      </c>
      <c r="V7" s="499">
        <f t="shared" si="4"/>
        <v>1.2026182743999407</v>
      </c>
      <c r="W7" s="499">
        <f t="shared" si="4"/>
        <v>1.2450220173972637</v>
      </c>
      <c r="X7" s="499">
        <f t="shared" si="4"/>
        <v>1.330388006608836</v>
      </c>
      <c r="Y7" s="499">
        <f t="shared" si="4"/>
        <v>1.3331528247180762</v>
      </c>
      <c r="Z7" s="499">
        <f t="shared" si="4"/>
        <v>1.3584023407276178</v>
      </c>
      <c r="AA7" s="4">
        <f t="shared" ref="AA7:AK23" si="8">+RANK(B7,B$6:B$23,0)</f>
        <v>15</v>
      </c>
      <c r="AB7" s="4">
        <f t="shared" si="5"/>
        <v>15</v>
      </c>
      <c r="AC7" s="4">
        <f t="shared" si="5"/>
        <v>15</v>
      </c>
      <c r="AD7" s="4">
        <f t="shared" si="5"/>
        <v>15</v>
      </c>
      <c r="AE7" s="4">
        <f t="shared" si="5"/>
        <v>14</v>
      </c>
      <c r="AF7" s="4">
        <f t="shared" si="5"/>
        <v>14</v>
      </c>
      <c r="AG7" s="4">
        <f t="shared" si="5"/>
        <v>14</v>
      </c>
      <c r="AH7" s="4">
        <f t="shared" si="5"/>
        <v>14</v>
      </c>
      <c r="AI7" s="4">
        <f t="shared" si="5"/>
        <v>12</v>
      </c>
      <c r="AJ7" s="4">
        <f t="shared" si="5"/>
        <v>12</v>
      </c>
      <c r="AK7" s="4">
        <f t="shared" si="5"/>
        <v>12</v>
      </c>
    </row>
    <row r="8" spans="1:37" ht="15" customHeight="1">
      <c r="A8" s="16" t="s">
        <v>66</v>
      </c>
      <c r="B8" s="239">
        <v>228429</v>
      </c>
      <c r="C8" s="239">
        <v>230411</v>
      </c>
      <c r="D8" s="239">
        <v>240842</v>
      </c>
      <c r="E8" s="239">
        <v>249721</v>
      </c>
      <c r="F8" s="239">
        <v>261360</v>
      </c>
      <c r="G8" s="239">
        <v>273109</v>
      </c>
      <c r="H8" s="239">
        <v>282974</v>
      </c>
      <c r="I8" s="239">
        <v>279950</v>
      </c>
      <c r="J8" s="239">
        <v>281810</v>
      </c>
      <c r="K8" s="239">
        <v>284569</v>
      </c>
      <c r="L8" s="239">
        <v>304660</v>
      </c>
      <c r="N8" s="499">
        <f t="shared" si="6"/>
        <v>33.37185733860413</v>
      </c>
      <c r="O8" s="344">
        <f t="shared" si="3"/>
        <v>76231</v>
      </c>
      <c r="P8" s="499">
        <f t="shared" si="7"/>
        <v>8.9239420376820693</v>
      </c>
      <c r="Q8" s="499">
        <f t="shared" si="4"/>
        <v>9.0156576968285496</v>
      </c>
      <c r="R8" s="499">
        <f t="shared" si="4"/>
        <v>9.133593817847677</v>
      </c>
      <c r="S8" s="499">
        <f t="shared" si="4"/>
        <v>9.1944031154512995</v>
      </c>
      <c r="T8" s="499">
        <f t="shared" si="4"/>
        <v>9.2681574111571088</v>
      </c>
      <c r="U8" s="499">
        <f t="shared" si="4"/>
        <v>9.2676616773609446</v>
      </c>
      <c r="V8" s="499">
        <f t="shared" si="4"/>
        <v>9.2460387866122051</v>
      </c>
      <c r="W8" s="499">
        <f t="shared" si="4"/>
        <v>8.9988617621182474</v>
      </c>
      <c r="X8" s="499">
        <f t="shared" si="4"/>
        <v>9.1331703810581271</v>
      </c>
      <c r="Y8" s="499">
        <f t="shared" si="4"/>
        <v>9.1727064526994901</v>
      </c>
      <c r="Z8" s="499">
        <f t="shared" si="4"/>
        <v>9.1295329272699917</v>
      </c>
      <c r="AA8" s="4">
        <f t="shared" si="8"/>
        <v>3</v>
      </c>
      <c r="AB8" s="4">
        <f t="shared" si="5"/>
        <v>3</v>
      </c>
      <c r="AC8" s="4">
        <f t="shared" si="5"/>
        <v>3</v>
      </c>
      <c r="AD8" s="4">
        <f t="shared" si="5"/>
        <v>3</v>
      </c>
      <c r="AE8" s="4">
        <f t="shared" si="5"/>
        <v>3</v>
      </c>
      <c r="AF8" s="4">
        <f t="shared" si="5"/>
        <v>3</v>
      </c>
      <c r="AG8" s="4">
        <f t="shared" si="5"/>
        <v>3</v>
      </c>
      <c r="AH8" s="4">
        <f t="shared" si="5"/>
        <v>3</v>
      </c>
      <c r="AI8" s="4">
        <f t="shared" si="5"/>
        <v>3</v>
      </c>
      <c r="AJ8" s="4">
        <f t="shared" si="5"/>
        <v>3</v>
      </c>
      <c r="AK8" s="4">
        <f t="shared" si="5"/>
        <v>3</v>
      </c>
    </row>
    <row r="9" spans="1:37" ht="15" customHeight="1">
      <c r="A9" s="16" t="s">
        <v>17</v>
      </c>
      <c r="B9" s="239">
        <v>19849</v>
      </c>
      <c r="C9" s="239">
        <v>19709</v>
      </c>
      <c r="D9" s="239">
        <v>19925</v>
      </c>
      <c r="E9" s="239">
        <v>20381</v>
      </c>
      <c r="F9" s="239">
        <v>20798</v>
      </c>
      <c r="G9" s="239">
        <v>21150</v>
      </c>
      <c r="H9" s="239">
        <v>21768</v>
      </c>
      <c r="I9" s="239">
        <v>21436</v>
      </c>
      <c r="J9" s="239">
        <v>22299</v>
      </c>
      <c r="K9" s="239">
        <v>22605</v>
      </c>
      <c r="L9" s="239">
        <v>23249</v>
      </c>
      <c r="N9" s="499">
        <f t="shared" si="6"/>
        <v>17.129326414428945</v>
      </c>
      <c r="O9" s="344">
        <f t="shared" si="3"/>
        <v>3400</v>
      </c>
      <c r="P9" s="499">
        <f t="shared" si="7"/>
        <v>0.77543274061503309</v>
      </c>
      <c r="Q9" s="499">
        <f t="shared" si="4"/>
        <v>0.77118539282757281</v>
      </c>
      <c r="R9" s="499">
        <f t="shared" si="4"/>
        <v>0.75562757667107461</v>
      </c>
      <c r="S9" s="499">
        <f t="shared" si="4"/>
        <v>0.75040196818054128</v>
      </c>
      <c r="T9" s="499">
        <f t="shared" si="4"/>
        <v>0.73752348422576341</v>
      </c>
      <c r="U9" s="499">
        <f t="shared" si="4"/>
        <v>0.717702618647441</v>
      </c>
      <c r="V9" s="499">
        <f t="shared" si="4"/>
        <v>0.71125888706020512</v>
      </c>
      <c r="W9" s="499">
        <f t="shared" si="4"/>
        <v>0.68905019015097968</v>
      </c>
      <c r="X9" s="499">
        <f t="shared" si="4"/>
        <v>0.72268750692741623</v>
      </c>
      <c r="Y9" s="499">
        <f t="shared" si="4"/>
        <v>0.72864236569433771</v>
      </c>
      <c r="Z9" s="499">
        <f t="shared" si="4"/>
        <v>0.69668650635495322</v>
      </c>
      <c r="AA9" s="4">
        <f t="shared" si="8"/>
        <v>18</v>
      </c>
      <c r="AB9" s="4">
        <f t="shared" si="5"/>
        <v>18</v>
      </c>
      <c r="AC9" s="4">
        <f t="shared" si="5"/>
        <v>18</v>
      </c>
      <c r="AD9" s="4">
        <f t="shared" si="5"/>
        <v>18</v>
      </c>
      <c r="AE9" s="4">
        <f t="shared" si="5"/>
        <v>18</v>
      </c>
      <c r="AF9" s="4">
        <f t="shared" si="5"/>
        <v>18</v>
      </c>
      <c r="AG9" s="4">
        <f t="shared" si="5"/>
        <v>18</v>
      </c>
      <c r="AH9" s="4">
        <f t="shared" si="5"/>
        <v>18</v>
      </c>
      <c r="AI9" s="4">
        <f t="shared" si="5"/>
        <v>18</v>
      </c>
      <c r="AJ9" s="4">
        <f t="shared" si="5"/>
        <v>17</v>
      </c>
      <c r="AK9" s="4">
        <f t="shared" si="5"/>
        <v>17</v>
      </c>
    </row>
    <row r="10" spans="1:37" ht="15" customHeight="1">
      <c r="A10" s="16" t="s">
        <v>18</v>
      </c>
      <c r="B10" s="239">
        <v>37826</v>
      </c>
      <c r="C10" s="239">
        <v>37109</v>
      </c>
      <c r="D10" s="239">
        <v>38714</v>
      </c>
      <c r="E10" s="239">
        <v>38487</v>
      </c>
      <c r="F10" s="239">
        <v>38942</v>
      </c>
      <c r="G10" s="239">
        <v>39544</v>
      </c>
      <c r="H10" s="239">
        <v>41834</v>
      </c>
      <c r="I10" s="239">
        <v>40763</v>
      </c>
      <c r="J10" s="239">
        <v>40114</v>
      </c>
      <c r="K10" s="239">
        <v>40323</v>
      </c>
      <c r="L10" s="239">
        <v>42765</v>
      </c>
      <c r="M10" s="127"/>
      <c r="N10" s="499">
        <f t="shared" si="6"/>
        <v>13.057156453233221</v>
      </c>
      <c r="O10" s="344">
        <f t="shared" si="3"/>
        <v>4939</v>
      </c>
      <c r="P10" s="499">
        <f t="shared" si="7"/>
        <v>1.4777328251551334</v>
      </c>
      <c r="Q10" s="499">
        <f t="shared" si="4"/>
        <v>1.4520228698786544</v>
      </c>
      <c r="R10" s="499">
        <f t="shared" si="4"/>
        <v>1.4681739524840143</v>
      </c>
      <c r="S10" s="499">
        <f t="shared" si="4"/>
        <v>1.4170413890076292</v>
      </c>
      <c r="T10" s="499">
        <f t="shared" si="4"/>
        <v>1.3809327590498932</v>
      </c>
      <c r="U10" s="499">
        <f t="shared" si="4"/>
        <v>1.3418833263259768</v>
      </c>
      <c r="V10" s="499">
        <f t="shared" si="4"/>
        <v>1.3669057461078933</v>
      </c>
      <c r="W10" s="499">
        <f t="shared" si="4"/>
        <v>1.3103075620976108</v>
      </c>
      <c r="X10" s="499">
        <f t="shared" si="4"/>
        <v>1.3000532155202644</v>
      </c>
      <c r="Y10" s="499">
        <f t="shared" si="4"/>
        <v>1.2997587308955001</v>
      </c>
      <c r="Z10" s="499">
        <f t="shared" si="4"/>
        <v>1.2815088151864413</v>
      </c>
      <c r="AA10" s="4">
        <f t="shared" si="8"/>
        <v>12</v>
      </c>
      <c r="AB10" s="4">
        <f t="shared" si="5"/>
        <v>12</v>
      </c>
      <c r="AC10" s="4">
        <f t="shared" si="5"/>
        <v>12</v>
      </c>
      <c r="AD10" s="4">
        <f t="shared" si="5"/>
        <v>12</v>
      </c>
      <c r="AE10" s="4">
        <f t="shared" si="5"/>
        <v>12</v>
      </c>
      <c r="AF10" s="4">
        <f t="shared" si="5"/>
        <v>12</v>
      </c>
      <c r="AG10" s="4">
        <f t="shared" si="5"/>
        <v>12</v>
      </c>
      <c r="AH10" s="4">
        <f t="shared" si="5"/>
        <v>13</v>
      </c>
      <c r="AI10" s="4">
        <f t="shared" si="5"/>
        <v>14</v>
      </c>
      <c r="AJ10" s="4">
        <f t="shared" si="5"/>
        <v>14</v>
      </c>
      <c r="AK10" s="4">
        <f t="shared" si="5"/>
        <v>14</v>
      </c>
    </row>
    <row r="11" spans="1:37" ht="15" customHeight="1">
      <c r="A11" s="16" t="s">
        <v>19</v>
      </c>
      <c r="B11" s="239">
        <v>93478</v>
      </c>
      <c r="C11" s="239">
        <v>92473</v>
      </c>
      <c r="D11" s="239">
        <v>91625</v>
      </c>
      <c r="E11" s="239">
        <v>94165</v>
      </c>
      <c r="F11" s="239">
        <v>95440</v>
      </c>
      <c r="G11" s="239">
        <v>99946</v>
      </c>
      <c r="H11" s="239">
        <v>100811</v>
      </c>
      <c r="I11" s="239">
        <v>101713</v>
      </c>
      <c r="J11" s="239">
        <v>102994</v>
      </c>
      <c r="K11" s="239">
        <v>102989</v>
      </c>
      <c r="L11" s="239">
        <v>109304</v>
      </c>
      <c r="M11" s="127"/>
      <c r="N11" s="499">
        <f t="shared" si="6"/>
        <v>16.9301867819166</v>
      </c>
      <c r="O11" s="344">
        <f t="shared" ref="O11:O23" si="9">+L11-B11</f>
        <v>15826</v>
      </c>
      <c r="P11" s="499">
        <f t="shared" si="7"/>
        <v>3.651866679793041</v>
      </c>
      <c r="Q11" s="499">
        <f t="shared" si="4"/>
        <v>3.6183381618014177</v>
      </c>
      <c r="R11" s="499">
        <f t="shared" si="4"/>
        <v>3.4747491449178023</v>
      </c>
      <c r="S11" s="499">
        <f t="shared" si="4"/>
        <v>3.4670330863902983</v>
      </c>
      <c r="T11" s="499">
        <f t="shared" si="4"/>
        <v>3.3844235664249864</v>
      </c>
      <c r="U11" s="499">
        <f t="shared" si="4"/>
        <v>3.391560563751165</v>
      </c>
      <c r="V11" s="499">
        <f t="shared" si="4"/>
        <v>3.2939507379376303</v>
      </c>
      <c r="W11" s="499">
        <f t="shared" si="4"/>
        <v>3.2695167937500744</v>
      </c>
      <c r="X11" s="499">
        <f t="shared" si="4"/>
        <v>3.3379289245473927</v>
      </c>
      <c r="Y11" s="499">
        <f t="shared" si="4"/>
        <v>3.319714602985806</v>
      </c>
      <c r="Z11" s="499">
        <f t="shared" si="4"/>
        <v>3.2754364441748809</v>
      </c>
      <c r="AA11" s="4">
        <f t="shared" si="8"/>
        <v>9</v>
      </c>
      <c r="AB11" s="4">
        <f t="shared" si="5"/>
        <v>9</v>
      </c>
      <c r="AC11" s="4">
        <f t="shared" si="5"/>
        <v>9</v>
      </c>
      <c r="AD11" s="4">
        <f t="shared" si="5"/>
        <v>9</v>
      </c>
      <c r="AE11" s="4">
        <f t="shared" si="5"/>
        <v>9</v>
      </c>
      <c r="AF11" s="4">
        <f t="shared" si="5"/>
        <v>9</v>
      </c>
      <c r="AG11" s="4">
        <f t="shared" si="5"/>
        <v>9</v>
      </c>
      <c r="AH11" s="4">
        <f t="shared" si="5"/>
        <v>9</v>
      </c>
      <c r="AI11" s="4">
        <f t="shared" si="5"/>
        <v>9</v>
      </c>
      <c r="AJ11" s="4">
        <f t="shared" si="5"/>
        <v>9</v>
      </c>
      <c r="AK11" s="4">
        <f t="shared" si="5"/>
        <v>9</v>
      </c>
    </row>
    <row r="12" spans="1:37" ht="15" customHeight="1">
      <c r="A12" s="16" t="s">
        <v>20</v>
      </c>
      <c r="B12" s="239">
        <v>35126</v>
      </c>
      <c r="C12" s="239">
        <v>34466</v>
      </c>
      <c r="D12" s="239">
        <v>35478</v>
      </c>
      <c r="E12" s="239">
        <v>36817</v>
      </c>
      <c r="F12" s="239">
        <v>38198</v>
      </c>
      <c r="G12" s="239">
        <v>39029</v>
      </c>
      <c r="H12" s="239">
        <v>40741</v>
      </c>
      <c r="I12" s="239">
        <v>40944</v>
      </c>
      <c r="J12" s="239">
        <v>40465</v>
      </c>
      <c r="K12" s="239">
        <v>40725</v>
      </c>
      <c r="L12" s="239">
        <v>43523</v>
      </c>
      <c r="M12" s="127"/>
      <c r="N12" s="499">
        <f t="shared" si="6"/>
        <v>23.905369242156805</v>
      </c>
      <c r="O12" s="344">
        <f t="shared" si="9"/>
        <v>8397</v>
      </c>
      <c r="P12" s="499">
        <f t="shared" si="7"/>
        <v>1.3722530327393649</v>
      </c>
      <c r="Q12" s="499">
        <f t="shared" si="4"/>
        <v>1.3486060048300332</v>
      </c>
      <c r="R12" s="499">
        <f t="shared" si="4"/>
        <v>1.3454532077860168</v>
      </c>
      <c r="S12" s="499">
        <f t="shared" si="4"/>
        <v>1.3555541564448745</v>
      </c>
      <c r="T12" s="499">
        <f t="shared" si="4"/>
        <v>1.3545495745002265</v>
      </c>
      <c r="U12" s="499">
        <f t="shared" si="4"/>
        <v>1.3244073523967366</v>
      </c>
      <c r="V12" s="499">
        <f t="shared" si="4"/>
        <v>1.3311924989764707</v>
      </c>
      <c r="W12" s="499">
        <f t="shared" si="4"/>
        <v>1.3161257224081784</v>
      </c>
      <c r="X12" s="499">
        <f t="shared" si="4"/>
        <v>1.3114287621784788</v>
      </c>
      <c r="Y12" s="499">
        <f t="shared" si="4"/>
        <v>1.312716670776461</v>
      </c>
      <c r="Z12" s="499">
        <f t="shared" si="4"/>
        <v>1.3042232705099845</v>
      </c>
      <c r="AA12" s="4">
        <f t="shared" si="8"/>
        <v>13</v>
      </c>
      <c r="AB12" s="4">
        <f t="shared" si="5"/>
        <v>13</v>
      </c>
      <c r="AC12" s="4">
        <f t="shared" si="5"/>
        <v>13</v>
      </c>
      <c r="AD12" s="4">
        <f t="shared" si="5"/>
        <v>13</v>
      </c>
      <c r="AE12" s="4">
        <f t="shared" si="5"/>
        <v>13</v>
      </c>
      <c r="AF12" s="4">
        <f t="shared" si="5"/>
        <v>13</v>
      </c>
      <c r="AG12" s="4">
        <f t="shared" si="5"/>
        <v>13</v>
      </c>
      <c r="AH12" s="4">
        <f t="shared" si="5"/>
        <v>12</v>
      </c>
      <c r="AI12" s="4">
        <f t="shared" si="5"/>
        <v>13</v>
      </c>
      <c r="AJ12" s="4">
        <f t="shared" si="5"/>
        <v>13</v>
      </c>
      <c r="AK12" s="4">
        <f t="shared" si="5"/>
        <v>13</v>
      </c>
    </row>
    <row r="13" spans="1:37" ht="15" customHeight="1">
      <c r="A13" s="16" t="s">
        <v>21</v>
      </c>
      <c r="B13" s="239">
        <v>114854</v>
      </c>
      <c r="C13" s="239">
        <v>114172</v>
      </c>
      <c r="D13" s="239">
        <v>119459</v>
      </c>
      <c r="E13" s="239">
        <v>126980</v>
      </c>
      <c r="F13" s="239">
        <v>135848</v>
      </c>
      <c r="G13" s="239">
        <v>145770</v>
      </c>
      <c r="H13" s="239">
        <v>154417</v>
      </c>
      <c r="I13" s="239">
        <v>160288</v>
      </c>
      <c r="J13" s="239">
        <v>144668</v>
      </c>
      <c r="K13" s="239">
        <v>148406</v>
      </c>
      <c r="L13" s="239">
        <v>165503</v>
      </c>
      <c r="M13" s="127"/>
      <c r="N13" s="499">
        <f t="shared" si="6"/>
        <v>44.09859473766695</v>
      </c>
      <c r="O13" s="344">
        <f t="shared" si="9"/>
        <v>50649</v>
      </c>
      <c r="P13" s="499">
        <f t="shared" si="7"/>
        <v>4.4869541030076583</v>
      </c>
      <c r="Q13" s="499">
        <f t="shared" si="4"/>
        <v>4.4673894499928783</v>
      </c>
      <c r="R13" s="499">
        <f t="shared" si="4"/>
        <v>4.5303144131267201</v>
      </c>
      <c r="S13" s="499">
        <f t="shared" si="4"/>
        <v>4.6752387968973617</v>
      </c>
      <c r="T13" s="499">
        <f t="shared" si="4"/>
        <v>4.8173425466439808</v>
      </c>
      <c r="U13" s="499">
        <f t="shared" si="4"/>
        <v>4.9465489702239944</v>
      </c>
      <c r="V13" s="499">
        <f t="shared" si="4"/>
        <v>5.0455008987125911</v>
      </c>
      <c r="W13" s="499">
        <f t="shared" si="4"/>
        <v>5.1523827616589024</v>
      </c>
      <c r="X13" s="499">
        <f t="shared" si="4"/>
        <v>4.688540125215277</v>
      </c>
      <c r="Y13" s="499">
        <f t="shared" si="4"/>
        <v>4.7836717064027372</v>
      </c>
      <c r="Z13" s="499">
        <f t="shared" si="4"/>
        <v>4.959512532206281</v>
      </c>
      <c r="AA13" s="4">
        <f t="shared" si="8"/>
        <v>7</v>
      </c>
      <c r="AB13" s="4">
        <f t="shared" si="5"/>
        <v>7</v>
      </c>
      <c r="AC13" s="4">
        <f t="shared" si="5"/>
        <v>7</v>
      </c>
      <c r="AD13" s="4">
        <f t="shared" si="5"/>
        <v>7</v>
      </c>
      <c r="AE13" s="4">
        <f t="shared" si="5"/>
        <v>6</v>
      </c>
      <c r="AF13" s="4">
        <f t="shared" si="5"/>
        <v>6</v>
      </c>
      <c r="AG13" s="4">
        <f t="shared" si="5"/>
        <v>6</v>
      </c>
      <c r="AH13" s="4">
        <f t="shared" si="5"/>
        <v>6</v>
      </c>
      <c r="AI13" s="4">
        <f t="shared" si="5"/>
        <v>7</v>
      </c>
      <c r="AJ13" s="4">
        <f t="shared" si="5"/>
        <v>7</v>
      </c>
      <c r="AK13" s="4">
        <f t="shared" si="5"/>
        <v>6</v>
      </c>
    </row>
    <row r="14" spans="1:37" ht="15" customHeight="1">
      <c r="A14" s="16" t="s">
        <v>22</v>
      </c>
      <c r="B14" s="239">
        <v>28183</v>
      </c>
      <c r="C14" s="239">
        <v>27724</v>
      </c>
      <c r="D14" s="239">
        <v>28347</v>
      </c>
      <c r="E14" s="239">
        <v>28671</v>
      </c>
      <c r="F14" s="239">
        <v>28979</v>
      </c>
      <c r="G14" s="239">
        <v>29930</v>
      </c>
      <c r="H14" s="239">
        <v>30579</v>
      </c>
      <c r="I14" s="239">
        <v>30148</v>
      </c>
      <c r="J14" s="239">
        <v>30772</v>
      </c>
      <c r="K14" s="239">
        <v>30792</v>
      </c>
      <c r="L14" s="239">
        <v>31779</v>
      </c>
      <c r="M14" s="127"/>
      <c r="N14" s="499">
        <f t="shared" si="6"/>
        <v>12.7594649256644</v>
      </c>
      <c r="O14" s="344">
        <f t="shared" si="9"/>
        <v>3596</v>
      </c>
      <c r="P14" s="499">
        <f t="shared" si="7"/>
        <v>1.1010136998717053</v>
      </c>
      <c r="Q14" s="499">
        <f t="shared" si="4"/>
        <v>1.0848010467680567</v>
      </c>
      <c r="R14" s="499">
        <f t="shared" si="4"/>
        <v>1.0750200710612272</v>
      </c>
      <c r="S14" s="499">
        <f t="shared" si="4"/>
        <v>1.0556290088663116</v>
      </c>
      <c r="T14" s="499">
        <f t="shared" si="4"/>
        <v>1.027632130463429</v>
      </c>
      <c r="U14" s="499">
        <f t="shared" si="4"/>
        <v>1.0156425236935183</v>
      </c>
      <c r="V14" s="499">
        <f t="shared" si="4"/>
        <v>0.99915405675367563</v>
      </c>
      <c r="W14" s="499">
        <f t="shared" si="4"/>
        <v>0.969093353828687</v>
      </c>
      <c r="X14" s="499">
        <f t="shared" si="4"/>
        <v>0.99728866600163468</v>
      </c>
      <c r="Y14" s="499">
        <f t="shared" si="4"/>
        <v>0.99253951446405864</v>
      </c>
      <c r="Z14" s="499">
        <f t="shared" si="4"/>
        <v>0.95229904449456138</v>
      </c>
      <c r="AA14" s="4">
        <f t="shared" si="8"/>
        <v>16</v>
      </c>
      <c r="AB14" s="4">
        <f t="shared" si="5"/>
        <v>16</v>
      </c>
      <c r="AC14" s="4">
        <f t="shared" si="5"/>
        <v>16</v>
      </c>
      <c r="AD14" s="4">
        <f t="shared" si="5"/>
        <v>16</v>
      </c>
      <c r="AE14" s="4">
        <f t="shared" si="5"/>
        <v>16</v>
      </c>
      <c r="AF14" s="4">
        <f t="shared" si="5"/>
        <v>16</v>
      </c>
      <c r="AG14" s="4">
        <f t="shared" si="5"/>
        <v>16</v>
      </c>
      <c r="AH14" s="4">
        <f t="shared" si="5"/>
        <v>16</v>
      </c>
      <c r="AI14" s="4">
        <f t="shared" si="5"/>
        <v>16</v>
      </c>
      <c r="AJ14" s="4">
        <f t="shared" si="5"/>
        <v>16</v>
      </c>
      <c r="AK14" s="4">
        <f t="shared" si="5"/>
        <v>16</v>
      </c>
    </row>
    <row r="15" spans="1:37" ht="15" customHeight="1">
      <c r="A15" s="16" t="s">
        <v>23</v>
      </c>
      <c r="B15" s="239">
        <v>122147</v>
      </c>
      <c r="C15" s="239">
        <v>123221</v>
      </c>
      <c r="D15" s="239">
        <v>128192</v>
      </c>
      <c r="E15" s="239">
        <v>131409</v>
      </c>
      <c r="F15" s="239">
        <v>135744</v>
      </c>
      <c r="G15" s="239">
        <v>142737</v>
      </c>
      <c r="H15" s="239">
        <v>150327</v>
      </c>
      <c r="I15" s="239">
        <v>152235</v>
      </c>
      <c r="J15" s="239">
        <v>151214</v>
      </c>
      <c r="K15" s="239">
        <v>150268</v>
      </c>
      <c r="L15" s="239">
        <v>157094</v>
      </c>
      <c r="M15" s="127"/>
      <c r="N15" s="499">
        <f t="shared" si="6"/>
        <v>28.610608529067427</v>
      </c>
      <c r="O15" s="344">
        <f t="shared" si="9"/>
        <v>34947</v>
      </c>
      <c r="P15" s="499">
        <f t="shared" si="7"/>
        <v>4.7718667422995846</v>
      </c>
      <c r="Q15" s="499">
        <f t="shared" si="4"/>
        <v>4.8214640666500763</v>
      </c>
      <c r="R15" s="499">
        <f t="shared" si="4"/>
        <v>4.8615011447236336</v>
      </c>
      <c r="S15" s="499">
        <f t="shared" si="4"/>
        <v>4.8383088286461282</v>
      </c>
      <c r="T15" s="499">
        <f t="shared" si="4"/>
        <v>4.8136545746101564</v>
      </c>
      <c r="U15" s="499">
        <f t="shared" si="4"/>
        <v>4.8436273606562548</v>
      </c>
      <c r="V15" s="499">
        <f t="shared" si="4"/>
        <v>4.9118621239939104</v>
      </c>
      <c r="W15" s="499">
        <f t="shared" si="4"/>
        <v>4.8935228446367978</v>
      </c>
      <c r="X15" s="499">
        <f t="shared" si="4"/>
        <v>4.9006892090462495</v>
      </c>
      <c r="Y15" s="499">
        <f t="shared" si="4"/>
        <v>4.8436908209757457</v>
      </c>
      <c r="Z15" s="499">
        <f t="shared" si="4"/>
        <v>4.7075259163544674</v>
      </c>
      <c r="AA15" s="4">
        <f t="shared" si="8"/>
        <v>6</v>
      </c>
      <c r="AB15" s="4">
        <f t="shared" si="5"/>
        <v>6</v>
      </c>
      <c r="AC15" s="4">
        <f t="shared" si="5"/>
        <v>6</v>
      </c>
      <c r="AD15" s="4">
        <f t="shared" si="5"/>
        <v>6</v>
      </c>
      <c r="AE15" s="4">
        <f t="shared" si="5"/>
        <v>7</v>
      </c>
      <c r="AF15" s="4">
        <f t="shared" si="5"/>
        <v>7</v>
      </c>
      <c r="AG15" s="4">
        <f t="shared" si="5"/>
        <v>7</v>
      </c>
      <c r="AH15" s="4">
        <f t="shared" si="5"/>
        <v>7</v>
      </c>
      <c r="AI15" s="4">
        <f t="shared" si="5"/>
        <v>6</v>
      </c>
      <c r="AJ15" s="4">
        <f t="shared" si="5"/>
        <v>6</v>
      </c>
      <c r="AK15" s="4">
        <f t="shared" si="5"/>
        <v>7</v>
      </c>
    </row>
    <row r="16" spans="1:37" ht="15" customHeight="1">
      <c r="A16" s="16" t="s">
        <v>24</v>
      </c>
      <c r="B16" s="239">
        <v>737138</v>
      </c>
      <c r="C16" s="239">
        <v>739291</v>
      </c>
      <c r="D16" s="239">
        <v>764524</v>
      </c>
      <c r="E16" s="239">
        <v>780947</v>
      </c>
      <c r="F16" s="239">
        <v>817508</v>
      </c>
      <c r="G16" s="239">
        <v>847011</v>
      </c>
      <c r="H16" s="239">
        <v>886123</v>
      </c>
      <c r="I16" s="239">
        <v>905022</v>
      </c>
      <c r="J16" s="239">
        <v>895425</v>
      </c>
      <c r="K16" s="239">
        <v>900307</v>
      </c>
      <c r="L16" s="239">
        <v>981424</v>
      </c>
      <c r="M16" s="127"/>
      <c r="N16" s="499">
        <f t="shared" si="6"/>
        <v>33.139792006381441</v>
      </c>
      <c r="O16" s="344">
        <f t="shared" si="9"/>
        <v>244286</v>
      </c>
      <c r="P16" s="499">
        <f t="shared" si="7"/>
        <v>28.797467859916583</v>
      </c>
      <c r="Q16" s="499">
        <f t="shared" si="4"/>
        <v>28.927414899228229</v>
      </c>
      <c r="R16" s="499">
        <f t="shared" si="4"/>
        <v>28.993496483155667</v>
      </c>
      <c r="S16" s="499">
        <f t="shared" si="4"/>
        <v>28.753454974961443</v>
      </c>
      <c r="T16" s="499">
        <f t="shared" si="4"/>
        <v>28.989871552189413</v>
      </c>
      <c r="U16" s="499">
        <f t="shared" si="4"/>
        <v>28.74241194908689</v>
      </c>
      <c r="V16" s="499">
        <f t="shared" si="4"/>
        <v>28.953641068469778</v>
      </c>
      <c r="W16" s="499">
        <f t="shared" si="4"/>
        <v>29.091508732544312</v>
      </c>
      <c r="X16" s="499">
        <f t="shared" si="4"/>
        <v>29.019797340261075</v>
      </c>
      <c r="Y16" s="499">
        <f t="shared" si="4"/>
        <v>29.020208906488477</v>
      </c>
      <c r="Z16" s="499">
        <f t="shared" si="4"/>
        <v>29.409645912207132</v>
      </c>
      <c r="AA16" s="4">
        <f t="shared" si="8"/>
        <v>1</v>
      </c>
      <c r="AB16" s="4">
        <f t="shared" si="5"/>
        <v>1</v>
      </c>
      <c r="AC16" s="4">
        <f t="shared" si="5"/>
        <v>1</v>
      </c>
      <c r="AD16" s="4">
        <f t="shared" si="5"/>
        <v>1</v>
      </c>
      <c r="AE16" s="4">
        <f t="shared" si="5"/>
        <v>1</v>
      </c>
      <c r="AF16" s="4">
        <f t="shared" si="5"/>
        <v>1</v>
      </c>
      <c r="AG16" s="4">
        <f t="shared" si="5"/>
        <v>1</v>
      </c>
      <c r="AH16" s="4">
        <f t="shared" si="5"/>
        <v>1</v>
      </c>
      <c r="AI16" s="4">
        <f t="shared" si="5"/>
        <v>1</v>
      </c>
      <c r="AJ16" s="4">
        <f t="shared" si="5"/>
        <v>1</v>
      </c>
      <c r="AK16" s="4">
        <f t="shared" si="5"/>
        <v>1</v>
      </c>
    </row>
    <row r="17" spans="1:37" ht="15" customHeight="1">
      <c r="A17" s="16" t="s">
        <v>25</v>
      </c>
      <c r="B17" s="239">
        <v>20456</v>
      </c>
      <c r="C17" s="239">
        <v>20094</v>
      </c>
      <c r="D17" s="239">
        <v>20497</v>
      </c>
      <c r="E17" s="239">
        <v>20704</v>
      </c>
      <c r="F17" s="239">
        <v>21614</v>
      </c>
      <c r="G17" s="239">
        <v>22068</v>
      </c>
      <c r="H17" s="239">
        <v>22056</v>
      </c>
      <c r="I17" s="239">
        <v>22201</v>
      </c>
      <c r="J17" s="239">
        <v>22475</v>
      </c>
      <c r="K17" s="239">
        <v>21854</v>
      </c>
      <c r="L17" s="239">
        <v>23056</v>
      </c>
      <c r="M17" s="127"/>
      <c r="N17" s="499">
        <f t="shared" si="6"/>
        <v>12.710207274149399</v>
      </c>
      <c r="O17" s="344">
        <f t="shared" si="9"/>
        <v>2600</v>
      </c>
      <c r="P17" s="499">
        <f t="shared" si="7"/>
        <v>0.79914616061368926</v>
      </c>
      <c r="Q17" s="499">
        <f t="shared" si="4"/>
        <v>0.78624990022209384</v>
      </c>
      <c r="R17" s="499">
        <f t="shared" si="4"/>
        <v>0.77731987146936099</v>
      </c>
      <c r="S17" s="499">
        <f t="shared" si="4"/>
        <v>0.76229440896962497</v>
      </c>
      <c r="T17" s="499">
        <f t="shared" si="4"/>
        <v>0.76645988018346245</v>
      </c>
      <c r="U17" s="499">
        <f t="shared" si="4"/>
        <v>0.74885396635043633</v>
      </c>
      <c r="V17" s="499">
        <f t="shared" si="4"/>
        <v>0.72066914796949111</v>
      </c>
      <c r="W17" s="499">
        <f t="shared" si="4"/>
        <v>0.71364075720945597</v>
      </c>
      <c r="X17" s="499">
        <f t="shared" si="4"/>
        <v>0.72839148473894255</v>
      </c>
      <c r="Y17" s="499">
        <f t="shared" si="4"/>
        <v>0.70443487104109959</v>
      </c>
      <c r="Z17" s="499">
        <f t="shared" si="4"/>
        <v>0.69090301047442049</v>
      </c>
      <c r="AA17" s="4">
        <f t="shared" si="8"/>
        <v>17</v>
      </c>
      <c r="AB17" s="4">
        <f t="shared" si="5"/>
        <v>17</v>
      </c>
      <c r="AC17" s="4">
        <f t="shared" si="5"/>
        <v>17</v>
      </c>
      <c r="AD17" s="4">
        <f t="shared" si="5"/>
        <v>17</v>
      </c>
      <c r="AE17" s="4">
        <f t="shared" si="5"/>
        <v>17</v>
      </c>
      <c r="AF17" s="4">
        <f t="shared" si="5"/>
        <v>17</v>
      </c>
      <c r="AG17" s="4">
        <f t="shared" si="5"/>
        <v>17</v>
      </c>
      <c r="AH17" s="4">
        <f t="shared" si="5"/>
        <v>17</v>
      </c>
      <c r="AI17" s="4">
        <f t="shared" si="5"/>
        <v>17</v>
      </c>
      <c r="AJ17" s="4">
        <f t="shared" si="5"/>
        <v>18</v>
      </c>
      <c r="AK17" s="4">
        <f t="shared" si="5"/>
        <v>18</v>
      </c>
    </row>
    <row r="18" spans="1:37" ht="15" customHeight="1">
      <c r="A18" s="16" t="s">
        <v>26</v>
      </c>
      <c r="B18" s="239">
        <v>495679</v>
      </c>
      <c r="C18" s="239">
        <v>492740</v>
      </c>
      <c r="D18" s="239">
        <v>511719</v>
      </c>
      <c r="E18" s="239">
        <v>532550</v>
      </c>
      <c r="F18" s="239">
        <v>551277</v>
      </c>
      <c r="G18" s="239">
        <v>580272</v>
      </c>
      <c r="H18" s="239">
        <v>593048</v>
      </c>
      <c r="I18" s="239">
        <v>607009</v>
      </c>
      <c r="J18" s="239">
        <v>599969</v>
      </c>
      <c r="K18" s="239">
        <v>603391</v>
      </c>
      <c r="L18" s="239">
        <v>647496</v>
      </c>
      <c r="M18" s="127"/>
      <c r="N18" s="499">
        <f t="shared" si="6"/>
        <v>30.628087935942403</v>
      </c>
      <c r="O18" s="344">
        <f t="shared" si="9"/>
        <v>151817</v>
      </c>
      <c r="P18" s="499">
        <f t="shared" si="7"/>
        <v>19.364488157353971</v>
      </c>
      <c r="Q18" s="499">
        <f t="shared" si="4"/>
        <v>19.280221749548847</v>
      </c>
      <c r="R18" s="499">
        <f t="shared" si="4"/>
        <v>19.40622273056691</v>
      </c>
      <c r="S18" s="499">
        <f t="shared" si="4"/>
        <v>19.607799821134744</v>
      </c>
      <c r="T18" s="499">
        <f t="shared" si="4"/>
        <v>19.548982297025013</v>
      </c>
      <c r="U18" s="499">
        <f t="shared" si="4"/>
        <v>19.690909405569169</v>
      </c>
      <c r="V18" s="499">
        <f t="shared" si="4"/>
        <v>19.377556985174593</v>
      </c>
      <c r="W18" s="499">
        <f t="shared" si="4"/>
        <v>19.512020287057101</v>
      </c>
      <c r="X18" s="499">
        <f t="shared" si="4"/>
        <v>19.444374225020628</v>
      </c>
      <c r="Y18" s="499">
        <f t="shared" si="4"/>
        <v>19.449513190828227</v>
      </c>
      <c r="Z18" s="499">
        <f t="shared" si="4"/>
        <v>19.403059319489302</v>
      </c>
      <c r="AA18" s="4">
        <f t="shared" si="8"/>
        <v>2</v>
      </c>
      <c r="AB18" s="4">
        <f t="shared" si="5"/>
        <v>2</v>
      </c>
      <c r="AC18" s="4">
        <f t="shared" si="5"/>
        <v>2</v>
      </c>
      <c r="AD18" s="4">
        <f t="shared" si="5"/>
        <v>2</v>
      </c>
      <c r="AE18" s="4">
        <f t="shared" si="5"/>
        <v>2</v>
      </c>
      <c r="AF18" s="4">
        <f t="shared" si="5"/>
        <v>2</v>
      </c>
      <c r="AG18" s="4">
        <f t="shared" si="5"/>
        <v>2</v>
      </c>
      <c r="AH18" s="4">
        <f t="shared" si="5"/>
        <v>2</v>
      </c>
      <c r="AI18" s="4">
        <f t="shared" si="5"/>
        <v>2</v>
      </c>
      <c r="AJ18" s="4">
        <f t="shared" si="5"/>
        <v>2</v>
      </c>
      <c r="AK18" s="4">
        <f t="shared" si="5"/>
        <v>2</v>
      </c>
    </row>
    <row r="19" spans="1:37" ht="15" customHeight="1">
      <c r="A19" s="16" t="s">
        <v>27</v>
      </c>
      <c r="B19" s="239">
        <v>98004</v>
      </c>
      <c r="C19" s="239">
        <v>96319</v>
      </c>
      <c r="D19" s="239">
        <v>97672</v>
      </c>
      <c r="E19" s="239">
        <v>99795</v>
      </c>
      <c r="F19" s="239">
        <v>101230</v>
      </c>
      <c r="G19" s="239">
        <v>104902</v>
      </c>
      <c r="H19" s="239">
        <v>107738</v>
      </c>
      <c r="I19" s="239">
        <v>110106</v>
      </c>
      <c r="J19" s="239">
        <v>110997</v>
      </c>
      <c r="K19" s="239">
        <v>110211</v>
      </c>
      <c r="L19" s="239">
        <v>116005</v>
      </c>
      <c r="M19" s="127"/>
      <c r="N19" s="499">
        <f t="shared" si="6"/>
        <v>18.367617648259248</v>
      </c>
      <c r="O19" s="344">
        <f t="shared" si="9"/>
        <v>18001</v>
      </c>
      <c r="P19" s="499">
        <f t="shared" si="7"/>
        <v>3.8286820651536959</v>
      </c>
      <c r="Q19" s="499">
        <f t="shared" si="4"/>
        <v>3.7688267213840878</v>
      </c>
      <c r="R19" s="499">
        <f t="shared" si="4"/>
        <v>3.7040731075843012</v>
      </c>
      <c r="S19" s="499">
        <f t="shared" si="4"/>
        <v>3.6743223794012616</v>
      </c>
      <c r="T19" s="499">
        <f t="shared" si="4"/>
        <v>3.5897443171542474</v>
      </c>
      <c r="U19" s="499">
        <f t="shared" si="4"/>
        <v>3.5597371206313881</v>
      </c>
      <c r="V19" s="499">
        <f t="shared" si="4"/>
        <v>3.5202871175161876</v>
      </c>
      <c r="W19" s="499">
        <f t="shared" si="4"/>
        <v>3.5393058516870575</v>
      </c>
      <c r="X19" s="499">
        <f t="shared" si="4"/>
        <v>3.5972978701476488</v>
      </c>
      <c r="Y19" s="499">
        <f t="shared" si="4"/>
        <v>3.5525062493049613</v>
      </c>
      <c r="Z19" s="499">
        <f t="shared" si="4"/>
        <v>3.4762406197989741</v>
      </c>
      <c r="AA19" s="4">
        <f t="shared" si="8"/>
        <v>8</v>
      </c>
      <c r="AB19" s="4">
        <f t="shared" si="5"/>
        <v>8</v>
      </c>
      <c r="AC19" s="4">
        <f t="shared" si="5"/>
        <v>8</v>
      </c>
      <c r="AD19" s="4">
        <f t="shared" si="5"/>
        <v>8</v>
      </c>
      <c r="AE19" s="4">
        <f t="shared" si="5"/>
        <v>8</v>
      </c>
      <c r="AF19" s="4">
        <f t="shared" si="5"/>
        <v>8</v>
      </c>
      <c r="AG19" s="4">
        <f t="shared" si="5"/>
        <v>8</v>
      </c>
      <c r="AH19" s="4">
        <f t="shared" si="5"/>
        <v>8</v>
      </c>
      <c r="AI19" s="4">
        <f t="shared" si="5"/>
        <v>8</v>
      </c>
      <c r="AJ19" s="4">
        <f t="shared" si="5"/>
        <v>8</v>
      </c>
      <c r="AK19" s="4">
        <f t="shared" si="5"/>
        <v>8</v>
      </c>
    </row>
    <row r="20" spans="1:37" ht="15" customHeight="1">
      <c r="A20" s="16" t="s">
        <v>28</v>
      </c>
      <c r="B20" s="239">
        <v>145616</v>
      </c>
      <c r="C20" s="239">
        <v>143967</v>
      </c>
      <c r="D20" s="239">
        <v>145403</v>
      </c>
      <c r="E20" s="239">
        <v>148477</v>
      </c>
      <c r="F20" s="239">
        <v>152690</v>
      </c>
      <c r="G20" s="239">
        <v>161083</v>
      </c>
      <c r="H20" s="239">
        <v>170243</v>
      </c>
      <c r="I20" s="239">
        <v>173740</v>
      </c>
      <c r="J20" s="239">
        <v>174949</v>
      </c>
      <c r="K20" s="239">
        <v>176465</v>
      </c>
      <c r="L20" s="239">
        <v>189206</v>
      </c>
      <c r="M20" s="127"/>
      <c r="N20" s="499">
        <f t="shared" si="6"/>
        <v>29.934897264036909</v>
      </c>
      <c r="O20" s="344">
        <f t="shared" si="9"/>
        <v>43590</v>
      </c>
      <c r="P20" s="499">
        <f t="shared" si="7"/>
        <v>5.6887205379313146</v>
      </c>
      <c r="Q20" s="499">
        <f t="shared" si="4"/>
        <v>5.6332258079662676</v>
      </c>
      <c r="R20" s="499">
        <f t="shared" si="4"/>
        <v>5.5142040918797628</v>
      </c>
      <c r="S20" s="499">
        <f t="shared" si="4"/>
        <v>5.4667304366587617</v>
      </c>
      <c r="T20" s="499">
        <f t="shared" si="4"/>
        <v>5.4145812485061944</v>
      </c>
      <c r="U20" s="499">
        <f t="shared" si="4"/>
        <v>5.4661792396967259</v>
      </c>
      <c r="V20" s="499">
        <f t="shared" si="4"/>
        <v>5.5626078054846788</v>
      </c>
      <c r="W20" s="499">
        <f t="shared" si="4"/>
        <v>5.5847910075028553</v>
      </c>
      <c r="X20" s="499">
        <f t="shared" si="4"/>
        <v>5.6699159894813462</v>
      </c>
      <c r="Y20" s="499">
        <f t="shared" si="4"/>
        <v>5.6881165698850387</v>
      </c>
      <c r="Z20" s="499">
        <f t="shared" si="4"/>
        <v>5.6698037387154407</v>
      </c>
      <c r="AA20" s="4">
        <f t="shared" si="8"/>
        <v>5</v>
      </c>
      <c r="AB20" s="4">
        <f t="shared" si="5"/>
        <v>5</v>
      </c>
      <c r="AC20" s="4">
        <f t="shared" si="5"/>
        <v>5</v>
      </c>
      <c r="AD20" s="4">
        <f t="shared" si="5"/>
        <v>5</v>
      </c>
      <c r="AE20" s="4">
        <f t="shared" si="5"/>
        <v>5</v>
      </c>
      <c r="AF20" s="4">
        <f t="shared" si="5"/>
        <v>5</v>
      </c>
      <c r="AG20" s="4">
        <f t="shared" si="5"/>
        <v>5</v>
      </c>
      <c r="AH20" s="4">
        <f t="shared" si="5"/>
        <v>5</v>
      </c>
      <c r="AI20" s="4">
        <f t="shared" si="5"/>
        <v>5</v>
      </c>
      <c r="AJ20" s="4">
        <f t="shared" si="5"/>
        <v>5</v>
      </c>
      <c r="AK20" s="4">
        <f t="shared" si="5"/>
        <v>5</v>
      </c>
    </row>
    <row r="21" spans="1:37" ht="15" customHeight="1">
      <c r="A21" s="16" t="s">
        <v>29</v>
      </c>
      <c r="B21" s="239">
        <v>51891</v>
      </c>
      <c r="C21" s="239">
        <v>53023</v>
      </c>
      <c r="D21" s="239">
        <v>54568</v>
      </c>
      <c r="E21" s="239">
        <v>56865</v>
      </c>
      <c r="F21" s="239">
        <v>57001</v>
      </c>
      <c r="G21" s="239">
        <v>59646</v>
      </c>
      <c r="H21" s="239">
        <v>62987</v>
      </c>
      <c r="I21" s="239">
        <v>63449</v>
      </c>
      <c r="J21" s="239">
        <v>64864</v>
      </c>
      <c r="K21" s="239">
        <v>65112</v>
      </c>
      <c r="L21" s="239">
        <v>68558</v>
      </c>
      <c r="M21" s="127"/>
      <c r="N21" s="499">
        <f t="shared" si="6"/>
        <v>32.119249966275461</v>
      </c>
      <c r="O21" s="344">
        <f t="shared" si="9"/>
        <v>16667</v>
      </c>
      <c r="P21" s="499">
        <f t="shared" si="7"/>
        <v>2.0272044104617204</v>
      </c>
      <c r="Q21" s="499">
        <f t="shared" si="4"/>
        <v>2.0747152612459483</v>
      </c>
      <c r="R21" s="499">
        <f t="shared" si="4"/>
        <v>2.0694145848826699</v>
      </c>
      <c r="S21" s="499">
        <f t="shared" si="4"/>
        <v>2.0936954968149983</v>
      </c>
      <c r="T21" s="499">
        <f t="shared" si="4"/>
        <v>2.0213278259617629</v>
      </c>
      <c r="U21" s="499">
        <f t="shared" si="4"/>
        <v>2.024023186375663</v>
      </c>
      <c r="V21" s="499">
        <f t="shared" si="4"/>
        <v>2.058069805184727</v>
      </c>
      <c r="W21" s="499">
        <f t="shared" si="4"/>
        <v>2.0395384173768196</v>
      </c>
      <c r="X21" s="499">
        <f t="shared" si="4"/>
        <v>2.1021750952661522</v>
      </c>
      <c r="Y21" s="499">
        <f t="shared" si="4"/>
        <v>2.0987994565401333</v>
      </c>
      <c r="Z21" s="499">
        <f t="shared" si="4"/>
        <v>2.0544295884847901</v>
      </c>
      <c r="AA21" s="4">
        <f t="shared" si="8"/>
        <v>11</v>
      </c>
      <c r="AB21" s="4">
        <f t="shared" si="5"/>
        <v>11</v>
      </c>
      <c r="AC21" s="4">
        <f t="shared" si="5"/>
        <v>11</v>
      </c>
      <c r="AD21" s="4">
        <f t="shared" si="5"/>
        <v>11</v>
      </c>
      <c r="AE21" s="4">
        <f t="shared" si="5"/>
        <v>11</v>
      </c>
      <c r="AF21" s="4">
        <f t="shared" si="5"/>
        <v>11</v>
      </c>
      <c r="AG21" s="4">
        <f t="shared" si="5"/>
        <v>11</v>
      </c>
      <c r="AH21" s="4">
        <f t="shared" si="5"/>
        <v>11</v>
      </c>
      <c r="AI21" s="4">
        <f t="shared" si="5"/>
        <v>11</v>
      </c>
      <c r="AJ21" s="4">
        <f t="shared" si="5"/>
        <v>11</v>
      </c>
      <c r="AK21" s="4">
        <f t="shared" si="5"/>
        <v>11</v>
      </c>
    </row>
    <row r="22" spans="1:37" ht="15" customHeight="1">
      <c r="A22" s="16" t="s">
        <v>30</v>
      </c>
      <c r="B22" s="239">
        <v>31205</v>
      </c>
      <c r="C22" s="239">
        <v>31008</v>
      </c>
      <c r="D22" s="239">
        <v>31502</v>
      </c>
      <c r="E22" s="239">
        <v>32630</v>
      </c>
      <c r="F22" s="239">
        <v>33121</v>
      </c>
      <c r="G22" s="239">
        <v>34749</v>
      </c>
      <c r="H22" s="239">
        <v>35689</v>
      </c>
      <c r="I22" s="239">
        <v>36501</v>
      </c>
      <c r="J22" s="239">
        <v>36381</v>
      </c>
      <c r="K22" s="239">
        <v>36810</v>
      </c>
      <c r="L22" s="239">
        <v>38651</v>
      </c>
      <c r="M22" s="127"/>
      <c r="N22" s="499">
        <f t="shared" si="6"/>
        <v>23.861560647332158</v>
      </c>
      <c r="O22" s="344">
        <f t="shared" si="9"/>
        <v>7446</v>
      </c>
      <c r="P22" s="499">
        <f t="shared" si="7"/>
        <v>1.2190729341977988</v>
      </c>
      <c r="Q22" s="499">
        <f t="shared" si="7"/>
        <v>1.2132993384137896</v>
      </c>
      <c r="R22" s="499">
        <f t="shared" si="7"/>
        <v>1.1946690047825441</v>
      </c>
      <c r="S22" s="499">
        <f t="shared" si="7"/>
        <v>1.2013942506123871</v>
      </c>
      <c r="T22" s="499">
        <f t="shared" si="7"/>
        <v>1.1745127089643961</v>
      </c>
      <c r="U22" s="499">
        <f t="shared" si="7"/>
        <v>1.1791701321692638</v>
      </c>
      <c r="V22" s="499">
        <f t="shared" si="7"/>
        <v>1.1661208388594111</v>
      </c>
      <c r="W22" s="499">
        <f t="shared" si="7"/>
        <v>1.1733075662763999</v>
      </c>
      <c r="X22" s="499">
        <f t="shared" si="7"/>
        <v>1.1790705497791978</v>
      </c>
      <c r="Y22" s="499">
        <f t="shared" si="7"/>
        <v>1.1865218085029228</v>
      </c>
      <c r="Z22" s="499">
        <f t="shared" si="7"/>
        <v>1.1582274574014064</v>
      </c>
      <c r="AA22" s="4">
        <f t="shared" si="8"/>
        <v>14</v>
      </c>
      <c r="AB22" s="4">
        <f t="shared" si="8"/>
        <v>14</v>
      </c>
      <c r="AC22" s="4">
        <f t="shared" si="8"/>
        <v>14</v>
      </c>
      <c r="AD22" s="4">
        <f t="shared" si="8"/>
        <v>14</v>
      </c>
      <c r="AE22" s="4">
        <f t="shared" si="8"/>
        <v>15</v>
      </c>
      <c r="AF22" s="4">
        <f t="shared" si="8"/>
        <v>15</v>
      </c>
      <c r="AG22" s="4">
        <f t="shared" si="8"/>
        <v>15</v>
      </c>
      <c r="AH22" s="4">
        <f t="shared" si="8"/>
        <v>15</v>
      </c>
      <c r="AI22" s="4">
        <f t="shared" si="8"/>
        <v>15</v>
      </c>
      <c r="AJ22" s="4">
        <f t="shared" si="8"/>
        <v>15</v>
      </c>
      <c r="AK22" s="4">
        <f t="shared" si="8"/>
        <v>15</v>
      </c>
    </row>
    <row r="23" spans="1:37" s="19" customFormat="1" ht="15" customHeight="1">
      <c r="A23" s="18" t="s">
        <v>31</v>
      </c>
      <c r="B23" s="240">
        <v>73151</v>
      </c>
      <c r="C23" s="240">
        <v>73147</v>
      </c>
      <c r="D23" s="240">
        <v>74809</v>
      </c>
      <c r="E23" s="240">
        <v>77228</v>
      </c>
      <c r="F23" s="240">
        <v>80578</v>
      </c>
      <c r="G23" s="240">
        <v>84335</v>
      </c>
      <c r="H23" s="240">
        <v>87903</v>
      </c>
      <c r="I23" s="240">
        <v>90397</v>
      </c>
      <c r="J23" s="240">
        <v>91057</v>
      </c>
      <c r="K23" s="240">
        <v>91948</v>
      </c>
      <c r="L23" s="240">
        <v>99161</v>
      </c>
      <c r="M23" s="127"/>
      <c r="N23" s="499">
        <f t="shared" si="6"/>
        <v>35.556588426679056</v>
      </c>
      <c r="O23" s="344">
        <f t="shared" si="9"/>
        <v>26010</v>
      </c>
      <c r="P23" s="499">
        <f t="shared" si="7"/>
        <v>2.8577601092614384</v>
      </c>
      <c r="Q23" s="499">
        <f t="shared" si="7"/>
        <v>2.8621390191870959</v>
      </c>
      <c r="R23" s="499">
        <f t="shared" si="7"/>
        <v>2.8370260167220289</v>
      </c>
      <c r="S23" s="499">
        <f t="shared" si="7"/>
        <v>2.8434347283571384</v>
      </c>
      <c r="T23" s="499">
        <f t="shared" si="7"/>
        <v>2.8573981782836602</v>
      </c>
      <c r="U23" s="499">
        <f t="shared" si="7"/>
        <v>2.8618179831504462</v>
      </c>
      <c r="V23" s="499">
        <f t="shared" si="7"/>
        <v>2.8721880719061561</v>
      </c>
      <c r="W23" s="499">
        <f t="shared" si="7"/>
        <v>2.9057692684772394</v>
      </c>
      <c r="X23" s="499">
        <f t="shared" si="7"/>
        <v>2.9510631112735881</v>
      </c>
      <c r="Y23" s="499">
        <f t="shared" si="7"/>
        <v>2.9638225277975208</v>
      </c>
      <c r="Z23" s="499">
        <f t="shared" si="7"/>
        <v>2.9714882642979705</v>
      </c>
      <c r="AA23" s="4">
        <f t="shared" si="8"/>
        <v>10</v>
      </c>
      <c r="AB23" s="4">
        <f t="shared" si="8"/>
        <v>10</v>
      </c>
      <c r="AC23" s="4">
        <f t="shared" si="8"/>
        <v>10</v>
      </c>
      <c r="AD23" s="4">
        <f t="shared" si="8"/>
        <v>10</v>
      </c>
      <c r="AE23" s="4">
        <f t="shared" si="8"/>
        <v>10</v>
      </c>
      <c r="AF23" s="4">
        <f t="shared" si="8"/>
        <v>10</v>
      </c>
      <c r="AG23" s="4">
        <f t="shared" si="8"/>
        <v>10</v>
      </c>
      <c r="AH23" s="4">
        <f t="shared" si="8"/>
        <v>10</v>
      </c>
      <c r="AI23" s="4">
        <f t="shared" si="8"/>
        <v>10</v>
      </c>
      <c r="AJ23" s="4">
        <f t="shared" si="8"/>
        <v>10</v>
      </c>
      <c r="AK23" s="4">
        <f t="shared" si="8"/>
        <v>10</v>
      </c>
    </row>
    <row r="24" spans="1:37" ht="15" customHeight="1">
      <c r="A24" s="20" t="s">
        <v>140</v>
      </c>
      <c r="B24" s="17"/>
      <c r="D24" s="17"/>
      <c r="E24" s="17"/>
      <c r="F24" s="17"/>
      <c r="G24" s="17"/>
      <c r="H24" s="17"/>
      <c r="I24" s="17"/>
      <c r="J24" s="17"/>
      <c r="K24" s="17"/>
      <c r="L24" s="17"/>
    </row>
  </sheetData>
  <mergeCells count="1">
    <mergeCell ref="A1:L1"/>
  </mergeCells>
  <phoneticPr fontId="25" type="noConversion"/>
  <conditionalFormatting sqref="A1 M1:XFD3 A2:F3 A4:D4 AL4:XFD23 A5:I23 A24:F1048576 M24:XFD1048576">
    <cfRule type="cellIs" dxfId="46" priority="55" operator="equal">
      <formula>0</formula>
    </cfRule>
  </conditionalFormatting>
  <conditionalFormatting sqref="M4:M23">
    <cfRule type="cellIs" dxfId="45" priority="54" operator="equal">
      <formula>0</formula>
    </cfRule>
  </conditionalFormatting>
  <conditionalFormatting sqref="M5">
    <cfRule type="containsText" dxfId="44" priority="53" operator="containsText" text="FALSO">
      <formula>NOT(ISERROR(SEARCH("FALSO",M5)))</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7B371-FCF8-42A7-BD1C-1350BD76F1E5}">
  <sheetPr>
    <tabColor indexed="25"/>
    <pageSetUpPr fitToPage="1"/>
  </sheetPr>
  <dimension ref="A1:O34"/>
  <sheetViews>
    <sheetView showGridLines="0" workbookViewId="0">
      <selection activeCell="P8" sqref="P8"/>
    </sheetView>
  </sheetViews>
  <sheetFormatPr defaultColWidth="9.140625" defaultRowHeight="17.45" customHeight="1"/>
  <cols>
    <col min="1" max="1" width="24.42578125" style="4" customWidth="1"/>
    <col min="2" max="12" width="7.5703125" style="4" customWidth="1"/>
    <col min="13" max="14" width="5.85546875" style="4" bestFit="1" customWidth="1"/>
    <col min="15" max="16384" width="9.140625" style="4"/>
  </cols>
  <sheetData>
    <row r="1" spans="1:13" s="3" customFormat="1" ht="28.5" customHeight="1">
      <c r="A1" s="615" t="s">
        <v>658</v>
      </c>
      <c r="B1" s="615"/>
      <c r="C1" s="615"/>
      <c r="D1" s="615"/>
      <c r="E1" s="615"/>
      <c r="F1" s="615"/>
      <c r="G1" s="615"/>
      <c r="H1" s="615"/>
      <c r="I1" s="615"/>
      <c r="J1" s="615"/>
      <c r="K1" s="615"/>
      <c r="L1" s="615"/>
    </row>
    <row r="2" spans="1:13" ht="15" customHeight="1">
      <c r="A2" s="11"/>
      <c r="B2" s="98"/>
      <c r="C2" s="98"/>
      <c r="D2" s="98"/>
      <c r="E2" s="98"/>
      <c r="F2" s="98"/>
      <c r="G2" s="98"/>
      <c r="H2" s="98"/>
      <c r="I2" s="98"/>
      <c r="J2" s="98"/>
      <c r="K2" s="98"/>
      <c r="L2" s="98"/>
    </row>
    <row r="3" spans="1:13" ht="15" customHeight="1">
      <c r="A3" s="13" t="s">
        <v>42</v>
      </c>
      <c r="B3" s="98"/>
      <c r="C3" s="98"/>
      <c r="D3" s="98"/>
      <c r="E3" s="98"/>
      <c r="F3" s="98"/>
      <c r="G3" s="98"/>
      <c r="H3" s="98"/>
      <c r="I3" s="98"/>
      <c r="J3" s="98"/>
      <c r="K3" s="98"/>
      <c r="L3" s="98"/>
    </row>
    <row r="4" spans="1:13" ht="20.25" customHeight="1" thickBot="1">
      <c r="A4" s="14"/>
      <c r="B4" s="15">
        <v>2012</v>
      </c>
      <c r="C4" s="15">
        <v>2013</v>
      </c>
      <c r="D4" s="15">
        <v>2014</v>
      </c>
      <c r="E4" s="15">
        <v>2015</v>
      </c>
      <c r="F4" s="15">
        <v>2016</v>
      </c>
      <c r="G4" s="15">
        <v>2017</v>
      </c>
      <c r="H4" s="15">
        <v>2018</v>
      </c>
      <c r="I4" s="15">
        <v>2019</v>
      </c>
      <c r="J4" s="15">
        <v>2020</v>
      </c>
      <c r="K4" s="15">
        <v>2021</v>
      </c>
      <c r="L4" s="15">
        <v>2022</v>
      </c>
    </row>
    <row r="5" spans="1:13" ht="21" customHeight="1" thickTop="1">
      <c r="A5" s="92" t="s">
        <v>12</v>
      </c>
      <c r="B5" s="238">
        <v>2559732</v>
      </c>
      <c r="C5" s="238">
        <v>2555676</v>
      </c>
      <c r="D5" s="238">
        <v>2636881</v>
      </c>
      <c r="E5" s="238">
        <v>2716011</v>
      </c>
      <c r="F5" s="238">
        <v>2819978</v>
      </c>
      <c r="G5" s="238">
        <v>2946903</v>
      </c>
      <c r="H5" s="238">
        <v>3060489</v>
      </c>
      <c r="I5" s="238">
        <v>3110949</v>
      </c>
      <c r="J5" s="238">
        <v>3085566</v>
      </c>
      <c r="K5" s="238">
        <v>3102345</v>
      </c>
      <c r="L5" s="238">
        <v>3337082</v>
      </c>
    </row>
    <row r="6" spans="1:13" ht="15" customHeight="1">
      <c r="A6" s="16" t="s">
        <v>629</v>
      </c>
      <c r="B6" s="238">
        <v>932602.99999999977</v>
      </c>
      <c r="C6" s="238">
        <v>933126.00000000012</v>
      </c>
      <c r="D6" s="238">
        <v>966786.99999999988</v>
      </c>
      <c r="E6" s="238">
        <v>1002830.9999999999</v>
      </c>
      <c r="F6" s="238">
        <v>1038348.9999999998</v>
      </c>
      <c r="G6" s="238">
        <v>1090049.0000000002</v>
      </c>
      <c r="H6" s="238">
        <v>1119718.0000000005</v>
      </c>
      <c r="I6" s="238">
        <v>1132969.9999999998</v>
      </c>
      <c r="J6" s="238">
        <v>1127589.9999999998</v>
      </c>
      <c r="K6" s="238">
        <v>1137435.9999999998</v>
      </c>
      <c r="L6" s="238">
        <v>1215310.0000000002</v>
      </c>
    </row>
    <row r="7" spans="1:13" ht="15" customHeight="1">
      <c r="A7" s="514" t="s">
        <v>630</v>
      </c>
      <c r="B7" s="239">
        <v>51891</v>
      </c>
      <c r="C7" s="239">
        <v>53023</v>
      </c>
      <c r="D7" s="239">
        <v>54568</v>
      </c>
      <c r="E7" s="239">
        <v>56865</v>
      </c>
      <c r="F7" s="239">
        <v>57001</v>
      </c>
      <c r="G7" s="239">
        <v>59646</v>
      </c>
      <c r="H7" s="239">
        <v>62987.000000000007</v>
      </c>
      <c r="I7" s="239">
        <v>63449</v>
      </c>
      <c r="J7" s="239">
        <v>64864</v>
      </c>
      <c r="K7" s="239">
        <v>65112</v>
      </c>
      <c r="L7" s="239">
        <v>68558</v>
      </c>
    </row>
    <row r="8" spans="1:13" ht="15" customHeight="1">
      <c r="A8" s="514" t="s">
        <v>631</v>
      </c>
      <c r="B8" s="239">
        <v>107950</v>
      </c>
      <c r="C8" s="239">
        <v>107406</v>
      </c>
      <c r="D8" s="239">
        <v>112832.00000000001</v>
      </c>
      <c r="E8" s="239">
        <v>116890</v>
      </c>
      <c r="F8" s="239">
        <v>122550</v>
      </c>
      <c r="G8" s="239">
        <v>129416</v>
      </c>
      <c r="H8" s="239">
        <v>135825</v>
      </c>
      <c r="I8" s="239">
        <v>139055</v>
      </c>
      <c r="J8" s="239">
        <v>138839</v>
      </c>
      <c r="K8" s="239">
        <v>141395</v>
      </c>
      <c r="L8" s="239">
        <v>153121</v>
      </c>
    </row>
    <row r="9" spans="1:13" ht="15" customHeight="1">
      <c r="A9" s="514" t="s">
        <v>632</v>
      </c>
      <c r="B9" s="239">
        <v>119016.00000000001</v>
      </c>
      <c r="C9" s="239">
        <v>121303</v>
      </c>
      <c r="D9" s="239">
        <v>125966</v>
      </c>
      <c r="E9" s="239">
        <v>131033.00000000001</v>
      </c>
      <c r="F9" s="239">
        <v>136891</v>
      </c>
      <c r="G9" s="239">
        <v>141727</v>
      </c>
      <c r="H9" s="239">
        <v>145043</v>
      </c>
      <c r="I9" s="239">
        <v>138907.99999999997</v>
      </c>
      <c r="J9" s="239">
        <v>141053.99999999997</v>
      </c>
      <c r="K9" s="239">
        <v>141116.99999999997</v>
      </c>
      <c r="L9" s="239">
        <v>149246</v>
      </c>
      <c r="M9" s="343"/>
    </row>
    <row r="10" spans="1:13" ht="15" customHeight="1">
      <c r="A10" s="514" t="s">
        <v>633</v>
      </c>
      <c r="B10" s="239">
        <v>487498</v>
      </c>
      <c r="C10" s="239">
        <v>484471</v>
      </c>
      <c r="D10" s="239">
        <v>501063.99999999994</v>
      </c>
      <c r="E10" s="239">
        <v>519452</v>
      </c>
      <c r="F10" s="239">
        <v>537773</v>
      </c>
      <c r="G10" s="239">
        <v>569098</v>
      </c>
      <c r="H10" s="239">
        <v>581232</v>
      </c>
      <c r="I10" s="239">
        <v>596772</v>
      </c>
      <c r="J10" s="239">
        <v>586860.00000000012</v>
      </c>
      <c r="K10" s="239">
        <v>588688</v>
      </c>
      <c r="L10" s="239">
        <v>633694</v>
      </c>
      <c r="M10" s="343"/>
    </row>
    <row r="11" spans="1:13" ht="15" customHeight="1">
      <c r="A11" s="514" t="s">
        <v>634</v>
      </c>
      <c r="B11" s="239">
        <v>12427.999999999998</v>
      </c>
      <c r="C11" s="239">
        <v>12212.999999999998</v>
      </c>
      <c r="D11" s="239">
        <v>12481</v>
      </c>
      <c r="E11" s="239">
        <v>12990</v>
      </c>
      <c r="F11" s="239">
        <v>13302</v>
      </c>
      <c r="G11" s="239">
        <v>14461</v>
      </c>
      <c r="H11" s="239">
        <v>14799</v>
      </c>
      <c r="I11" s="239">
        <v>15061.000000000002</v>
      </c>
      <c r="J11" s="239">
        <v>14649</v>
      </c>
      <c r="K11" s="239">
        <v>14857.000000000002</v>
      </c>
      <c r="L11" s="239">
        <v>15757.000000000002</v>
      </c>
      <c r="M11" s="343"/>
    </row>
    <row r="12" spans="1:13" ht="15" customHeight="1">
      <c r="A12" s="514" t="s">
        <v>635</v>
      </c>
      <c r="B12" s="239">
        <v>103914.00000000001</v>
      </c>
      <c r="C12" s="239">
        <v>105008.99999999999</v>
      </c>
      <c r="D12" s="239">
        <v>109577</v>
      </c>
      <c r="E12" s="239">
        <v>113797.99999999999</v>
      </c>
      <c r="F12" s="239">
        <v>117764.99999999999</v>
      </c>
      <c r="G12" s="239">
        <v>121423</v>
      </c>
      <c r="H12" s="239">
        <v>124176</v>
      </c>
      <c r="I12" s="239">
        <v>123941</v>
      </c>
      <c r="J12" s="239">
        <v>124025</v>
      </c>
      <c r="K12" s="239">
        <v>127874.00000000001</v>
      </c>
      <c r="L12" s="239">
        <v>134241</v>
      </c>
      <c r="M12" s="343"/>
    </row>
    <row r="13" spans="1:13" ht="15" customHeight="1">
      <c r="A13" s="514" t="s">
        <v>636</v>
      </c>
      <c r="B13" s="239">
        <v>32921</v>
      </c>
      <c r="C13" s="239">
        <v>32813</v>
      </c>
      <c r="D13" s="239">
        <v>32882.000000000007</v>
      </c>
      <c r="E13" s="239">
        <v>33847</v>
      </c>
      <c r="F13" s="239">
        <v>34594.999999999993</v>
      </c>
      <c r="G13" s="239">
        <v>35335</v>
      </c>
      <c r="H13" s="239">
        <v>36289.000000000007</v>
      </c>
      <c r="I13" s="239">
        <v>36417</v>
      </c>
      <c r="J13" s="239">
        <v>37413</v>
      </c>
      <c r="K13" s="239">
        <v>38175.000000000015</v>
      </c>
      <c r="L13" s="239">
        <v>40025.000000000007</v>
      </c>
      <c r="M13" s="343"/>
    </row>
    <row r="14" spans="1:13" ht="15" customHeight="1">
      <c r="A14" s="514" t="s">
        <v>637</v>
      </c>
      <c r="B14" s="239">
        <v>16984.999999999996</v>
      </c>
      <c r="C14" s="239">
        <v>16888</v>
      </c>
      <c r="D14" s="239">
        <v>17417</v>
      </c>
      <c r="E14" s="239">
        <v>17956.000000000004</v>
      </c>
      <c r="F14" s="239">
        <v>18472</v>
      </c>
      <c r="G14" s="239">
        <v>18943</v>
      </c>
      <c r="H14" s="239">
        <v>19367.000000000004</v>
      </c>
      <c r="I14" s="239">
        <v>19367</v>
      </c>
      <c r="J14" s="239">
        <v>19886</v>
      </c>
      <c r="K14" s="239">
        <v>20217.999999999996</v>
      </c>
      <c r="L14" s="239">
        <v>20667.999999999996</v>
      </c>
      <c r="M14" s="343"/>
    </row>
    <row r="15" spans="1:13" ht="15" customHeight="1">
      <c r="A15" s="16" t="s">
        <v>638</v>
      </c>
      <c r="B15" s="238">
        <v>407599.00000000006</v>
      </c>
      <c r="C15" s="238">
        <v>405897.00000000029</v>
      </c>
      <c r="D15" s="238">
        <v>416808.00000000023</v>
      </c>
      <c r="E15" s="238">
        <v>426185</v>
      </c>
      <c r="F15" s="238">
        <v>438938.99999999994</v>
      </c>
      <c r="G15" s="238">
        <v>455651.00000000006</v>
      </c>
      <c r="H15" s="238">
        <v>471228.00000000006</v>
      </c>
      <c r="I15" s="238">
        <v>474235.00000000012</v>
      </c>
      <c r="J15" s="238">
        <v>476406.00000000023</v>
      </c>
      <c r="K15" s="238">
        <v>477289.00000000006</v>
      </c>
      <c r="L15" s="238">
        <v>506309.99999999988</v>
      </c>
      <c r="M15" s="343"/>
    </row>
    <row r="16" spans="1:13" ht="15" customHeight="1">
      <c r="A16" s="514" t="s">
        <v>639</v>
      </c>
      <c r="B16" s="239">
        <v>102638</v>
      </c>
      <c r="C16" s="239">
        <v>101729.00000000001</v>
      </c>
      <c r="D16" s="239">
        <v>105834</v>
      </c>
      <c r="E16" s="239">
        <v>108508</v>
      </c>
      <c r="F16" s="239">
        <v>114017</v>
      </c>
      <c r="G16" s="239">
        <v>118713.00000000001</v>
      </c>
      <c r="H16" s="239">
        <v>125109.00000000001</v>
      </c>
      <c r="I16" s="239">
        <v>126163.00000000001</v>
      </c>
      <c r="J16" s="239">
        <v>127075</v>
      </c>
      <c r="K16" s="239">
        <v>124894</v>
      </c>
      <c r="L16" s="239">
        <v>135023</v>
      </c>
      <c r="M16" s="343"/>
    </row>
    <row r="17" spans="1:15" ht="15" customHeight="1">
      <c r="A17" s="514" t="s">
        <v>640</v>
      </c>
      <c r="B17" s="239">
        <v>100094</v>
      </c>
      <c r="C17" s="239">
        <v>99480</v>
      </c>
      <c r="D17" s="239">
        <v>98821</v>
      </c>
      <c r="E17" s="239">
        <v>101551</v>
      </c>
      <c r="F17" s="239">
        <v>103167.00000000001</v>
      </c>
      <c r="G17" s="239">
        <v>107820.00000000001</v>
      </c>
      <c r="H17" s="239">
        <v>109081.99999999999</v>
      </c>
      <c r="I17" s="239">
        <v>110360.99999999999</v>
      </c>
      <c r="J17" s="239">
        <v>111631.00000000001</v>
      </c>
      <c r="K17" s="239">
        <v>111741.99999999999</v>
      </c>
      <c r="L17" s="239">
        <v>119330.00000000001</v>
      </c>
      <c r="M17" s="343"/>
    </row>
    <row r="18" spans="1:15" ht="15" customHeight="1">
      <c r="A18" s="514" t="s">
        <v>641</v>
      </c>
      <c r="B18" s="239">
        <v>82983</v>
      </c>
      <c r="C18" s="239">
        <v>84147</v>
      </c>
      <c r="D18" s="239">
        <v>88098.000000000015</v>
      </c>
      <c r="E18" s="239">
        <v>90173</v>
      </c>
      <c r="F18" s="239">
        <v>93302</v>
      </c>
      <c r="G18" s="239">
        <v>96838</v>
      </c>
      <c r="H18" s="239">
        <v>98908</v>
      </c>
      <c r="I18" s="239">
        <v>99524.000000000015</v>
      </c>
      <c r="J18" s="239">
        <v>99673</v>
      </c>
      <c r="K18" s="239">
        <v>101975</v>
      </c>
      <c r="L18" s="239">
        <v>105680</v>
      </c>
      <c r="M18" s="343"/>
    </row>
    <row r="19" spans="1:15" ht="15" customHeight="1">
      <c r="A19" s="514" t="s">
        <v>642</v>
      </c>
      <c r="B19" s="239">
        <v>57918</v>
      </c>
      <c r="C19" s="239">
        <v>57790</v>
      </c>
      <c r="D19" s="239">
        <v>59194.999999999985</v>
      </c>
      <c r="E19" s="239">
        <v>60825.999999999993</v>
      </c>
      <c r="F19" s="239">
        <v>62720.000000000015</v>
      </c>
      <c r="G19" s="239">
        <v>65047.999999999993</v>
      </c>
      <c r="H19" s="239">
        <v>68123</v>
      </c>
      <c r="I19" s="239">
        <v>69618</v>
      </c>
      <c r="J19" s="239">
        <v>69458</v>
      </c>
      <c r="K19" s="239">
        <v>69853</v>
      </c>
      <c r="L19" s="239">
        <v>74206</v>
      </c>
      <c r="M19" s="343"/>
    </row>
    <row r="20" spans="1:15" ht="15" customHeight="1">
      <c r="A20" s="514" t="s">
        <v>643</v>
      </c>
      <c r="B20" s="239">
        <v>20276</v>
      </c>
      <c r="C20" s="239">
        <v>19693</v>
      </c>
      <c r="D20" s="239">
        <v>20702</v>
      </c>
      <c r="E20" s="239">
        <v>20362</v>
      </c>
      <c r="F20" s="239">
        <v>20449</v>
      </c>
      <c r="G20" s="239">
        <v>20492</v>
      </c>
      <c r="H20" s="239">
        <v>22102</v>
      </c>
      <c r="I20" s="239">
        <v>21918</v>
      </c>
      <c r="J20" s="239">
        <v>21929</v>
      </c>
      <c r="K20" s="239">
        <v>21615</v>
      </c>
      <c r="L20" s="239">
        <v>22628</v>
      </c>
      <c r="M20" s="343"/>
    </row>
    <row r="21" spans="1:15" ht="15" customHeight="1">
      <c r="A21" s="514" t="s">
        <v>644</v>
      </c>
      <c r="B21" s="239">
        <v>43690</v>
      </c>
      <c r="C21" s="239">
        <v>43057.999999999993</v>
      </c>
      <c r="D21" s="239">
        <v>44158</v>
      </c>
      <c r="E21" s="239">
        <v>44765</v>
      </c>
      <c r="F21" s="239">
        <v>45284</v>
      </c>
      <c r="G21" s="239">
        <v>46740.000000000007</v>
      </c>
      <c r="H21" s="239">
        <v>47904</v>
      </c>
      <c r="I21" s="239">
        <v>46651</v>
      </c>
      <c r="J21" s="239">
        <v>46640</v>
      </c>
      <c r="K21" s="239">
        <v>47210</v>
      </c>
      <c r="L21" s="239">
        <v>49443</v>
      </c>
      <c r="M21" s="343"/>
    </row>
    <row r="22" spans="1:15" s="19" customFormat="1" ht="15" customHeight="1">
      <c r="A22" s="16" t="s">
        <v>645</v>
      </c>
      <c r="B22" s="238">
        <v>185417.99999999991</v>
      </c>
      <c r="C22" s="238">
        <v>181980.00000000003</v>
      </c>
      <c r="D22" s="238">
        <v>187163.99999999997</v>
      </c>
      <c r="E22" s="238">
        <v>191426.99999999997</v>
      </c>
      <c r="F22" s="238">
        <v>195958</v>
      </c>
      <c r="G22" s="238">
        <v>207117.99999999994</v>
      </c>
      <c r="H22" s="238">
        <v>218361</v>
      </c>
      <c r="I22" s="238">
        <v>222503.00000000012</v>
      </c>
      <c r="J22" s="238">
        <v>222503</v>
      </c>
      <c r="K22" s="238">
        <v>220224.99999999991</v>
      </c>
      <c r="L22" s="238">
        <v>233662.99999999994</v>
      </c>
      <c r="M22" s="343"/>
      <c r="O22" s="4"/>
    </row>
    <row r="23" spans="1:15" ht="15" customHeight="1">
      <c r="A23" s="514" t="s">
        <v>646</v>
      </c>
      <c r="B23" s="239">
        <v>81008</v>
      </c>
      <c r="C23" s="239">
        <v>79682</v>
      </c>
      <c r="D23" s="239">
        <v>83007</v>
      </c>
      <c r="E23" s="239">
        <v>85074</v>
      </c>
      <c r="F23" s="239">
        <v>87605.999999999985</v>
      </c>
      <c r="G23" s="239">
        <v>92480</v>
      </c>
      <c r="H23" s="239">
        <v>100447</v>
      </c>
      <c r="I23" s="239">
        <v>102230.00000000001</v>
      </c>
      <c r="J23" s="239">
        <v>101028.99999999999</v>
      </c>
      <c r="K23" s="239">
        <v>99264.999999999985</v>
      </c>
      <c r="L23" s="239">
        <v>105262</v>
      </c>
    </row>
    <row r="24" spans="1:15" ht="17.45" customHeight="1">
      <c r="A24" s="514" t="s">
        <v>647</v>
      </c>
      <c r="B24" s="239">
        <v>50459</v>
      </c>
      <c r="C24" s="239">
        <v>49139</v>
      </c>
      <c r="D24" s="239">
        <v>49897</v>
      </c>
      <c r="E24" s="239">
        <v>51350</v>
      </c>
      <c r="F24" s="239">
        <v>51114</v>
      </c>
      <c r="G24" s="239">
        <v>53556</v>
      </c>
      <c r="H24" s="239">
        <v>54546.999999999993</v>
      </c>
      <c r="I24" s="239">
        <v>55892</v>
      </c>
      <c r="J24" s="239">
        <v>55002</v>
      </c>
      <c r="K24" s="239">
        <v>54352.000000000007</v>
      </c>
      <c r="L24" s="239">
        <v>58043.999999999993</v>
      </c>
    </row>
    <row r="25" spans="1:15" ht="17.45" customHeight="1">
      <c r="A25" s="514" t="s">
        <v>648</v>
      </c>
      <c r="B25" s="239">
        <v>53950.999999999993</v>
      </c>
      <c r="C25" s="239">
        <v>53158.999999999993</v>
      </c>
      <c r="D25" s="239">
        <v>54260</v>
      </c>
      <c r="E25" s="239">
        <v>55003</v>
      </c>
      <c r="F25" s="239">
        <v>57238.000000000007</v>
      </c>
      <c r="G25" s="239">
        <v>61082</v>
      </c>
      <c r="H25" s="239">
        <v>63366.999999999993</v>
      </c>
      <c r="I25" s="239">
        <v>64381</v>
      </c>
      <c r="J25" s="239">
        <v>66472</v>
      </c>
      <c r="K25" s="239">
        <v>66608</v>
      </c>
      <c r="L25" s="239">
        <v>70357</v>
      </c>
    </row>
    <row r="26" spans="1:15" ht="17.45" customHeight="1">
      <c r="A26" s="16" t="s">
        <v>649</v>
      </c>
      <c r="B26" s="238">
        <v>688888.00000000012</v>
      </c>
      <c r="C26" s="238">
        <v>692704</v>
      </c>
      <c r="D26" s="238">
        <v>715126</v>
      </c>
      <c r="E26" s="238">
        <v>730551</v>
      </c>
      <c r="F26" s="238">
        <v>765222</v>
      </c>
      <c r="G26" s="238">
        <v>790694</v>
      </c>
      <c r="H26" s="238">
        <v>826919</v>
      </c>
      <c r="I26" s="238">
        <v>845336</v>
      </c>
      <c r="J26" s="238">
        <v>835460</v>
      </c>
      <c r="K26" s="238">
        <v>838586</v>
      </c>
      <c r="L26" s="238">
        <v>915180</v>
      </c>
    </row>
    <row r="27" spans="1:15" ht="17.45" customHeight="1">
      <c r="A27" s="16" t="s">
        <v>650</v>
      </c>
      <c r="B27" s="238">
        <v>129973</v>
      </c>
      <c r="C27" s="238">
        <v>128055</v>
      </c>
      <c r="D27" s="238">
        <v>129592</v>
      </c>
      <c r="E27" s="238">
        <v>132359</v>
      </c>
      <c r="F27" s="238">
        <v>135968</v>
      </c>
      <c r="G27" s="238">
        <v>143619</v>
      </c>
      <c r="H27" s="238">
        <v>152137</v>
      </c>
      <c r="I27" s="238">
        <v>155943</v>
      </c>
      <c r="J27" s="238">
        <v>156000</v>
      </c>
      <c r="K27" s="238">
        <v>157437</v>
      </c>
      <c r="L27" s="238">
        <v>168606.00000000003</v>
      </c>
    </row>
    <row r="28" spans="1:15" ht="17.45" customHeight="1">
      <c r="A28" s="16" t="s">
        <v>651</v>
      </c>
      <c r="B28" s="238">
        <v>100397</v>
      </c>
      <c r="C28" s="238">
        <v>99741.999999999971</v>
      </c>
      <c r="D28" s="238">
        <v>101944.99999999997</v>
      </c>
      <c r="E28" s="238">
        <v>105678.00000000003</v>
      </c>
      <c r="F28" s="238">
        <v>109694</v>
      </c>
      <c r="G28" s="238">
        <v>114002.00000000001</v>
      </c>
      <c r="H28" s="238">
        <v>117709.00000000001</v>
      </c>
      <c r="I28" s="238">
        <v>119673.99999999999</v>
      </c>
      <c r="J28" s="238">
        <v>122938.99999999997</v>
      </c>
      <c r="K28" s="238">
        <v>122965.99999999997</v>
      </c>
      <c r="L28" s="238">
        <v>132510.00000000003</v>
      </c>
    </row>
    <row r="29" spans="1:15" ht="17.45" customHeight="1">
      <c r="A29" s="514" t="s">
        <v>652</v>
      </c>
      <c r="B29" s="239">
        <v>21246</v>
      </c>
      <c r="C29" s="239">
        <v>21618</v>
      </c>
      <c r="D29" s="239">
        <v>21990</v>
      </c>
      <c r="E29" s="239">
        <v>23369</v>
      </c>
      <c r="F29" s="239">
        <v>24792</v>
      </c>
      <c r="G29" s="239">
        <v>26345</v>
      </c>
      <c r="H29" s="239">
        <v>27966</v>
      </c>
      <c r="I29" s="239">
        <v>29548</v>
      </c>
      <c r="J29" s="239">
        <v>33057</v>
      </c>
      <c r="K29" s="239">
        <v>33366</v>
      </c>
      <c r="L29" s="239">
        <v>35947</v>
      </c>
    </row>
    <row r="30" spans="1:15" ht="17.45" customHeight="1">
      <c r="A30" s="514" t="s">
        <v>653</v>
      </c>
      <c r="B30" s="239">
        <v>23569</v>
      </c>
      <c r="C30" s="239">
        <v>23564</v>
      </c>
      <c r="D30" s="239">
        <v>23979.999999999996</v>
      </c>
      <c r="E30" s="239">
        <v>24788</v>
      </c>
      <c r="F30" s="239">
        <v>25090</v>
      </c>
      <c r="G30" s="239">
        <v>26560</v>
      </c>
      <c r="H30" s="239">
        <v>26946.000000000004</v>
      </c>
      <c r="I30" s="239">
        <v>26981</v>
      </c>
      <c r="J30" s="239">
        <v>26942</v>
      </c>
      <c r="K30" s="239">
        <v>27020.999999999993</v>
      </c>
      <c r="L30" s="239">
        <v>29984</v>
      </c>
    </row>
    <row r="31" spans="1:15" ht="17.45" customHeight="1">
      <c r="A31" s="514" t="s">
        <v>654</v>
      </c>
      <c r="B31" s="239">
        <v>20456.000000000004</v>
      </c>
      <c r="C31" s="239">
        <v>20094</v>
      </c>
      <c r="D31" s="239">
        <v>20497.000000000004</v>
      </c>
      <c r="E31" s="239">
        <v>20703.999999999996</v>
      </c>
      <c r="F31" s="239">
        <v>21614.000000000004</v>
      </c>
      <c r="G31" s="239">
        <v>22068</v>
      </c>
      <c r="H31" s="239">
        <v>22055.999999999996</v>
      </c>
      <c r="I31" s="239">
        <v>22201.000000000004</v>
      </c>
      <c r="J31" s="239">
        <v>22475</v>
      </c>
      <c r="K31" s="239">
        <v>21854</v>
      </c>
      <c r="L31" s="239">
        <v>23056</v>
      </c>
    </row>
    <row r="32" spans="1:15" ht="17.45" customHeight="1">
      <c r="A32" s="514" t="s">
        <v>655</v>
      </c>
      <c r="B32" s="239">
        <v>35126</v>
      </c>
      <c r="C32" s="239">
        <v>34466</v>
      </c>
      <c r="D32" s="239">
        <v>35478</v>
      </c>
      <c r="E32" s="239">
        <v>36817</v>
      </c>
      <c r="F32" s="239">
        <v>38198</v>
      </c>
      <c r="G32" s="239">
        <v>39028.999999999993</v>
      </c>
      <c r="H32" s="239">
        <v>40741</v>
      </c>
      <c r="I32" s="239">
        <v>40943.999999999993</v>
      </c>
      <c r="J32" s="239">
        <v>40465</v>
      </c>
      <c r="K32" s="239">
        <v>40724.999999999993</v>
      </c>
      <c r="L32" s="239">
        <v>43523</v>
      </c>
    </row>
    <row r="33" spans="1:15" ht="17.45" customHeight="1">
      <c r="A33" s="18" t="s">
        <v>656</v>
      </c>
      <c r="B33" s="515">
        <v>114854</v>
      </c>
      <c r="C33" s="515">
        <v>114172.00000000001</v>
      </c>
      <c r="D33" s="515">
        <v>119459</v>
      </c>
      <c r="E33" s="515">
        <v>126979.99999999999</v>
      </c>
      <c r="F33" s="515">
        <v>135848.00000000003</v>
      </c>
      <c r="G33" s="515">
        <v>145770.00000000003</v>
      </c>
      <c r="H33" s="515">
        <v>154417</v>
      </c>
      <c r="I33" s="515">
        <v>160288</v>
      </c>
      <c r="J33" s="515">
        <v>144667.99999999997</v>
      </c>
      <c r="K33" s="515">
        <v>148406</v>
      </c>
      <c r="L33" s="515">
        <v>165503</v>
      </c>
      <c r="O33" s="19"/>
    </row>
    <row r="34" spans="1:15" ht="17.45" customHeight="1">
      <c r="A34" s="20" t="s">
        <v>138</v>
      </c>
      <c r="C34" s="17"/>
      <c r="D34" s="17"/>
      <c r="E34" s="17"/>
      <c r="F34" s="17"/>
      <c r="G34" s="17"/>
      <c r="H34" s="17"/>
      <c r="I34" s="17"/>
      <c r="J34" s="17"/>
      <c r="K34" s="17"/>
      <c r="L34" s="17"/>
    </row>
  </sheetData>
  <mergeCells count="1">
    <mergeCell ref="A1:L1"/>
  </mergeCells>
  <conditionalFormatting sqref="A1 P1:XFD61 A35:E1048576 M62:XFD1048576">
    <cfRule type="cellIs" dxfId="43" priority="26" operator="equal">
      <formula>0</formula>
    </cfRule>
  </conditionalFormatting>
  <conditionalFormatting sqref="B5:L33">
    <cfRule type="cellIs" dxfId="42" priority="9" operator="equal">
      <formula>0</formula>
    </cfRule>
  </conditionalFormatting>
  <conditionalFormatting sqref="C34:E34">
    <cfRule type="cellIs" dxfId="41" priority="8" operator="equal">
      <formula>0</formula>
    </cfRule>
  </conditionalFormatting>
  <conditionalFormatting sqref="F34:L1048576">
    <cfRule type="cellIs" dxfId="40" priority="1" operator="equal">
      <formula>0</formula>
    </cfRule>
  </conditionalFormatting>
  <conditionalFormatting sqref="M1:N61">
    <cfRule type="cellIs" dxfId="39" priority="25" operator="equal">
      <formula>0</formula>
    </cfRule>
  </conditionalFormatting>
  <conditionalFormatting sqref="M4:N4">
    <cfRule type="containsText" dxfId="38" priority="24" operator="containsText" text="FALSO">
      <formula>NOT(ISERROR(SEARCH("FALSO",M4)))</formula>
    </cfRule>
  </conditionalFormatting>
  <printOptions horizontalCentered="1"/>
  <pageMargins left="0.27559055118110237" right="0.27559055118110237" top="1.7716535433070868" bottom="0.47244094488188981" header="0.19685039370078741" footer="0.19685039370078741"/>
  <pageSetup paperSize="9" scale="94" orientation="portrait" r:id="rId1"/>
  <headerFooter>
    <oddHeader xml:space="preserve">&amp;C&amp;G
</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5">
    <tabColor indexed="25"/>
    <pageSetUpPr fitToPage="1"/>
  </sheetPr>
  <dimension ref="A1:P101"/>
  <sheetViews>
    <sheetView showGridLines="0" workbookViewId="0">
      <selection activeCell="P8" sqref="P8"/>
    </sheetView>
  </sheetViews>
  <sheetFormatPr defaultColWidth="9.140625" defaultRowHeight="11.25"/>
  <cols>
    <col min="1" max="1" width="2" style="41" customWidth="1"/>
    <col min="2" max="2" width="28.42578125" style="41" customWidth="1"/>
    <col min="3" max="13" width="7.5703125" style="41" customWidth="1"/>
    <col min="14" max="14" width="5.85546875" style="41" bestFit="1" customWidth="1"/>
    <col min="15" max="16384" width="9.140625" style="41"/>
  </cols>
  <sheetData>
    <row r="1" spans="1:16" s="3" customFormat="1" ht="28.5" customHeight="1">
      <c r="A1" s="609" t="s">
        <v>201</v>
      </c>
      <c r="B1" s="609"/>
      <c r="C1" s="609"/>
      <c r="D1" s="609"/>
      <c r="E1" s="609"/>
      <c r="F1" s="609"/>
      <c r="G1" s="609"/>
      <c r="H1" s="609"/>
      <c r="I1" s="609"/>
      <c r="J1" s="609"/>
      <c r="K1" s="609"/>
      <c r="L1" s="609"/>
      <c r="M1" s="609"/>
    </row>
    <row r="2" spans="1:16" s="4" customFormat="1" ht="15.75" customHeight="1">
      <c r="A2" s="5"/>
      <c r="B2" s="5"/>
      <c r="C2" s="5"/>
      <c r="D2" s="5"/>
      <c r="E2" s="5"/>
      <c r="F2" s="5"/>
      <c r="G2" s="5"/>
      <c r="H2" s="5"/>
      <c r="I2" s="5"/>
      <c r="J2" s="5"/>
      <c r="K2" s="5"/>
      <c r="L2" s="5"/>
      <c r="M2" s="5"/>
    </row>
    <row r="3" spans="1:16" s="4" customFormat="1" ht="15.75" customHeight="1">
      <c r="A3" s="27" t="s">
        <v>42</v>
      </c>
      <c r="B3" s="20"/>
      <c r="C3" s="76"/>
      <c r="D3" s="76"/>
      <c r="E3" s="76"/>
      <c r="F3" s="76"/>
      <c r="G3" s="76"/>
      <c r="H3" s="76"/>
      <c r="I3" s="76"/>
      <c r="J3" s="76"/>
      <c r="K3" s="76"/>
      <c r="L3" s="76"/>
      <c r="M3" s="76"/>
    </row>
    <row r="4" spans="1:16" s="4" customFormat="1" ht="28.5" customHeight="1" thickBot="1">
      <c r="A4" s="84" t="s">
        <v>1</v>
      </c>
      <c r="B4" s="6"/>
      <c r="C4" s="6">
        <v>2012</v>
      </c>
      <c r="D4" s="6">
        <v>2013</v>
      </c>
      <c r="E4" s="6">
        <v>2014</v>
      </c>
      <c r="F4" s="6">
        <v>2015</v>
      </c>
      <c r="G4" s="6">
        <v>2016</v>
      </c>
      <c r="H4" s="6">
        <v>2017</v>
      </c>
      <c r="I4" s="6">
        <v>2018</v>
      </c>
      <c r="J4" s="6">
        <v>2019</v>
      </c>
      <c r="K4" s="6">
        <v>2020</v>
      </c>
      <c r="L4" s="6">
        <v>2021</v>
      </c>
      <c r="M4" s="6">
        <v>2022</v>
      </c>
    </row>
    <row r="5" spans="1:16" s="4" customFormat="1" ht="16.5" customHeight="1" thickTop="1">
      <c r="A5" s="30" t="s">
        <v>43</v>
      </c>
      <c r="B5" s="11"/>
      <c r="C5" s="245">
        <v>2387386</v>
      </c>
      <c r="D5" s="245">
        <v>2384121</v>
      </c>
      <c r="E5" s="245">
        <v>2458163</v>
      </c>
      <c r="F5" s="245">
        <v>2537653</v>
      </c>
      <c r="G5" s="245">
        <v>2641919</v>
      </c>
      <c r="H5" s="245">
        <v>2767521</v>
      </c>
      <c r="I5" s="245">
        <v>2877918</v>
      </c>
      <c r="J5" s="245">
        <v>2930482</v>
      </c>
      <c r="K5" s="245">
        <v>2902825</v>
      </c>
      <c r="L5" s="245">
        <v>2922343</v>
      </c>
      <c r="M5" s="245">
        <v>3148147</v>
      </c>
      <c r="O5" s="344">
        <f>+M5-19518</f>
        <v>3128629</v>
      </c>
      <c r="P5" s="4">
        <f>+(M5/L5-1)*100</f>
        <v>7.7268137244669743</v>
      </c>
    </row>
    <row r="6" spans="1:16" s="4" customFormat="1" ht="16.5" customHeight="1">
      <c r="A6" s="11" t="s">
        <v>73</v>
      </c>
      <c r="B6" s="30" t="s">
        <v>172</v>
      </c>
      <c r="C6" s="245">
        <v>48046</v>
      </c>
      <c r="D6" s="245">
        <v>52455</v>
      </c>
      <c r="E6" s="245">
        <v>54661</v>
      </c>
      <c r="F6" s="245">
        <v>57045</v>
      </c>
      <c r="G6" s="245">
        <v>60375</v>
      </c>
      <c r="H6" s="245">
        <v>61737</v>
      </c>
      <c r="I6" s="245">
        <v>65121</v>
      </c>
      <c r="J6" s="245">
        <v>66106</v>
      </c>
      <c r="K6" s="245">
        <v>69923</v>
      </c>
      <c r="L6" s="245">
        <v>68486</v>
      </c>
      <c r="M6" s="245">
        <v>74274</v>
      </c>
    </row>
    <row r="7" spans="1:16" s="4" customFormat="1" ht="12.75" customHeight="1">
      <c r="A7" s="11" t="s">
        <v>74</v>
      </c>
      <c r="B7" s="30" t="s">
        <v>102</v>
      </c>
      <c r="C7" s="245">
        <v>8294</v>
      </c>
      <c r="D7" s="245">
        <v>8319</v>
      </c>
      <c r="E7" s="245">
        <v>8158</v>
      </c>
      <c r="F7" s="245">
        <v>8132</v>
      </c>
      <c r="G7" s="245">
        <v>8049</v>
      </c>
      <c r="H7" s="245">
        <v>8407</v>
      </c>
      <c r="I7" s="245">
        <v>8338</v>
      </c>
      <c r="J7" s="245">
        <v>8161</v>
      </c>
      <c r="K7" s="245">
        <v>8029</v>
      </c>
      <c r="L7" s="245">
        <v>8140</v>
      </c>
      <c r="M7" s="245">
        <v>8518</v>
      </c>
    </row>
    <row r="8" spans="1:16" s="4" customFormat="1" ht="12.75" customHeight="1">
      <c r="A8" s="11" t="s">
        <v>75</v>
      </c>
      <c r="B8" s="30" t="s">
        <v>101</v>
      </c>
      <c r="C8" s="245">
        <v>539570</v>
      </c>
      <c r="D8" s="245">
        <v>541161</v>
      </c>
      <c r="E8" s="245">
        <v>557477</v>
      </c>
      <c r="F8" s="245">
        <v>572207</v>
      </c>
      <c r="G8" s="245">
        <v>589603</v>
      </c>
      <c r="H8" s="245">
        <v>613379</v>
      </c>
      <c r="I8" s="245">
        <v>633595</v>
      </c>
      <c r="J8" s="245">
        <v>625633</v>
      </c>
      <c r="K8" s="245">
        <v>614674</v>
      </c>
      <c r="L8" s="245">
        <v>612054</v>
      </c>
      <c r="M8" s="245">
        <v>642354</v>
      </c>
      <c r="O8" s="499">
        <f>+C8/$C$5*100</f>
        <v>22.600869737863924</v>
      </c>
      <c r="P8" s="499">
        <f>+M8/$M$5*100</f>
        <v>20.404193323882271</v>
      </c>
    </row>
    <row r="9" spans="1:16" s="4" customFormat="1" ht="12.75" customHeight="1">
      <c r="A9" s="83"/>
      <c r="B9" s="10" t="s">
        <v>88</v>
      </c>
      <c r="C9" s="246">
        <v>69882</v>
      </c>
      <c r="D9" s="246">
        <v>68898</v>
      </c>
      <c r="E9" s="246">
        <v>70623</v>
      </c>
      <c r="F9" s="246">
        <v>72014</v>
      </c>
      <c r="G9" s="246">
        <v>73877</v>
      </c>
      <c r="H9" s="246">
        <v>75799</v>
      </c>
      <c r="I9" s="246">
        <v>76198</v>
      </c>
      <c r="J9" s="246">
        <v>76999</v>
      </c>
      <c r="K9" s="246">
        <v>75224</v>
      </c>
      <c r="L9" s="246">
        <v>74493</v>
      </c>
      <c r="M9" s="246">
        <v>77930</v>
      </c>
      <c r="O9" s="499">
        <f t="shared" ref="O9:O72" si="0">+C9/$C$5*100</f>
        <v>2.9271345312404446</v>
      </c>
      <c r="P9" s="499">
        <f t="shared" ref="P9:P72" si="1">+M9/$M$5*100</f>
        <v>2.4754244322136163</v>
      </c>
    </row>
    <row r="10" spans="1:16" s="4" customFormat="1" ht="12.75" customHeight="1">
      <c r="A10" s="83"/>
      <c r="B10" s="10" t="s">
        <v>89</v>
      </c>
      <c r="C10" s="246">
        <v>11521</v>
      </c>
      <c r="D10" s="246">
        <v>11460</v>
      </c>
      <c r="E10" s="246">
        <v>11508</v>
      </c>
      <c r="F10" s="246">
        <v>11582</v>
      </c>
      <c r="G10" s="246">
        <v>11909</v>
      </c>
      <c r="H10" s="246">
        <v>12094</v>
      </c>
      <c r="I10" s="246">
        <v>12893</v>
      </c>
      <c r="J10" s="246">
        <v>13412</v>
      </c>
      <c r="K10" s="246">
        <v>12638</v>
      </c>
      <c r="L10" s="246">
        <v>12483</v>
      </c>
      <c r="M10" s="246">
        <v>13403</v>
      </c>
      <c r="O10" s="499">
        <f t="shared" si="0"/>
        <v>0.48257801629062075</v>
      </c>
      <c r="P10" s="499">
        <f t="shared" si="1"/>
        <v>0.42574250821197357</v>
      </c>
    </row>
    <row r="11" spans="1:16" s="4" customFormat="1" ht="12.75" customHeight="1">
      <c r="A11" s="83"/>
      <c r="B11" s="10" t="s">
        <v>90</v>
      </c>
      <c r="C11" s="246">
        <v>441</v>
      </c>
      <c r="D11" s="246">
        <v>432</v>
      </c>
      <c r="E11" s="246">
        <v>448</v>
      </c>
      <c r="F11" s="246">
        <v>517</v>
      </c>
      <c r="G11" s="246">
        <v>482</v>
      </c>
      <c r="H11" s="246">
        <v>495</v>
      </c>
      <c r="I11" s="246">
        <v>484</v>
      </c>
      <c r="J11" s="246">
        <v>488</v>
      </c>
      <c r="K11" s="246">
        <v>487</v>
      </c>
      <c r="L11" s="246">
        <v>465</v>
      </c>
      <c r="M11" s="246">
        <v>471</v>
      </c>
      <c r="O11" s="499">
        <f t="shared" si="0"/>
        <v>1.8472086206419908E-2</v>
      </c>
      <c r="P11" s="499">
        <f t="shared" si="1"/>
        <v>1.496118192701929E-2</v>
      </c>
    </row>
    <row r="12" spans="1:16" s="4" customFormat="1" ht="12.75" customHeight="1">
      <c r="A12" s="83"/>
      <c r="B12" s="10" t="s">
        <v>0</v>
      </c>
      <c r="C12" s="246">
        <v>38286</v>
      </c>
      <c r="D12" s="246">
        <v>39489</v>
      </c>
      <c r="E12" s="246">
        <v>40612</v>
      </c>
      <c r="F12" s="246">
        <v>41676</v>
      </c>
      <c r="G12" s="246">
        <v>40854</v>
      </c>
      <c r="H12" s="246">
        <v>41361</v>
      </c>
      <c r="I12" s="246">
        <v>41962</v>
      </c>
      <c r="J12" s="246">
        <v>40293</v>
      </c>
      <c r="K12" s="246">
        <v>38891</v>
      </c>
      <c r="L12" s="246">
        <v>39175</v>
      </c>
      <c r="M12" s="246">
        <v>41534</v>
      </c>
      <c r="O12" s="499">
        <f t="shared" si="0"/>
        <v>1.6036786677981691</v>
      </c>
      <c r="P12" s="499">
        <f t="shared" si="1"/>
        <v>1.319315775279871</v>
      </c>
    </row>
    <row r="13" spans="1:16" s="4" customFormat="1" ht="12.75" customHeight="1">
      <c r="A13" s="83"/>
      <c r="B13" s="10" t="s">
        <v>91</v>
      </c>
      <c r="C13" s="246">
        <v>69145</v>
      </c>
      <c r="D13" s="246">
        <v>69844</v>
      </c>
      <c r="E13" s="246">
        <v>74266</v>
      </c>
      <c r="F13" s="246">
        <v>75891</v>
      </c>
      <c r="G13" s="246">
        <v>76992</v>
      </c>
      <c r="H13" s="246">
        <v>77738</v>
      </c>
      <c r="I13" s="246">
        <v>76638</v>
      </c>
      <c r="J13" s="246">
        <v>70646</v>
      </c>
      <c r="K13" s="246">
        <v>67487</v>
      </c>
      <c r="L13" s="246">
        <v>64748</v>
      </c>
      <c r="M13" s="246">
        <v>67285</v>
      </c>
      <c r="O13" s="499">
        <f t="shared" si="0"/>
        <v>2.8962639472628222</v>
      </c>
      <c r="P13" s="499">
        <f t="shared" si="1"/>
        <v>2.1372890147759933</v>
      </c>
    </row>
    <row r="14" spans="1:16" s="4" customFormat="1" ht="12.75" customHeight="1">
      <c r="A14" s="83"/>
      <c r="B14" s="10" t="s">
        <v>146</v>
      </c>
      <c r="C14" s="246">
        <v>40296</v>
      </c>
      <c r="D14" s="246">
        <v>43266</v>
      </c>
      <c r="E14" s="246">
        <v>45762</v>
      </c>
      <c r="F14" s="246">
        <v>45788</v>
      </c>
      <c r="G14" s="246">
        <v>47395</v>
      </c>
      <c r="H14" s="246">
        <v>47716</v>
      </c>
      <c r="I14" s="246">
        <v>46464</v>
      </c>
      <c r="J14" s="246">
        <v>42722</v>
      </c>
      <c r="K14" s="246">
        <v>40782</v>
      </c>
      <c r="L14" s="246">
        <v>40694</v>
      </c>
      <c r="M14" s="246">
        <v>42801</v>
      </c>
      <c r="O14" s="499">
        <f t="shared" si="0"/>
        <v>1.6878711695553212</v>
      </c>
      <c r="P14" s="499">
        <f t="shared" si="1"/>
        <v>1.3595616723107276</v>
      </c>
    </row>
    <row r="15" spans="1:16" s="4" customFormat="1" ht="12.75" customHeight="1">
      <c r="A15" s="83"/>
      <c r="B15" s="10" t="s">
        <v>147</v>
      </c>
      <c r="C15" s="246">
        <v>22536</v>
      </c>
      <c r="D15" s="246">
        <v>21974</v>
      </c>
      <c r="E15" s="246">
        <v>22246</v>
      </c>
      <c r="F15" s="246">
        <v>22725</v>
      </c>
      <c r="G15" s="246">
        <v>22715</v>
      </c>
      <c r="H15" s="246">
        <v>23200</v>
      </c>
      <c r="I15" s="246">
        <v>23991</v>
      </c>
      <c r="J15" s="246">
        <v>24017</v>
      </c>
      <c r="K15" s="246">
        <v>23028</v>
      </c>
      <c r="L15" s="246">
        <v>22977</v>
      </c>
      <c r="M15" s="246">
        <v>24179</v>
      </c>
      <c r="O15" s="499">
        <f t="shared" si="0"/>
        <v>0.94396130328317251</v>
      </c>
      <c r="P15" s="499">
        <f t="shared" si="1"/>
        <v>0.76803910363779071</v>
      </c>
    </row>
    <row r="16" spans="1:16" s="4" customFormat="1" ht="12.75" customHeight="1">
      <c r="A16" s="83"/>
      <c r="B16" s="10" t="s">
        <v>148</v>
      </c>
      <c r="C16" s="246">
        <v>10361</v>
      </c>
      <c r="D16" s="246">
        <v>10506</v>
      </c>
      <c r="E16" s="246">
        <v>10591</v>
      </c>
      <c r="F16" s="246">
        <v>10302</v>
      </c>
      <c r="G16" s="246">
        <v>10853</v>
      </c>
      <c r="H16" s="246">
        <v>11304</v>
      </c>
      <c r="I16" s="246">
        <v>12594</v>
      </c>
      <c r="J16" s="246">
        <v>12492</v>
      </c>
      <c r="K16" s="246">
        <v>12851</v>
      </c>
      <c r="L16" s="246">
        <v>12963</v>
      </c>
      <c r="M16" s="246">
        <v>13511</v>
      </c>
      <c r="O16" s="499">
        <f t="shared" si="0"/>
        <v>0.43398930880888131</v>
      </c>
      <c r="P16" s="499">
        <f t="shared" si="1"/>
        <v>0.42917309769842388</v>
      </c>
    </row>
    <row r="17" spans="1:16" s="4" customFormat="1" ht="12.75" customHeight="1">
      <c r="A17" s="83"/>
      <c r="B17" s="10" t="s">
        <v>149</v>
      </c>
      <c r="C17" s="246">
        <v>11902</v>
      </c>
      <c r="D17" s="246">
        <v>11690</v>
      </c>
      <c r="E17" s="246">
        <v>11721</v>
      </c>
      <c r="F17" s="246">
        <v>11701</v>
      </c>
      <c r="G17" s="246">
        <v>11810</v>
      </c>
      <c r="H17" s="246">
        <v>11876</v>
      </c>
      <c r="I17" s="246">
        <v>11703</v>
      </c>
      <c r="J17" s="246">
        <v>11157</v>
      </c>
      <c r="K17" s="246">
        <v>10757</v>
      </c>
      <c r="L17" s="246">
        <v>10533</v>
      </c>
      <c r="M17" s="246">
        <v>11057</v>
      </c>
      <c r="O17" s="499">
        <f t="shared" si="0"/>
        <v>0.49853689348936459</v>
      </c>
      <c r="P17" s="499">
        <f t="shared" si="1"/>
        <v>0.35122248103408132</v>
      </c>
    </row>
    <row r="18" spans="1:16" s="4" customFormat="1" ht="12.75" customHeight="1">
      <c r="A18" s="83"/>
      <c r="B18" s="10" t="s">
        <v>150</v>
      </c>
      <c r="C18" s="246">
        <v>2172</v>
      </c>
      <c r="D18" s="246">
        <v>2068</v>
      </c>
      <c r="E18" s="246">
        <v>1979</v>
      </c>
      <c r="F18" s="246">
        <v>1851</v>
      </c>
      <c r="G18" s="246">
        <v>1849</v>
      </c>
      <c r="H18" s="246">
        <v>1816</v>
      </c>
      <c r="I18" s="246">
        <v>1811</v>
      </c>
      <c r="J18" s="246">
        <v>1732</v>
      </c>
      <c r="K18" s="246">
        <v>1593</v>
      </c>
      <c r="L18" s="246">
        <v>1314</v>
      </c>
      <c r="M18" s="246">
        <v>1444</v>
      </c>
      <c r="O18" s="499">
        <f t="shared" si="0"/>
        <v>9.0978166077877648E-2</v>
      </c>
      <c r="P18" s="499">
        <f t="shared" si="1"/>
        <v>4.5868252022538976E-2</v>
      </c>
    </row>
    <row r="19" spans="1:16" s="4" customFormat="1" ht="12.75" customHeight="1">
      <c r="A19" s="83"/>
      <c r="B19" s="10" t="s">
        <v>151</v>
      </c>
      <c r="C19" s="246">
        <v>10971</v>
      </c>
      <c r="D19" s="246">
        <v>10686</v>
      </c>
      <c r="E19" s="246">
        <v>10835</v>
      </c>
      <c r="F19" s="246">
        <v>10993</v>
      </c>
      <c r="G19" s="246">
        <v>11378</v>
      </c>
      <c r="H19" s="246">
        <v>11402</v>
      </c>
      <c r="I19" s="246">
        <v>11878</v>
      </c>
      <c r="J19" s="246">
        <v>11680</v>
      </c>
      <c r="K19" s="246">
        <v>11826</v>
      </c>
      <c r="L19" s="246">
        <v>12269</v>
      </c>
      <c r="M19" s="246">
        <v>12735</v>
      </c>
      <c r="O19" s="499">
        <f t="shared" si="0"/>
        <v>0.45954026705358919</v>
      </c>
      <c r="P19" s="499">
        <f t="shared" si="1"/>
        <v>0.40452367694392927</v>
      </c>
    </row>
    <row r="20" spans="1:16" s="4" customFormat="1" ht="12.75" customHeight="1">
      <c r="A20" s="83"/>
      <c r="B20" s="10" t="s">
        <v>160</v>
      </c>
      <c r="C20" s="246">
        <v>5823</v>
      </c>
      <c r="D20" s="246">
        <v>6132</v>
      </c>
      <c r="E20" s="246">
        <v>6351</v>
      </c>
      <c r="F20" s="246">
        <v>6590</v>
      </c>
      <c r="G20" s="246">
        <v>6999</v>
      </c>
      <c r="H20" s="246">
        <v>7546</v>
      </c>
      <c r="I20" s="246">
        <v>8213</v>
      </c>
      <c r="J20" s="246">
        <v>8896</v>
      </c>
      <c r="K20" s="246">
        <v>9384</v>
      </c>
      <c r="L20" s="246">
        <v>9615</v>
      </c>
      <c r="M20" s="246">
        <v>10267</v>
      </c>
      <c r="O20" s="499">
        <f t="shared" si="0"/>
        <v>0.24390693419497311</v>
      </c>
      <c r="P20" s="499">
        <f t="shared" si="1"/>
        <v>0.32612835423504688</v>
      </c>
    </row>
    <row r="21" spans="1:16" s="4" customFormat="1" ht="12.75" customHeight="1">
      <c r="A21" s="83"/>
      <c r="B21" s="10" t="s">
        <v>152</v>
      </c>
      <c r="C21" s="246">
        <v>21989</v>
      </c>
      <c r="D21" s="246">
        <v>21744</v>
      </c>
      <c r="E21" s="246">
        <v>22699</v>
      </c>
      <c r="F21" s="246">
        <v>23915</v>
      </c>
      <c r="G21" s="246">
        <v>24861</v>
      </c>
      <c r="H21" s="246">
        <v>26958</v>
      </c>
      <c r="I21" s="246">
        <v>27966</v>
      </c>
      <c r="J21" s="246">
        <v>29155</v>
      </c>
      <c r="K21" s="246">
        <v>29521</v>
      </c>
      <c r="L21" s="246">
        <v>29274</v>
      </c>
      <c r="M21" s="246">
        <v>27899</v>
      </c>
      <c r="O21" s="499">
        <f t="shared" si="0"/>
        <v>0.92104921449652466</v>
      </c>
      <c r="P21" s="499">
        <f t="shared" si="1"/>
        <v>0.88620385261552281</v>
      </c>
    </row>
    <row r="22" spans="1:16" s="4" customFormat="1" ht="12.75" customHeight="1">
      <c r="A22" s="83"/>
      <c r="B22" s="10" t="s">
        <v>159</v>
      </c>
      <c r="C22" s="246">
        <v>34122</v>
      </c>
      <c r="D22" s="246">
        <v>32711</v>
      </c>
      <c r="E22" s="246">
        <v>33339</v>
      </c>
      <c r="F22" s="246">
        <v>33839</v>
      </c>
      <c r="G22" s="246">
        <v>34814</v>
      </c>
      <c r="H22" s="246">
        <v>36196</v>
      </c>
      <c r="I22" s="246">
        <v>36786</v>
      </c>
      <c r="J22" s="246">
        <v>36794</v>
      </c>
      <c r="K22" s="246">
        <v>37208</v>
      </c>
      <c r="L22" s="246">
        <v>38721</v>
      </c>
      <c r="M22" s="246">
        <v>39310</v>
      </c>
      <c r="O22" s="499">
        <f t="shared" si="0"/>
        <v>1.4292619626654424</v>
      </c>
      <c r="P22" s="499">
        <f t="shared" si="1"/>
        <v>1.2486710436329689</v>
      </c>
    </row>
    <row r="23" spans="1:16" s="4" customFormat="1" ht="12.75" customHeight="1">
      <c r="A23" s="83"/>
      <c r="B23" s="10" t="s">
        <v>92</v>
      </c>
      <c r="C23" s="246">
        <v>7766</v>
      </c>
      <c r="D23" s="246">
        <v>7713</v>
      </c>
      <c r="E23" s="246">
        <v>7725</v>
      </c>
      <c r="F23" s="246">
        <v>7969</v>
      </c>
      <c r="G23" s="246">
        <v>8160</v>
      </c>
      <c r="H23" s="246">
        <v>8615</v>
      </c>
      <c r="I23" s="246">
        <v>8591</v>
      </c>
      <c r="J23" s="246">
        <v>8821</v>
      </c>
      <c r="K23" s="246">
        <v>8702</v>
      </c>
      <c r="L23" s="246">
        <v>8981</v>
      </c>
      <c r="M23" s="246">
        <v>9228</v>
      </c>
      <c r="O23" s="499">
        <f t="shared" si="0"/>
        <v>0.32529301922688664</v>
      </c>
      <c r="P23" s="499">
        <f t="shared" si="1"/>
        <v>0.29312481278669644</v>
      </c>
    </row>
    <row r="24" spans="1:16" s="4" customFormat="1" ht="12.75" customHeight="1">
      <c r="A24" s="83"/>
      <c r="B24" s="10" t="s">
        <v>157</v>
      </c>
      <c r="C24" s="246">
        <v>60117</v>
      </c>
      <c r="D24" s="246">
        <v>60405</v>
      </c>
      <c r="E24" s="246">
        <v>61966</v>
      </c>
      <c r="F24" s="246">
        <v>64158</v>
      </c>
      <c r="G24" s="246">
        <v>67563</v>
      </c>
      <c r="H24" s="246">
        <v>71045</v>
      </c>
      <c r="I24" s="246">
        <v>75036</v>
      </c>
      <c r="J24" s="246">
        <v>75489</v>
      </c>
      <c r="K24" s="246">
        <v>75937</v>
      </c>
      <c r="L24" s="246">
        <v>76878</v>
      </c>
      <c r="M24" s="246">
        <v>81148</v>
      </c>
      <c r="O24" s="499">
        <f t="shared" si="0"/>
        <v>2.5181097652411464</v>
      </c>
      <c r="P24" s="499">
        <f t="shared" si="1"/>
        <v>2.5776432930228479</v>
      </c>
    </row>
    <row r="25" spans="1:16" s="4" customFormat="1" ht="12.75" customHeight="1">
      <c r="A25" s="83"/>
      <c r="B25" s="10" t="s">
        <v>158</v>
      </c>
      <c r="C25" s="246">
        <v>10326</v>
      </c>
      <c r="D25" s="246">
        <v>8899</v>
      </c>
      <c r="E25" s="246">
        <v>9510</v>
      </c>
      <c r="F25" s="246">
        <v>9285</v>
      </c>
      <c r="G25" s="246">
        <v>9765</v>
      </c>
      <c r="H25" s="246">
        <v>10976</v>
      </c>
      <c r="I25" s="246">
        <v>12056</v>
      </c>
      <c r="J25" s="246">
        <v>12568</v>
      </c>
      <c r="K25" s="246">
        <v>12400</v>
      </c>
      <c r="L25" s="246">
        <v>12110</v>
      </c>
      <c r="M25" s="246">
        <v>12469</v>
      </c>
      <c r="O25" s="499">
        <f t="shared" si="0"/>
        <v>0.43252327022107029</v>
      </c>
      <c r="P25" s="499">
        <f t="shared" si="1"/>
        <v>0.39607426209767205</v>
      </c>
    </row>
    <row r="26" spans="1:16" s="4" customFormat="1" ht="12.75" customHeight="1">
      <c r="A26" s="83"/>
      <c r="B26" s="10" t="s">
        <v>153</v>
      </c>
      <c r="C26" s="246">
        <v>14758</v>
      </c>
      <c r="D26" s="246">
        <v>16550</v>
      </c>
      <c r="E26" s="246">
        <v>15269</v>
      </c>
      <c r="F26" s="246">
        <v>17136</v>
      </c>
      <c r="G26" s="246">
        <v>16972</v>
      </c>
      <c r="H26" s="246">
        <v>18065</v>
      </c>
      <c r="I26" s="246">
        <v>18910</v>
      </c>
      <c r="J26" s="246">
        <v>17605</v>
      </c>
      <c r="K26" s="246">
        <v>18845</v>
      </c>
      <c r="L26" s="246">
        <v>17925</v>
      </c>
      <c r="M26" s="246">
        <v>20678</v>
      </c>
      <c r="O26" s="499">
        <f t="shared" si="0"/>
        <v>0.61816564225475068</v>
      </c>
      <c r="P26" s="499">
        <f t="shared" si="1"/>
        <v>0.65683082778536073</v>
      </c>
    </row>
    <row r="27" spans="1:16" s="4" customFormat="1" ht="12.75" customHeight="1">
      <c r="A27" s="83"/>
      <c r="B27" s="10" t="s">
        <v>161</v>
      </c>
      <c r="C27" s="246">
        <v>17858</v>
      </c>
      <c r="D27" s="246">
        <v>18189</v>
      </c>
      <c r="E27" s="246">
        <v>19494</v>
      </c>
      <c r="F27" s="246">
        <v>20424</v>
      </c>
      <c r="G27" s="246">
        <v>20500</v>
      </c>
      <c r="H27" s="246">
        <v>21382</v>
      </c>
      <c r="I27" s="246">
        <v>22319</v>
      </c>
      <c r="J27" s="246">
        <v>22588</v>
      </c>
      <c r="K27" s="246">
        <v>22718</v>
      </c>
      <c r="L27" s="246">
        <v>22915</v>
      </c>
      <c r="M27" s="246">
        <v>24036</v>
      </c>
      <c r="O27" s="499">
        <f t="shared" si="0"/>
        <v>0.74801477431801988</v>
      </c>
      <c r="P27" s="499">
        <f t="shared" si="1"/>
        <v>0.76349674903999087</v>
      </c>
    </row>
    <row r="28" spans="1:16" s="4" customFormat="1" ht="12.75" customHeight="1">
      <c r="A28" s="83"/>
      <c r="B28" s="10" t="s">
        <v>154</v>
      </c>
      <c r="C28" s="246">
        <v>26215</v>
      </c>
      <c r="D28" s="246">
        <v>26593</v>
      </c>
      <c r="E28" s="246">
        <v>26984</v>
      </c>
      <c r="F28" s="246">
        <v>28071</v>
      </c>
      <c r="G28" s="246">
        <v>31454</v>
      </c>
      <c r="H28" s="246">
        <v>35253</v>
      </c>
      <c r="I28" s="246">
        <v>41183</v>
      </c>
      <c r="J28" s="246">
        <v>41297</v>
      </c>
      <c r="K28" s="246">
        <v>39566</v>
      </c>
      <c r="L28" s="246">
        <v>38960</v>
      </c>
      <c r="M28" s="246">
        <v>38860</v>
      </c>
      <c r="O28" s="499">
        <f t="shared" si="0"/>
        <v>1.0980629022705168</v>
      </c>
      <c r="P28" s="499">
        <f t="shared" si="1"/>
        <v>1.2343769207727593</v>
      </c>
    </row>
    <row r="29" spans="1:16" s="4" customFormat="1" ht="12.75" customHeight="1">
      <c r="A29" s="83"/>
      <c r="B29" s="10" t="s">
        <v>162</v>
      </c>
      <c r="C29" s="246">
        <v>3499</v>
      </c>
      <c r="D29" s="246">
        <v>3565</v>
      </c>
      <c r="E29" s="246">
        <v>3186</v>
      </c>
      <c r="F29" s="246">
        <v>3606</v>
      </c>
      <c r="G29" s="246">
        <v>4046</v>
      </c>
      <c r="H29" s="246">
        <v>4373</v>
      </c>
      <c r="I29" s="246">
        <v>5130</v>
      </c>
      <c r="J29" s="246">
        <v>5936</v>
      </c>
      <c r="K29" s="246">
        <v>5450</v>
      </c>
      <c r="L29" s="246">
        <v>6241</v>
      </c>
      <c r="M29" s="246">
        <v>7864</v>
      </c>
      <c r="O29" s="499">
        <f t="shared" si="0"/>
        <v>0.14656197196431578</v>
      </c>
      <c r="P29" s="499">
        <f t="shared" si="1"/>
        <v>0.24979773816152803</v>
      </c>
    </row>
    <row r="30" spans="1:16" s="4" customFormat="1" ht="12.75" customHeight="1">
      <c r="A30" s="83"/>
      <c r="B30" s="10" t="s">
        <v>155</v>
      </c>
      <c r="C30" s="246">
        <v>24186</v>
      </c>
      <c r="D30" s="246">
        <v>23174</v>
      </c>
      <c r="E30" s="246">
        <v>24180</v>
      </c>
      <c r="F30" s="246">
        <v>24900</v>
      </c>
      <c r="G30" s="246">
        <v>26003</v>
      </c>
      <c r="H30" s="246">
        <v>27489</v>
      </c>
      <c r="I30" s="246">
        <v>28428</v>
      </c>
      <c r="J30" s="246">
        <v>28128</v>
      </c>
      <c r="K30" s="246">
        <v>28617</v>
      </c>
      <c r="L30" s="246">
        <v>27926</v>
      </c>
      <c r="M30" s="246">
        <v>30338</v>
      </c>
      <c r="O30" s="499">
        <f t="shared" si="0"/>
        <v>1.0130745509942674</v>
      </c>
      <c r="P30" s="499">
        <f t="shared" si="1"/>
        <v>0.96367799851785829</v>
      </c>
    </row>
    <row r="31" spans="1:16" s="4" customFormat="1" ht="12.75" customHeight="1">
      <c r="A31" s="83"/>
      <c r="B31" s="10" t="s">
        <v>156</v>
      </c>
      <c r="C31" s="246">
        <v>9464</v>
      </c>
      <c r="D31" s="246">
        <v>9311</v>
      </c>
      <c r="E31" s="246">
        <v>9716</v>
      </c>
      <c r="F31" s="246">
        <v>10447</v>
      </c>
      <c r="G31" s="246">
        <v>10893</v>
      </c>
      <c r="H31" s="246">
        <v>11782</v>
      </c>
      <c r="I31" s="246">
        <v>11982</v>
      </c>
      <c r="J31" s="246">
        <v>11862</v>
      </c>
      <c r="K31" s="246">
        <v>12152</v>
      </c>
      <c r="L31" s="246">
        <v>10655</v>
      </c>
      <c r="M31" s="246">
        <v>13239</v>
      </c>
      <c r="O31" s="499">
        <f t="shared" si="0"/>
        <v>0.39641683414412249</v>
      </c>
      <c r="P31" s="499">
        <f t="shared" si="1"/>
        <v>0.42053309454736387</v>
      </c>
    </row>
    <row r="32" spans="1:16" s="4" customFormat="1" ht="12.75" customHeight="1">
      <c r="A32" s="83"/>
      <c r="B32" s="10" t="s">
        <v>163</v>
      </c>
      <c r="C32" s="246">
        <v>15934</v>
      </c>
      <c r="D32" s="246">
        <v>15862</v>
      </c>
      <c r="E32" s="246">
        <v>16467</v>
      </c>
      <c r="F32" s="246">
        <v>16827</v>
      </c>
      <c r="G32" s="246">
        <v>17459</v>
      </c>
      <c r="H32" s="246">
        <v>18898</v>
      </c>
      <c r="I32" s="246">
        <v>20379</v>
      </c>
      <c r="J32" s="246">
        <v>20856</v>
      </c>
      <c r="K32" s="246">
        <v>18610</v>
      </c>
      <c r="L32" s="246">
        <v>19739</v>
      </c>
      <c r="M32" s="246">
        <v>20668</v>
      </c>
      <c r="O32" s="499">
        <f t="shared" si="0"/>
        <v>0.66742453880520369</v>
      </c>
      <c r="P32" s="499">
        <f t="shared" si="1"/>
        <v>0.65651318061068942</v>
      </c>
    </row>
    <row r="33" spans="1:16" s="4" customFormat="1" ht="16.5" customHeight="1">
      <c r="A33" s="11" t="s">
        <v>76</v>
      </c>
      <c r="B33" s="30" t="s">
        <v>164</v>
      </c>
      <c r="C33" s="245">
        <v>6828</v>
      </c>
      <c r="D33" s="245">
        <v>6577</v>
      </c>
      <c r="E33" s="245">
        <v>6277</v>
      </c>
      <c r="F33" s="245">
        <v>6611</v>
      </c>
      <c r="G33" s="245">
        <v>6390</v>
      </c>
      <c r="H33" s="245">
        <v>6505</v>
      </c>
      <c r="I33" s="245">
        <v>6748</v>
      </c>
      <c r="J33" s="245">
        <v>6736</v>
      </c>
      <c r="K33" s="245">
        <v>6671</v>
      </c>
      <c r="L33" s="245">
        <v>6574</v>
      </c>
      <c r="M33" s="245">
        <v>6551</v>
      </c>
      <c r="O33" s="499">
        <f t="shared" si="0"/>
        <v>0.28600318507354905</v>
      </c>
      <c r="P33" s="499">
        <f t="shared" si="1"/>
        <v>0.20809066412718338</v>
      </c>
    </row>
    <row r="34" spans="1:16" s="4" customFormat="1" ht="12.75" customHeight="1">
      <c r="A34" s="11" t="s">
        <v>77</v>
      </c>
      <c r="B34" s="30" t="s">
        <v>173</v>
      </c>
      <c r="C34" s="245">
        <v>19881</v>
      </c>
      <c r="D34" s="245">
        <v>20353</v>
      </c>
      <c r="E34" s="245">
        <v>20348</v>
      </c>
      <c r="F34" s="245">
        <v>20860</v>
      </c>
      <c r="G34" s="245">
        <v>22233</v>
      </c>
      <c r="H34" s="245">
        <v>23079</v>
      </c>
      <c r="I34" s="245">
        <v>23567</v>
      </c>
      <c r="J34" s="245">
        <v>24904</v>
      </c>
      <c r="K34" s="245">
        <v>25711</v>
      </c>
      <c r="L34" s="245">
        <v>27469</v>
      </c>
      <c r="M34" s="245">
        <v>28585</v>
      </c>
      <c r="O34" s="499">
        <f t="shared" si="0"/>
        <v>0.83275180469350152</v>
      </c>
      <c r="P34" s="499">
        <f t="shared" si="1"/>
        <v>0.90799444879797553</v>
      </c>
    </row>
    <row r="35" spans="1:16" s="4" customFormat="1" ht="12.75" customHeight="1">
      <c r="A35" s="11" t="s">
        <v>78</v>
      </c>
      <c r="B35" s="30" t="s">
        <v>79</v>
      </c>
      <c r="C35" s="245">
        <v>191754</v>
      </c>
      <c r="D35" s="245">
        <v>178328</v>
      </c>
      <c r="E35" s="245">
        <v>178366</v>
      </c>
      <c r="F35" s="245">
        <v>178864</v>
      </c>
      <c r="G35" s="245">
        <v>183547</v>
      </c>
      <c r="H35" s="245">
        <v>195420</v>
      </c>
      <c r="I35" s="245">
        <v>206868</v>
      </c>
      <c r="J35" s="245">
        <v>219984</v>
      </c>
      <c r="K35" s="245">
        <v>232381</v>
      </c>
      <c r="L35" s="245">
        <v>234450</v>
      </c>
      <c r="M35" s="245">
        <v>253501</v>
      </c>
      <c r="O35" s="499">
        <f t="shared" si="0"/>
        <v>8.0319646676322982</v>
      </c>
      <c r="P35" s="499">
        <f t="shared" si="1"/>
        <v>8.0523876426354928</v>
      </c>
    </row>
    <row r="36" spans="1:16" s="4" customFormat="1" ht="12.75" customHeight="1">
      <c r="A36" s="11" t="s">
        <v>80</v>
      </c>
      <c r="B36" s="30" t="s">
        <v>174</v>
      </c>
      <c r="C36" s="245">
        <v>460720</v>
      </c>
      <c r="D36" s="245">
        <v>452371</v>
      </c>
      <c r="E36" s="245">
        <v>463519</v>
      </c>
      <c r="F36" s="245">
        <v>478256</v>
      </c>
      <c r="G36" s="245">
        <v>492250</v>
      </c>
      <c r="H36" s="245">
        <v>507360</v>
      </c>
      <c r="I36" s="245">
        <v>522673</v>
      </c>
      <c r="J36" s="245">
        <v>538367</v>
      </c>
      <c r="K36" s="245">
        <v>525816</v>
      </c>
      <c r="L36" s="245">
        <v>533620</v>
      </c>
      <c r="M36" s="245">
        <v>559353</v>
      </c>
      <c r="O36" s="499">
        <f t="shared" si="0"/>
        <v>19.298094233609479</v>
      </c>
      <c r="P36" s="499">
        <f t="shared" si="1"/>
        <v>17.76769000939283</v>
      </c>
    </row>
    <row r="37" spans="1:16" s="4" customFormat="1" ht="12.75" customHeight="1">
      <c r="A37" s="11" t="s">
        <v>53</v>
      </c>
      <c r="B37" s="30" t="s">
        <v>93</v>
      </c>
      <c r="C37" s="245">
        <v>118244</v>
      </c>
      <c r="D37" s="245">
        <v>116904</v>
      </c>
      <c r="E37" s="245">
        <v>122986</v>
      </c>
      <c r="F37" s="245">
        <v>127238</v>
      </c>
      <c r="G37" s="245">
        <v>132842</v>
      </c>
      <c r="H37" s="245">
        <v>140148</v>
      </c>
      <c r="I37" s="245">
        <v>145741</v>
      </c>
      <c r="J37" s="245">
        <v>147408</v>
      </c>
      <c r="K37" s="245">
        <v>146314</v>
      </c>
      <c r="L37" s="245">
        <v>142969</v>
      </c>
      <c r="M37" s="245">
        <v>149925</v>
      </c>
      <c r="O37" s="499">
        <f t="shared" si="0"/>
        <v>4.9528647650610331</v>
      </c>
      <c r="P37" s="499">
        <f t="shared" si="1"/>
        <v>4.7623252662598032</v>
      </c>
    </row>
    <row r="38" spans="1:16" s="4" customFormat="1" ht="12.75" customHeight="1">
      <c r="A38" s="11" t="s">
        <v>10</v>
      </c>
      <c r="B38" s="30" t="s">
        <v>165</v>
      </c>
      <c r="C38" s="245">
        <v>166346</v>
      </c>
      <c r="D38" s="245">
        <v>166559</v>
      </c>
      <c r="E38" s="245">
        <v>174663</v>
      </c>
      <c r="F38" s="245">
        <v>189219</v>
      </c>
      <c r="G38" s="245">
        <v>204110</v>
      </c>
      <c r="H38" s="245">
        <v>223805</v>
      </c>
      <c r="I38" s="245">
        <v>241853</v>
      </c>
      <c r="J38" s="245">
        <v>251350</v>
      </c>
      <c r="K38" s="245">
        <v>214079</v>
      </c>
      <c r="L38" s="245">
        <v>220649</v>
      </c>
      <c r="M38" s="245">
        <v>259660</v>
      </c>
      <c r="O38" s="499">
        <f t="shared" si="0"/>
        <v>6.9677044265150254</v>
      </c>
      <c r="P38" s="499">
        <f t="shared" si="1"/>
        <v>8.2480265375155604</v>
      </c>
    </row>
    <row r="39" spans="1:16" s="4" customFormat="1" ht="12.75" customHeight="1">
      <c r="A39" s="11" t="s">
        <v>81</v>
      </c>
      <c r="B39" s="30" t="s">
        <v>171</v>
      </c>
      <c r="C39" s="245">
        <v>63429</v>
      </c>
      <c r="D39" s="245">
        <v>64630</v>
      </c>
      <c r="E39" s="245">
        <v>67783</v>
      </c>
      <c r="F39" s="245">
        <v>68812</v>
      </c>
      <c r="G39" s="245">
        <v>72936</v>
      </c>
      <c r="H39" s="245">
        <v>79205</v>
      </c>
      <c r="I39" s="245">
        <v>86973</v>
      </c>
      <c r="J39" s="245">
        <v>94794</v>
      </c>
      <c r="K39" s="245">
        <v>102655</v>
      </c>
      <c r="L39" s="245">
        <v>109224</v>
      </c>
      <c r="M39" s="245">
        <v>127560</v>
      </c>
      <c r="O39" s="499">
        <f t="shared" si="0"/>
        <v>2.6568389024648713</v>
      </c>
      <c r="P39" s="499">
        <f t="shared" si="1"/>
        <v>4.0519073601073901</v>
      </c>
    </row>
    <row r="40" spans="1:16" ht="12.75" customHeight="1">
      <c r="A40" s="11" t="s">
        <v>82</v>
      </c>
      <c r="B40" s="30" t="s">
        <v>166</v>
      </c>
      <c r="C40" s="245">
        <v>82456</v>
      </c>
      <c r="D40" s="245">
        <v>80489</v>
      </c>
      <c r="E40" s="245">
        <v>79315</v>
      </c>
      <c r="F40" s="245">
        <v>77783</v>
      </c>
      <c r="G40" s="245">
        <v>76080</v>
      </c>
      <c r="H40" s="245">
        <v>74708</v>
      </c>
      <c r="I40" s="245">
        <v>75395</v>
      </c>
      <c r="J40" s="245">
        <v>69033</v>
      </c>
      <c r="K40" s="245">
        <v>75376</v>
      </c>
      <c r="L40" s="245">
        <v>74155</v>
      </c>
      <c r="M40" s="245">
        <v>76725</v>
      </c>
      <c r="O40" s="499">
        <f t="shared" si="0"/>
        <v>3.4538193656157823</v>
      </c>
      <c r="P40" s="499">
        <f t="shared" si="1"/>
        <v>2.4371479476657223</v>
      </c>
    </row>
    <row r="41" spans="1:16" ht="12.75" customHeight="1">
      <c r="A41" s="11" t="s">
        <v>83</v>
      </c>
      <c r="B41" s="30" t="s">
        <v>103</v>
      </c>
      <c r="C41" s="245">
        <v>15248</v>
      </c>
      <c r="D41" s="245">
        <v>15074</v>
      </c>
      <c r="E41" s="245">
        <v>16356</v>
      </c>
      <c r="F41" s="245">
        <v>17668</v>
      </c>
      <c r="G41" s="245">
        <v>18643</v>
      </c>
      <c r="H41" s="245">
        <v>20754</v>
      </c>
      <c r="I41" s="245">
        <v>23132</v>
      </c>
      <c r="J41" s="245">
        <v>24348</v>
      </c>
      <c r="K41" s="245">
        <v>24974</v>
      </c>
      <c r="L41" s="245">
        <v>26345</v>
      </c>
      <c r="M41" s="245">
        <v>28809</v>
      </c>
      <c r="O41" s="499">
        <f t="shared" si="0"/>
        <v>0.63869018248410603</v>
      </c>
      <c r="P41" s="499">
        <f t="shared" si="1"/>
        <v>0.91510974551061297</v>
      </c>
    </row>
    <row r="42" spans="1:16" ht="12.75" customHeight="1">
      <c r="A42" s="11" t="s">
        <v>54</v>
      </c>
      <c r="B42" s="30" t="s">
        <v>175</v>
      </c>
      <c r="C42" s="245">
        <v>97711</v>
      </c>
      <c r="D42" s="245">
        <v>97511</v>
      </c>
      <c r="E42" s="245">
        <v>105085</v>
      </c>
      <c r="F42" s="245">
        <v>109770</v>
      </c>
      <c r="G42" s="245">
        <v>111974</v>
      </c>
      <c r="H42" s="245">
        <v>113617</v>
      </c>
      <c r="I42" s="245">
        <v>123636</v>
      </c>
      <c r="J42" s="245">
        <v>132611</v>
      </c>
      <c r="K42" s="245">
        <v>134408</v>
      </c>
      <c r="L42" s="245">
        <v>139839</v>
      </c>
      <c r="M42" s="245">
        <v>159252</v>
      </c>
      <c r="O42" s="499">
        <f t="shared" si="0"/>
        <v>4.0928027558174502</v>
      </c>
      <c r="P42" s="499">
        <f t="shared" si="1"/>
        <v>5.0585947860757461</v>
      </c>
    </row>
    <row r="43" spans="1:16" ht="12.75" customHeight="1">
      <c r="A43" s="11" t="s">
        <v>85</v>
      </c>
      <c r="B43" s="30" t="s">
        <v>169</v>
      </c>
      <c r="C43" s="245">
        <v>214023</v>
      </c>
      <c r="D43" s="245">
        <v>225603</v>
      </c>
      <c r="E43" s="245">
        <v>238916</v>
      </c>
      <c r="F43" s="245">
        <v>246451</v>
      </c>
      <c r="G43" s="245">
        <v>268226</v>
      </c>
      <c r="H43" s="245">
        <v>294174</v>
      </c>
      <c r="I43" s="245">
        <v>293550</v>
      </c>
      <c r="J43" s="245">
        <v>293948</v>
      </c>
      <c r="K43" s="245">
        <v>285919</v>
      </c>
      <c r="L43" s="245">
        <v>275843</v>
      </c>
      <c r="M43" s="245">
        <v>307876</v>
      </c>
      <c r="O43" s="499">
        <f t="shared" si="0"/>
        <v>8.964742190831311</v>
      </c>
      <c r="P43" s="499">
        <f t="shared" si="1"/>
        <v>9.779594154910809</v>
      </c>
    </row>
    <row r="44" spans="1:16" ht="12.75" customHeight="1">
      <c r="A44" s="11" t="s">
        <v>86</v>
      </c>
      <c r="B44" s="30" t="s">
        <v>170</v>
      </c>
      <c r="C44" s="245">
        <v>10463</v>
      </c>
      <c r="D44" s="245">
        <v>10222</v>
      </c>
      <c r="E44" s="245">
        <v>10787</v>
      </c>
      <c r="F44" s="245">
        <v>10612</v>
      </c>
      <c r="G44" s="245">
        <v>10688</v>
      </c>
      <c r="H44" s="245">
        <v>11236</v>
      </c>
      <c r="I44" s="245">
        <v>11602</v>
      </c>
      <c r="J44" s="245">
        <v>11794</v>
      </c>
      <c r="K44" s="245">
        <v>12327</v>
      </c>
      <c r="L44" s="245">
        <v>11997</v>
      </c>
      <c r="M44" s="245">
        <v>13111</v>
      </c>
      <c r="O44" s="499">
        <f t="shared" si="0"/>
        <v>0.43826176412193085</v>
      </c>
      <c r="P44" s="499">
        <f t="shared" si="1"/>
        <v>0.416467210711571</v>
      </c>
    </row>
    <row r="45" spans="1:16" ht="12.75" customHeight="1">
      <c r="A45" s="11" t="s">
        <v>94</v>
      </c>
      <c r="B45" s="30" t="s">
        <v>84</v>
      </c>
      <c r="C45" s="245">
        <v>51867</v>
      </c>
      <c r="D45" s="245">
        <v>50566</v>
      </c>
      <c r="E45" s="245">
        <v>50957</v>
      </c>
      <c r="F45" s="245">
        <v>53876</v>
      </c>
      <c r="G45" s="245">
        <v>53906</v>
      </c>
      <c r="H45" s="245">
        <v>53502</v>
      </c>
      <c r="I45" s="245">
        <v>57690</v>
      </c>
      <c r="J45" s="245">
        <v>58269</v>
      </c>
      <c r="K45" s="245">
        <v>59807</v>
      </c>
      <c r="L45" s="245">
        <v>58921</v>
      </c>
      <c r="M45" s="245">
        <v>62076</v>
      </c>
      <c r="O45" s="499">
        <f t="shared" si="0"/>
        <v>2.1725435266856721</v>
      </c>
      <c r="P45" s="499">
        <f t="shared" si="1"/>
        <v>1.9718266014897017</v>
      </c>
    </row>
    <row r="46" spans="1:16" ht="12.75" customHeight="1">
      <c r="A46" s="11" t="s">
        <v>87</v>
      </c>
      <c r="B46" s="30" t="s">
        <v>141</v>
      </c>
      <c r="C46" s="245">
        <v>209941</v>
      </c>
      <c r="D46" s="245">
        <v>215109</v>
      </c>
      <c r="E46" s="245">
        <v>221126</v>
      </c>
      <c r="F46" s="245">
        <v>232717</v>
      </c>
      <c r="G46" s="245">
        <v>246800</v>
      </c>
      <c r="H46" s="245">
        <v>257306</v>
      </c>
      <c r="I46" s="245">
        <v>263021</v>
      </c>
      <c r="J46" s="245">
        <v>269760</v>
      </c>
      <c r="K46" s="245">
        <v>280115</v>
      </c>
      <c r="L46" s="245">
        <v>286750</v>
      </c>
      <c r="M46" s="245">
        <v>299622</v>
      </c>
      <c r="O46" s="499">
        <f t="shared" si="0"/>
        <v>8.7937602046757419</v>
      </c>
      <c r="P46" s="499">
        <f t="shared" si="1"/>
        <v>9.5174081769371011</v>
      </c>
    </row>
    <row r="47" spans="1:16" ht="12.75" customHeight="1">
      <c r="A47" s="11" t="s">
        <v>95</v>
      </c>
      <c r="B47" s="30" t="s">
        <v>167</v>
      </c>
      <c r="C47" s="245">
        <v>19721</v>
      </c>
      <c r="D47" s="245">
        <v>19836</v>
      </c>
      <c r="E47" s="245">
        <v>18760</v>
      </c>
      <c r="F47" s="245">
        <v>21039</v>
      </c>
      <c r="G47" s="245">
        <v>22077</v>
      </c>
      <c r="H47" s="245">
        <v>24123</v>
      </c>
      <c r="I47" s="245">
        <v>26529</v>
      </c>
      <c r="J47" s="245">
        <v>28069</v>
      </c>
      <c r="K47" s="245">
        <v>26263</v>
      </c>
      <c r="L47" s="245">
        <v>28680</v>
      </c>
      <c r="M47" s="245">
        <v>30827</v>
      </c>
      <c r="O47" s="499">
        <f t="shared" si="0"/>
        <v>0.82604991400636507</v>
      </c>
      <c r="P47" s="499">
        <f t="shared" si="1"/>
        <v>0.97921094535928599</v>
      </c>
    </row>
    <row r="48" spans="1:16" ht="12.75" customHeight="1">
      <c r="A48" s="11" t="s">
        <v>96</v>
      </c>
      <c r="B48" s="30" t="s">
        <v>104</v>
      </c>
      <c r="C48" s="245">
        <v>62791</v>
      </c>
      <c r="D48" s="245">
        <v>61973</v>
      </c>
      <c r="E48" s="245">
        <v>62532</v>
      </c>
      <c r="F48" s="245">
        <v>60404</v>
      </c>
      <c r="G48" s="245">
        <v>61086</v>
      </c>
      <c r="H48" s="245">
        <v>58964</v>
      </c>
      <c r="I48" s="245">
        <v>61792</v>
      </c>
      <c r="J48" s="245">
        <v>59107</v>
      </c>
      <c r="K48" s="245">
        <v>57266</v>
      </c>
      <c r="L48" s="245">
        <v>56071</v>
      </c>
      <c r="M48" s="245">
        <v>59443</v>
      </c>
      <c r="O48" s="499">
        <f t="shared" si="0"/>
        <v>2.6301151133499152</v>
      </c>
      <c r="P48" s="499">
        <f t="shared" si="1"/>
        <v>1.8881901003987425</v>
      </c>
    </row>
    <row r="49" spans="1:16" ht="12.75" customHeight="1">
      <c r="A49" s="32" t="s">
        <v>97</v>
      </c>
      <c r="B49" s="33" t="s">
        <v>168</v>
      </c>
      <c r="C49" s="247">
        <v>53</v>
      </c>
      <c r="D49" s="247">
        <v>81</v>
      </c>
      <c r="E49" s="247">
        <v>91</v>
      </c>
      <c r="F49" s="247">
        <v>89</v>
      </c>
      <c r="G49" s="247">
        <v>104</v>
      </c>
      <c r="H49" s="247">
        <v>92</v>
      </c>
      <c r="I49" s="247">
        <v>94</v>
      </c>
      <c r="J49" s="247">
        <v>100</v>
      </c>
      <c r="K49" s="247">
        <v>117</v>
      </c>
      <c r="L49" s="247">
        <v>107</v>
      </c>
      <c r="M49" s="247">
        <v>125</v>
      </c>
      <c r="O49" s="499">
        <f t="shared" si="0"/>
        <v>2.2200012901139573E-3</v>
      </c>
      <c r="P49" s="499">
        <f t="shared" si="1"/>
        <v>3.9705896833915318E-3</v>
      </c>
    </row>
    <row r="50" spans="1:16" ht="15" customHeight="1">
      <c r="A50" s="20" t="s">
        <v>138</v>
      </c>
      <c r="C50" s="7"/>
      <c r="D50" s="7"/>
      <c r="E50" s="7"/>
      <c r="F50" s="7"/>
      <c r="G50" s="7"/>
      <c r="H50" s="7"/>
      <c r="I50" s="7"/>
      <c r="J50" s="7"/>
      <c r="K50" s="7"/>
      <c r="L50" s="7"/>
      <c r="M50" s="7"/>
      <c r="O50" s="499">
        <f t="shared" si="0"/>
        <v>0</v>
      </c>
      <c r="P50" s="499">
        <f t="shared" si="1"/>
        <v>0</v>
      </c>
    </row>
    <row r="51" spans="1:16">
      <c r="B51" s="145"/>
      <c r="C51" s="42"/>
      <c r="D51" s="42"/>
      <c r="E51" s="42"/>
      <c r="F51" s="42"/>
      <c r="G51" s="42"/>
      <c r="H51" s="42"/>
      <c r="I51" s="42"/>
      <c r="J51" s="42"/>
      <c r="K51" s="42"/>
      <c r="L51" s="42"/>
      <c r="M51" s="42"/>
      <c r="O51" s="499">
        <f t="shared" si="0"/>
        <v>0</v>
      </c>
      <c r="P51" s="499">
        <f t="shared" si="1"/>
        <v>0</v>
      </c>
    </row>
    <row r="52" spans="1:16">
      <c r="O52" s="499">
        <f t="shared" si="0"/>
        <v>0</v>
      </c>
      <c r="P52" s="499">
        <f t="shared" si="1"/>
        <v>0</v>
      </c>
    </row>
    <row r="53" spans="1:16">
      <c r="O53" s="499">
        <f t="shared" si="0"/>
        <v>0</v>
      </c>
      <c r="P53" s="499">
        <f t="shared" si="1"/>
        <v>0</v>
      </c>
    </row>
    <row r="54" spans="1:16">
      <c r="O54" s="499">
        <f t="shared" si="0"/>
        <v>0</v>
      </c>
      <c r="P54" s="499">
        <f t="shared" si="1"/>
        <v>0</v>
      </c>
    </row>
    <row r="55" spans="1:16">
      <c r="O55" s="499">
        <f t="shared" si="0"/>
        <v>0</v>
      </c>
      <c r="P55" s="499">
        <f t="shared" si="1"/>
        <v>0</v>
      </c>
    </row>
    <row r="56" spans="1:16">
      <c r="O56" s="499">
        <f t="shared" si="0"/>
        <v>0</v>
      </c>
      <c r="P56" s="499">
        <f t="shared" si="1"/>
        <v>0</v>
      </c>
    </row>
    <row r="57" spans="1:16">
      <c r="O57" s="499">
        <f t="shared" si="0"/>
        <v>0</v>
      </c>
      <c r="P57" s="499">
        <f t="shared" si="1"/>
        <v>0</v>
      </c>
    </row>
    <row r="58" spans="1:16">
      <c r="O58" s="499">
        <f t="shared" si="0"/>
        <v>0</v>
      </c>
      <c r="P58" s="499">
        <f t="shared" si="1"/>
        <v>0</v>
      </c>
    </row>
    <row r="59" spans="1:16">
      <c r="O59" s="499">
        <f t="shared" si="0"/>
        <v>0</v>
      </c>
      <c r="P59" s="499">
        <f t="shared" si="1"/>
        <v>0</v>
      </c>
    </row>
    <row r="60" spans="1:16">
      <c r="O60" s="499">
        <f t="shared" si="0"/>
        <v>0</v>
      </c>
      <c r="P60" s="499">
        <f t="shared" si="1"/>
        <v>0</v>
      </c>
    </row>
    <row r="61" spans="1:16">
      <c r="O61" s="499">
        <f t="shared" si="0"/>
        <v>0</v>
      </c>
      <c r="P61" s="499">
        <f t="shared" si="1"/>
        <v>0</v>
      </c>
    </row>
    <row r="62" spans="1:16">
      <c r="O62" s="499">
        <f t="shared" si="0"/>
        <v>0</v>
      </c>
      <c r="P62" s="499">
        <f t="shared" si="1"/>
        <v>0</v>
      </c>
    </row>
    <row r="63" spans="1:16">
      <c r="O63" s="499">
        <f t="shared" si="0"/>
        <v>0</v>
      </c>
      <c r="P63" s="499">
        <f t="shared" si="1"/>
        <v>0</v>
      </c>
    </row>
    <row r="64" spans="1:16">
      <c r="O64" s="499">
        <f t="shared" si="0"/>
        <v>0</v>
      </c>
      <c r="P64" s="499">
        <f t="shared" si="1"/>
        <v>0</v>
      </c>
    </row>
    <row r="65" spans="15:16">
      <c r="O65" s="499">
        <f t="shared" si="0"/>
        <v>0</v>
      </c>
      <c r="P65" s="499">
        <f t="shared" si="1"/>
        <v>0</v>
      </c>
    </row>
    <row r="66" spans="15:16">
      <c r="O66" s="499">
        <f t="shared" si="0"/>
        <v>0</v>
      </c>
      <c r="P66" s="499">
        <f t="shared" si="1"/>
        <v>0</v>
      </c>
    </row>
    <row r="67" spans="15:16">
      <c r="O67" s="499">
        <f t="shared" si="0"/>
        <v>0</v>
      </c>
      <c r="P67" s="499">
        <f t="shared" si="1"/>
        <v>0</v>
      </c>
    </row>
    <row r="68" spans="15:16">
      <c r="O68" s="499">
        <f t="shared" si="0"/>
        <v>0</v>
      </c>
      <c r="P68" s="499">
        <f t="shared" si="1"/>
        <v>0</v>
      </c>
    </row>
    <row r="69" spans="15:16">
      <c r="O69" s="499">
        <f t="shared" si="0"/>
        <v>0</v>
      </c>
      <c r="P69" s="499">
        <f t="shared" si="1"/>
        <v>0</v>
      </c>
    </row>
    <row r="70" spans="15:16">
      <c r="O70" s="499">
        <f t="shared" si="0"/>
        <v>0</v>
      </c>
      <c r="P70" s="499">
        <f t="shared" si="1"/>
        <v>0</v>
      </c>
    </row>
    <row r="71" spans="15:16">
      <c r="O71" s="499">
        <f t="shared" si="0"/>
        <v>0</v>
      </c>
      <c r="P71" s="499">
        <f t="shared" si="1"/>
        <v>0</v>
      </c>
    </row>
    <row r="72" spans="15:16">
      <c r="O72" s="499">
        <f t="shared" si="0"/>
        <v>0</v>
      </c>
      <c r="P72" s="499">
        <f t="shared" si="1"/>
        <v>0</v>
      </c>
    </row>
    <row r="73" spans="15:16">
      <c r="O73" s="499">
        <f t="shared" ref="O73:O101" si="2">+C73/$C$5*100</f>
        <v>0</v>
      </c>
      <c r="P73" s="499">
        <f t="shared" ref="P73:P101" si="3">+M73/$M$5*100</f>
        <v>0</v>
      </c>
    </row>
    <row r="74" spans="15:16">
      <c r="O74" s="499">
        <f t="shared" si="2"/>
        <v>0</v>
      </c>
      <c r="P74" s="499">
        <f t="shared" si="3"/>
        <v>0</v>
      </c>
    </row>
    <row r="75" spans="15:16">
      <c r="O75" s="499">
        <f t="shared" si="2"/>
        <v>0</v>
      </c>
      <c r="P75" s="499">
        <f t="shared" si="3"/>
        <v>0</v>
      </c>
    </row>
    <row r="76" spans="15:16">
      <c r="O76" s="499">
        <f t="shared" si="2"/>
        <v>0</v>
      </c>
      <c r="P76" s="499">
        <f t="shared" si="3"/>
        <v>0</v>
      </c>
    </row>
    <row r="77" spans="15:16">
      <c r="O77" s="499">
        <f t="shared" si="2"/>
        <v>0</v>
      </c>
      <c r="P77" s="499">
        <f t="shared" si="3"/>
        <v>0</v>
      </c>
    </row>
    <row r="78" spans="15:16">
      <c r="O78" s="499">
        <f t="shared" si="2"/>
        <v>0</v>
      </c>
      <c r="P78" s="499">
        <f t="shared" si="3"/>
        <v>0</v>
      </c>
    </row>
    <row r="79" spans="15:16">
      <c r="O79" s="499">
        <f t="shared" si="2"/>
        <v>0</v>
      </c>
      <c r="P79" s="499">
        <f t="shared" si="3"/>
        <v>0</v>
      </c>
    </row>
    <row r="80" spans="15:16">
      <c r="O80" s="499">
        <f t="shared" si="2"/>
        <v>0</v>
      </c>
      <c r="P80" s="499">
        <f t="shared" si="3"/>
        <v>0</v>
      </c>
    </row>
    <row r="81" spans="15:16">
      <c r="O81" s="499">
        <f t="shared" si="2"/>
        <v>0</v>
      </c>
      <c r="P81" s="499">
        <f t="shared" si="3"/>
        <v>0</v>
      </c>
    </row>
    <row r="82" spans="15:16">
      <c r="O82" s="499">
        <f t="shared" si="2"/>
        <v>0</v>
      </c>
      <c r="P82" s="499">
        <f t="shared" si="3"/>
        <v>0</v>
      </c>
    </row>
    <row r="83" spans="15:16">
      <c r="O83" s="499">
        <f t="shared" si="2"/>
        <v>0</v>
      </c>
      <c r="P83" s="499">
        <f t="shared" si="3"/>
        <v>0</v>
      </c>
    </row>
    <row r="84" spans="15:16">
      <c r="O84" s="499">
        <f t="shared" si="2"/>
        <v>0</v>
      </c>
      <c r="P84" s="499">
        <f t="shared" si="3"/>
        <v>0</v>
      </c>
    </row>
    <row r="85" spans="15:16">
      <c r="O85" s="499">
        <f t="shared" si="2"/>
        <v>0</v>
      </c>
      <c r="P85" s="499">
        <f t="shared" si="3"/>
        <v>0</v>
      </c>
    </row>
    <row r="86" spans="15:16">
      <c r="O86" s="499">
        <f t="shared" si="2"/>
        <v>0</v>
      </c>
      <c r="P86" s="499">
        <f t="shared" si="3"/>
        <v>0</v>
      </c>
    </row>
    <row r="87" spans="15:16">
      <c r="O87" s="499">
        <f t="shared" si="2"/>
        <v>0</v>
      </c>
      <c r="P87" s="499">
        <f t="shared" si="3"/>
        <v>0</v>
      </c>
    </row>
    <row r="88" spans="15:16">
      <c r="O88" s="499">
        <f t="shared" si="2"/>
        <v>0</v>
      </c>
      <c r="P88" s="499">
        <f t="shared" si="3"/>
        <v>0</v>
      </c>
    </row>
    <row r="89" spans="15:16">
      <c r="O89" s="499">
        <f t="shared" si="2"/>
        <v>0</v>
      </c>
      <c r="P89" s="499">
        <f t="shared" si="3"/>
        <v>0</v>
      </c>
    </row>
    <row r="90" spans="15:16">
      <c r="O90" s="499">
        <f t="shared" si="2"/>
        <v>0</v>
      </c>
      <c r="P90" s="499">
        <f t="shared" si="3"/>
        <v>0</v>
      </c>
    </row>
    <row r="91" spans="15:16">
      <c r="O91" s="499">
        <f t="shared" si="2"/>
        <v>0</v>
      </c>
      <c r="P91" s="499">
        <f t="shared" si="3"/>
        <v>0</v>
      </c>
    </row>
    <row r="92" spans="15:16">
      <c r="O92" s="499">
        <f t="shared" si="2"/>
        <v>0</v>
      </c>
      <c r="P92" s="499">
        <f t="shared" si="3"/>
        <v>0</v>
      </c>
    </row>
    <row r="93" spans="15:16">
      <c r="O93" s="499">
        <f t="shared" si="2"/>
        <v>0</v>
      </c>
      <c r="P93" s="499">
        <f t="shared" si="3"/>
        <v>0</v>
      </c>
    </row>
    <row r="94" spans="15:16">
      <c r="O94" s="499">
        <f t="shared" si="2"/>
        <v>0</v>
      </c>
      <c r="P94" s="499">
        <f t="shared" si="3"/>
        <v>0</v>
      </c>
    </row>
    <row r="95" spans="15:16">
      <c r="O95" s="499">
        <f t="shared" si="2"/>
        <v>0</v>
      </c>
      <c r="P95" s="499">
        <f t="shared" si="3"/>
        <v>0</v>
      </c>
    </row>
    <row r="96" spans="15:16">
      <c r="O96" s="499">
        <f t="shared" si="2"/>
        <v>0</v>
      </c>
      <c r="P96" s="499">
        <f t="shared" si="3"/>
        <v>0</v>
      </c>
    </row>
    <row r="97" spans="15:16">
      <c r="O97" s="499">
        <f t="shared" si="2"/>
        <v>0</v>
      </c>
      <c r="P97" s="499">
        <f t="shared" si="3"/>
        <v>0</v>
      </c>
    </row>
    <row r="98" spans="15:16">
      <c r="O98" s="499">
        <f t="shared" si="2"/>
        <v>0</v>
      </c>
      <c r="P98" s="499">
        <f t="shared" si="3"/>
        <v>0</v>
      </c>
    </row>
    <row r="99" spans="15:16">
      <c r="O99" s="499">
        <f t="shared" si="2"/>
        <v>0</v>
      </c>
      <c r="P99" s="499">
        <f t="shared" si="3"/>
        <v>0</v>
      </c>
    </row>
    <row r="100" spans="15:16">
      <c r="O100" s="499">
        <f t="shared" si="2"/>
        <v>0</v>
      </c>
      <c r="P100" s="499">
        <f t="shared" si="3"/>
        <v>0</v>
      </c>
    </row>
    <row r="101" spans="15:16">
      <c r="O101" s="499">
        <f t="shared" si="2"/>
        <v>0</v>
      </c>
      <c r="P101" s="499">
        <f t="shared" si="3"/>
        <v>0</v>
      </c>
    </row>
  </sheetData>
  <mergeCells count="1">
    <mergeCell ref="A1:M1"/>
  </mergeCells>
  <phoneticPr fontId="25" type="noConversion"/>
  <conditionalFormatting sqref="A1 C2:F3 A2:B5 C4:E4 C5:J5 C6:F49 N8:N101 Q8:XFD101 N102:XFD1048576">
    <cfRule type="cellIs" dxfId="37" priority="37" operator="equal">
      <formula>0</formula>
    </cfRule>
  </conditionalFormatting>
  <conditionalFormatting sqref="A50:F1048576">
    <cfRule type="cellIs" dxfId="36" priority="36" operator="equal">
      <formula>0</formula>
    </cfRule>
  </conditionalFormatting>
  <conditionalFormatting sqref="N5:N6">
    <cfRule type="containsText" dxfId="35" priority="35" operator="containsText" text="FALSO">
      <formula>NOT(ISERROR(SEARCH("FALSO",N5)))</formula>
    </cfRule>
  </conditionalFormatting>
  <conditionalFormatting sqref="N1:XFD7">
    <cfRule type="cellIs" dxfId="34"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88" orientation="portrait" r:id="rId1"/>
  <headerFooter>
    <oddHeader xml:space="preserve">&amp;C&amp;G
</oddHead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tabColor indexed="25"/>
    <pageSetUpPr fitToPage="1"/>
  </sheetPr>
  <dimension ref="A1:O43"/>
  <sheetViews>
    <sheetView showGridLines="0" workbookViewId="0">
      <selection activeCell="P8" sqref="P8"/>
    </sheetView>
  </sheetViews>
  <sheetFormatPr defaultColWidth="9.140625" defaultRowHeight="11.25"/>
  <cols>
    <col min="1" max="1" width="14.7109375" style="41" customWidth="1"/>
    <col min="2" max="2" width="2.42578125" style="94" customWidth="1"/>
    <col min="3" max="13" width="7.5703125" style="41" customWidth="1"/>
    <col min="14" max="15" width="5.85546875" style="41" bestFit="1" customWidth="1"/>
    <col min="16" max="16384" width="9.140625" style="41"/>
  </cols>
  <sheetData>
    <row r="1" spans="1:15" s="51" customFormat="1" ht="28.5" customHeight="1">
      <c r="A1" s="580" t="s">
        <v>202</v>
      </c>
      <c r="B1" s="580"/>
      <c r="C1" s="580"/>
      <c r="D1" s="580"/>
      <c r="E1" s="580"/>
      <c r="F1" s="580"/>
      <c r="G1" s="580"/>
      <c r="H1" s="580"/>
      <c r="I1" s="580"/>
      <c r="J1" s="580"/>
      <c r="K1" s="580"/>
      <c r="L1" s="580"/>
      <c r="M1" s="580"/>
    </row>
    <row r="2" spans="1:15" ht="15" customHeight="1">
      <c r="A2" s="52"/>
      <c r="B2" s="52"/>
      <c r="C2" s="50"/>
      <c r="D2" s="100"/>
      <c r="E2" s="100"/>
      <c r="F2" s="100"/>
      <c r="G2" s="100"/>
      <c r="H2" s="100"/>
      <c r="I2" s="100"/>
      <c r="J2" s="100"/>
      <c r="K2" s="100"/>
      <c r="L2" s="100"/>
      <c r="M2" s="100"/>
    </row>
    <row r="3" spans="1:15" ht="15" customHeight="1">
      <c r="A3" s="35" t="s">
        <v>14</v>
      </c>
      <c r="B3" s="53"/>
      <c r="C3" s="50"/>
      <c r="D3" s="100"/>
      <c r="E3" s="100"/>
      <c r="F3" s="100"/>
      <c r="G3" s="100"/>
      <c r="H3" s="100"/>
      <c r="I3" s="100"/>
      <c r="J3" s="100"/>
      <c r="K3" s="100"/>
      <c r="L3" s="100"/>
      <c r="M3" s="100"/>
    </row>
    <row r="4" spans="1:15" s="93" customFormat="1" ht="28.5" customHeight="1" thickBot="1">
      <c r="A4" s="54"/>
      <c r="B4" s="54"/>
      <c r="C4" s="38">
        <v>2012</v>
      </c>
      <c r="D4" s="38">
        <v>2013</v>
      </c>
      <c r="E4" s="38">
        <v>2014</v>
      </c>
      <c r="F4" s="38">
        <v>2015</v>
      </c>
      <c r="G4" s="38">
        <v>2016</v>
      </c>
      <c r="H4" s="38">
        <v>2017</v>
      </c>
      <c r="I4" s="38">
        <v>2018</v>
      </c>
      <c r="J4" s="38">
        <v>2019</v>
      </c>
      <c r="K4" s="38">
        <v>2020</v>
      </c>
      <c r="L4" s="38">
        <v>2021</v>
      </c>
      <c r="M4" s="38">
        <v>2022</v>
      </c>
    </row>
    <row r="5" spans="1:15" ht="16.5" customHeight="1" thickTop="1">
      <c r="A5" s="52" t="s">
        <v>12</v>
      </c>
      <c r="B5" s="53" t="s">
        <v>45</v>
      </c>
      <c r="C5" s="249">
        <v>2387386</v>
      </c>
      <c r="D5" s="249">
        <v>2384121</v>
      </c>
      <c r="E5" s="249">
        <v>2458163</v>
      </c>
      <c r="F5" s="249">
        <v>2537653</v>
      </c>
      <c r="G5" s="249">
        <v>2641919</v>
      </c>
      <c r="H5" s="249">
        <v>2767521</v>
      </c>
      <c r="I5" s="249">
        <v>2877918</v>
      </c>
      <c r="J5" s="249">
        <v>2930482</v>
      </c>
      <c r="K5" s="249">
        <v>2902825</v>
      </c>
      <c r="L5" s="249">
        <v>2922343</v>
      </c>
      <c r="M5" s="249">
        <v>3148147</v>
      </c>
      <c r="N5" s="93"/>
      <c r="O5" s="93"/>
    </row>
    <row r="6" spans="1:15" ht="12.75" customHeight="1">
      <c r="A6" s="35"/>
      <c r="B6" s="53" t="s">
        <v>53</v>
      </c>
      <c r="C6" s="248">
        <v>1250432</v>
      </c>
      <c r="D6" s="248">
        <v>1242007</v>
      </c>
      <c r="E6" s="248">
        <v>1278921</v>
      </c>
      <c r="F6" s="248">
        <v>1311721</v>
      </c>
      <c r="G6" s="248">
        <v>1367705</v>
      </c>
      <c r="H6" s="248">
        <v>1437729</v>
      </c>
      <c r="I6" s="248">
        <v>1499993</v>
      </c>
      <c r="J6" s="248">
        <v>1529276</v>
      </c>
      <c r="K6" s="248">
        <v>1526297</v>
      </c>
      <c r="L6" s="248">
        <v>1530240</v>
      </c>
      <c r="M6" s="248">
        <v>1653917</v>
      </c>
      <c r="N6" s="93"/>
      <c r="O6" s="93"/>
    </row>
    <row r="7" spans="1:15" ht="12.75" customHeight="1">
      <c r="A7" s="35"/>
      <c r="B7" s="53" t="s">
        <v>54</v>
      </c>
      <c r="C7" s="248">
        <v>1136954</v>
      </c>
      <c r="D7" s="248">
        <v>1142114</v>
      </c>
      <c r="E7" s="248">
        <v>1179242</v>
      </c>
      <c r="F7" s="248">
        <v>1225932</v>
      </c>
      <c r="G7" s="248">
        <v>1274214</v>
      </c>
      <c r="H7" s="248">
        <v>1329792</v>
      </c>
      <c r="I7" s="248">
        <v>1377925</v>
      </c>
      <c r="J7" s="248">
        <v>1401206</v>
      </c>
      <c r="K7" s="248">
        <v>1376528</v>
      </c>
      <c r="L7" s="248">
        <v>1392103</v>
      </c>
      <c r="M7" s="248">
        <v>1494230</v>
      </c>
      <c r="N7" s="93"/>
      <c r="O7" s="93"/>
    </row>
    <row r="8" spans="1:15" ht="16.5" customHeight="1">
      <c r="A8" s="56" t="s">
        <v>32</v>
      </c>
      <c r="B8" s="53" t="s">
        <v>45</v>
      </c>
      <c r="C8" s="248">
        <v>348678</v>
      </c>
      <c r="D8" s="248">
        <v>342145</v>
      </c>
      <c r="E8" s="248">
        <v>345499</v>
      </c>
      <c r="F8" s="248">
        <v>349789</v>
      </c>
      <c r="G8" s="248">
        <v>352430</v>
      </c>
      <c r="H8" s="248">
        <v>351812</v>
      </c>
      <c r="I8" s="248">
        <v>353767</v>
      </c>
      <c r="J8" s="248">
        <v>342009</v>
      </c>
      <c r="K8" s="248">
        <v>347632</v>
      </c>
      <c r="L8" s="248">
        <v>340569</v>
      </c>
      <c r="M8" s="248">
        <v>350142</v>
      </c>
      <c r="N8" s="93"/>
    </row>
    <row r="9" spans="1:15" ht="12.75" customHeight="1">
      <c r="A9" s="50"/>
      <c r="B9" s="57" t="s">
        <v>53</v>
      </c>
      <c r="C9" s="250">
        <v>171616</v>
      </c>
      <c r="D9" s="250">
        <v>168282</v>
      </c>
      <c r="E9" s="250">
        <v>169711</v>
      </c>
      <c r="F9" s="250">
        <v>169300</v>
      </c>
      <c r="G9" s="250">
        <v>171507</v>
      </c>
      <c r="H9" s="250">
        <v>171159</v>
      </c>
      <c r="I9" s="250">
        <v>172370</v>
      </c>
      <c r="J9" s="250">
        <v>166882</v>
      </c>
      <c r="K9" s="250">
        <v>170670</v>
      </c>
      <c r="L9" s="250">
        <v>168983</v>
      </c>
      <c r="M9" s="250">
        <v>172147</v>
      </c>
    </row>
    <row r="10" spans="1:15" ht="12.75" customHeight="1">
      <c r="A10" s="50"/>
      <c r="B10" s="57" t="s">
        <v>54</v>
      </c>
      <c r="C10" s="250">
        <v>177062</v>
      </c>
      <c r="D10" s="250">
        <v>173863</v>
      </c>
      <c r="E10" s="250">
        <v>175788</v>
      </c>
      <c r="F10" s="250">
        <v>180489</v>
      </c>
      <c r="G10" s="250">
        <v>180923</v>
      </c>
      <c r="H10" s="250">
        <v>180653</v>
      </c>
      <c r="I10" s="250">
        <v>181397</v>
      </c>
      <c r="J10" s="250">
        <v>175127</v>
      </c>
      <c r="K10" s="250">
        <v>176962</v>
      </c>
      <c r="L10" s="250">
        <v>171586</v>
      </c>
      <c r="M10" s="250">
        <v>177995</v>
      </c>
    </row>
    <row r="11" spans="1:15" s="36" customFormat="1" ht="16.5" customHeight="1">
      <c r="A11" s="56" t="s">
        <v>33</v>
      </c>
      <c r="B11" s="53" t="s">
        <v>45</v>
      </c>
      <c r="C11" s="248">
        <v>332115</v>
      </c>
      <c r="D11" s="248">
        <v>324768</v>
      </c>
      <c r="E11" s="248">
        <v>329103</v>
      </c>
      <c r="F11" s="248">
        <v>337049</v>
      </c>
      <c r="G11" s="248">
        <v>346025</v>
      </c>
      <c r="H11" s="248">
        <v>355739</v>
      </c>
      <c r="I11" s="248">
        <v>364100</v>
      </c>
      <c r="J11" s="248">
        <v>363563</v>
      </c>
      <c r="K11" s="248">
        <v>361658</v>
      </c>
      <c r="L11" s="248">
        <v>356708</v>
      </c>
      <c r="M11" s="248">
        <v>377035</v>
      </c>
    </row>
    <row r="12" spans="1:15" ht="12.75" customHeight="1">
      <c r="A12" s="50"/>
      <c r="B12" s="57" t="s">
        <v>53</v>
      </c>
      <c r="C12" s="250">
        <v>178740</v>
      </c>
      <c r="D12" s="250">
        <v>173812</v>
      </c>
      <c r="E12" s="250">
        <v>175738</v>
      </c>
      <c r="F12" s="250">
        <v>178521</v>
      </c>
      <c r="G12" s="250">
        <v>182955</v>
      </c>
      <c r="H12" s="250">
        <v>187203</v>
      </c>
      <c r="I12" s="250">
        <v>191870</v>
      </c>
      <c r="J12" s="250">
        <v>191680</v>
      </c>
      <c r="K12" s="250">
        <v>192893</v>
      </c>
      <c r="L12" s="250">
        <v>189637</v>
      </c>
      <c r="M12" s="250">
        <v>199416</v>
      </c>
    </row>
    <row r="13" spans="1:15" ht="12.75" customHeight="1">
      <c r="A13" s="50"/>
      <c r="B13" s="57" t="s">
        <v>54</v>
      </c>
      <c r="C13" s="250">
        <v>153375</v>
      </c>
      <c r="D13" s="250">
        <v>150956</v>
      </c>
      <c r="E13" s="250">
        <v>153365</v>
      </c>
      <c r="F13" s="250">
        <v>158528</v>
      </c>
      <c r="G13" s="250">
        <v>163070</v>
      </c>
      <c r="H13" s="250">
        <v>168536</v>
      </c>
      <c r="I13" s="250">
        <v>172230</v>
      </c>
      <c r="J13" s="250">
        <v>171883</v>
      </c>
      <c r="K13" s="250">
        <v>168765</v>
      </c>
      <c r="L13" s="250">
        <v>167071</v>
      </c>
      <c r="M13" s="250">
        <v>177619</v>
      </c>
    </row>
    <row r="14" spans="1:15" s="36" customFormat="1" ht="16.5" customHeight="1">
      <c r="A14" s="56" t="s">
        <v>34</v>
      </c>
      <c r="B14" s="53" t="s">
        <v>45</v>
      </c>
      <c r="C14" s="248">
        <v>317405</v>
      </c>
      <c r="D14" s="248">
        <v>313218</v>
      </c>
      <c r="E14" s="248">
        <v>324795</v>
      </c>
      <c r="F14" s="248">
        <v>335290</v>
      </c>
      <c r="G14" s="248">
        <v>346010</v>
      </c>
      <c r="H14" s="248">
        <v>363341</v>
      </c>
      <c r="I14" s="248">
        <v>380330</v>
      </c>
      <c r="J14" s="248">
        <v>387737</v>
      </c>
      <c r="K14" s="248">
        <v>379146</v>
      </c>
      <c r="L14" s="248">
        <v>380684</v>
      </c>
      <c r="M14" s="248">
        <v>409155</v>
      </c>
    </row>
    <row r="15" spans="1:15" ht="12.75" customHeight="1">
      <c r="A15" s="50"/>
      <c r="B15" s="57" t="s">
        <v>53</v>
      </c>
      <c r="C15" s="250">
        <v>175612</v>
      </c>
      <c r="D15" s="250">
        <v>172169</v>
      </c>
      <c r="E15" s="250">
        <v>177417</v>
      </c>
      <c r="F15" s="250">
        <v>181343</v>
      </c>
      <c r="G15" s="250">
        <v>187780</v>
      </c>
      <c r="H15" s="250">
        <v>198028</v>
      </c>
      <c r="I15" s="250">
        <v>206953</v>
      </c>
      <c r="J15" s="250">
        <v>211200</v>
      </c>
      <c r="K15" s="250">
        <v>211551</v>
      </c>
      <c r="L15" s="250">
        <v>210353</v>
      </c>
      <c r="M15" s="250">
        <v>226102</v>
      </c>
    </row>
    <row r="16" spans="1:15" ht="12.75" customHeight="1">
      <c r="A16" s="50"/>
      <c r="B16" s="57" t="s">
        <v>54</v>
      </c>
      <c r="C16" s="250">
        <v>141793</v>
      </c>
      <c r="D16" s="250">
        <v>141049</v>
      </c>
      <c r="E16" s="250">
        <v>147378</v>
      </c>
      <c r="F16" s="250">
        <v>153947</v>
      </c>
      <c r="G16" s="250">
        <v>158230</v>
      </c>
      <c r="H16" s="250">
        <v>165313</v>
      </c>
      <c r="I16" s="250">
        <v>173377</v>
      </c>
      <c r="J16" s="250">
        <v>176537</v>
      </c>
      <c r="K16" s="250">
        <v>167595</v>
      </c>
      <c r="L16" s="250">
        <v>170331</v>
      </c>
      <c r="M16" s="250">
        <v>183053</v>
      </c>
    </row>
    <row r="17" spans="1:13" s="36" customFormat="1" ht="16.5" customHeight="1">
      <c r="A17" s="56" t="s">
        <v>35</v>
      </c>
      <c r="B17" s="53" t="s">
        <v>45</v>
      </c>
      <c r="C17" s="248">
        <v>418177</v>
      </c>
      <c r="D17" s="248">
        <v>414705</v>
      </c>
      <c r="E17" s="248">
        <v>427447</v>
      </c>
      <c r="F17" s="248">
        <v>444652</v>
      </c>
      <c r="G17" s="248">
        <v>462870</v>
      </c>
      <c r="H17" s="248">
        <v>485832</v>
      </c>
      <c r="I17" s="248">
        <v>503911</v>
      </c>
      <c r="J17" s="248">
        <v>515962</v>
      </c>
      <c r="K17" s="248">
        <v>511577</v>
      </c>
      <c r="L17" s="248">
        <v>519124</v>
      </c>
      <c r="M17" s="248">
        <v>560003</v>
      </c>
    </row>
    <row r="18" spans="1:13" ht="12.75" customHeight="1">
      <c r="A18" s="50"/>
      <c r="B18" s="57" t="s">
        <v>53</v>
      </c>
      <c r="C18" s="250">
        <v>220411</v>
      </c>
      <c r="D18" s="250">
        <v>216886</v>
      </c>
      <c r="E18" s="250">
        <v>223289</v>
      </c>
      <c r="F18" s="250">
        <v>233164</v>
      </c>
      <c r="G18" s="250">
        <v>242596</v>
      </c>
      <c r="H18" s="250">
        <v>255563</v>
      </c>
      <c r="I18" s="250">
        <v>266278</v>
      </c>
      <c r="J18" s="250">
        <v>276133</v>
      </c>
      <c r="K18" s="250">
        <v>275582</v>
      </c>
      <c r="L18" s="250">
        <v>279555</v>
      </c>
      <c r="M18" s="250">
        <v>301023</v>
      </c>
    </row>
    <row r="19" spans="1:13" ht="12.75" customHeight="1">
      <c r="A19" s="50"/>
      <c r="B19" s="57" t="s">
        <v>54</v>
      </c>
      <c r="C19" s="250">
        <v>197766</v>
      </c>
      <c r="D19" s="250">
        <v>197819</v>
      </c>
      <c r="E19" s="250">
        <v>204158</v>
      </c>
      <c r="F19" s="250">
        <v>211488</v>
      </c>
      <c r="G19" s="250">
        <v>220274</v>
      </c>
      <c r="H19" s="250">
        <v>230269</v>
      </c>
      <c r="I19" s="250">
        <v>237633</v>
      </c>
      <c r="J19" s="250">
        <v>239829</v>
      </c>
      <c r="K19" s="250">
        <v>235995</v>
      </c>
      <c r="L19" s="250">
        <v>239569</v>
      </c>
      <c r="M19" s="250">
        <v>258980</v>
      </c>
    </row>
    <row r="20" spans="1:13" s="36" customFormat="1" ht="16.5" customHeight="1">
      <c r="A20" s="56" t="s">
        <v>36</v>
      </c>
      <c r="B20" s="53" t="s">
        <v>45</v>
      </c>
      <c r="C20" s="248">
        <v>276122</v>
      </c>
      <c r="D20" s="248">
        <v>273491</v>
      </c>
      <c r="E20" s="248">
        <v>281206</v>
      </c>
      <c r="F20" s="248">
        <v>297097</v>
      </c>
      <c r="G20" s="248">
        <v>312631</v>
      </c>
      <c r="H20" s="248">
        <v>325786</v>
      </c>
      <c r="I20" s="248">
        <v>343160</v>
      </c>
      <c r="J20" s="248">
        <v>354401</v>
      </c>
      <c r="K20" s="248">
        <v>353252</v>
      </c>
      <c r="L20" s="248">
        <v>357819</v>
      </c>
      <c r="M20" s="248">
        <v>390393</v>
      </c>
    </row>
    <row r="21" spans="1:13" ht="12.75" customHeight="1">
      <c r="A21" s="50"/>
      <c r="B21" s="57" t="s">
        <v>53</v>
      </c>
      <c r="C21" s="250">
        <v>141623</v>
      </c>
      <c r="D21" s="250">
        <v>139879</v>
      </c>
      <c r="E21" s="250">
        <v>143417</v>
      </c>
      <c r="F21" s="250">
        <v>149729</v>
      </c>
      <c r="G21" s="250">
        <v>159377</v>
      </c>
      <c r="H21" s="250">
        <v>167516</v>
      </c>
      <c r="I21" s="250">
        <v>176418</v>
      </c>
      <c r="J21" s="250">
        <v>183361</v>
      </c>
      <c r="K21" s="250">
        <v>183186</v>
      </c>
      <c r="L21" s="250">
        <v>184552</v>
      </c>
      <c r="M21" s="250">
        <v>203977</v>
      </c>
    </row>
    <row r="22" spans="1:13" ht="12.75" customHeight="1">
      <c r="A22" s="50"/>
      <c r="B22" s="57" t="s">
        <v>54</v>
      </c>
      <c r="C22" s="250">
        <v>134499</v>
      </c>
      <c r="D22" s="250">
        <v>133612</v>
      </c>
      <c r="E22" s="250">
        <v>137789</v>
      </c>
      <c r="F22" s="250">
        <v>147368</v>
      </c>
      <c r="G22" s="250">
        <v>153254</v>
      </c>
      <c r="H22" s="250">
        <v>158270</v>
      </c>
      <c r="I22" s="250">
        <v>166742</v>
      </c>
      <c r="J22" s="250">
        <v>171040</v>
      </c>
      <c r="K22" s="250">
        <v>170066</v>
      </c>
      <c r="L22" s="250">
        <v>173267</v>
      </c>
      <c r="M22" s="250">
        <v>186416</v>
      </c>
    </row>
    <row r="23" spans="1:13" s="36" customFormat="1" ht="16.5" customHeight="1">
      <c r="A23" s="56" t="s">
        <v>37</v>
      </c>
      <c r="B23" s="53" t="s">
        <v>45</v>
      </c>
      <c r="C23" s="248">
        <v>136282</v>
      </c>
      <c r="D23" s="248">
        <v>139739</v>
      </c>
      <c r="E23" s="248">
        <v>147070</v>
      </c>
      <c r="F23" s="248">
        <v>141233</v>
      </c>
      <c r="G23" s="248">
        <v>147547</v>
      </c>
      <c r="H23" s="248">
        <v>154532</v>
      </c>
      <c r="I23" s="248">
        <v>161378</v>
      </c>
      <c r="J23" s="248">
        <v>165477</v>
      </c>
      <c r="K23" s="248">
        <v>162095</v>
      </c>
      <c r="L23" s="248">
        <v>167232</v>
      </c>
      <c r="M23" s="248">
        <v>181509</v>
      </c>
    </row>
    <row r="24" spans="1:13" ht="12.75" customHeight="1">
      <c r="A24" s="50"/>
      <c r="B24" s="57" t="s">
        <v>53</v>
      </c>
      <c r="C24" s="250">
        <v>74556</v>
      </c>
      <c r="D24" s="250">
        <v>76233</v>
      </c>
      <c r="E24" s="250">
        <v>80896</v>
      </c>
      <c r="F24" s="250">
        <v>77793</v>
      </c>
      <c r="G24" s="250">
        <v>79390</v>
      </c>
      <c r="H24" s="250">
        <v>84335</v>
      </c>
      <c r="I24" s="250">
        <v>88964</v>
      </c>
      <c r="J24" s="250">
        <v>89934</v>
      </c>
      <c r="K24" s="250">
        <v>88809</v>
      </c>
      <c r="L24" s="250">
        <v>91336</v>
      </c>
      <c r="M24" s="250">
        <v>100132</v>
      </c>
    </row>
    <row r="25" spans="1:13" ht="12.75" customHeight="1">
      <c r="A25" s="50"/>
      <c r="B25" s="57" t="s">
        <v>54</v>
      </c>
      <c r="C25" s="250">
        <v>61726</v>
      </c>
      <c r="D25" s="250">
        <v>63506</v>
      </c>
      <c r="E25" s="250">
        <v>66174</v>
      </c>
      <c r="F25" s="250">
        <v>63440</v>
      </c>
      <c r="G25" s="250">
        <v>68157</v>
      </c>
      <c r="H25" s="250">
        <v>70197</v>
      </c>
      <c r="I25" s="250">
        <v>72414</v>
      </c>
      <c r="J25" s="250">
        <v>75543</v>
      </c>
      <c r="K25" s="250">
        <v>73286</v>
      </c>
      <c r="L25" s="250">
        <v>75896</v>
      </c>
      <c r="M25" s="250">
        <v>81377</v>
      </c>
    </row>
    <row r="26" spans="1:13" s="36" customFormat="1" ht="16.5" customHeight="1">
      <c r="A26" s="56" t="s">
        <v>38</v>
      </c>
      <c r="B26" s="53" t="s">
        <v>45</v>
      </c>
      <c r="C26" s="248">
        <v>91073</v>
      </c>
      <c r="D26" s="248">
        <v>91458</v>
      </c>
      <c r="E26" s="248">
        <v>89760</v>
      </c>
      <c r="F26" s="248">
        <v>96215</v>
      </c>
      <c r="G26" s="248">
        <v>98823</v>
      </c>
      <c r="H26" s="248">
        <v>101241</v>
      </c>
      <c r="I26" s="248">
        <v>110184</v>
      </c>
      <c r="J26" s="248">
        <v>111024</v>
      </c>
      <c r="K26" s="248">
        <v>104408</v>
      </c>
      <c r="L26" s="248">
        <v>112052</v>
      </c>
      <c r="M26" s="248">
        <v>125576</v>
      </c>
    </row>
    <row r="27" spans="1:13" ht="12.75" customHeight="1">
      <c r="A27" s="50"/>
      <c r="B27" s="57" t="s">
        <v>53</v>
      </c>
      <c r="C27" s="250">
        <v>51039</v>
      </c>
      <c r="D27" s="250">
        <v>52167</v>
      </c>
      <c r="E27" s="250">
        <v>50303</v>
      </c>
      <c r="F27" s="250">
        <v>54194</v>
      </c>
      <c r="G27" s="250">
        <v>54966</v>
      </c>
      <c r="H27" s="250">
        <v>55142</v>
      </c>
      <c r="I27" s="250">
        <v>60727</v>
      </c>
      <c r="J27" s="250">
        <v>60938</v>
      </c>
      <c r="K27" s="250">
        <v>58537</v>
      </c>
      <c r="L27" s="250">
        <v>61099</v>
      </c>
      <c r="M27" s="250">
        <v>67854</v>
      </c>
    </row>
    <row r="28" spans="1:13" ht="12.75" customHeight="1">
      <c r="A28" s="50"/>
      <c r="B28" s="57" t="s">
        <v>54</v>
      </c>
      <c r="C28" s="250">
        <v>40034</v>
      </c>
      <c r="D28" s="250">
        <v>39291</v>
      </c>
      <c r="E28" s="250">
        <v>39457</v>
      </c>
      <c r="F28" s="250">
        <v>42021</v>
      </c>
      <c r="G28" s="250">
        <v>43857</v>
      </c>
      <c r="H28" s="250">
        <v>46099</v>
      </c>
      <c r="I28" s="250">
        <v>49457</v>
      </c>
      <c r="J28" s="250">
        <v>50086</v>
      </c>
      <c r="K28" s="250">
        <v>45871</v>
      </c>
      <c r="L28" s="250">
        <v>50953</v>
      </c>
      <c r="M28" s="250">
        <v>57722</v>
      </c>
    </row>
    <row r="29" spans="1:13" s="36" customFormat="1" ht="16.5" customHeight="1">
      <c r="A29" s="56" t="s">
        <v>39</v>
      </c>
      <c r="B29" s="53" t="s">
        <v>45</v>
      </c>
      <c r="C29" s="248">
        <v>56462</v>
      </c>
      <c r="D29" s="248">
        <v>59282</v>
      </c>
      <c r="E29" s="248">
        <v>63738</v>
      </c>
      <c r="F29" s="248">
        <v>66738</v>
      </c>
      <c r="G29" s="248">
        <v>69035</v>
      </c>
      <c r="H29" s="248">
        <v>78214</v>
      </c>
      <c r="I29" s="248">
        <v>80103</v>
      </c>
      <c r="J29" s="248">
        <v>80426</v>
      </c>
      <c r="K29" s="248">
        <v>81014</v>
      </c>
      <c r="L29" s="248">
        <v>82449</v>
      </c>
      <c r="M29" s="248">
        <v>90661</v>
      </c>
    </row>
    <row r="30" spans="1:13" ht="12.75" customHeight="1">
      <c r="A30" s="50"/>
      <c r="B30" s="57" t="s">
        <v>53</v>
      </c>
      <c r="C30" s="250">
        <v>32031</v>
      </c>
      <c r="D30" s="250">
        <v>32282</v>
      </c>
      <c r="E30" s="250">
        <v>36034</v>
      </c>
      <c r="F30" s="250">
        <v>37318</v>
      </c>
      <c r="G30" s="250">
        <v>40379</v>
      </c>
      <c r="H30" s="250">
        <v>44356</v>
      </c>
      <c r="I30" s="250">
        <v>45248</v>
      </c>
      <c r="J30" s="250">
        <v>45691</v>
      </c>
      <c r="K30" s="250">
        <v>46395</v>
      </c>
      <c r="L30" s="250">
        <v>47162</v>
      </c>
      <c r="M30" s="250">
        <v>53169</v>
      </c>
    </row>
    <row r="31" spans="1:13" ht="12.75" customHeight="1">
      <c r="A31" s="50"/>
      <c r="B31" s="57" t="s">
        <v>54</v>
      </c>
      <c r="C31" s="250">
        <v>24431</v>
      </c>
      <c r="D31" s="250">
        <v>27000</v>
      </c>
      <c r="E31" s="250">
        <v>27704</v>
      </c>
      <c r="F31" s="250">
        <v>29420</v>
      </c>
      <c r="G31" s="250">
        <v>28656</v>
      </c>
      <c r="H31" s="250">
        <v>33858</v>
      </c>
      <c r="I31" s="250">
        <v>34855</v>
      </c>
      <c r="J31" s="250">
        <v>34735</v>
      </c>
      <c r="K31" s="250">
        <v>34619</v>
      </c>
      <c r="L31" s="250">
        <v>35287</v>
      </c>
      <c r="M31" s="250">
        <v>37492</v>
      </c>
    </row>
    <row r="32" spans="1:13" s="36" customFormat="1" ht="16.5" customHeight="1">
      <c r="A32" s="56" t="s">
        <v>40</v>
      </c>
      <c r="B32" s="53" t="s">
        <v>45</v>
      </c>
      <c r="C32" s="248">
        <v>164640</v>
      </c>
      <c r="D32" s="248">
        <v>161861</v>
      </c>
      <c r="E32" s="248">
        <v>155482</v>
      </c>
      <c r="F32" s="248">
        <v>171425</v>
      </c>
      <c r="G32" s="248">
        <v>185474</v>
      </c>
      <c r="H32" s="248">
        <v>199402</v>
      </c>
      <c r="I32" s="248">
        <v>211355</v>
      </c>
      <c r="J32" s="248">
        <v>213289</v>
      </c>
      <c r="K32" s="248">
        <v>205892</v>
      </c>
      <c r="L32" s="248">
        <v>210909</v>
      </c>
      <c r="M32" s="248">
        <v>227442</v>
      </c>
    </row>
    <row r="33" spans="1:13" ht="12.75" customHeight="1">
      <c r="A33" s="50"/>
      <c r="B33" s="57" t="s">
        <v>53</v>
      </c>
      <c r="C33" s="250">
        <v>89526</v>
      </c>
      <c r="D33" s="250">
        <v>89024</v>
      </c>
      <c r="E33" s="250">
        <v>85910</v>
      </c>
      <c r="F33" s="250">
        <v>94472</v>
      </c>
      <c r="G33" s="250">
        <v>102462</v>
      </c>
      <c r="H33" s="250">
        <v>111258</v>
      </c>
      <c r="I33" s="250">
        <v>120086</v>
      </c>
      <c r="J33" s="250">
        <v>118662</v>
      </c>
      <c r="K33" s="250">
        <v>115795</v>
      </c>
      <c r="L33" s="250">
        <v>119110</v>
      </c>
      <c r="M33" s="250">
        <v>125951</v>
      </c>
    </row>
    <row r="34" spans="1:13" ht="12.75" customHeight="1">
      <c r="A34" s="50"/>
      <c r="B34" s="57" t="s">
        <v>54</v>
      </c>
      <c r="C34" s="250">
        <v>75114</v>
      </c>
      <c r="D34" s="250">
        <v>72837</v>
      </c>
      <c r="E34" s="250">
        <v>69572</v>
      </c>
      <c r="F34" s="250">
        <v>76953</v>
      </c>
      <c r="G34" s="250">
        <v>83012</v>
      </c>
      <c r="H34" s="250">
        <v>88144</v>
      </c>
      <c r="I34" s="250">
        <v>91269</v>
      </c>
      <c r="J34" s="250">
        <v>94627</v>
      </c>
      <c r="K34" s="250">
        <v>90097</v>
      </c>
      <c r="L34" s="250">
        <v>91799</v>
      </c>
      <c r="M34" s="250">
        <v>101491</v>
      </c>
    </row>
    <row r="35" spans="1:13" s="36" customFormat="1" ht="16.5" customHeight="1">
      <c r="A35" s="56" t="s">
        <v>41</v>
      </c>
      <c r="B35" s="53" t="s">
        <v>45</v>
      </c>
      <c r="C35" s="248">
        <v>109180</v>
      </c>
      <c r="D35" s="248">
        <v>112215</v>
      </c>
      <c r="E35" s="248">
        <v>120177</v>
      </c>
      <c r="F35" s="248">
        <v>123231</v>
      </c>
      <c r="G35" s="248">
        <v>121604</v>
      </c>
      <c r="H35" s="248">
        <v>128834</v>
      </c>
      <c r="I35" s="248">
        <v>136175</v>
      </c>
      <c r="J35" s="248">
        <v>155965</v>
      </c>
      <c r="K35" s="248">
        <v>155746</v>
      </c>
      <c r="L35" s="248">
        <v>150024</v>
      </c>
      <c r="M35" s="248">
        <v>174819</v>
      </c>
    </row>
    <row r="36" spans="1:13" ht="12.75" customHeight="1">
      <c r="A36" s="50"/>
      <c r="B36" s="57" t="s">
        <v>53</v>
      </c>
      <c r="C36" s="250">
        <v>55416</v>
      </c>
      <c r="D36" s="250">
        <v>57072</v>
      </c>
      <c r="E36" s="250">
        <v>62030</v>
      </c>
      <c r="F36" s="250">
        <v>63811</v>
      </c>
      <c r="G36" s="250">
        <v>63442</v>
      </c>
      <c r="H36" s="250">
        <v>65574</v>
      </c>
      <c r="I36" s="250">
        <v>67601</v>
      </c>
      <c r="J36" s="250">
        <v>77286</v>
      </c>
      <c r="K36" s="250">
        <v>79623</v>
      </c>
      <c r="L36" s="250">
        <v>73533</v>
      </c>
      <c r="M36" s="250">
        <v>90578</v>
      </c>
    </row>
    <row r="37" spans="1:13" ht="12.75" customHeight="1">
      <c r="A37" s="58"/>
      <c r="B37" s="57" t="s">
        <v>54</v>
      </c>
      <c r="C37" s="250">
        <v>53764</v>
      </c>
      <c r="D37" s="250">
        <v>55143</v>
      </c>
      <c r="E37" s="250">
        <v>58147</v>
      </c>
      <c r="F37" s="250">
        <v>59420</v>
      </c>
      <c r="G37" s="250">
        <v>58162</v>
      </c>
      <c r="H37" s="250">
        <v>63260</v>
      </c>
      <c r="I37" s="250">
        <v>68574</v>
      </c>
      <c r="J37" s="250">
        <v>78679</v>
      </c>
      <c r="K37" s="250">
        <v>76123</v>
      </c>
      <c r="L37" s="250">
        <v>76491</v>
      </c>
      <c r="M37" s="250">
        <v>84241</v>
      </c>
    </row>
    <row r="38" spans="1:13" s="36" customFormat="1" ht="16.5" customHeight="1">
      <c r="A38" s="56" t="s">
        <v>72</v>
      </c>
      <c r="B38" s="53" t="s">
        <v>45</v>
      </c>
      <c r="C38" s="248">
        <v>134754</v>
      </c>
      <c r="D38" s="248">
        <v>149020</v>
      </c>
      <c r="E38" s="248">
        <v>171494</v>
      </c>
      <c r="F38" s="248">
        <v>172977</v>
      </c>
      <c r="G38" s="248">
        <v>197476</v>
      </c>
      <c r="H38" s="248">
        <v>220872</v>
      </c>
      <c r="I38" s="248">
        <v>231615</v>
      </c>
      <c r="J38" s="248">
        <v>238330</v>
      </c>
      <c r="K38" s="248">
        <v>236832</v>
      </c>
      <c r="L38" s="248">
        <v>242402</v>
      </c>
      <c r="M38" s="248">
        <v>259154</v>
      </c>
    </row>
    <row r="39" spans="1:13" ht="12.75" customHeight="1">
      <c r="A39" s="58"/>
      <c r="B39" s="57" t="s">
        <v>53</v>
      </c>
      <c r="C39" s="250">
        <v>58762</v>
      </c>
      <c r="D39" s="250">
        <v>63151</v>
      </c>
      <c r="E39" s="250">
        <v>73089</v>
      </c>
      <c r="F39" s="250">
        <v>71212</v>
      </c>
      <c r="G39" s="250">
        <v>82016</v>
      </c>
      <c r="H39" s="250">
        <v>96772</v>
      </c>
      <c r="I39" s="250">
        <v>102699</v>
      </c>
      <c r="J39" s="250">
        <v>106529</v>
      </c>
      <c r="K39" s="250">
        <v>101581</v>
      </c>
      <c r="L39" s="250">
        <v>103876</v>
      </c>
      <c r="M39" s="250">
        <v>112500</v>
      </c>
    </row>
    <row r="40" spans="1:13" ht="12.75" customHeight="1">
      <c r="A40" s="58"/>
      <c r="B40" s="60" t="s">
        <v>54</v>
      </c>
      <c r="C40" s="251">
        <v>75992</v>
      </c>
      <c r="D40" s="251">
        <v>85869</v>
      </c>
      <c r="E40" s="251">
        <v>98405</v>
      </c>
      <c r="F40" s="251">
        <v>101765</v>
      </c>
      <c r="G40" s="251">
        <v>115460</v>
      </c>
      <c r="H40" s="251">
        <v>124100</v>
      </c>
      <c r="I40" s="251">
        <v>128916</v>
      </c>
      <c r="J40" s="251">
        <v>131801</v>
      </c>
      <c r="K40" s="251">
        <v>135251</v>
      </c>
      <c r="L40" s="251">
        <v>138526</v>
      </c>
      <c r="M40" s="251">
        <v>146654</v>
      </c>
    </row>
    <row r="41" spans="1:13" ht="14.25" customHeight="1">
      <c r="A41" s="581" t="s">
        <v>243</v>
      </c>
      <c r="B41" s="581"/>
      <c r="C41" s="581"/>
      <c r="D41" s="581"/>
      <c r="E41" s="581"/>
      <c r="F41" s="581"/>
      <c r="G41" s="581"/>
      <c r="H41" s="581"/>
      <c r="I41" s="581"/>
      <c r="J41" s="55"/>
      <c r="K41" s="55"/>
      <c r="L41" s="55"/>
      <c r="M41" s="55"/>
    </row>
    <row r="42" spans="1:13" ht="15" customHeight="1">
      <c r="A42" s="20" t="s">
        <v>139</v>
      </c>
      <c r="B42" s="31"/>
      <c r="C42" s="55"/>
      <c r="D42" s="55"/>
      <c r="E42" s="55"/>
      <c r="F42" s="55"/>
      <c r="G42" s="55"/>
      <c r="H42" s="55"/>
      <c r="I42" s="55"/>
      <c r="J42" s="55"/>
      <c r="K42" s="55"/>
      <c r="L42" s="55"/>
      <c r="M42" s="55"/>
    </row>
    <row r="43" spans="1:13" ht="15" customHeight="1"/>
  </sheetData>
  <mergeCells count="2">
    <mergeCell ref="A41:I41"/>
    <mergeCell ref="A1:M1"/>
  </mergeCells>
  <phoneticPr fontId="25" type="noConversion"/>
  <conditionalFormatting sqref="A1 N1:XFD3 A2:F4 N4:O8 P4:XFD11 A5:J40 N10:O11 N12:XFD1048576 A41 A42:F1048576">
    <cfRule type="cellIs" dxfId="33" priority="47" operator="equal">
      <formula>0</formula>
    </cfRule>
  </conditionalFormatting>
  <conditionalFormatting sqref="N5:O7">
    <cfRule type="containsText" dxfId="32" priority="43" operator="containsText" text="FALSO">
      <formula>NOT(ISERROR(SEARCH("FALSO",N5)))</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tabColor indexed="25"/>
    <pageSetUpPr fitToPage="1"/>
  </sheetPr>
  <dimension ref="A1:AK24"/>
  <sheetViews>
    <sheetView showGridLines="0" workbookViewId="0">
      <selection activeCell="P8" sqref="P8"/>
    </sheetView>
  </sheetViews>
  <sheetFormatPr defaultColWidth="9.140625" defaultRowHeight="11.25"/>
  <cols>
    <col min="1" max="1" width="14.7109375" style="41" customWidth="1"/>
    <col min="2" max="13" width="7.5703125" style="41" customWidth="1"/>
    <col min="14" max="16384" width="9.140625" style="41"/>
  </cols>
  <sheetData>
    <row r="1" spans="1:37" s="51" customFormat="1" ht="28.5" customHeight="1">
      <c r="A1" s="598" t="s">
        <v>203</v>
      </c>
      <c r="B1" s="598"/>
      <c r="C1" s="598"/>
      <c r="D1" s="598"/>
      <c r="E1" s="598"/>
      <c r="F1" s="598"/>
      <c r="G1" s="598"/>
      <c r="H1" s="598"/>
      <c r="I1" s="598"/>
      <c r="J1" s="598"/>
      <c r="K1" s="598"/>
      <c r="L1" s="598"/>
    </row>
    <row r="2" spans="1:37" s="4" customFormat="1" ht="15" customHeight="1">
      <c r="A2" s="129"/>
      <c r="B2" s="130"/>
      <c r="C2" s="98"/>
      <c r="D2" s="98"/>
      <c r="E2" s="98"/>
      <c r="F2" s="98"/>
      <c r="G2" s="98"/>
      <c r="H2" s="98"/>
      <c r="I2" s="98"/>
      <c r="J2" s="98"/>
      <c r="K2" s="98"/>
      <c r="L2" s="98"/>
    </row>
    <row r="3" spans="1:37" s="4" customFormat="1" ht="15" customHeight="1">
      <c r="A3" s="131" t="s">
        <v>14</v>
      </c>
      <c r="B3" s="98"/>
      <c r="C3" s="98"/>
      <c r="D3" s="98"/>
      <c r="E3" s="98"/>
      <c r="F3" s="98"/>
      <c r="G3" s="98"/>
      <c r="H3" s="98"/>
      <c r="I3" s="98"/>
      <c r="J3" s="98"/>
      <c r="K3" s="98"/>
      <c r="L3" s="98"/>
    </row>
    <row r="4" spans="1:37" s="4" customFormat="1" ht="28.5" customHeight="1" thickBot="1">
      <c r="A4" s="14"/>
      <c r="B4" s="15">
        <v>2012</v>
      </c>
      <c r="C4" s="15">
        <v>2013</v>
      </c>
      <c r="D4" s="15">
        <v>2014</v>
      </c>
      <c r="E4" s="15">
        <v>2015</v>
      </c>
      <c r="F4" s="15">
        <v>2016</v>
      </c>
      <c r="G4" s="15">
        <v>2017</v>
      </c>
      <c r="H4" s="15">
        <v>2018</v>
      </c>
      <c r="I4" s="15">
        <v>2019</v>
      </c>
      <c r="J4" s="15">
        <v>2020</v>
      </c>
      <c r="K4" s="15">
        <v>2021</v>
      </c>
      <c r="L4" s="15">
        <v>2022</v>
      </c>
      <c r="O4" s="327"/>
      <c r="P4" s="345">
        <f>+B4</f>
        <v>2012</v>
      </c>
      <c r="Q4" s="345">
        <f t="shared" ref="Q4:W4" si="0">+C4</f>
        <v>2013</v>
      </c>
      <c r="R4" s="345">
        <f t="shared" si="0"/>
        <v>2014</v>
      </c>
      <c r="S4" s="345">
        <f t="shared" si="0"/>
        <v>2015</v>
      </c>
      <c r="T4" s="345">
        <f t="shared" si="0"/>
        <v>2016</v>
      </c>
      <c r="U4" s="345">
        <f t="shared" si="0"/>
        <v>2017</v>
      </c>
      <c r="V4" s="345">
        <f t="shared" si="0"/>
        <v>2018</v>
      </c>
      <c r="W4" s="345">
        <f t="shared" si="0"/>
        <v>2019</v>
      </c>
      <c r="X4" s="345">
        <f>+J4</f>
        <v>2020</v>
      </c>
      <c r="Y4" s="345">
        <f t="shared" ref="Y4:Z4" si="1">+K4</f>
        <v>2021</v>
      </c>
      <c r="Z4" s="345">
        <f t="shared" si="1"/>
        <v>2022</v>
      </c>
      <c r="AA4" s="345">
        <f>+B4</f>
        <v>2012</v>
      </c>
      <c r="AB4" s="345">
        <f t="shared" ref="AB4:AJ4" si="2">+C4</f>
        <v>2013</v>
      </c>
      <c r="AC4" s="345">
        <f t="shared" si="2"/>
        <v>2014</v>
      </c>
      <c r="AD4" s="345">
        <f t="shared" si="2"/>
        <v>2015</v>
      </c>
      <c r="AE4" s="345">
        <f t="shared" si="2"/>
        <v>2016</v>
      </c>
      <c r="AF4" s="345">
        <f t="shared" si="2"/>
        <v>2017</v>
      </c>
      <c r="AG4" s="345">
        <f t="shared" si="2"/>
        <v>2018</v>
      </c>
      <c r="AH4" s="345">
        <f t="shared" si="2"/>
        <v>2019</v>
      </c>
      <c r="AI4" s="345">
        <f t="shared" si="2"/>
        <v>2020</v>
      </c>
      <c r="AJ4" s="345">
        <f t="shared" si="2"/>
        <v>2021</v>
      </c>
      <c r="AK4" s="345">
        <f>+L4</f>
        <v>2022</v>
      </c>
    </row>
    <row r="5" spans="1:37" s="4" customFormat="1" ht="20.25" customHeight="1" thickTop="1">
      <c r="A5" s="16" t="s">
        <v>12</v>
      </c>
      <c r="B5" s="244">
        <v>2387386</v>
      </c>
      <c r="C5" s="244">
        <v>2384121</v>
      </c>
      <c r="D5" s="244">
        <v>2458163</v>
      </c>
      <c r="E5" s="244">
        <v>2537653</v>
      </c>
      <c r="F5" s="244">
        <v>2641919</v>
      </c>
      <c r="G5" s="244">
        <v>2767521</v>
      </c>
      <c r="H5" s="244">
        <v>2877918</v>
      </c>
      <c r="I5" s="244">
        <v>2930482</v>
      </c>
      <c r="J5" s="244">
        <v>2902825</v>
      </c>
      <c r="K5" s="244">
        <v>2922343</v>
      </c>
      <c r="L5" s="244">
        <v>3148147</v>
      </c>
    </row>
    <row r="6" spans="1:37" s="4" customFormat="1" ht="20.25" customHeight="1">
      <c r="A6" s="16" t="s">
        <v>15</v>
      </c>
      <c r="B6" s="239">
        <v>183040</v>
      </c>
      <c r="C6" s="239">
        <v>183121</v>
      </c>
      <c r="D6" s="239">
        <v>188531</v>
      </c>
      <c r="E6" s="239">
        <v>193207</v>
      </c>
      <c r="F6" s="239">
        <v>201583</v>
      </c>
      <c r="G6" s="239">
        <v>211076</v>
      </c>
      <c r="H6" s="239">
        <v>219148</v>
      </c>
      <c r="I6" s="239">
        <v>221154</v>
      </c>
      <c r="J6" s="239">
        <v>218824</v>
      </c>
      <c r="K6" s="239">
        <v>219217</v>
      </c>
      <c r="L6" s="239">
        <v>234940</v>
      </c>
      <c r="N6" s="499">
        <f>+(L6/B6-1)*100</f>
        <v>28.35445804195804</v>
      </c>
      <c r="O6" s="344">
        <f t="shared" ref="O6:O10" si="3">+L6-B6</f>
        <v>51900</v>
      </c>
      <c r="P6" s="499">
        <f>B6*100/B$5</f>
        <v>7.6669629460841273</v>
      </c>
      <c r="Q6" s="499">
        <f t="shared" ref="Q6:Z21" si="4">C6*100/C$5</f>
        <v>7.6808601576849496</v>
      </c>
      <c r="R6" s="499">
        <f t="shared" si="4"/>
        <v>7.6695890386438981</v>
      </c>
      <c r="S6" s="499">
        <f t="shared" si="4"/>
        <v>7.6136098985952767</v>
      </c>
      <c r="T6" s="499">
        <f t="shared" si="4"/>
        <v>7.6301733701903807</v>
      </c>
      <c r="U6" s="499">
        <f t="shared" si="4"/>
        <v>7.626897862744312</v>
      </c>
      <c r="V6" s="499">
        <f t="shared" si="4"/>
        <v>7.6148104289281351</v>
      </c>
      <c r="W6" s="499">
        <f t="shared" si="4"/>
        <v>7.5466766217980528</v>
      </c>
      <c r="X6" s="499">
        <f t="shared" si="4"/>
        <v>7.5383118169369494</v>
      </c>
      <c r="Y6" s="499">
        <f t="shared" si="4"/>
        <v>7.5014123940961071</v>
      </c>
      <c r="Z6" s="499">
        <f t="shared" si="4"/>
        <v>7.4628027217280515</v>
      </c>
      <c r="AA6" s="4">
        <f>+RANK(B6,B$6:B$23,0)</f>
        <v>4</v>
      </c>
      <c r="AB6" s="4">
        <f t="shared" ref="AB6:AK21" si="5">+RANK(C6,C$6:C$23,0)</f>
        <v>4</v>
      </c>
      <c r="AC6" s="4">
        <f t="shared" si="5"/>
        <v>4</v>
      </c>
      <c r="AD6" s="4">
        <f t="shared" si="5"/>
        <v>4</v>
      </c>
      <c r="AE6" s="4">
        <f t="shared" si="5"/>
        <v>4</v>
      </c>
      <c r="AF6" s="4">
        <f t="shared" si="5"/>
        <v>4</v>
      </c>
      <c r="AG6" s="4">
        <f t="shared" si="5"/>
        <v>4</v>
      </c>
      <c r="AH6" s="4">
        <f t="shared" si="5"/>
        <v>4</v>
      </c>
      <c r="AI6" s="4">
        <f t="shared" si="5"/>
        <v>4</v>
      </c>
      <c r="AJ6" s="4">
        <f t="shared" si="5"/>
        <v>4</v>
      </c>
      <c r="AK6" s="4">
        <f>+RANK(L6,L$6:L$23,0)</f>
        <v>4</v>
      </c>
    </row>
    <row r="7" spans="1:37" s="4" customFormat="1" ht="15" customHeight="1">
      <c r="A7" s="16" t="s">
        <v>16</v>
      </c>
      <c r="B7" s="239">
        <v>27295</v>
      </c>
      <c r="C7" s="239">
        <v>27466</v>
      </c>
      <c r="D7" s="239">
        <v>28261</v>
      </c>
      <c r="E7" s="239">
        <v>30156</v>
      </c>
      <c r="F7" s="239">
        <v>31333</v>
      </c>
      <c r="G7" s="239">
        <v>33532</v>
      </c>
      <c r="H7" s="239">
        <v>34861</v>
      </c>
      <c r="I7" s="239">
        <v>36824</v>
      </c>
      <c r="J7" s="239">
        <v>39057</v>
      </c>
      <c r="K7" s="239">
        <v>39335</v>
      </c>
      <c r="L7" s="239">
        <v>43289</v>
      </c>
      <c r="N7" s="499">
        <f t="shared" ref="N7:N23" si="6">+(L7/B7-1)*100</f>
        <v>58.59681260304086</v>
      </c>
      <c r="O7" s="344">
        <f t="shared" si="3"/>
        <v>15994</v>
      </c>
      <c r="P7" s="499">
        <f t="shared" ref="P7:Z23" si="7">B7*100/B$5</f>
        <v>1.143300664408688</v>
      </c>
      <c r="Q7" s="499">
        <f t="shared" si="4"/>
        <v>1.1520388436660722</v>
      </c>
      <c r="R7" s="499">
        <f t="shared" si="4"/>
        <v>1.1496796591601126</v>
      </c>
      <c r="S7" s="499">
        <f t="shared" si="4"/>
        <v>1.1883421413408375</v>
      </c>
      <c r="T7" s="499">
        <f t="shared" si="4"/>
        <v>1.1859939687779981</v>
      </c>
      <c r="U7" s="499">
        <f t="shared" si="4"/>
        <v>1.2116258557748976</v>
      </c>
      <c r="V7" s="499">
        <f t="shared" si="4"/>
        <v>1.2113270774219418</v>
      </c>
      <c r="W7" s="499">
        <f t="shared" si="4"/>
        <v>1.2565850941926959</v>
      </c>
      <c r="X7" s="499">
        <f t="shared" si="4"/>
        <v>1.3454824179893725</v>
      </c>
      <c r="Y7" s="499">
        <f t="shared" si="4"/>
        <v>1.3460090071562441</v>
      </c>
      <c r="Z7" s="499">
        <f t="shared" si="4"/>
        <v>1.3750628544346881</v>
      </c>
      <c r="AA7" s="4">
        <f t="shared" ref="AA7:AK23" si="8">+RANK(B7,B$6:B$23,0)</f>
        <v>15</v>
      </c>
      <c r="AB7" s="4">
        <f t="shared" si="5"/>
        <v>15</v>
      </c>
      <c r="AC7" s="4">
        <f t="shared" si="5"/>
        <v>15</v>
      </c>
      <c r="AD7" s="4">
        <f t="shared" si="5"/>
        <v>14</v>
      </c>
      <c r="AE7" s="4">
        <f t="shared" si="5"/>
        <v>14</v>
      </c>
      <c r="AF7" s="4">
        <f t="shared" si="5"/>
        <v>14</v>
      </c>
      <c r="AG7" s="4">
        <f t="shared" si="5"/>
        <v>14</v>
      </c>
      <c r="AH7" s="4">
        <f t="shared" si="5"/>
        <v>14</v>
      </c>
      <c r="AI7" s="4">
        <f t="shared" si="5"/>
        <v>12</v>
      </c>
      <c r="AJ7" s="4">
        <f t="shared" si="5"/>
        <v>12</v>
      </c>
      <c r="AK7" s="4">
        <f t="shared" si="5"/>
        <v>12</v>
      </c>
    </row>
    <row r="8" spans="1:37" s="4" customFormat="1" ht="15" customHeight="1">
      <c r="A8" s="16" t="s">
        <v>66</v>
      </c>
      <c r="B8" s="239">
        <v>212191</v>
      </c>
      <c r="C8" s="239">
        <v>213863</v>
      </c>
      <c r="D8" s="239">
        <v>223498</v>
      </c>
      <c r="E8" s="239">
        <v>232168</v>
      </c>
      <c r="F8" s="239">
        <v>243606</v>
      </c>
      <c r="G8" s="239">
        <v>254948</v>
      </c>
      <c r="H8" s="239">
        <v>264675</v>
      </c>
      <c r="I8" s="239">
        <v>261930</v>
      </c>
      <c r="J8" s="239">
        <v>263588</v>
      </c>
      <c r="K8" s="239">
        <v>266470</v>
      </c>
      <c r="L8" s="239">
        <v>285498</v>
      </c>
      <c r="N8" s="499">
        <f t="shared" si="6"/>
        <v>34.547648109486275</v>
      </c>
      <c r="O8" s="344">
        <f t="shared" si="3"/>
        <v>73307</v>
      </c>
      <c r="P8" s="499">
        <f t="shared" si="7"/>
        <v>8.8880055424635991</v>
      </c>
      <c r="Q8" s="499">
        <f t="shared" si="4"/>
        <v>8.9703081345284073</v>
      </c>
      <c r="R8" s="499">
        <f t="shared" si="4"/>
        <v>9.0920740406555627</v>
      </c>
      <c r="S8" s="499">
        <f t="shared" si="4"/>
        <v>9.1489261928246304</v>
      </c>
      <c r="T8" s="499">
        <f t="shared" si="4"/>
        <v>9.2207974582112477</v>
      </c>
      <c r="U8" s="499">
        <f t="shared" si="4"/>
        <v>9.2121432863562731</v>
      </c>
      <c r="V8" s="499">
        <f t="shared" si="4"/>
        <v>9.1967526524383256</v>
      </c>
      <c r="W8" s="499">
        <f t="shared" si="4"/>
        <v>8.938120077175018</v>
      </c>
      <c r="X8" s="499">
        <f t="shared" si="4"/>
        <v>9.0803958213119973</v>
      </c>
      <c r="Y8" s="499">
        <f t="shared" si="4"/>
        <v>9.1183683777024118</v>
      </c>
      <c r="Z8" s="499">
        <f t="shared" si="4"/>
        <v>9.0687633074313236</v>
      </c>
      <c r="AA8" s="4">
        <f t="shared" si="8"/>
        <v>3</v>
      </c>
      <c r="AB8" s="4">
        <f t="shared" si="5"/>
        <v>3</v>
      </c>
      <c r="AC8" s="4">
        <f t="shared" si="5"/>
        <v>3</v>
      </c>
      <c r="AD8" s="4">
        <f t="shared" si="5"/>
        <v>3</v>
      </c>
      <c r="AE8" s="4">
        <f t="shared" si="5"/>
        <v>3</v>
      </c>
      <c r="AF8" s="4">
        <f t="shared" si="5"/>
        <v>3</v>
      </c>
      <c r="AG8" s="4">
        <f t="shared" si="5"/>
        <v>3</v>
      </c>
      <c r="AH8" s="4">
        <f t="shared" si="5"/>
        <v>3</v>
      </c>
      <c r="AI8" s="4">
        <f t="shared" si="5"/>
        <v>3</v>
      </c>
      <c r="AJ8" s="4">
        <f t="shared" si="5"/>
        <v>3</v>
      </c>
      <c r="AK8" s="4">
        <f t="shared" si="5"/>
        <v>3</v>
      </c>
    </row>
    <row r="9" spans="1:37" s="4" customFormat="1" ht="15" customHeight="1">
      <c r="A9" s="16" t="s">
        <v>17</v>
      </c>
      <c r="B9" s="239">
        <v>17928</v>
      </c>
      <c r="C9" s="239">
        <v>17863</v>
      </c>
      <c r="D9" s="239">
        <v>18027</v>
      </c>
      <c r="E9" s="239">
        <v>18508</v>
      </c>
      <c r="F9" s="239">
        <v>18920</v>
      </c>
      <c r="G9" s="239">
        <v>19168</v>
      </c>
      <c r="H9" s="239">
        <v>19762</v>
      </c>
      <c r="I9" s="239">
        <v>19512</v>
      </c>
      <c r="J9" s="239">
        <v>20332</v>
      </c>
      <c r="K9" s="239">
        <v>20601</v>
      </c>
      <c r="L9" s="239">
        <v>21226</v>
      </c>
      <c r="N9" s="499">
        <f t="shared" si="6"/>
        <v>18.395805443998213</v>
      </c>
      <c r="O9" s="344">
        <f t="shared" si="3"/>
        <v>3298</v>
      </c>
      <c r="P9" s="499">
        <f t="shared" si="7"/>
        <v>0.75094685149364204</v>
      </c>
      <c r="Q9" s="499">
        <f t="shared" si="4"/>
        <v>0.74924888459939742</v>
      </c>
      <c r="R9" s="499">
        <f t="shared" si="4"/>
        <v>0.73335250754323456</v>
      </c>
      <c r="S9" s="499">
        <f t="shared" si="4"/>
        <v>0.7293353346576541</v>
      </c>
      <c r="T9" s="499">
        <f t="shared" si="4"/>
        <v>0.71614610440365511</v>
      </c>
      <c r="U9" s="499">
        <f t="shared" si="4"/>
        <v>0.69260540389756753</v>
      </c>
      <c r="V9" s="499">
        <f t="shared" si="4"/>
        <v>0.68667696577873305</v>
      </c>
      <c r="W9" s="499">
        <f t="shared" si="4"/>
        <v>0.66582903426808282</v>
      </c>
      <c r="X9" s="499">
        <f t="shared" si="4"/>
        <v>0.70042114147425349</v>
      </c>
      <c r="Y9" s="499">
        <f t="shared" si="4"/>
        <v>0.70494805024598417</v>
      </c>
      <c r="Z9" s="499">
        <f t="shared" si="4"/>
        <v>0.67423789295734915</v>
      </c>
      <c r="AA9" s="4">
        <f t="shared" si="8"/>
        <v>18</v>
      </c>
      <c r="AB9" s="4">
        <f t="shared" si="5"/>
        <v>18</v>
      </c>
      <c r="AC9" s="4">
        <f t="shared" si="5"/>
        <v>18</v>
      </c>
      <c r="AD9" s="4">
        <f t="shared" si="5"/>
        <v>18</v>
      </c>
      <c r="AE9" s="4">
        <f t="shared" si="5"/>
        <v>18</v>
      </c>
      <c r="AF9" s="4">
        <f t="shared" si="5"/>
        <v>18</v>
      </c>
      <c r="AG9" s="4">
        <f t="shared" si="5"/>
        <v>18</v>
      </c>
      <c r="AH9" s="4">
        <f t="shared" si="5"/>
        <v>18</v>
      </c>
      <c r="AI9" s="4">
        <f t="shared" si="5"/>
        <v>18</v>
      </c>
      <c r="AJ9" s="4">
        <f t="shared" si="5"/>
        <v>17</v>
      </c>
      <c r="AK9" s="4">
        <f t="shared" si="5"/>
        <v>18</v>
      </c>
    </row>
    <row r="10" spans="1:37" s="4" customFormat="1" ht="15" customHeight="1">
      <c r="A10" s="16" t="s">
        <v>18</v>
      </c>
      <c r="B10" s="239">
        <v>35105</v>
      </c>
      <c r="C10" s="239">
        <v>34335</v>
      </c>
      <c r="D10" s="239">
        <v>35837</v>
      </c>
      <c r="E10" s="239">
        <v>35619</v>
      </c>
      <c r="F10" s="239">
        <v>36035</v>
      </c>
      <c r="G10" s="239">
        <v>36753</v>
      </c>
      <c r="H10" s="239">
        <v>38953</v>
      </c>
      <c r="I10" s="239">
        <v>38009</v>
      </c>
      <c r="J10" s="239">
        <v>37294</v>
      </c>
      <c r="K10" s="239">
        <v>37537</v>
      </c>
      <c r="L10" s="239">
        <v>39840</v>
      </c>
      <c r="N10" s="499">
        <f t="shared" si="6"/>
        <v>13.488107107249681</v>
      </c>
      <c r="O10" s="344">
        <f t="shared" si="3"/>
        <v>4735</v>
      </c>
      <c r="P10" s="499">
        <f t="shared" si="7"/>
        <v>1.4704367035745372</v>
      </c>
      <c r="Q10" s="499">
        <f t="shared" si="4"/>
        <v>1.4401534150322068</v>
      </c>
      <c r="R10" s="499">
        <f t="shared" si="4"/>
        <v>1.4578772847854271</v>
      </c>
      <c r="S10" s="499">
        <f t="shared" si="4"/>
        <v>1.4036198014464547</v>
      </c>
      <c r="T10" s="499">
        <f t="shared" si="4"/>
        <v>1.3639706592064329</v>
      </c>
      <c r="U10" s="499">
        <f t="shared" si="4"/>
        <v>1.3280116031639868</v>
      </c>
      <c r="V10" s="499">
        <f t="shared" si="4"/>
        <v>1.3535131994726743</v>
      </c>
      <c r="W10" s="499">
        <f t="shared" si="4"/>
        <v>1.2970221281004286</v>
      </c>
      <c r="X10" s="499">
        <f t="shared" si="4"/>
        <v>1.2847484777759597</v>
      </c>
      <c r="Y10" s="499">
        <f t="shared" si="4"/>
        <v>1.2844830329636185</v>
      </c>
      <c r="Z10" s="499">
        <f t="shared" si="4"/>
        <v>1.2655063438905489</v>
      </c>
      <c r="AA10" s="4">
        <f t="shared" si="8"/>
        <v>12</v>
      </c>
      <c r="AB10" s="4">
        <f t="shared" si="5"/>
        <v>12</v>
      </c>
      <c r="AC10" s="4">
        <f t="shared" si="5"/>
        <v>12</v>
      </c>
      <c r="AD10" s="4">
        <f t="shared" si="5"/>
        <v>12</v>
      </c>
      <c r="AE10" s="4">
        <f t="shared" si="5"/>
        <v>12</v>
      </c>
      <c r="AF10" s="4">
        <f t="shared" si="5"/>
        <v>12</v>
      </c>
      <c r="AG10" s="4">
        <f t="shared" si="5"/>
        <v>12</v>
      </c>
      <c r="AH10" s="4">
        <f t="shared" si="5"/>
        <v>13</v>
      </c>
      <c r="AI10" s="4">
        <f t="shared" si="5"/>
        <v>14</v>
      </c>
      <c r="AJ10" s="4">
        <f t="shared" si="5"/>
        <v>14</v>
      </c>
      <c r="AK10" s="4">
        <f t="shared" si="5"/>
        <v>14</v>
      </c>
    </row>
    <row r="11" spans="1:37" s="4" customFormat="1" ht="15" customHeight="1">
      <c r="A11" s="16" t="s">
        <v>19</v>
      </c>
      <c r="B11" s="239">
        <v>86456</v>
      </c>
      <c r="C11" s="239">
        <v>85563</v>
      </c>
      <c r="D11" s="239">
        <v>84401</v>
      </c>
      <c r="E11" s="239">
        <v>87151</v>
      </c>
      <c r="F11" s="239">
        <v>88449</v>
      </c>
      <c r="G11" s="239">
        <v>92904</v>
      </c>
      <c r="H11" s="239">
        <v>93788</v>
      </c>
      <c r="I11" s="239">
        <v>94736</v>
      </c>
      <c r="J11" s="239">
        <v>95872</v>
      </c>
      <c r="K11" s="239">
        <v>95954</v>
      </c>
      <c r="L11" s="239">
        <v>101940</v>
      </c>
      <c r="N11" s="499">
        <f t="shared" si="6"/>
        <v>17.909688165078187</v>
      </c>
      <c r="O11" s="344">
        <f t="shared" ref="O11:O23" si="9">+L11-B11</f>
        <v>15484</v>
      </c>
      <c r="P11" s="499">
        <f t="shared" si="7"/>
        <v>3.621366632794194</v>
      </c>
      <c r="Q11" s="499">
        <f t="shared" si="4"/>
        <v>3.5888698602126317</v>
      </c>
      <c r="R11" s="499">
        <f t="shared" si="4"/>
        <v>3.4334989176877206</v>
      </c>
      <c r="S11" s="499">
        <f t="shared" si="4"/>
        <v>3.4343150935135736</v>
      </c>
      <c r="T11" s="499">
        <f t="shared" si="4"/>
        <v>3.3479073355390532</v>
      </c>
      <c r="U11" s="499">
        <f t="shared" si="4"/>
        <v>3.3569392969375844</v>
      </c>
      <c r="V11" s="499">
        <f t="shared" si="4"/>
        <v>3.2588836791041302</v>
      </c>
      <c r="W11" s="499">
        <f t="shared" si="4"/>
        <v>3.2327787715467968</v>
      </c>
      <c r="X11" s="499">
        <f t="shared" si="4"/>
        <v>3.3027137357574086</v>
      </c>
      <c r="Y11" s="499">
        <f t="shared" si="4"/>
        <v>3.2834612500996632</v>
      </c>
      <c r="Z11" s="499">
        <f t="shared" si="4"/>
        <v>3.238095298599462</v>
      </c>
      <c r="AA11" s="4">
        <f t="shared" si="8"/>
        <v>9</v>
      </c>
      <c r="AB11" s="4">
        <f t="shared" si="5"/>
        <v>9</v>
      </c>
      <c r="AC11" s="4">
        <f t="shared" si="5"/>
        <v>9</v>
      </c>
      <c r="AD11" s="4">
        <f t="shared" si="5"/>
        <v>9</v>
      </c>
      <c r="AE11" s="4">
        <f t="shared" si="5"/>
        <v>9</v>
      </c>
      <c r="AF11" s="4">
        <f t="shared" si="5"/>
        <v>9</v>
      </c>
      <c r="AG11" s="4">
        <f t="shared" si="5"/>
        <v>9</v>
      </c>
      <c r="AH11" s="4">
        <f t="shared" si="5"/>
        <v>9</v>
      </c>
      <c r="AI11" s="4">
        <f t="shared" si="5"/>
        <v>9</v>
      </c>
      <c r="AJ11" s="4">
        <f t="shared" si="5"/>
        <v>9</v>
      </c>
      <c r="AK11" s="4">
        <f t="shared" si="5"/>
        <v>9</v>
      </c>
    </row>
    <row r="12" spans="1:37" s="4" customFormat="1" ht="15" customHeight="1">
      <c r="A12" s="16" t="s">
        <v>20</v>
      </c>
      <c r="B12" s="239">
        <v>32525</v>
      </c>
      <c r="C12" s="239">
        <v>31718</v>
      </c>
      <c r="D12" s="239">
        <v>32529</v>
      </c>
      <c r="E12" s="239">
        <v>34031</v>
      </c>
      <c r="F12" s="239">
        <v>35370</v>
      </c>
      <c r="G12" s="239">
        <v>36298</v>
      </c>
      <c r="H12" s="239">
        <v>38027</v>
      </c>
      <c r="I12" s="239">
        <v>38257</v>
      </c>
      <c r="J12" s="239">
        <v>37783</v>
      </c>
      <c r="K12" s="239">
        <v>38189</v>
      </c>
      <c r="L12" s="239">
        <v>40691</v>
      </c>
      <c r="N12" s="499">
        <f t="shared" si="6"/>
        <v>25.106840891621829</v>
      </c>
      <c r="O12" s="344">
        <f t="shared" si="9"/>
        <v>8166</v>
      </c>
      <c r="P12" s="499">
        <f t="shared" si="7"/>
        <v>1.3623687162444615</v>
      </c>
      <c r="Q12" s="499">
        <f t="shared" si="4"/>
        <v>1.3303854963737158</v>
      </c>
      <c r="R12" s="499">
        <f t="shared" si="4"/>
        <v>1.3233052486755355</v>
      </c>
      <c r="S12" s="499">
        <f t="shared" si="4"/>
        <v>1.341042293804551</v>
      </c>
      <c r="T12" s="499">
        <f t="shared" si="4"/>
        <v>1.338799561985057</v>
      </c>
      <c r="U12" s="499">
        <f t="shared" si="4"/>
        <v>1.3115708968423365</v>
      </c>
      <c r="V12" s="499">
        <f t="shared" si="4"/>
        <v>1.32133716110049</v>
      </c>
      <c r="W12" s="499">
        <f t="shared" si="4"/>
        <v>1.3054848997536923</v>
      </c>
      <c r="X12" s="499">
        <f t="shared" si="4"/>
        <v>1.3015941367461008</v>
      </c>
      <c r="Y12" s="499">
        <f t="shared" si="4"/>
        <v>1.3067938979099989</v>
      </c>
      <c r="Z12" s="499">
        <f t="shared" si="4"/>
        <v>1.2925381184550786</v>
      </c>
      <c r="AA12" s="4">
        <f t="shared" si="8"/>
        <v>13</v>
      </c>
      <c r="AB12" s="4">
        <f t="shared" si="5"/>
        <v>13</v>
      </c>
      <c r="AC12" s="4">
        <f t="shared" si="5"/>
        <v>13</v>
      </c>
      <c r="AD12" s="4">
        <f t="shared" si="5"/>
        <v>13</v>
      </c>
      <c r="AE12" s="4">
        <f t="shared" si="5"/>
        <v>13</v>
      </c>
      <c r="AF12" s="4">
        <f t="shared" si="5"/>
        <v>13</v>
      </c>
      <c r="AG12" s="4">
        <f t="shared" si="5"/>
        <v>13</v>
      </c>
      <c r="AH12" s="4">
        <f t="shared" si="5"/>
        <v>12</v>
      </c>
      <c r="AI12" s="4">
        <f t="shared" si="5"/>
        <v>13</v>
      </c>
      <c r="AJ12" s="4">
        <f t="shared" si="5"/>
        <v>13</v>
      </c>
      <c r="AK12" s="4">
        <f t="shared" si="5"/>
        <v>13</v>
      </c>
    </row>
    <row r="13" spans="1:37" s="4" customFormat="1" ht="15" customHeight="1">
      <c r="A13" s="16" t="s">
        <v>21</v>
      </c>
      <c r="B13" s="239">
        <v>105489</v>
      </c>
      <c r="C13" s="239">
        <v>104938</v>
      </c>
      <c r="D13" s="239">
        <v>109922</v>
      </c>
      <c r="E13" s="239">
        <v>117234</v>
      </c>
      <c r="F13" s="239">
        <v>125990</v>
      </c>
      <c r="G13" s="239">
        <v>135848</v>
      </c>
      <c r="H13" s="239">
        <v>144110</v>
      </c>
      <c r="I13" s="239">
        <v>149611</v>
      </c>
      <c r="J13" s="239">
        <v>133944</v>
      </c>
      <c r="K13" s="239">
        <v>137936</v>
      </c>
      <c r="L13" s="239">
        <v>154670</v>
      </c>
      <c r="N13" s="499">
        <f t="shared" si="6"/>
        <v>46.621922664922401</v>
      </c>
      <c r="O13" s="344">
        <f t="shared" si="9"/>
        <v>49181</v>
      </c>
      <c r="P13" s="499">
        <f t="shared" si="7"/>
        <v>4.4185984168458727</v>
      </c>
      <c r="Q13" s="499">
        <f t="shared" si="4"/>
        <v>4.4015383447400529</v>
      </c>
      <c r="R13" s="499">
        <f t="shared" si="4"/>
        <v>4.4717132265028807</v>
      </c>
      <c r="S13" s="499">
        <f t="shared" si="4"/>
        <v>4.6197805610144496</v>
      </c>
      <c r="T13" s="499">
        <f t="shared" si="4"/>
        <v>4.768882013415249</v>
      </c>
      <c r="U13" s="499">
        <f t="shared" si="4"/>
        <v>4.9086529063374771</v>
      </c>
      <c r="V13" s="499">
        <f t="shared" si="4"/>
        <v>5.0074394058482552</v>
      </c>
      <c r="W13" s="499">
        <f t="shared" si="4"/>
        <v>5.1053376202276626</v>
      </c>
      <c r="X13" s="499">
        <f t="shared" si="4"/>
        <v>4.6142636914040631</v>
      </c>
      <c r="Y13" s="499">
        <f t="shared" si="4"/>
        <v>4.7200482626440499</v>
      </c>
      <c r="Z13" s="499">
        <f t="shared" si="4"/>
        <v>4.9130488506413457</v>
      </c>
      <c r="AA13" s="4">
        <f t="shared" si="8"/>
        <v>7</v>
      </c>
      <c r="AB13" s="4">
        <f t="shared" si="5"/>
        <v>7</v>
      </c>
      <c r="AC13" s="4">
        <f t="shared" si="5"/>
        <v>7</v>
      </c>
      <c r="AD13" s="4">
        <f t="shared" si="5"/>
        <v>7</v>
      </c>
      <c r="AE13" s="4">
        <f t="shared" si="5"/>
        <v>6</v>
      </c>
      <c r="AF13" s="4">
        <f t="shared" si="5"/>
        <v>6</v>
      </c>
      <c r="AG13" s="4">
        <f t="shared" si="5"/>
        <v>6</v>
      </c>
      <c r="AH13" s="4">
        <f t="shared" si="5"/>
        <v>6</v>
      </c>
      <c r="AI13" s="4">
        <f t="shared" si="5"/>
        <v>7</v>
      </c>
      <c r="AJ13" s="4">
        <f t="shared" si="5"/>
        <v>7</v>
      </c>
      <c r="AK13" s="4">
        <f t="shared" si="5"/>
        <v>6</v>
      </c>
    </row>
    <row r="14" spans="1:37" s="4" customFormat="1" ht="15" customHeight="1">
      <c r="A14" s="16" t="s">
        <v>22</v>
      </c>
      <c r="B14" s="239">
        <v>26082</v>
      </c>
      <c r="C14" s="239">
        <v>25577</v>
      </c>
      <c r="D14" s="239">
        <v>26046</v>
      </c>
      <c r="E14" s="239">
        <v>26456</v>
      </c>
      <c r="F14" s="239">
        <v>26786</v>
      </c>
      <c r="G14" s="239">
        <v>27741</v>
      </c>
      <c r="H14" s="239">
        <v>28412</v>
      </c>
      <c r="I14" s="239">
        <v>28057</v>
      </c>
      <c r="J14" s="239">
        <v>28646</v>
      </c>
      <c r="K14" s="239">
        <v>28719</v>
      </c>
      <c r="L14" s="239">
        <v>29721</v>
      </c>
      <c r="N14" s="499">
        <f t="shared" si="6"/>
        <v>13.952150908672657</v>
      </c>
      <c r="O14" s="344">
        <f t="shared" si="9"/>
        <v>3639</v>
      </c>
      <c r="P14" s="499">
        <f t="shared" si="7"/>
        <v>1.0924919556368347</v>
      </c>
      <c r="Q14" s="499">
        <f t="shared" si="4"/>
        <v>1.0728062879358891</v>
      </c>
      <c r="R14" s="499">
        <f t="shared" si="4"/>
        <v>1.0595717208338096</v>
      </c>
      <c r="S14" s="499">
        <f t="shared" si="4"/>
        <v>1.04253812479484</v>
      </c>
      <c r="T14" s="499">
        <f t="shared" si="4"/>
        <v>1.0138842258222149</v>
      </c>
      <c r="U14" s="499">
        <f t="shared" si="4"/>
        <v>1.0023772177338492</v>
      </c>
      <c r="V14" s="499">
        <f t="shared" si="4"/>
        <v>0.98724147109125415</v>
      </c>
      <c r="W14" s="499">
        <f t="shared" si="4"/>
        <v>0.95741929143396887</v>
      </c>
      <c r="X14" s="499">
        <f t="shared" si="4"/>
        <v>0.98683179316700109</v>
      </c>
      <c r="Y14" s="499">
        <f t="shared" si="4"/>
        <v>0.98273885029922903</v>
      </c>
      <c r="Z14" s="499">
        <f t="shared" si="4"/>
        <v>0.94407916784063772</v>
      </c>
      <c r="AA14" s="4">
        <f t="shared" si="8"/>
        <v>16</v>
      </c>
      <c r="AB14" s="4">
        <f t="shared" si="5"/>
        <v>16</v>
      </c>
      <c r="AC14" s="4">
        <f t="shared" si="5"/>
        <v>16</v>
      </c>
      <c r="AD14" s="4">
        <f t="shared" si="5"/>
        <v>16</v>
      </c>
      <c r="AE14" s="4">
        <f t="shared" si="5"/>
        <v>16</v>
      </c>
      <c r="AF14" s="4">
        <f t="shared" si="5"/>
        <v>16</v>
      </c>
      <c r="AG14" s="4">
        <f t="shared" si="5"/>
        <v>16</v>
      </c>
      <c r="AH14" s="4">
        <f t="shared" si="5"/>
        <v>16</v>
      </c>
      <c r="AI14" s="4">
        <f t="shared" si="5"/>
        <v>16</v>
      </c>
      <c r="AJ14" s="4">
        <f t="shared" si="5"/>
        <v>16</v>
      </c>
      <c r="AK14" s="4">
        <f t="shared" si="5"/>
        <v>16</v>
      </c>
    </row>
    <row r="15" spans="1:37" s="4" customFormat="1" ht="15" customHeight="1">
      <c r="A15" s="16" t="s">
        <v>23</v>
      </c>
      <c r="B15" s="239">
        <v>111965</v>
      </c>
      <c r="C15" s="239">
        <v>113088</v>
      </c>
      <c r="D15" s="239">
        <v>117819</v>
      </c>
      <c r="E15" s="239">
        <v>121050</v>
      </c>
      <c r="F15" s="239">
        <v>125303</v>
      </c>
      <c r="G15" s="239">
        <v>132189</v>
      </c>
      <c r="H15" s="239">
        <v>139739</v>
      </c>
      <c r="I15" s="239">
        <v>141609</v>
      </c>
      <c r="J15" s="239">
        <v>140537</v>
      </c>
      <c r="K15" s="239">
        <v>139576</v>
      </c>
      <c r="L15" s="239">
        <v>145795</v>
      </c>
      <c r="N15" s="499">
        <f t="shared" si="6"/>
        <v>30.214799267628266</v>
      </c>
      <c r="O15" s="344">
        <f t="shared" si="9"/>
        <v>33830</v>
      </c>
      <c r="P15" s="499">
        <f t="shared" si="7"/>
        <v>4.6898574424077211</v>
      </c>
      <c r="Q15" s="499">
        <f t="shared" si="4"/>
        <v>4.7433834104896517</v>
      </c>
      <c r="R15" s="499">
        <f t="shared" si="4"/>
        <v>4.7929693840481695</v>
      </c>
      <c r="S15" s="499">
        <f t="shared" si="4"/>
        <v>4.7701557305116182</v>
      </c>
      <c r="T15" s="499">
        <f t="shared" si="4"/>
        <v>4.7428781881654967</v>
      </c>
      <c r="U15" s="499">
        <f t="shared" si="4"/>
        <v>4.7764407207750184</v>
      </c>
      <c r="V15" s="499">
        <f t="shared" si="4"/>
        <v>4.855558775475882</v>
      </c>
      <c r="W15" s="499">
        <f t="shared" si="4"/>
        <v>4.8322767380929141</v>
      </c>
      <c r="X15" s="499">
        <f t="shared" si="4"/>
        <v>4.8413872692980116</v>
      </c>
      <c r="Y15" s="499">
        <f t="shared" si="4"/>
        <v>4.7761676161901594</v>
      </c>
      <c r="Z15" s="499">
        <f t="shared" si="4"/>
        <v>4.6311369831205464</v>
      </c>
      <c r="AA15" s="4">
        <f t="shared" si="8"/>
        <v>6</v>
      </c>
      <c r="AB15" s="4">
        <f t="shared" si="5"/>
        <v>6</v>
      </c>
      <c r="AC15" s="4">
        <f t="shared" si="5"/>
        <v>6</v>
      </c>
      <c r="AD15" s="4">
        <f t="shared" si="5"/>
        <v>6</v>
      </c>
      <c r="AE15" s="4">
        <f t="shared" si="5"/>
        <v>7</v>
      </c>
      <c r="AF15" s="4">
        <f t="shared" si="5"/>
        <v>7</v>
      </c>
      <c r="AG15" s="4">
        <f t="shared" si="5"/>
        <v>7</v>
      </c>
      <c r="AH15" s="4">
        <f t="shared" si="5"/>
        <v>7</v>
      </c>
      <c r="AI15" s="4">
        <f t="shared" si="5"/>
        <v>6</v>
      </c>
      <c r="AJ15" s="4">
        <f t="shared" si="5"/>
        <v>6</v>
      </c>
      <c r="AK15" s="4">
        <f t="shared" si="5"/>
        <v>7</v>
      </c>
    </row>
    <row r="16" spans="1:37" s="4" customFormat="1" ht="15" customHeight="1">
      <c r="A16" s="16" t="s">
        <v>24</v>
      </c>
      <c r="B16" s="239">
        <v>696796</v>
      </c>
      <c r="C16" s="239">
        <v>699433</v>
      </c>
      <c r="D16" s="239">
        <v>722854</v>
      </c>
      <c r="E16" s="239">
        <v>739126</v>
      </c>
      <c r="F16" s="239">
        <v>776535</v>
      </c>
      <c r="G16" s="239">
        <v>805619</v>
      </c>
      <c r="H16" s="239">
        <v>843599</v>
      </c>
      <c r="I16" s="239">
        <v>863493</v>
      </c>
      <c r="J16" s="239">
        <v>853268</v>
      </c>
      <c r="K16" s="239">
        <v>859051</v>
      </c>
      <c r="L16" s="239">
        <v>937531</v>
      </c>
      <c r="N16" s="499">
        <f t="shared" si="6"/>
        <v>34.548849304531018</v>
      </c>
      <c r="O16" s="344">
        <f t="shared" si="9"/>
        <v>240735</v>
      </c>
      <c r="P16" s="499">
        <f t="shared" si="7"/>
        <v>29.186566395212168</v>
      </c>
      <c r="Q16" s="499">
        <f t="shared" si="4"/>
        <v>29.337143542630596</v>
      </c>
      <c r="R16" s="499">
        <f t="shared" si="4"/>
        <v>29.40626801396002</v>
      </c>
      <c r="S16" s="499">
        <f t="shared" si="4"/>
        <v>29.126362036101863</v>
      </c>
      <c r="T16" s="499">
        <f t="shared" si="4"/>
        <v>29.392839068873801</v>
      </c>
      <c r="U16" s="499">
        <f t="shared" si="4"/>
        <v>29.109770079432099</v>
      </c>
      <c r="V16" s="499">
        <f t="shared" si="4"/>
        <v>29.31282267250144</v>
      </c>
      <c r="W16" s="499">
        <f t="shared" si="4"/>
        <v>29.465903561257157</v>
      </c>
      <c r="X16" s="499">
        <f t="shared" si="4"/>
        <v>29.394400282483442</v>
      </c>
      <c r="Y16" s="499">
        <f t="shared" si="4"/>
        <v>29.395967550694767</v>
      </c>
      <c r="Z16" s="499">
        <f t="shared" si="4"/>
        <v>29.780407331677967</v>
      </c>
      <c r="AA16" s="4">
        <f t="shared" si="8"/>
        <v>1</v>
      </c>
      <c r="AB16" s="4">
        <f t="shared" si="5"/>
        <v>1</v>
      </c>
      <c r="AC16" s="4">
        <f t="shared" si="5"/>
        <v>1</v>
      </c>
      <c r="AD16" s="4">
        <f t="shared" si="5"/>
        <v>1</v>
      </c>
      <c r="AE16" s="4">
        <f t="shared" si="5"/>
        <v>1</v>
      </c>
      <c r="AF16" s="4">
        <f t="shared" si="5"/>
        <v>1</v>
      </c>
      <c r="AG16" s="4">
        <f t="shared" si="5"/>
        <v>1</v>
      </c>
      <c r="AH16" s="4">
        <f t="shared" si="5"/>
        <v>1</v>
      </c>
      <c r="AI16" s="4">
        <f t="shared" si="5"/>
        <v>1</v>
      </c>
      <c r="AJ16" s="4">
        <f t="shared" si="5"/>
        <v>1</v>
      </c>
      <c r="AK16" s="4">
        <f t="shared" si="5"/>
        <v>1</v>
      </c>
    </row>
    <row r="17" spans="1:37" s="4" customFormat="1" ht="15" customHeight="1">
      <c r="A17" s="16" t="s">
        <v>25</v>
      </c>
      <c r="B17" s="239">
        <v>19060</v>
      </c>
      <c r="C17" s="239">
        <v>18653</v>
      </c>
      <c r="D17" s="239">
        <v>19009</v>
      </c>
      <c r="E17" s="239">
        <v>19293</v>
      </c>
      <c r="F17" s="239">
        <v>20176</v>
      </c>
      <c r="G17" s="239">
        <v>20664</v>
      </c>
      <c r="H17" s="239">
        <v>20620</v>
      </c>
      <c r="I17" s="239">
        <v>20826</v>
      </c>
      <c r="J17" s="239">
        <v>21098</v>
      </c>
      <c r="K17" s="239">
        <v>20537</v>
      </c>
      <c r="L17" s="239">
        <v>21623</v>
      </c>
      <c r="N17" s="499">
        <f t="shared" si="6"/>
        <v>13.447009443861479</v>
      </c>
      <c r="O17" s="344">
        <f t="shared" si="9"/>
        <v>2563</v>
      </c>
      <c r="P17" s="499">
        <f t="shared" si="7"/>
        <v>0.79836272810513254</v>
      </c>
      <c r="Q17" s="499">
        <f t="shared" si="4"/>
        <v>0.78238478667819289</v>
      </c>
      <c r="R17" s="499">
        <f t="shared" si="4"/>
        <v>0.77330103821430884</v>
      </c>
      <c r="S17" s="499">
        <f t="shared" si="4"/>
        <v>0.7602694300599806</v>
      </c>
      <c r="T17" s="499">
        <f t="shared" si="4"/>
        <v>0.7636873045691408</v>
      </c>
      <c r="U17" s="499">
        <f t="shared" si="4"/>
        <v>0.74666100094633425</v>
      </c>
      <c r="V17" s="499">
        <f t="shared" si="4"/>
        <v>0.71649018491840277</v>
      </c>
      <c r="W17" s="499">
        <f t="shared" si="4"/>
        <v>0.71066807439868251</v>
      </c>
      <c r="X17" s="499">
        <f t="shared" si="4"/>
        <v>0.72680922894077327</v>
      </c>
      <c r="Y17" s="499">
        <f t="shared" si="4"/>
        <v>0.70275802669296517</v>
      </c>
      <c r="Z17" s="499">
        <f t="shared" si="4"/>
        <v>0.68684848579180069</v>
      </c>
      <c r="AA17" s="4">
        <f t="shared" si="8"/>
        <v>17</v>
      </c>
      <c r="AB17" s="4">
        <f t="shared" si="5"/>
        <v>17</v>
      </c>
      <c r="AC17" s="4">
        <f t="shared" si="5"/>
        <v>17</v>
      </c>
      <c r="AD17" s="4">
        <f t="shared" si="5"/>
        <v>17</v>
      </c>
      <c r="AE17" s="4">
        <f t="shared" si="5"/>
        <v>17</v>
      </c>
      <c r="AF17" s="4">
        <f t="shared" si="5"/>
        <v>17</v>
      </c>
      <c r="AG17" s="4">
        <f t="shared" si="5"/>
        <v>17</v>
      </c>
      <c r="AH17" s="4">
        <f t="shared" si="5"/>
        <v>17</v>
      </c>
      <c r="AI17" s="4">
        <f t="shared" si="5"/>
        <v>17</v>
      </c>
      <c r="AJ17" s="4">
        <f t="shared" si="5"/>
        <v>18</v>
      </c>
      <c r="AK17" s="4">
        <f t="shared" si="5"/>
        <v>17</v>
      </c>
    </row>
    <row r="18" spans="1:37" s="4" customFormat="1" ht="15" customHeight="1">
      <c r="A18" s="16" t="s">
        <v>26</v>
      </c>
      <c r="B18" s="239">
        <v>463288</v>
      </c>
      <c r="C18" s="239">
        <v>460333</v>
      </c>
      <c r="D18" s="239">
        <v>477642</v>
      </c>
      <c r="E18" s="239">
        <v>498411</v>
      </c>
      <c r="F18" s="239">
        <v>517250</v>
      </c>
      <c r="G18" s="239">
        <v>546130</v>
      </c>
      <c r="H18" s="239">
        <v>558004</v>
      </c>
      <c r="I18" s="239">
        <v>572263</v>
      </c>
      <c r="J18" s="239">
        <v>564899</v>
      </c>
      <c r="K18" s="239">
        <v>569083</v>
      </c>
      <c r="L18" s="239">
        <v>611659</v>
      </c>
      <c r="N18" s="499">
        <f t="shared" si="6"/>
        <v>32.025651430643578</v>
      </c>
      <c r="O18" s="344">
        <f t="shared" si="9"/>
        <v>148371</v>
      </c>
      <c r="P18" s="499">
        <f t="shared" si="7"/>
        <v>19.405659579138021</v>
      </c>
      <c r="Q18" s="499">
        <f t="shared" si="4"/>
        <v>19.308290141314135</v>
      </c>
      <c r="R18" s="499">
        <f t="shared" si="4"/>
        <v>19.430851412213105</v>
      </c>
      <c r="S18" s="499">
        <f t="shared" si="4"/>
        <v>19.64062856505598</v>
      </c>
      <c r="T18" s="499">
        <f t="shared" si="4"/>
        <v>19.578571485348341</v>
      </c>
      <c r="U18" s="499">
        <f t="shared" si="4"/>
        <v>19.733544930643706</v>
      </c>
      <c r="V18" s="499">
        <f t="shared" si="4"/>
        <v>19.389155632648325</v>
      </c>
      <c r="W18" s="499">
        <f t="shared" si="4"/>
        <v>19.527947962144111</v>
      </c>
      <c r="X18" s="499">
        <f t="shared" si="4"/>
        <v>19.460318827349219</v>
      </c>
      <c r="Y18" s="499">
        <f t="shared" si="4"/>
        <v>19.473518337854248</v>
      </c>
      <c r="Z18" s="499">
        <f t="shared" si="4"/>
        <v>19.429175321228648</v>
      </c>
      <c r="AA18" s="4">
        <f t="shared" si="8"/>
        <v>2</v>
      </c>
      <c r="AB18" s="4">
        <f t="shared" si="5"/>
        <v>2</v>
      </c>
      <c r="AC18" s="4">
        <f t="shared" si="5"/>
        <v>2</v>
      </c>
      <c r="AD18" s="4">
        <f t="shared" si="5"/>
        <v>2</v>
      </c>
      <c r="AE18" s="4">
        <f t="shared" si="5"/>
        <v>2</v>
      </c>
      <c r="AF18" s="4">
        <f t="shared" si="5"/>
        <v>2</v>
      </c>
      <c r="AG18" s="4">
        <f t="shared" si="5"/>
        <v>2</v>
      </c>
      <c r="AH18" s="4">
        <f t="shared" si="5"/>
        <v>2</v>
      </c>
      <c r="AI18" s="4">
        <f t="shared" si="5"/>
        <v>2</v>
      </c>
      <c r="AJ18" s="4">
        <f t="shared" si="5"/>
        <v>2</v>
      </c>
      <c r="AK18" s="4">
        <f t="shared" si="5"/>
        <v>2</v>
      </c>
    </row>
    <row r="19" spans="1:37" s="4" customFormat="1" ht="15" customHeight="1">
      <c r="A19" s="16" t="s">
        <v>27</v>
      </c>
      <c r="B19" s="239">
        <v>90358</v>
      </c>
      <c r="C19" s="239">
        <v>88785</v>
      </c>
      <c r="D19" s="239">
        <v>90076</v>
      </c>
      <c r="E19" s="239">
        <v>92191</v>
      </c>
      <c r="F19" s="239">
        <v>93792</v>
      </c>
      <c r="G19" s="239">
        <v>97412</v>
      </c>
      <c r="H19" s="239">
        <v>100090</v>
      </c>
      <c r="I19" s="239">
        <v>102585</v>
      </c>
      <c r="J19" s="239">
        <v>103403</v>
      </c>
      <c r="K19" s="239">
        <v>102715</v>
      </c>
      <c r="L19" s="239">
        <v>108232</v>
      </c>
      <c r="N19" s="499">
        <f t="shared" si="6"/>
        <v>19.781314327453025</v>
      </c>
      <c r="O19" s="344">
        <f t="shared" si="9"/>
        <v>17874</v>
      </c>
      <c r="P19" s="499">
        <f t="shared" si="7"/>
        <v>3.7848089919267349</v>
      </c>
      <c r="Q19" s="499">
        <f t="shared" si="4"/>
        <v>3.7240140076783015</v>
      </c>
      <c r="R19" s="499">
        <f t="shared" si="4"/>
        <v>3.6643623714131244</v>
      </c>
      <c r="S19" s="499">
        <f t="shared" si="4"/>
        <v>3.6329238079437971</v>
      </c>
      <c r="T19" s="499">
        <f t="shared" si="4"/>
        <v>3.5501466926124534</v>
      </c>
      <c r="U19" s="499">
        <f t="shared" si="4"/>
        <v>3.5198287564936273</v>
      </c>
      <c r="V19" s="499">
        <f t="shared" si="4"/>
        <v>3.4778614262115877</v>
      </c>
      <c r="W19" s="499">
        <f t="shared" si="4"/>
        <v>3.5006186695567485</v>
      </c>
      <c r="X19" s="499">
        <f t="shared" si="4"/>
        <v>3.5621506635777216</v>
      </c>
      <c r="Y19" s="499">
        <f t="shared" si="4"/>
        <v>3.5148167070053038</v>
      </c>
      <c r="Z19" s="499">
        <f t="shared" si="4"/>
        <v>3.4379589009026579</v>
      </c>
      <c r="AA19" s="4">
        <f t="shared" si="8"/>
        <v>8</v>
      </c>
      <c r="AB19" s="4">
        <f t="shared" si="5"/>
        <v>8</v>
      </c>
      <c r="AC19" s="4">
        <f t="shared" si="5"/>
        <v>8</v>
      </c>
      <c r="AD19" s="4">
        <f t="shared" si="5"/>
        <v>8</v>
      </c>
      <c r="AE19" s="4">
        <f t="shared" si="5"/>
        <v>8</v>
      </c>
      <c r="AF19" s="4">
        <f t="shared" si="5"/>
        <v>8</v>
      </c>
      <c r="AG19" s="4">
        <f t="shared" si="5"/>
        <v>8</v>
      </c>
      <c r="AH19" s="4">
        <f t="shared" si="5"/>
        <v>8</v>
      </c>
      <c r="AI19" s="4">
        <f t="shared" si="5"/>
        <v>8</v>
      </c>
      <c r="AJ19" s="4">
        <f t="shared" si="5"/>
        <v>8</v>
      </c>
      <c r="AK19" s="4">
        <f t="shared" si="5"/>
        <v>8</v>
      </c>
    </row>
    <row r="20" spans="1:37" s="4" customFormat="1" ht="15" customHeight="1">
      <c r="A20" s="16" t="s">
        <v>28</v>
      </c>
      <c r="B20" s="239">
        <v>135651</v>
      </c>
      <c r="C20" s="239">
        <v>134300</v>
      </c>
      <c r="D20" s="239">
        <v>135568</v>
      </c>
      <c r="E20" s="239">
        <v>138934</v>
      </c>
      <c r="F20" s="239">
        <v>143036</v>
      </c>
      <c r="G20" s="239">
        <v>151328</v>
      </c>
      <c r="H20" s="239">
        <v>160472</v>
      </c>
      <c r="I20" s="239">
        <v>163930</v>
      </c>
      <c r="J20" s="239">
        <v>164805</v>
      </c>
      <c r="K20" s="239">
        <v>166416</v>
      </c>
      <c r="L20" s="239">
        <v>178440</v>
      </c>
      <c r="N20" s="499">
        <f t="shared" si="6"/>
        <v>31.543446049052349</v>
      </c>
      <c r="O20" s="344">
        <f t="shared" si="9"/>
        <v>42789</v>
      </c>
      <c r="P20" s="499">
        <f t="shared" si="7"/>
        <v>5.681988585004687</v>
      </c>
      <c r="Q20" s="499">
        <f t="shared" si="4"/>
        <v>5.6331033533952342</v>
      </c>
      <c r="R20" s="499">
        <f t="shared" si="4"/>
        <v>5.5150126334177187</v>
      </c>
      <c r="S20" s="499">
        <f t="shared" si="4"/>
        <v>5.4749014148112449</v>
      </c>
      <c r="T20" s="499">
        <f t="shared" si="4"/>
        <v>5.4140948303108463</v>
      </c>
      <c r="U20" s="499">
        <f t="shared" si="4"/>
        <v>5.4679982554784585</v>
      </c>
      <c r="V20" s="499">
        <f t="shared" si="4"/>
        <v>5.5759754100012575</v>
      </c>
      <c r="W20" s="499">
        <f t="shared" si="4"/>
        <v>5.5939603109659091</v>
      </c>
      <c r="X20" s="499">
        <f t="shared" si="4"/>
        <v>5.677400463341745</v>
      </c>
      <c r="Y20" s="499">
        <f t="shared" si="4"/>
        <v>5.6946087437374739</v>
      </c>
      <c r="Z20" s="499">
        <f t="shared" si="4"/>
        <v>5.668096184835079</v>
      </c>
      <c r="AA20" s="4">
        <f t="shared" si="8"/>
        <v>5</v>
      </c>
      <c r="AB20" s="4">
        <f t="shared" si="5"/>
        <v>5</v>
      </c>
      <c r="AC20" s="4">
        <f t="shared" si="5"/>
        <v>5</v>
      </c>
      <c r="AD20" s="4">
        <f t="shared" si="5"/>
        <v>5</v>
      </c>
      <c r="AE20" s="4">
        <f t="shared" si="5"/>
        <v>5</v>
      </c>
      <c r="AF20" s="4">
        <f t="shared" si="5"/>
        <v>5</v>
      </c>
      <c r="AG20" s="4">
        <f t="shared" si="5"/>
        <v>5</v>
      </c>
      <c r="AH20" s="4">
        <f t="shared" si="5"/>
        <v>5</v>
      </c>
      <c r="AI20" s="4">
        <f t="shared" si="5"/>
        <v>5</v>
      </c>
      <c r="AJ20" s="4">
        <f t="shared" si="5"/>
        <v>5</v>
      </c>
      <c r="AK20" s="4">
        <f t="shared" si="5"/>
        <v>5</v>
      </c>
    </row>
    <row r="21" spans="1:37" s="4" customFormat="1" ht="15" customHeight="1">
      <c r="A21" s="16" t="s">
        <v>29</v>
      </c>
      <c r="B21" s="239">
        <v>47838</v>
      </c>
      <c r="C21" s="239">
        <v>48873</v>
      </c>
      <c r="D21" s="239">
        <v>50225</v>
      </c>
      <c r="E21" s="239">
        <v>52609</v>
      </c>
      <c r="F21" s="239">
        <v>52622</v>
      </c>
      <c r="G21" s="239">
        <v>55356</v>
      </c>
      <c r="H21" s="239">
        <v>58686</v>
      </c>
      <c r="I21" s="239">
        <v>59295</v>
      </c>
      <c r="J21" s="239">
        <v>60629</v>
      </c>
      <c r="K21" s="239">
        <v>60893</v>
      </c>
      <c r="L21" s="239">
        <v>64187</v>
      </c>
      <c r="N21" s="499">
        <f t="shared" si="6"/>
        <v>34.175759856181287</v>
      </c>
      <c r="O21" s="344">
        <f t="shared" si="9"/>
        <v>16349</v>
      </c>
      <c r="P21" s="499">
        <f t="shared" si="7"/>
        <v>2.0037815418202167</v>
      </c>
      <c r="Q21" s="499">
        <f t="shared" si="4"/>
        <v>2.0499379016417372</v>
      </c>
      <c r="R21" s="499">
        <f t="shared" si="4"/>
        <v>2.0431924164508213</v>
      </c>
      <c r="S21" s="499">
        <f t="shared" si="4"/>
        <v>2.0731360828292913</v>
      </c>
      <c r="T21" s="499">
        <f t="shared" si="4"/>
        <v>1.9918097413281786</v>
      </c>
      <c r="U21" s="499">
        <f t="shared" si="4"/>
        <v>2.0002016244863183</v>
      </c>
      <c r="V21" s="499">
        <f t="shared" si="4"/>
        <v>2.0391824923434232</v>
      </c>
      <c r="W21" s="499">
        <f t="shared" si="4"/>
        <v>2.0233872789527458</v>
      </c>
      <c r="X21" s="499">
        <f t="shared" si="4"/>
        <v>2.0886205678950676</v>
      </c>
      <c r="Y21" s="499">
        <f t="shared" si="4"/>
        <v>2.0837047533434645</v>
      </c>
      <c r="Z21" s="499">
        <f t="shared" si="4"/>
        <v>2.0388819200628179</v>
      </c>
      <c r="AA21" s="4">
        <f t="shared" si="8"/>
        <v>11</v>
      </c>
      <c r="AB21" s="4">
        <f t="shared" si="5"/>
        <v>11</v>
      </c>
      <c r="AC21" s="4">
        <f t="shared" si="5"/>
        <v>11</v>
      </c>
      <c r="AD21" s="4">
        <f t="shared" si="5"/>
        <v>11</v>
      </c>
      <c r="AE21" s="4">
        <f t="shared" si="5"/>
        <v>11</v>
      </c>
      <c r="AF21" s="4">
        <f t="shared" si="5"/>
        <v>11</v>
      </c>
      <c r="AG21" s="4">
        <f t="shared" si="5"/>
        <v>11</v>
      </c>
      <c r="AH21" s="4">
        <f t="shared" si="5"/>
        <v>11</v>
      </c>
      <c r="AI21" s="4">
        <f t="shared" si="5"/>
        <v>11</v>
      </c>
      <c r="AJ21" s="4">
        <f t="shared" si="5"/>
        <v>11</v>
      </c>
      <c r="AK21" s="4">
        <f t="shared" si="5"/>
        <v>11</v>
      </c>
    </row>
    <row r="22" spans="1:37" s="4" customFormat="1" ht="15" customHeight="1">
      <c r="A22" s="16" t="s">
        <v>30</v>
      </c>
      <c r="B22" s="239">
        <v>28668</v>
      </c>
      <c r="C22" s="239">
        <v>28520</v>
      </c>
      <c r="D22" s="239">
        <v>28912</v>
      </c>
      <c r="E22" s="239">
        <v>30088</v>
      </c>
      <c r="F22" s="239">
        <v>30474</v>
      </c>
      <c r="G22" s="239">
        <v>32127</v>
      </c>
      <c r="H22" s="239">
        <v>33024</v>
      </c>
      <c r="I22" s="239">
        <v>33808</v>
      </c>
      <c r="J22" s="239">
        <v>33688</v>
      </c>
      <c r="K22" s="239">
        <v>34125</v>
      </c>
      <c r="L22" s="239">
        <v>35875</v>
      </c>
      <c r="N22" s="499">
        <f t="shared" si="6"/>
        <v>25.139528394028176</v>
      </c>
      <c r="O22" s="344">
        <f t="shared" si="9"/>
        <v>7207</v>
      </c>
      <c r="P22" s="499">
        <f t="shared" si="7"/>
        <v>1.2008112638676778</v>
      </c>
      <c r="Q22" s="499">
        <f t="shared" si="7"/>
        <v>1.1962480092243641</v>
      </c>
      <c r="R22" s="499">
        <f t="shared" si="7"/>
        <v>1.1761628500632382</v>
      </c>
      <c r="S22" s="499">
        <f t="shared" si="7"/>
        <v>1.1856624999556677</v>
      </c>
      <c r="T22" s="499">
        <f t="shared" si="7"/>
        <v>1.1534797243973036</v>
      </c>
      <c r="U22" s="499">
        <f t="shared" si="7"/>
        <v>1.1608583999904607</v>
      </c>
      <c r="V22" s="499">
        <f t="shared" si="7"/>
        <v>1.1474962108023925</v>
      </c>
      <c r="W22" s="499">
        <f t="shared" si="7"/>
        <v>1.1536668711836482</v>
      </c>
      <c r="X22" s="499">
        <f t="shared" si="7"/>
        <v>1.1605246613212992</v>
      </c>
      <c r="Y22" s="499">
        <f t="shared" si="7"/>
        <v>1.1677274022932969</v>
      </c>
      <c r="Z22" s="499">
        <f t="shared" si="7"/>
        <v>1.1395592391333695</v>
      </c>
      <c r="AA22" s="4">
        <f t="shared" si="8"/>
        <v>14</v>
      </c>
      <c r="AB22" s="4">
        <f t="shared" si="8"/>
        <v>14</v>
      </c>
      <c r="AC22" s="4">
        <f t="shared" si="8"/>
        <v>14</v>
      </c>
      <c r="AD22" s="4">
        <f t="shared" si="8"/>
        <v>15</v>
      </c>
      <c r="AE22" s="4">
        <f t="shared" si="8"/>
        <v>15</v>
      </c>
      <c r="AF22" s="4">
        <f t="shared" si="8"/>
        <v>15</v>
      </c>
      <c r="AG22" s="4">
        <f t="shared" si="8"/>
        <v>15</v>
      </c>
      <c r="AH22" s="4">
        <f t="shared" si="8"/>
        <v>15</v>
      </c>
      <c r="AI22" s="4">
        <f t="shared" si="8"/>
        <v>15</v>
      </c>
      <c r="AJ22" s="4">
        <f t="shared" si="8"/>
        <v>15</v>
      </c>
      <c r="AK22" s="4">
        <f t="shared" si="8"/>
        <v>15</v>
      </c>
    </row>
    <row r="23" spans="1:37" s="19" customFormat="1" ht="15" customHeight="1">
      <c r="A23" s="18" t="s">
        <v>31</v>
      </c>
      <c r="B23" s="240">
        <v>67651</v>
      </c>
      <c r="C23" s="240">
        <v>67692</v>
      </c>
      <c r="D23" s="240">
        <v>69006</v>
      </c>
      <c r="E23" s="240">
        <v>71421</v>
      </c>
      <c r="F23" s="240">
        <v>74659</v>
      </c>
      <c r="G23" s="240">
        <v>78428</v>
      </c>
      <c r="H23" s="240">
        <v>81948</v>
      </c>
      <c r="I23" s="240">
        <v>84583</v>
      </c>
      <c r="J23" s="240">
        <v>85158</v>
      </c>
      <c r="K23" s="240">
        <v>85989</v>
      </c>
      <c r="L23" s="240">
        <v>92990</v>
      </c>
      <c r="N23" s="499">
        <f t="shared" si="6"/>
        <v>37.455469985661715</v>
      </c>
      <c r="O23" s="344">
        <f t="shared" si="9"/>
        <v>25339</v>
      </c>
      <c r="P23" s="499">
        <f t="shared" si="7"/>
        <v>2.8336850429716853</v>
      </c>
      <c r="Q23" s="499">
        <f t="shared" si="7"/>
        <v>2.8392854221744619</v>
      </c>
      <c r="R23" s="499">
        <f t="shared" si="7"/>
        <v>2.8072182357313165</v>
      </c>
      <c r="S23" s="499">
        <f t="shared" si="7"/>
        <v>2.8144509907382926</v>
      </c>
      <c r="T23" s="499">
        <f t="shared" si="7"/>
        <v>2.8259382668431545</v>
      </c>
      <c r="U23" s="499">
        <f t="shared" si="7"/>
        <v>2.8338719019656944</v>
      </c>
      <c r="V23" s="499">
        <f t="shared" si="7"/>
        <v>2.8474751539133498</v>
      </c>
      <c r="W23" s="499">
        <f t="shared" si="7"/>
        <v>2.8863169949516836</v>
      </c>
      <c r="X23" s="499">
        <f t="shared" si="7"/>
        <v>2.9336250032296127</v>
      </c>
      <c r="Y23" s="499">
        <f t="shared" si="7"/>
        <v>2.9424677390710126</v>
      </c>
      <c r="Z23" s="499">
        <f t="shared" si="7"/>
        <v>2.9538010772686283</v>
      </c>
      <c r="AA23" s="4">
        <f t="shared" si="8"/>
        <v>10</v>
      </c>
      <c r="AB23" s="4">
        <f t="shared" si="8"/>
        <v>10</v>
      </c>
      <c r="AC23" s="4">
        <f t="shared" si="8"/>
        <v>10</v>
      </c>
      <c r="AD23" s="4">
        <f t="shared" si="8"/>
        <v>10</v>
      </c>
      <c r="AE23" s="4">
        <f t="shared" si="8"/>
        <v>10</v>
      </c>
      <c r="AF23" s="4">
        <f t="shared" si="8"/>
        <v>10</v>
      </c>
      <c r="AG23" s="4">
        <f t="shared" si="8"/>
        <v>10</v>
      </c>
      <c r="AH23" s="4">
        <f t="shared" si="8"/>
        <v>10</v>
      </c>
      <c r="AI23" s="4">
        <f t="shared" si="8"/>
        <v>10</v>
      </c>
      <c r="AJ23" s="4">
        <f t="shared" si="8"/>
        <v>10</v>
      </c>
      <c r="AK23" s="4">
        <f t="shared" si="8"/>
        <v>10</v>
      </c>
    </row>
    <row r="24" spans="1:37" ht="15" customHeight="1">
      <c r="A24" s="20" t="s">
        <v>138</v>
      </c>
      <c r="C24" s="17"/>
      <c r="D24" s="17"/>
      <c r="E24" s="17"/>
      <c r="F24" s="17"/>
      <c r="G24" s="17"/>
      <c r="H24" s="17"/>
      <c r="I24" s="17"/>
      <c r="J24" s="17"/>
      <c r="K24" s="17"/>
      <c r="L24" s="17"/>
    </row>
  </sheetData>
  <mergeCells count="1">
    <mergeCell ref="A1:L1"/>
  </mergeCells>
  <phoneticPr fontId="25" type="noConversion"/>
  <conditionalFormatting sqref="A1 M1:XFD3 A2:E4 AL4:XFD23 A5:H23 M10:M23 A24:E1048576 M24:XFD1048576">
    <cfRule type="cellIs" dxfId="31" priority="31" operator="equal">
      <formula>0</formula>
    </cfRule>
  </conditionalFormatting>
  <conditionalFormatting sqref="M4:M5">
    <cfRule type="cellIs" dxfId="30" priority="30" operator="equal">
      <formula>0</formula>
    </cfRule>
  </conditionalFormatting>
  <conditionalFormatting sqref="M5">
    <cfRule type="containsText" dxfId="29" priority="25" operator="containsText" text="FALSO">
      <formula>NOT(ISERROR(SEARCH("FALSO",M5)))</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11">
    <tabColor indexed="43"/>
  </sheetPr>
  <dimension ref="A1:EO41"/>
  <sheetViews>
    <sheetView showGridLines="0" workbookViewId="0">
      <selection activeCell="A2" sqref="A2"/>
    </sheetView>
  </sheetViews>
  <sheetFormatPr defaultRowHeight="12.75"/>
  <cols>
    <col min="1" max="1" width="151.85546875" style="2" customWidth="1"/>
  </cols>
  <sheetData>
    <row r="1" spans="1:8" ht="15.75">
      <c r="A1" s="1" t="s">
        <v>11</v>
      </c>
    </row>
    <row r="2" spans="1:8" s="150" customFormat="1" ht="13.5" customHeight="1">
      <c r="A2" s="148" t="s">
        <v>135</v>
      </c>
      <c r="B2" s="149"/>
      <c r="C2" s="149"/>
      <c r="D2" s="149"/>
      <c r="E2" s="149"/>
      <c r="F2" s="149"/>
      <c r="G2" s="149"/>
      <c r="H2" s="149"/>
    </row>
    <row r="3" spans="1:8" s="117" customFormat="1">
      <c r="A3" s="217" t="s">
        <v>217</v>
      </c>
    </row>
    <row r="4" spans="1:8" s="117" customFormat="1">
      <c r="A4" s="217" t="s">
        <v>193</v>
      </c>
    </row>
    <row r="5" spans="1:8" s="117" customFormat="1">
      <c r="A5" s="217" t="s">
        <v>218</v>
      </c>
    </row>
    <row r="6" spans="1:8" s="117" customFormat="1">
      <c r="A6" s="217" t="s">
        <v>662</v>
      </c>
    </row>
    <row r="7" spans="1:8" s="117" customFormat="1">
      <c r="A7" s="217" t="s">
        <v>219</v>
      </c>
    </row>
    <row r="8" spans="1:8" s="117" customFormat="1">
      <c r="A8" s="217" t="s">
        <v>196</v>
      </c>
    </row>
    <row r="9" spans="1:8" s="82" customFormat="1">
      <c r="A9" s="217" t="s">
        <v>220</v>
      </c>
    </row>
    <row r="10" spans="1:8" s="82" customFormat="1">
      <c r="A10" s="217" t="s">
        <v>663</v>
      </c>
    </row>
    <row r="11" spans="1:8" s="219" customFormat="1">
      <c r="A11" s="218" t="s">
        <v>221</v>
      </c>
    </row>
    <row r="12" spans="1:8" s="219" customFormat="1">
      <c r="A12" s="218" t="s">
        <v>199</v>
      </c>
    </row>
    <row r="13" spans="1:8" s="219" customFormat="1">
      <c r="A13" s="218" t="s">
        <v>200</v>
      </c>
    </row>
    <row r="14" spans="1:8" s="219" customFormat="1">
      <c r="A14" s="218" t="s">
        <v>658</v>
      </c>
    </row>
    <row r="15" spans="1:8" s="219" customFormat="1">
      <c r="A15" s="218" t="s">
        <v>222</v>
      </c>
    </row>
    <row r="16" spans="1:8" s="219" customFormat="1">
      <c r="A16" s="218" t="s">
        <v>202</v>
      </c>
    </row>
    <row r="17" spans="1:145" s="219" customFormat="1">
      <c r="A17" s="218" t="s">
        <v>203</v>
      </c>
    </row>
    <row r="18" spans="1:145" s="219" customFormat="1">
      <c r="A18" s="218" t="s">
        <v>659</v>
      </c>
    </row>
    <row r="19" spans="1:145" s="219" customFormat="1">
      <c r="A19" s="218" t="s">
        <v>204</v>
      </c>
    </row>
    <row r="20" spans="1:145" s="219" customFormat="1">
      <c r="A20" s="218" t="s">
        <v>205</v>
      </c>
    </row>
    <row r="21" spans="1:145" s="219" customFormat="1">
      <c r="A21" s="218" t="s">
        <v>253</v>
      </c>
    </row>
    <row r="22" spans="1:145" s="220" customFormat="1">
      <c r="A22" s="220" t="s">
        <v>223</v>
      </c>
      <c r="B22" s="221"/>
      <c r="C22" s="221"/>
      <c r="D22" s="221"/>
      <c r="E22" s="221"/>
      <c r="F22" s="221"/>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c r="BG22" s="221"/>
      <c r="BH22" s="221"/>
      <c r="BI22" s="221"/>
      <c r="BJ22" s="221"/>
      <c r="BK22" s="221"/>
      <c r="BL22" s="221"/>
      <c r="BM22" s="221"/>
      <c r="BN22" s="221"/>
      <c r="BO22" s="221"/>
      <c r="BP22" s="221"/>
      <c r="BQ22" s="221"/>
      <c r="BR22" s="221"/>
      <c r="BS22" s="221"/>
      <c r="BT22" s="221"/>
      <c r="BU22" s="221"/>
      <c r="BV22" s="221"/>
      <c r="BW22" s="221"/>
      <c r="BX22" s="221"/>
      <c r="BY22" s="221"/>
      <c r="BZ22" s="221"/>
      <c r="CA22" s="221"/>
      <c r="CB22" s="221"/>
      <c r="CC22" s="221"/>
      <c r="CD22" s="221"/>
      <c r="CE22" s="221"/>
      <c r="CF22" s="221"/>
      <c r="CG22" s="221"/>
      <c r="CH22" s="221"/>
      <c r="CI22" s="221"/>
      <c r="CJ22" s="221"/>
      <c r="CK22" s="221"/>
      <c r="CL22" s="221"/>
      <c r="CM22" s="221"/>
      <c r="CN22" s="221"/>
      <c r="CO22" s="221"/>
      <c r="CP22" s="221"/>
      <c r="CQ22" s="221"/>
      <c r="CR22" s="221"/>
      <c r="CS22" s="221"/>
      <c r="CT22" s="221"/>
      <c r="CU22" s="221"/>
      <c r="CV22" s="221"/>
      <c r="CW22" s="221"/>
      <c r="CX22" s="221"/>
      <c r="CY22" s="221"/>
      <c r="CZ22" s="221"/>
      <c r="DA22" s="221"/>
      <c r="DB22" s="221"/>
      <c r="DC22" s="221"/>
      <c r="DD22" s="221"/>
      <c r="DE22" s="221"/>
      <c r="DF22" s="221"/>
      <c r="DG22" s="221"/>
      <c r="DH22" s="221"/>
      <c r="DI22" s="221"/>
      <c r="DJ22" s="221"/>
      <c r="DK22" s="221"/>
      <c r="DL22" s="221"/>
      <c r="DM22" s="221"/>
      <c r="DN22" s="221"/>
      <c r="DO22" s="221"/>
      <c r="DP22" s="221"/>
      <c r="DQ22" s="221"/>
      <c r="DR22" s="221"/>
      <c r="DS22" s="221"/>
      <c r="DT22" s="221"/>
      <c r="DU22" s="221"/>
      <c r="DV22" s="221"/>
      <c r="DW22" s="221"/>
      <c r="DX22" s="221"/>
      <c r="DY22" s="221"/>
      <c r="DZ22" s="221"/>
      <c r="EA22" s="221"/>
      <c r="EB22" s="221"/>
      <c r="EC22" s="221"/>
      <c r="ED22" s="221"/>
      <c r="EE22" s="221"/>
      <c r="EF22" s="221"/>
      <c r="EG22" s="221"/>
      <c r="EH22" s="221"/>
      <c r="EI22" s="221"/>
      <c r="EJ22" s="221"/>
      <c r="EK22" s="221"/>
      <c r="EL22" s="221"/>
      <c r="EM22" s="221"/>
      <c r="EN22" s="221"/>
      <c r="EO22" s="221"/>
    </row>
    <row r="23" spans="1:145" s="219" customFormat="1">
      <c r="A23" s="220" t="s">
        <v>224</v>
      </c>
    </row>
    <row r="24" spans="1:145" s="219" customFormat="1">
      <c r="A24" s="220" t="s">
        <v>225</v>
      </c>
    </row>
    <row r="25" spans="1:145" s="219" customFormat="1">
      <c r="A25" s="220" t="s">
        <v>226</v>
      </c>
    </row>
    <row r="26" spans="1:145" s="219" customFormat="1">
      <c r="A26" s="220" t="s">
        <v>660</v>
      </c>
    </row>
    <row r="27" spans="1:145" s="219" customFormat="1">
      <c r="A27" s="220" t="s">
        <v>227</v>
      </c>
    </row>
    <row r="28" spans="1:145" s="219" customFormat="1">
      <c r="A28" s="220" t="s">
        <v>228</v>
      </c>
    </row>
    <row r="29" spans="1:145" s="219" customFormat="1">
      <c r="A29" s="220" t="s">
        <v>252</v>
      </c>
    </row>
    <row r="30" spans="1:145" s="82" customFormat="1" ht="16.5" customHeight="1">
      <c r="A30" s="211" t="s">
        <v>229</v>
      </c>
    </row>
    <row r="31" spans="1:145" s="82" customFormat="1">
      <c r="A31" s="211" t="s">
        <v>260</v>
      </c>
    </row>
    <row r="32" spans="1:145" s="82" customFormat="1">
      <c r="A32" s="211" t="s">
        <v>230</v>
      </c>
    </row>
    <row r="33" spans="1:8" s="82" customFormat="1">
      <c r="A33" s="211" t="s">
        <v>231</v>
      </c>
    </row>
    <row r="34" spans="1:8" s="82" customFormat="1">
      <c r="A34" s="211" t="s">
        <v>232</v>
      </c>
    </row>
    <row r="35" spans="1:8" s="82" customFormat="1">
      <c r="A35" s="211" t="s">
        <v>661</v>
      </c>
    </row>
    <row r="36" spans="1:8" s="82" customFormat="1">
      <c r="A36" s="211" t="s">
        <v>233</v>
      </c>
    </row>
    <row r="37" spans="1:8" s="82" customFormat="1">
      <c r="A37" s="211" t="s">
        <v>234</v>
      </c>
    </row>
    <row r="38" spans="1:8" s="117" customFormat="1">
      <c r="A38" s="211" t="s">
        <v>235</v>
      </c>
    </row>
    <row r="39" spans="1:8" s="117" customFormat="1">
      <c r="A39" s="211" t="s">
        <v>251</v>
      </c>
    </row>
    <row r="40" spans="1:8" s="150" customFormat="1" ht="13.5" customHeight="1">
      <c r="A40" s="151" t="s">
        <v>136</v>
      </c>
      <c r="B40" s="152"/>
      <c r="C40" s="152"/>
      <c r="D40" s="152"/>
      <c r="E40" s="152"/>
      <c r="F40" s="152"/>
      <c r="G40" s="152"/>
      <c r="H40" s="152"/>
    </row>
    <row r="41" spans="1:8" s="150" customFormat="1" ht="13.5" customHeight="1">
      <c r="A41" s="151" t="s">
        <v>137</v>
      </c>
      <c r="B41" s="152"/>
      <c r="C41" s="152"/>
      <c r="D41" s="152"/>
      <c r="E41" s="152"/>
      <c r="F41" s="152"/>
      <c r="G41" s="152"/>
      <c r="H41" s="152"/>
    </row>
  </sheetData>
  <phoneticPr fontId="25" type="noConversion"/>
  <hyperlinks>
    <hyperlink ref="A3" location="'q1'!A1" display="Quadro 1 - Empresas por atividade económica (CAE-Rev. 3) " xr:uid="{00000000-0004-0000-0200-000000000000}"/>
    <hyperlink ref="A4" location="'q2'!A1" display="Quadro 2 - Empresas por dimensão" xr:uid="{00000000-0004-0000-0200-000001000000}"/>
    <hyperlink ref="A5" location="'q3'!A1" display="Quadro 3 - Empresas por distrito" xr:uid="{00000000-0004-0000-0200-000002000000}"/>
    <hyperlink ref="A7" location="'q4'!A1" display="Quadro 4 - Estabelecimentos por atividade económica (CAE-Rev. 3) " xr:uid="{00000000-0004-0000-0200-000003000000}"/>
    <hyperlink ref="A8" location="'q5'!A1" display="Quadro 5 - Estabelecimentos por dimensão" xr:uid="{00000000-0004-0000-0200-000004000000}"/>
    <hyperlink ref="A9" location="'q6'!A1" display="Quadro 6 - Estabelecimentos por distrito" xr:uid="{00000000-0004-0000-0200-000005000000}"/>
    <hyperlink ref="A11" location="'q7'!A1" display="Quadro 7 - Pessoas ao serviço nos estabelecimentos por atividade económica (CAE-Rev. 3)" xr:uid="{00000000-0004-0000-0200-000006000000}"/>
    <hyperlink ref="A12" location="'q8'!A1" display="Quadro 8 - Pessoas ao serviço nos estabelecimentos por dimensão" xr:uid="{00000000-0004-0000-0200-000007000000}"/>
    <hyperlink ref="A13" location="'q9'!A1" display="Quadro 9 - Pessoas ao serviço nos estabelecimentos por distrito" xr:uid="{00000000-0004-0000-0200-000008000000}"/>
    <hyperlink ref="A15" location="'q10'!A1" display="Quadro 10 - Trabalhadores por conta de outrem ao serviço nos estabelecimentos por atividade económica (CAE-Rev. 3)" xr:uid="{00000000-0004-0000-0200-000009000000}"/>
    <hyperlink ref="A16" location="'q11'!A1" display="Quadro 11 - Trabalhadores por conta de outrem ao serviço nos estabelecimentos por dimensão e sexo" xr:uid="{00000000-0004-0000-0200-00000A000000}"/>
    <hyperlink ref="A17" location="'q12'!A1" display="Quadro 12 - Trabalhadores por conta de outrem ao serviço nos estabelecimentos por distrito" xr:uid="{00000000-0004-0000-0200-00000B000000}"/>
    <hyperlink ref="A19" location="'q13'!Área_de_Impressão" display="Quadro 13 - Trabalhadores por conta de outrem ao serviço nos estabelecimentos por grupo etário e sexo" xr:uid="{00000000-0004-0000-0200-00000C000000}"/>
    <hyperlink ref="A20" location="'q14'!Área_de_Impressão" display="Quadro 14 - Trabalhadores por conta de outrem ao serviço nos estabelecimentos por nível de qualificação e sexo" xr:uid="{00000000-0004-0000-0200-00000D000000}"/>
    <hyperlink ref="A21" location="'q15'!A1" display="Quadro 15 - Trabalhadores por conta de outrem ao serviço nos estabelecimentos abrangidos por Instrumentos de Regulamentação Coletiva de Trabalho (IRCT)" xr:uid="{00000000-0004-0000-0200-00000E000000}"/>
    <hyperlink ref="A22" location="'q16'!A1" display="Quadro 16 - Trabalhadores por conta de outrem ao serviço nos estabelecimentos por escalão de remuneração mensal base " xr:uid="{00000000-0004-0000-0200-00000F000000}"/>
    <hyperlink ref="A23" location="'q17'!A1" display="Quadro 17 - Remuneração média mensal base por atividade económica do estabelecimento (CAE-Rev. 3)" xr:uid="{00000000-0004-0000-0200-000010000000}"/>
    <hyperlink ref="A24" location="'q18'!A1" display="Quadro 18- Remuneração média mensal base por dimensão do estabelecimento e sexo" xr:uid="{00000000-0004-0000-0200-000011000000}"/>
    <hyperlink ref="A25" location="'q19'!A1" display="Quadro 19 - Remuneração média mensal base por distrito do estabelecimento" xr:uid="{00000000-0004-0000-0200-000012000000}"/>
    <hyperlink ref="A27" location="'q20'!A1" display="Quadro 20 - Remuneração média mensal base por grupo etário e sexo" xr:uid="{00000000-0004-0000-0200-000013000000}"/>
    <hyperlink ref="A28" location="'q21'!A1" display="Quadro 21 - Remuneração média mensal base por nível de qualificação e sexo" xr:uid="{00000000-0004-0000-0200-000014000000}"/>
    <hyperlink ref="A32" location="'q25'!A1" display="Quadro 25 - Remuneração média mensal ganho por atividade económica do estabelecimento (CAE-Rev. 3)" xr:uid="{00000000-0004-0000-0200-000015000000}"/>
    <hyperlink ref="A33" location="'q26'!A1" display="Quadro 26 - Remuneração média mensal ganho por dimensão do estabelecimento e sexo" xr:uid="{00000000-0004-0000-0200-000016000000}"/>
    <hyperlink ref="A34" location="'q27'!A1" display="Quadro 27 - Remuneração média mensal ganho por distrito do estabelecimento " xr:uid="{00000000-0004-0000-0200-000017000000}"/>
    <hyperlink ref="A36" location="'q28'!A1" display="Quadro 28- Remuneração média mensal ganho por grupo etário e sexo" xr:uid="{00000000-0004-0000-0200-000018000000}"/>
    <hyperlink ref="A37" location="'q29'!A1" display="Quadro 29 - Remuneração média mensal ganho por nível de qualificação e sexo" xr:uid="{00000000-0004-0000-0200-000019000000}"/>
    <hyperlink ref="A39" location="'q31'!A1" display="Quadro 31 - Remuneração média mensal ganho por Instrumento de Regulamentação Coletiva de Trabalho (IRCT)" xr:uid="{00000000-0004-0000-0200-00001A000000}"/>
    <hyperlink ref="A31" location="'q24 '!A1" display="Quadro 24 - Ganho mensal mediano e limiar de baixos salários" xr:uid="{00000000-0004-0000-0200-00001B000000}"/>
    <hyperlink ref="A29" location="'q22'!A1" display="Quadro 22 - Remuneração média mensal base por Instrumento de Regulamentação Coletiva de Trabalho) (IRCT)" xr:uid="{00000000-0004-0000-0200-00001C000000}"/>
    <hyperlink ref="A30" location="'q23'!A1" display="Quadro 23 - Trabalhadores por conta de outrem ao serviço nos estabelecimentos por escalão de remuneração mensal ganho" xr:uid="{00000000-0004-0000-0200-00001D000000}"/>
    <hyperlink ref="A2:H2" location="Introdução!Área_de_Impressão" display="Introdução" xr:uid="{00000000-0004-0000-0200-00001E000000}"/>
    <hyperlink ref="A41:H41" location="Nomenclaturas!Área_de_Impressão" display="Metodologia" xr:uid="{00000000-0004-0000-0200-00001F000000}"/>
    <hyperlink ref="A40:H40" location="Conceitos1!Área_de_Impressão" display="Conceitos" xr:uid="{00000000-0004-0000-0200-000020000000}"/>
    <hyperlink ref="A38" location="'q30'!A1" display="Quadro 30 - Indicadores de remuneração base e ganho e respetivos trabalhadores por conta de outrem (TCO) por nível de habilitação" xr:uid="{00000000-0004-0000-0200-000021000000}"/>
    <hyperlink ref="A6" location="q3.1!A1" display="Quadro 3.1 - Empresas por Região NUTS II e Sub Região NUTS III (2024)" xr:uid="{975899C5-4EB2-4978-97D2-E4A8444769A4}"/>
    <hyperlink ref="A10" location="q6.1!A1" display="Quadro 6.1 - Estabelecimentos por Região NUTS II e Sub Região NUTS III (2024)" xr:uid="{BC5C6511-E838-45AC-B06B-EB305AC771AF}"/>
    <hyperlink ref="A14" location="q9.1!A1" display="Quadro 9.1 - Pessoas ao serviço nos estabelecimentos por Região NUTS II e Sub Região NUTS III (2024)" xr:uid="{DDF85F9F-B552-456E-BD3A-9D1DD06F4541}"/>
    <hyperlink ref="A18" location="q12.1!A1" display="Quadro 12.1 - Trabalhadores por conta de outrem ao serviço nos estabelecimentos por Região NUTS II e Sub Região NUTS III (2024)" xr:uid="{4EDE562D-B384-4A81-A950-3C49956D15B2}"/>
    <hyperlink ref="A26" location="q19.1!A1" display="Quadro 19.1 - Remuneração média mensal base por Região NUTS II e Sub Região NUTS III (2024) do estabelecimento" xr:uid="{AFE4A8DD-F800-444B-9375-8CCC8634862B}"/>
    <hyperlink ref="A35" location="q27.1!A1" display="Quadro 27.1 - Remuneração média mensal ganho por Região NUTS II e Sub Região NUTS III (2024) do estabelecimento " xr:uid="{F33D7221-7983-4A53-A6A8-91BAE1131EF8}"/>
  </hyperlinks>
  <printOptions horizontalCentered="1"/>
  <pageMargins left="0.11811023622047245" right="0.11811023622047245" top="2.0078740157480315" bottom="0.98425196850393704" header="0" footer="0"/>
  <pageSetup paperSize="9" scale="78"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EA2BF-994F-4054-BAB4-7E70034AF8F2}">
  <sheetPr>
    <tabColor indexed="25"/>
    <pageSetUpPr fitToPage="1"/>
  </sheetPr>
  <dimension ref="A1:Q34"/>
  <sheetViews>
    <sheetView showGridLines="0" workbookViewId="0">
      <selection activeCell="P8" sqref="P8"/>
    </sheetView>
  </sheetViews>
  <sheetFormatPr defaultColWidth="9.140625" defaultRowHeight="17.45" customHeight="1"/>
  <cols>
    <col min="1" max="1" width="24.42578125" style="4" customWidth="1"/>
    <col min="2" max="12" width="7.5703125" style="4" customWidth="1"/>
    <col min="13" max="14" width="5.85546875" style="4" bestFit="1" customWidth="1"/>
    <col min="15" max="16384" width="9.140625" style="4"/>
  </cols>
  <sheetData>
    <row r="1" spans="1:13" s="3" customFormat="1" ht="28.5" customHeight="1">
      <c r="A1" s="615" t="s">
        <v>659</v>
      </c>
      <c r="B1" s="615"/>
      <c r="C1" s="615"/>
      <c r="D1" s="615"/>
      <c r="E1" s="615"/>
      <c r="F1" s="615"/>
      <c r="G1" s="615"/>
      <c r="H1" s="615"/>
      <c r="I1" s="615"/>
      <c r="J1" s="615"/>
      <c r="K1" s="615"/>
      <c r="L1" s="615"/>
    </row>
    <row r="2" spans="1:13" ht="15" customHeight="1">
      <c r="A2" s="11"/>
      <c r="B2" s="98"/>
      <c r="C2" s="98"/>
      <c r="D2" s="98"/>
      <c r="E2" s="98"/>
      <c r="F2" s="98"/>
      <c r="G2" s="98"/>
      <c r="H2" s="98"/>
      <c r="I2" s="98"/>
      <c r="J2" s="98"/>
      <c r="K2" s="98"/>
      <c r="L2" s="98"/>
    </row>
    <row r="3" spans="1:13" ht="15" customHeight="1">
      <c r="A3" s="13" t="s">
        <v>42</v>
      </c>
      <c r="B3" s="98"/>
      <c r="C3" s="98"/>
      <c r="D3" s="98"/>
      <c r="E3" s="98"/>
      <c r="F3" s="98"/>
      <c r="G3" s="98"/>
      <c r="H3" s="98"/>
      <c r="I3" s="98"/>
      <c r="J3" s="98"/>
      <c r="K3" s="98"/>
      <c r="L3" s="98"/>
    </row>
    <row r="4" spans="1:13" ht="20.25" customHeight="1" thickBot="1">
      <c r="A4" s="14"/>
      <c r="B4" s="15">
        <v>2012</v>
      </c>
      <c r="C4" s="15">
        <v>2013</v>
      </c>
      <c r="D4" s="15">
        <v>2014</v>
      </c>
      <c r="E4" s="15">
        <v>2015</v>
      </c>
      <c r="F4" s="15">
        <v>2016</v>
      </c>
      <c r="G4" s="15">
        <v>2017</v>
      </c>
      <c r="H4" s="15">
        <v>2018</v>
      </c>
      <c r="I4" s="15">
        <v>2019</v>
      </c>
      <c r="J4" s="15">
        <v>2020</v>
      </c>
      <c r="K4" s="15">
        <v>2021</v>
      </c>
      <c r="L4" s="15">
        <v>2022</v>
      </c>
    </row>
    <row r="5" spans="1:13" ht="21" customHeight="1" thickTop="1">
      <c r="A5" s="92" t="s">
        <v>12</v>
      </c>
      <c r="B5" s="238">
        <v>2387386.0000000009</v>
      </c>
      <c r="C5" s="238">
        <v>2384121</v>
      </c>
      <c r="D5" s="238">
        <v>2458163</v>
      </c>
      <c r="E5" s="238">
        <v>2537653.0000000028</v>
      </c>
      <c r="F5" s="238">
        <v>2641918.9999999977</v>
      </c>
      <c r="G5" s="238">
        <v>2767520.9999999977</v>
      </c>
      <c r="H5" s="238">
        <v>2877918.0000000005</v>
      </c>
      <c r="I5" s="238">
        <v>2930481.9999999995</v>
      </c>
      <c r="J5" s="238">
        <v>2902824.9999999981</v>
      </c>
      <c r="K5" s="238">
        <v>2922343.0000000014</v>
      </c>
      <c r="L5" s="238">
        <v>3148146.9999999995</v>
      </c>
    </row>
    <row r="6" spans="1:13" ht="15" customHeight="1">
      <c r="A6" s="16" t="s">
        <v>629</v>
      </c>
      <c r="B6" s="238">
        <v>867359.99999999988</v>
      </c>
      <c r="C6" s="238">
        <v>867596</v>
      </c>
      <c r="D6" s="238">
        <v>898201.00000000035</v>
      </c>
      <c r="E6" s="238">
        <v>934106</v>
      </c>
      <c r="F6" s="238">
        <v>969358.00000000047</v>
      </c>
      <c r="G6" s="238">
        <v>1020482.9999999999</v>
      </c>
      <c r="H6" s="238">
        <v>1048977.9999999998</v>
      </c>
      <c r="I6" s="238">
        <v>1063143</v>
      </c>
      <c r="J6" s="238">
        <v>1057089.9999999993</v>
      </c>
      <c r="K6" s="238">
        <v>1067824.0000000007</v>
      </c>
      <c r="L6" s="238">
        <v>1142574.9999999998</v>
      </c>
    </row>
    <row r="7" spans="1:13" ht="15" customHeight="1">
      <c r="A7" s="514" t="s">
        <v>630</v>
      </c>
      <c r="B7" s="239">
        <v>47838</v>
      </c>
      <c r="C7" s="239">
        <v>48872.999999999993</v>
      </c>
      <c r="D7" s="239">
        <v>50225</v>
      </c>
      <c r="E7" s="239">
        <v>52609</v>
      </c>
      <c r="F7" s="239">
        <v>52622.000000000007</v>
      </c>
      <c r="G7" s="239">
        <v>55356</v>
      </c>
      <c r="H7" s="239">
        <v>58686</v>
      </c>
      <c r="I7" s="239">
        <v>59295.000000000007</v>
      </c>
      <c r="J7" s="239">
        <v>60629</v>
      </c>
      <c r="K7" s="239">
        <v>60893</v>
      </c>
      <c r="L7" s="239">
        <v>64187</v>
      </c>
    </row>
    <row r="8" spans="1:13" ht="15" customHeight="1">
      <c r="A8" s="514" t="s">
        <v>631</v>
      </c>
      <c r="B8" s="239">
        <v>99797.000000000015</v>
      </c>
      <c r="C8" s="239">
        <v>99096</v>
      </c>
      <c r="D8" s="239">
        <v>104058</v>
      </c>
      <c r="E8" s="239">
        <v>107920</v>
      </c>
      <c r="F8" s="239">
        <v>113517</v>
      </c>
      <c r="G8" s="239">
        <v>120158.00000000001</v>
      </c>
      <c r="H8" s="239">
        <v>126435</v>
      </c>
      <c r="I8" s="239">
        <v>129738.99999999999</v>
      </c>
      <c r="J8" s="239">
        <v>129449</v>
      </c>
      <c r="K8" s="239">
        <v>132064</v>
      </c>
      <c r="L8" s="239">
        <v>143159</v>
      </c>
    </row>
    <row r="9" spans="1:13" ht="15" customHeight="1">
      <c r="A9" s="514" t="s">
        <v>632</v>
      </c>
      <c r="B9" s="239">
        <v>111087</v>
      </c>
      <c r="C9" s="239">
        <v>113206.00000000001</v>
      </c>
      <c r="D9" s="239">
        <v>117573.99999999999</v>
      </c>
      <c r="E9" s="239">
        <v>122620.00000000001</v>
      </c>
      <c r="F9" s="239">
        <v>128328</v>
      </c>
      <c r="G9" s="239">
        <v>132997</v>
      </c>
      <c r="H9" s="239">
        <v>136304</v>
      </c>
      <c r="I9" s="239">
        <v>130389.99999999999</v>
      </c>
      <c r="J9" s="239">
        <v>132409.00000000003</v>
      </c>
      <c r="K9" s="239">
        <v>132536</v>
      </c>
      <c r="L9" s="239">
        <v>140262</v>
      </c>
      <c r="M9" s="343"/>
    </row>
    <row r="10" spans="1:13" ht="15" customHeight="1">
      <c r="A10" s="514" t="s">
        <v>633</v>
      </c>
      <c r="B10" s="239">
        <v>454580.99999999994</v>
      </c>
      <c r="C10" s="239">
        <v>451487.99999999994</v>
      </c>
      <c r="D10" s="239">
        <v>466468</v>
      </c>
      <c r="E10" s="239">
        <v>484890</v>
      </c>
      <c r="F10" s="239">
        <v>503447</v>
      </c>
      <c r="G10" s="239">
        <v>534642</v>
      </c>
      <c r="H10" s="239">
        <v>546000</v>
      </c>
      <c r="I10" s="239">
        <v>561884</v>
      </c>
      <c r="J10" s="239">
        <v>551846</v>
      </c>
      <c r="K10" s="239">
        <v>554585</v>
      </c>
      <c r="L10" s="239">
        <v>598036</v>
      </c>
      <c r="M10" s="343"/>
    </row>
    <row r="11" spans="1:13" ht="15" customHeight="1">
      <c r="A11" s="514" t="s">
        <v>634</v>
      </c>
      <c r="B11" s="239">
        <v>11289</v>
      </c>
      <c r="C11" s="239">
        <v>11107</v>
      </c>
      <c r="D11" s="239">
        <v>11285</v>
      </c>
      <c r="E11" s="239">
        <v>11800</v>
      </c>
      <c r="F11" s="239">
        <v>12071</v>
      </c>
      <c r="G11" s="239">
        <v>13249.000000000002</v>
      </c>
      <c r="H11" s="239">
        <v>13543.999999999998</v>
      </c>
      <c r="I11" s="239">
        <v>13822.999999999998</v>
      </c>
      <c r="J11" s="239">
        <v>13398</v>
      </c>
      <c r="K11" s="239">
        <v>13653</v>
      </c>
      <c r="L11" s="239">
        <v>14446</v>
      </c>
      <c r="M11" s="343"/>
    </row>
    <row r="12" spans="1:13" ht="15" customHeight="1">
      <c r="A12" s="514" t="s">
        <v>635</v>
      </c>
      <c r="B12" s="239">
        <v>97011</v>
      </c>
      <c r="C12" s="239">
        <v>98223.000000000015</v>
      </c>
      <c r="D12" s="239">
        <v>102491</v>
      </c>
      <c r="E12" s="239">
        <v>106598</v>
      </c>
      <c r="F12" s="239">
        <v>110512</v>
      </c>
      <c r="G12" s="239">
        <v>114101</v>
      </c>
      <c r="H12" s="239">
        <v>116671</v>
      </c>
      <c r="I12" s="239">
        <v>116470.00000000001</v>
      </c>
      <c r="J12" s="239">
        <v>116377</v>
      </c>
      <c r="K12" s="239">
        <v>120140</v>
      </c>
      <c r="L12" s="239">
        <v>126317.99999999999</v>
      </c>
      <c r="M12" s="343"/>
    </row>
    <row r="13" spans="1:13" ht="15" customHeight="1">
      <c r="A13" s="514" t="s">
        <v>636</v>
      </c>
      <c r="B13" s="239">
        <v>30545.000000000004</v>
      </c>
      <c r="C13" s="239">
        <v>30393</v>
      </c>
      <c r="D13" s="239">
        <v>30403.000000000004</v>
      </c>
      <c r="E13" s="239">
        <v>31414</v>
      </c>
      <c r="F13" s="239">
        <v>32095.000000000004</v>
      </c>
      <c r="G13" s="239">
        <v>32842</v>
      </c>
      <c r="H13" s="239">
        <v>33778.999999999993</v>
      </c>
      <c r="I13" s="239">
        <v>33925</v>
      </c>
      <c r="J13" s="239">
        <v>34875.000000000007</v>
      </c>
      <c r="K13" s="239">
        <v>35549.000000000007</v>
      </c>
      <c r="L13" s="239">
        <v>37314</v>
      </c>
      <c r="M13" s="343"/>
    </row>
    <row r="14" spans="1:13" ht="15" customHeight="1">
      <c r="A14" s="514" t="s">
        <v>637</v>
      </c>
      <c r="B14" s="239">
        <v>15212</v>
      </c>
      <c r="C14" s="239">
        <v>15209.999999999998</v>
      </c>
      <c r="D14" s="239">
        <v>15696.999999999998</v>
      </c>
      <c r="E14" s="239">
        <v>16254.999999999998</v>
      </c>
      <c r="F14" s="239">
        <v>16766</v>
      </c>
      <c r="G14" s="239">
        <v>17138.000000000004</v>
      </c>
      <c r="H14" s="239">
        <v>17559</v>
      </c>
      <c r="I14" s="239">
        <v>17617</v>
      </c>
      <c r="J14" s="239">
        <v>18107</v>
      </c>
      <c r="K14" s="239">
        <v>18404</v>
      </c>
      <c r="L14" s="239">
        <v>18853</v>
      </c>
      <c r="M14" s="343"/>
    </row>
    <row r="15" spans="1:13" ht="15" customHeight="1">
      <c r="A15" s="16" t="s">
        <v>638</v>
      </c>
      <c r="B15" s="238">
        <v>376953.99999999988</v>
      </c>
      <c r="C15" s="238">
        <v>375479.00000000012</v>
      </c>
      <c r="D15" s="238">
        <v>385062.00000000006</v>
      </c>
      <c r="E15" s="238">
        <v>394749.00000000006</v>
      </c>
      <c r="F15" s="238">
        <v>407291</v>
      </c>
      <c r="G15" s="238">
        <v>423923.00000000012</v>
      </c>
      <c r="H15" s="238">
        <v>439199</v>
      </c>
      <c r="I15" s="238">
        <v>442560.99999999988</v>
      </c>
      <c r="J15" s="238">
        <v>444343.99999999994</v>
      </c>
      <c r="K15" s="238">
        <v>445473.00000000006</v>
      </c>
      <c r="L15" s="238">
        <v>473399</v>
      </c>
      <c r="M15" s="343"/>
    </row>
    <row r="16" spans="1:13" ht="15" customHeight="1">
      <c r="A16" s="514" t="s">
        <v>639</v>
      </c>
      <c r="B16" s="239">
        <v>95451.000000000015</v>
      </c>
      <c r="C16" s="239">
        <v>94576</v>
      </c>
      <c r="D16" s="239">
        <v>98368.000000000015</v>
      </c>
      <c r="E16" s="239">
        <v>101027</v>
      </c>
      <c r="F16" s="239">
        <v>106482</v>
      </c>
      <c r="G16" s="239">
        <v>111036</v>
      </c>
      <c r="H16" s="239">
        <v>117298</v>
      </c>
      <c r="I16" s="239">
        <v>118388.99999999999</v>
      </c>
      <c r="J16" s="239">
        <v>119180</v>
      </c>
      <c r="K16" s="239">
        <v>117165.99999999999</v>
      </c>
      <c r="L16" s="239">
        <v>127100</v>
      </c>
      <c r="M16" s="343"/>
    </row>
    <row r="17" spans="1:17" ht="15" customHeight="1">
      <c r="A17" s="514" t="s">
        <v>640</v>
      </c>
      <c r="B17" s="239">
        <v>92494.999999999985</v>
      </c>
      <c r="C17" s="239">
        <v>92022.000000000015</v>
      </c>
      <c r="D17" s="239">
        <v>91037</v>
      </c>
      <c r="E17" s="239">
        <v>93998.000000000015</v>
      </c>
      <c r="F17" s="239">
        <v>95633</v>
      </c>
      <c r="G17" s="239">
        <v>100266.00000000001</v>
      </c>
      <c r="H17" s="239">
        <v>101543</v>
      </c>
      <c r="I17" s="239">
        <v>102855.99999999999</v>
      </c>
      <c r="J17" s="239">
        <v>103974.99999999999</v>
      </c>
      <c r="K17" s="239">
        <v>104161.00000000001</v>
      </c>
      <c r="L17" s="239">
        <v>111437</v>
      </c>
      <c r="M17" s="343"/>
    </row>
    <row r="18" spans="1:17" ht="15" customHeight="1">
      <c r="A18" s="514" t="s">
        <v>641</v>
      </c>
      <c r="B18" s="239">
        <v>76066.999999999985</v>
      </c>
      <c r="C18" s="239">
        <v>77335</v>
      </c>
      <c r="D18" s="239">
        <v>81138</v>
      </c>
      <c r="E18" s="239">
        <v>83217</v>
      </c>
      <c r="F18" s="239">
        <v>86265</v>
      </c>
      <c r="G18" s="239">
        <v>89775</v>
      </c>
      <c r="H18" s="239">
        <v>91777</v>
      </c>
      <c r="I18" s="239">
        <v>92356.999999999985</v>
      </c>
      <c r="J18" s="239">
        <v>92504</v>
      </c>
      <c r="K18" s="239">
        <v>94709.000000000015</v>
      </c>
      <c r="L18" s="239">
        <v>98098</v>
      </c>
      <c r="M18" s="343"/>
    </row>
    <row r="19" spans="1:17" ht="15" customHeight="1">
      <c r="A19" s="514" t="s">
        <v>642</v>
      </c>
      <c r="B19" s="239">
        <v>53648</v>
      </c>
      <c r="C19" s="239">
        <v>53553</v>
      </c>
      <c r="D19" s="239">
        <v>54665</v>
      </c>
      <c r="E19" s="239">
        <v>56306</v>
      </c>
      <c r="F19" s="239">
        <v>58117.000000000007</v>
      </c>
      <c r="G19" s="239">
        <v>60427.000000000007</v>
      </c>
      <c r="H19" s="239">
        <v>63457.999999999993</v>
      </c>
      <c r="I19" s="239">
        <v>65071</v>
      </c>
      <c r="J19" s="239">
        <v>64891</v>
      </c>
      <c r="K19" s="239">
        <v>65303</v>
      </c>
      <c r="L19" s="239">
        <v>69493</v>
      </c>
      <c r="M19" s="343"/>
    </row>
    <row r="20" spans="1:17" ht="15" customHeight="1">
      <c r="A20" s="514" t="s">
        <v>643</v>
      </c>
      <c r="B20" s="239">
        <v>18822</v>
      </c>
      <c r="C20" s="239">
        <v>18295</v>
      </c>
      <c r="D20" s="239">
        <v>19205</v>
      </c>
      <c r="E20" s="239">
        <v>18862</v>
      </c>
      <c r="F20" s="239">
        <v>18976</v>
      </c>
      <c r="G20" s="239">
        <v>19074</v>
      </c>
      <c r="H20" s="239">
        <v>20595</v>
      </c>
      <c r="I20" s="239">
        <v>20454</v>
      </c>
      <c r="J20" s="239">
        <v>20429</v>
      </c>
      <c r="K20" s="239">
        <v>20093</v>
      </c>
      <c r="L20" s="239">
        <v>21005</v>
      </c>
      <c r="M20" s="343"/>
    </row>
    <row r="21" spans="1:17" ht="15" customHeight="1">
      <c r="A21" s="514" t="s">
        <v>644</v>
      </c>
      <c r="B21" s="239">
        <v>40471.000000000007</v>
      </c>
      <c r="C21" s="239">
        <v>39698.000000000007</v>
      </c>
      <c r="D21" s="239">
        <v>40649</v>
      </c>
      <c r="E21" s="239">
        <v>41339</v>
      </c>
      <c r="F21" s="239">
        <v>41818.000000000007</v>
      </c>
      <c r="G21" s="239">
        <v>43345</v>
      </c>
      <c r="H21" s="239">
        <v>44527.999999999993</v>
      </c>
      <c r="I21" s="239">
        <v>43434.000000000007</v>
      </c>
      <c r="J21" s="239">
        <v>43365</v>
      </c>
      <c r="K21" s="239">
        <v>44041.000000000007</v>
      </c>
      <c r="L21" s="239">
        <v>46266</v>
      </c>
      <c r="M21" s="343"/>
    </row>
    <row r="22" spans="1:17" s="19" customFormat="1" ht="15" customHeight="1">
      <c r="A22" s="16" t="s">
        <v>645</v>
      </c>
      <c r="B22" s="238">
        <v>170697.99999999997</v>
      </c>
      <c r="C22" s="238">
        <v>167401.00000000006</v>
      </c>
      <c r="D22" s="238">
        <v>172345.99999999997</v>
      </c>
      <c r="E22" s="238">
        <v>176637</v>
      </c>
      <c r="F22" s="238">
        <v>181245.00000000003</v>
      </c>
      <c r="G22" s="238">
        <v>192179</v>
      </c>
      <c r="H22" s="238">
        <v>203271.00000000003</v>
      </c>
      <c r="I22" s="238">
        <v>207475</v>
      </c>
      <c r="J22" s="238">
        <v>207244</v>
      </c>
      <c r="K22" s="238">
        <v>205139.99999999994</v>
      </c>
      <c r="L22" s="238">
        <v>217876.00000000006</v>
      </c>
      <c r="M22" s="343"/>
      <c r="O22" s="4"/>
      <c r="P22" s="4"/>
      <c r="Q22" s="4"/>
    </row>
    <row r="23" spans="1:17" ht="15" customHeight="1">
      <c r="A23" s="514" t="s">
        <v>646</v>
      </c>
      <c r="B23" s="239">
        <v>74176</v>
      </c>
      <c r="C23" s="239">
        <v>72876.000000000015</v>
      </c>
      <c r="D23" s="239">
        <v>76041</v>
      </c>
      <c r="E23" s="239">
        <v>78135</v>
      </c>
      <c r="F23" s="239">
        <v>80561</v>
      </c>
      <c r="G23" s="239">
        <v>85296.999999999985</v>
      </c>
      <c r="H23" s="239">
        <v>93248</v>
      </c>
      <c r="I23" s="239">
        <v>94993</v>
      </c>
      <c r="J23" s="239">
        <v>93635</v>
      </c>
      <c r="K23" s="239">
        <v>91960</v>
      </c>
      <c r="L23" s="239">
        <v>97506</v>
      </c>
    </row>
    <row r="24" spans="1:17" ht="17.45" customHeight="1">
      <c r="A24" s="514" t="s">
        <v>647</v>
      </c>
      <c r="B24" s="239">
        <v>46354</v>
      </c>
      <c r="C24" s="239">
        <v>45178</v>
      </c>
      <c r="D24" s="239">
        <v>45874.999999999993</v>
      </c>
      <c r="E24" s="239">
        <v>47312</v>
      </c>
      <c r="F24" s="239">
        <v>47227.000000000007</v>
      </c>
      <c r="G24" s="239">
        <v>49621</v>
      </c>
      <c r="H24" s="239">
        <v>50555</v>
      </c>
      <c r="I24" s="239">
        <v>51812</v>
      </c>
      <c r="J24" s="239">
        <v>50877</v>
      </c>
      <c r="K24" s="239">
        <v>50282</v>
      </c>
      <c r="L24" s="239">
        <v>53904.000000000007</v>
      </c>
    </row>
    <row r="25" spans="1:17" ht="17.45" customHeight="1">
      <c r="A25" s="514" t="s">
        <v>648</v>
      </c>
      <c r="B25" s="239">
        <v>50168</v>
      </c>
      <c r="C25" s="239">
        <v>49347</v>
      </c>
      <c r="D25" s="239">
        <v>50430.000000000007</v>
      </c>
      <c r="E25" s="239">
        <v>51190</v>
      </c>
      <c r="F25" s="239">
        <v>53456.999999999993</v>
      </c>
      <c r="G25" s="239">
        <v>57260.999999999993</v>
      </c>
      <c r="H25" s="239">
        <v>59468</v>
      </c>
      <c r="I25" s="239">
        <v>60669.999999999993</v>
      </c>
      <c r="J25" s="239">
        <v>62731.999999999993</v>
      </c>
      <c r="K25" s="239">
        <v>62898</v>
      </c>
      <c r="L25" s="239">
        <v>66465.999999999985</v>
      </c>
    </row>
    <row r="26" spans="1:17" ht="17.45" customHeight="1">
      <c r="A26" s="16" t="s">
        <v>649</v>
      </c>
      <c r="B26" s="238">
        <v>652354</v>
      </c>
      <c r="C26" s="238">
        <v>656569.99999999988</v>
      </c>
      <c r="D26" s="238">
        <v>677265</v>
      </c>
      <c r="E26" s="238">
        <v>692513</v>
      </c>
      <c r="F26" s="238">
        <v>728120</v>
      </c>
      <c r="G26" s="238">
        <v>753266.00000000012</v>
      </c>
      <c r="H26" s="238">
        <v>788380.00000000012</v>
      </c>
      <c r="I26" s="238">
        <v>807855</v>
      </c>
      <c r="J26" s="238">
        <v>797460</v>
      </c>
      <c r="K26" s="238">
        <v>801493</v>
      </c>
      <c r="L26" s="238">
        <v>875584</v>
      </c>
    </row>
    <row r="27" spans="1:17" ht="17.45" customHeight="1">
      <c r="A27" s="16" t="s">
        <v>650</v>
      </c>
      <c r="B27" s="238">
        <v>120886.00000000001</v>
      </c>
      <c r="C27" s="238">
        <v>119320</v>
      </c>
      <c r="D27" s="238">
        <v>120734</v>
      </c>
      <c r="E27" s="238">
        <v>123784.00000000001</v>
      </c>
      <c r="F27" s="238">
        <v>127295</v>
      </c>
      <c r="G27" s="238">
        <v>134832.00000000003</v>
      </c>
      <c r="H27" s="238">
        <v>143332</v>
      </c>
      <c r="I27" s="238">
        <v>147144.00000000003</v>
      </c>
      <c r="J27" s="238">
        <v>146898</v>
      </c>
      <c r="K27" s="238">
        <v>148398</v>
      </c>
      <c r="L27" s="238">
        <v>158898</v>
      </c>
    </row>
    <row r="28" spans="1:17" ht="17.45" customHeight="1">
      <c r="A28" s="16" t="s">
        <v>651</v>
      </c>
      <c r="B28" s="238">
        <v>93645</v>
      </c>
      <c r="C28" s="238">
        <v>92817</v>
      </c>
      <c r="D28" s="238">
        <v>94632.999999999971</v>
      </c>
      <c r="E28" s="238">
        <v>98629.999999999985</v>
      </c>
      <c r="F28" s="238">
        <v>102620</v>
      </c>
      <c r="G28" s="238">
        <v>106989.99999999999</v>
      </c>
      <c r="H28" s="238">
        <v>110648.00000000001</v>
      </c>
      <c r="I28" s="238">
        <v>112693</v>
      </c>
      <c r="J28" s="238">
        <v>115844.99999999997</v>
      </c>
      <c r="K28" s="238">
        <v>116079.00000000004</v>
      </c>
      <c r="L28" s="238">
        <v>125145.00000000001</v>
      </c>
    </row>
    <row r="29" spans="1:17" ht="17.45" customHeight="1">
      <c r="A29" s="514" t="s">
        <v>652</v>
      </c>
      <c r="B29" s="239">
        <v>20037</v>
      </c>
      <c r="C29" s="239">
        <v>20360</v>
      </c>
      <c r="D29" s="239">
        <v>20669</v>
      </c>
      <c r="E29" s="239">
        <v>22067</v>
      </c>
      <c r="F29" s="239">
        <v>23455</v>
      </c>
      <c r="G29" s="239">
        <v>25004</v>
      </c>
      <c r="H29" s="239">
        <v>26593</v>
      </c>
      <c r="I29" s="239">
        <v>28106</v>
      </c>
      <c r="J29" s="239">
        <v>31575</v>
      </c>
      <c r="K29" s="239">
        <v>31890</v>
      </c>
      <c r="L29" s="239">
        <v>34475</v>
      </c>
    </row>
    <row r="30" spans="1:17" ht="17.45" customHeight="1">
      <c r="A30" s="514" t="s">
        <v>653</v>
      </c>
      <c r="B30" s="239">
        <v>22023</v>
      </c>
      <c r="C30" s="239">
        <v>22085.999999999996</v>
      </c>
      <c r="D30" s="239">
        <v>22425.999999999996</v>
      </c>
      <c r="E30" s="239">
        <v>23238.999999999996</v>
      </c>
      <c r="F30" s="239">
        <v>23619.000000000004</v>
      </c>
      <c r="G30" s="239">
        <v>25024</v>
      </c>
      <c r="H30" s="239">
        <v>25408</v>
      </c>
      <c r="I30" s="239">
        <v>25504</v>
      </c>
      <c r="J30" s="239">
        <v>25388.999999999996</v>
      </c>
      <c r="K30" s="239">
        <v>25463.000000000004</v>
      </c>
      <c r="L30" s="239">
        <v>28355.999999999996</v>
      </c>
    </row>
    <row r="31" spans="1:17" ht="17.45" customHeight="1">
      <c r="A31" s="514" t="s">
        <v>654</v>
      </c>
      <c r="B31" s="239">
        <v>19060</v>
      </c>
      <c r="C31" s="239">
        <v>18653.000000000004</v>
      </c>
      <c r="D31" s="239">
        <v>19009</v>
      </c>
      <c r="E31" s="239">
        <v>19293</v>
      </c>
      <c r="F31" s="239">
        <v>20176.000000000004</v>
      </c>
      <c r="G31" s="239">
        <v>20664</v>
      </c>
      <c r="H31" s="239">
        <v>20619.999999999996</v>
      </c>
      <c r="I31" s="239">
        <v>20826</v>
      </c>
      <c r="J31" s="239">
        <v>21098</v>
      </c>
      <c r="K31" s="239">
        <v>20537</v>
      </c>
      <c r="L31" s="239">
        <v>21623.000000000007</v>
      </c>
    </row>
    <row r="32" spans="1:17" ht="17.45" customHeight="1">
      <c r="A32" s="514" t="s">
        <v>655</v>
      </c>
      <c r="B32" s="239">
        <v>32525</v>
      </c>
      <c r="C32" s="239">
        <v>31718.000000000004</v>
      </c>
      <c r="D32" s="239">
        <v>32529</v>
      </c>
      <c r="E32" s="239">
        <v>34030.999999999993</v>
      </c>
      <c r="F32" s="239">
        <v>35370</v>
      </c>
      <c r="G32" s="239">
        <v>36298.000000000007</v>
      </c>
      <c r="H32" s="239">
        <v>38027.000000000015</v>
      </c>
      <c r="I32" s="239">
        <v>38257</v>
      </c>
      <c r="J32" s="239">
        <v>37783</v>
      </c>
      <c r="K32" s="239">
        <v>38189</v>
      </c>
      <c r="L32" s="239">
        <v>40691</v>
      </c>
    </row>
    <row r="33" spans="1:17" ht="17.45" customHeight="1">
      <c r="A33" s="18" t="s">
        <v>656</v>
      </c>
      <c r="B33" s="515">
        <v>105488.99999999999</v>
      </c>
      <c r="C33" s="515">
        <v>104938</v>
      </c>
      <c r="D33" s="515">
        <v>109922</v>
      </c>
      <c r="E33" s="515">
        <v>117234</v>
      </c>
      <c r="F33" s="515">
        <v>125989.99999999999</v>
      </c>
      <c r="G33" s="515">
        <v>135848</v>
      </c>
      <c r="H33" s="515">
        <v>144110</v>
      </c>
      <c r="I33" s="515">
        <v>149611</v>
      </c>
      <c r="J33" s="515">
        <v>133943.99999999997</v>
      </c>
      <c r="K33" s="515">
        <v>137936</v>
      </c>
      <c r="L33" s="515">
        <v>154669.99999999997</v>
      </c>
      <c r="O33" s="19"/>
      <c r="P33" s="19"/>
      <c r="Q33" s="19"/>
    </row>
    <row r="34" spans="1:17" ht="17.45" customHeight="1">
      <c r="A34" s="20" t="s">
        <v>138</v>
      </c>
      <c r="C34" s="17"/>
      <c r="D34" s="17"/>
      <c r="E34" s="17"/>
      <c r="F34" s="17"/>
      <c r="G34" s="17"/>
      <c r="H34" s="17"/>
      <c r="I34" s="17"/>
      <c r="J34" s="17"/>
      <c r="K34" s="17"/>
      <c r="L34" s="17"/>
    </row>
  </sheetData>
  <mergeCells count="1">
    <mergeCell ref="A1:L1"/>
  </mergeCells>
  <conditionalFormatting sqref="A1 R1:XFD61 A35:E1048576 M62:XFD1048576">
    <cfRule type="cellIs" dxfId="28" priority="26" operator="equal">
      <formula>0</formula>
    </cfRule>
  </conditionalFormatting>
  <conditionalFormatting sqref="B5:L33">
    <cfRule type="cellIs" dxfId="27" priority="9" operator="equal">
      <formula>0</formula>
    </cfRule>
  </conditionalFormatting>
  <conditionalFormatting sqref="C34:E34">
    <cfRule type="cellIs" dxfId="26" priority="8" operator="equal">
      <formula>0</formula>
    </cfRule>
  </conditionalFormatting>
  <conditionalFormatting sqref="F34:L1048576">
    <cfRule type="cellIs" dxfId="25" priority="1" operator="equal">
      <formula>0</formula>
    </cfRule>
  </conditionalFormatting>
  <conditionalFormatting sqref="M1:N61">
    <cfRule type="cellIs" dxfId="24" priority="25" operator="equal">
      <formula>0</formula>
    </cfRule>
  </conditionalFormatting>
  <conditionalFormatting sqref="M4:N4">
    <cfRule type="containsText" dxfId="23" priority="24" operator="containsText" text="FALSO">
      <formula>NOT(ISERROR(SEARCH("FALSO",M4)))</formula>
    </cfRule>
  </conditionalFormatting>
  <printOptions horizontalCentered="1"/>
  <pageMargins left="0.27559055118110237" right="0.27559055118110237" top="1.7716535433070868" bottom="0.47244094488188981" header="0.19685039370078741" footer="0.19685039370078741"/>
  <pageSetup paperSize="9" scale="94" orientation="portrait" r:id="rId1"/>
  <headerFooter>
    <oddHeader xml:space="preserve">&amp;C&amp;G
</oddHead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tabColor indexed="25"/>
    <pageSetUpPr fitToPage="1"/>
  </sheetPr>
  <dimension ref="A1:P47"/>
  <sheetViews>
    <sheetView showGridLines="0" zoomScaleNormal="100" workbookViewId="0">
      <selection activeCell="P8" sqref="P8"/>
    </sheetView>
  </sheetViews>
  <sheetFormatPr defaultColWidth="17.28515625" defaultRowHeight="11.25"/>
  <cols>
    <col min="1" max="1" width="14.7109375" style="41" customWidth="1"/>
    <col min="2" max="2" width="2.42578125" style="94" bestFit="1" customWidth="1"/>
    <col min="3" max="13" width="7.5703125" style="41" customWidth="1"/>
    <col min="14" max="15" width="7.85546875" style="41" customWidth="1"/>
    <col min="16" max="16384" width="17.28515625" style="41"/>
  </cols>
  <sheetData>
    <row r="1" spans="1:16" s="34" customFormat="1" ht="28.5" customHeight="1">
      <c r="A1" s="598" t="s">
        <v>204</v>
      </c>
      <c r="B1" s="598"/>
      <c r="C1" s="598"/>
      <c r="D1" s="598"/>
      <c r="E1" s="598"/>
      <c r="F1" s="598"/>
      <c r="G1" s="598"/>
      <c r="H1" s="598"/>
      <c r="I1" s="598"/>
      <c r="J1" s="598"/>
      <c r="K1" s="598"/>
      <c r="L1" s="598"/>
      <c r="M1" s="598"/>
    </row>
    <row r="2" spans="1:16" s="36" customFormat="1" ht="15" customHeight="1">
      <c r="A2" s="103"/>
      <c r="B2" s="132"/>
      <c r="C2" s="133"/>
      <c r="D2" s="103"/>
      <c r="E2" s="103"/>
      <c r="F2" s="103"/>
      <c r="G2" s="103"/>
      <c r="H2" s="103"/>
      <c r="I2" s="103"/>
      <c r="J2" s="103"/>
      <c r="K2" s="103"/>
      <c r="L2" s="103"/>
      <c r="M2" s="103"/>
    </row>
    <row r="3" spans="1:16" s="36" customFormat="1" ht="15" customHeight="1">
      <c r="A3" s="103" t="s">
        <v>14</v>
      </c>
      <c r="B3" s="132"/>
      <c r="C3" s="133"/>
      <c r="D3" s="103"/>
      <c r="E3" s="103"/>
      <c r="F3" s="103"/>
      <c r="G3" s="103"/>
      <c r="H3" s="103"/>
      <c r="I3" s="103"/>
      <c r="J3" s="103"/>
      <c r="K3" s="103"/>
      <c r="L3" s="103"/>
      <c r="M3" s="103"/>
    </row>
    <row r="4" spans="1:16" s="93" customFormat="1" ht="28.5" customHeight="1" thickBot="1">
      <c r="A4" s="54"/>
      <c r="B4" s="54"/>
      <c r="C4" s="54">
        <v>2012</v>
      </c>
      <c r="D4" s="54">
        <v>2013</v>
      </c>
      <c r="E4" s="54">
        <v>2014</v>
      </c>
      <c r="F4" s="54">
        <v>2015</v>
      </c>
      <c r="G4" s="54">
        <v>2016</v>
      </c>
      <c r="H4" s="54">
        <v>2017</v>
      </c>
      <c r="I4" s="54">
        <v>2018</v>
      </c>
      <c r="J4" s="54">
        <v>2019</v>
      </c>
      <c r="K4" s="54">
        <v>2020</v>
      </c>
      <c r="L4" s="54">
        <v>2021</v>
      </c>
      <c r="M4" s="54">
        <v>2022</v>
      </c>
    </row>
    <row r="5" spans="1:16" s="79" customFormat="1" ht="16.5" customHeight="1" thickTop="1">
      <c r="A5" s="44" t="s">
        <v>12</v>
      </c>
      <c r="B5" s="44" t="s">
        <v>45</v>
      </c>
      <c r="C5" s="253">
        <v>2387386</v>
      </c>
      <c r="D5" s="253">
        <v>2384121</v>
      </c>
      <c r="E5" s="253">
        <v>2458163</v>
      </c>
      <c r="F5" s="253">
        <v>2537653</v>
      </c>
      <c r="G5" s="253">
        <v>2641919</v>
      </c>
      <c r="H5" s="253">
        <v>2767521</v>
      </c>
      <c r="I5" s="253">
        <v>2877918</v>
      </c>
      <c r="J5" s="253">
        <v>2930482</v>
      </c>
      <c r="K5" s="253">
        <v>2902825</v>
      </c>
      <c r="L5" s="253">
        <v>2922343</v>
      </c>
      <c r="M5" s="253">
        <v>3148147</v>
      </c>
      <c r="N5" s="93"/>
      <c r="O5" s="321"/>
    </row>
    <row r="6" spans="1:16" s="79" customFormat="1" ht="12.75" customHeight="1">
      <c r="A6" s="44"/>
      <c r="B6" s="44" t="s">
        <v>53</v>
      </c>
      <c r="C6" s="252">
        <v>1250432</v>
      </c>
      <c r="D6" s="252">
        <v>1242007</v>
      </c>
      <c r="E6" s="252">
        <v>1278921</v>
      </c>
      <c r="F6" s="252">
        <v>1311721</v>
      </c>
      <c r="G6" s="252">
        <v>1367705</v>
      </c>
      <c r="H6" s="252">
        <v>1437729</v>
      </c>
      <c r="I6" s="252">
        <v>1499993</v>
      </c>
      <c r="J6" s="252">
        <v>1529276</v>
      </c>
      <c r="K6" s="252">
        <v>1526297</v>
      </c>
      <c r="L6" s="252">
        <v>1530240</v>
      </c>
      <c r="M6" s="252">
        <v>1653917</v>
      </c>
      <c r="N6" s="93"/>
      <c r="O6" s="93"/>
    </row>
    <row r="7" spans="1:16" s="79" customFormat="1" ht="12.75" customHeight="1">
      <c r="A7" s="44"/>
      <c r="B7" s="44" t="s">
        <v>54</v>
      </c>
      <c r="C7" s="252">
        <v>1136954</v>
      </c>
      <c r="D7" s="252">
        <v>1142114</v>
      </c>
      <c r="E7" s="252">
        <v>1179242</v>
      </c>
      <c r="F7" s="252">
        <v>1225932</v>
      </c>
      <c r="G7" s="252">
        <v>1274214</v>
      </c>
      <c r="H7" s="252">
        <v>1329792</v>
      </c>
      <c r="I7" s="252">
        <v>1377925</v>
      </c>
      <c r="J7" s="252">
        <v>1401206</v>
      </c>
      <c r="K7" s="252">
        <v>1376528</v>
      </c>
      <c r="L7" s="252">
        <v>1392103</v>
      </c>
      <c r="M7" s="252">
        <v>1494230</v>
      </c>
      <c r="N7" s="93"/>
      <c r="O7" s="93"/>
    </row>
    <row r="8" spans="1:16" s="8" customFormat="1" ht="16.5" customHeight="1">
      <c r="A8" s="46" t="s">
        <v>55</v>
      </c>
      <c r="B8" s="44" t="s">
        <v>45</v>
      </c>
      <c r="C8" s="252">
        <v>1207</v>
      </c>
      <c r="D8" s="252">
        <v>821</v>
      </c>
      <c r="E8" s="252">
        <v>687</v>
      </c>
      <c r="F8" s="252">
        <v>676</v>
      </c>
      <c r="G8" s="252">
        <v>865</v>
      </c>
      <c r="H8" s="252">
        <v>1270</v>
      </c>
      <c r="I8" s="252">
        <v>1466</v>
      </c>
      <c r="J8" s="252">
        <v>1544</v>
      </c>
      <c r="K8" s="252">
        <v>646</v>
      </c>
      <c r="L8" s="252">
        <v>995</v>
      </c>
      <c r="M8" s="252">
        <v>1420</v>
      </c>
      <c r="N8" s="93"/>
      <c r="O8" s="93"/>
    </row>
    <row r="9" spans="1:16" s="8" customFormat="1" ht="12.75" customHeight="1">
      <c r="A9" s="47"/>
      <c r="B9" s="48" t="s">
        <v>53</v>
      </c>
      <c r="C9" s="254">
        <v>785</v>
      </c>
      <c r="D9" s="254">
        <v>504</v>
      </c>
      <c r="E9" s="254">
        <v>378</v>
      </c>
      <c r="F9" s="254">
        <v>357</v>
      </c>
      <c r="G9" s="254">
        <v>497</v>
      </c>
      <c r="H9" s="254">
        <v>714</v>
      </c>
      <c r="I9" s="254">
        <v>775</v>
      </c>
      <c r="J9" s="254">
        <v>811</v>
      </c>
      <c r="K9" s="254">
        <v>404</v>
      </c>
      <c r="L9" s="254">
        <v>568</v>
      </c>
      <c r="M9" s="254">
        <v>802</v>
      </c>
      <c r="N9" s="93"/>
      <c r="O9" s="321"/>
    </row>
    <row r="10" spans="1:16" s="8" customFormat="1" ht="12.75" customHeight="1">
      <c r="A10" s="46"/>
      <c r="B10" s="48" t="s">
        <v>54</v>
      </c>
      <c r="C10" s="254">
        <v>422</v>
      </c>
      <c r="D10" s="254">
        <v>317</v>
      </c>
      <c r="E10" s="254">
        <v>309</v>
      </c>
      <c r="F10" s="254">
        <v>319</v>
      </c>
      <c r="G10" s="254">
        <v>368</v>
      </c>
      <c r="H10" s="254">
        <v>556</v>
      </c>
      <c r="I10" s="254">
        <v>691</v>
      </c>
      <c r="J10" s="254">
        <v>733</v>
      </c>
      <c r="K10" s="254">
        <v>242</v>
      </c>
      <c r="L10" s="254">
        <v>427</v>
      </c>
      <c r="M10" s="254">
        <v>618</v>
      </c>
      <c r="N10" s="139"/>
      <c r="O10" s="93"/>
    </row>
    <row r="11" spans="1:16" s="8" customFormat="1" ht="16.5" customHeight="1">
      <c r="A11" s="46" t="s">
        <v>56</v>
      </c>
      <c r="B11" s="44" t="s">
        <v>45</v>
      </c>
      <c r="C11" s="252">
        <v>179728</v>
      </c>
      <c r="D11" s="252">
        <v>172324</v>
      </c>
      <c r="E11" s="252">
        <v>181616</v>
      </c>
      <c r="F11" s="252">
        <v>194897</v>
      </c>
      <c r="G11" s="252">
        <v>210709</v>
      </c>
      <c r="H11" s="252">
        <v>235752</v>
      </c>
      <c r="I11" s="252">
        <v>254057</v>
      </c>
      <c r="J11" s="252">
        <v>264849</v>
      </c>
      <c r="K11" s="252">
        <v>236534</v>
      </c>
      <c r="L11" s="252">
        <v>243610</v>
      </c>
      <c r="M11" s="252">
        <v>270997</v>
      </c>
      <c r="N11" s="139"/>
      <c r="O11" s="139"/>
    </row>
    <row r="12" spans="1:16" s="8" customFormat="1" ht="12.75" customHeight="1">
      <c r="A12" s="47"/>
      <c r="B12" s="48" t="s">
        <v>53</v>
      </c>
      <c r="C12" s="254">
        <v>94573</v>
      </c>
      <c r="D12" s="254">
        <v>90921</v>
      </c>
      <c r="E12" s="254">
        <v>96570</v>
      </c>
      <c r="F12" s="254">
        <v>103018</v>
      </c>
      <c r="G12" s="254">
        <v>112378</v>
      </c>
      <c r="H12" s="254">
        <v>126226</v>
      </c>
      <c r="I12" s="254">
        <v>137590</v>
      </c>
      <c r="J12" s="254">
        <v>143662</v>
      </c>
      <c r="K12" s="254">
        <v>130505</v>
      </c>
      <c r="L12" s="254">
        <v>131787</v>
      </c>
      <c r="M12" s="254">
        <v>146876</v>
      </c>
      <c r="N12" s="139"/>
      <c r="O12" s="139"/>
    </row>
    <row r="13" spans="1:16" s="8" customFormat="1" ht="12.75" customHeight="1">
      <c r="A13" s="46"/>
      <c r="B13" s="48" t="s">
        <v>54</v>
      </c>
      <c r="C13" s="254">
        <v>85155</v>
      </c>
      <c r="D13" s="254">
        <v>81403</v>
      </c>
      <c r="E13" s="254">
        <v>85046</v>
      </c>
      <c r="F13" s="254">
        <v>91879</v>
      </c>
      <c r="G13" s="254">
        <v>98331</v>
      </c>
      <c r="H13" s="254">
        <v>109526</v>
      </c>
      <c r="I13" s="254">
        <v>116467</v>
      </c>
      <c r="J13" s="254">
        <v>121187</v>
      </c>
      <c r="K13" s="254">
        <v>106029</v>
      </c>
      <c r="L13" s="254">
        <v>111823</v>
      </c>
      <c r="M13" s="254">
        <v>124121</v>
      </c>
    </row>
    <row r="14" spans="1:16" s="8" customFormat="1" ht="16.5" customHeight="1">
      <c r="A14" s="46" t="s">
        <v>57</v>
      </c>
      <c r="B14" s="44" t="s">
        <v>45</v>
      </c>
      <c r="C14" s="252">
        <v>301036</v>
      </c>
      <c r="D14" s="252">
        <v>286064</v>
      </c>
      <c r="E14" s="252">
        <v>282624</v>
      </c>
      <c r="F14" s="252">
        <v>287062</v>
      </c>
      <c r="G14" s="252">
        <v>300003</v>
      </c>
      <c r="H14" s="252">
        <v>315844</v>
      </c>
      <c r="I14" s="252">
        <v>332392</v>
      </c>
      <c r="J14" s="252">
        <v>343669</v>
      </c>
      <c r="K14" s="252">
        <v>335858</v>
      </c>
      <c r="L14" s="252">
        <v>337576</v>
      </c>
      <c r="M14" s="252">
        <v>371254</v>
      </c>
      <c r="N14" s="139"/>
      <c r="O14" s="139"/>
    </row>
    <row r="15" spans="1:16" s="8" customFormat="1" ht="12.75" customHeight="1">
      <c r="A15" s="47"/>
      <c r="B15" s="48" t="s">
        <v>53</v>
      </c>
      <c r="C15" s="254">
        <v>151376</v>
      </c>
      <c r="D15" s="254">
        <v>143959</v>
      </c>
      <c r="E15" s="254">
        <v>143426</v>
      </c>
      <c r="F15" s="254">
        <v>145066</v>
      </c>
      <c r="G15" s="254">
        <v>152746</v>
      </c>
      <c r="H15" s="254">
        <v>161880</v>
      </c>
      <c r="I15" s="254">
        <v>171342</v>
      </c>
      <c r="J15" s="254">
        <v>178722</v>
      </c>
      <c r="K15" s="254">
        <v>177492</v>
      </c>
      <c r="L15" s="254">
        <v>178073</v>
      </c>
      <c r="M15" s="254">
        <v>198012</v>
      </c>
      <c r="N15" s="139"/>
      <c r="O15" s="139"/>
      <c r="P15" s="407"/>
    </row>
    <row r="16" spans="1:16" s="8" customFormat="1" ht="12.75" customHeight="1">
      <c r="A16" s="46"/>
      <c r="B16" s="48" t="s">
        <v>54</v>
      </c>
      <c r="C16" s="254">
        <v>149660</v>
      </c>
      <c r="D16" s="254">
        <v>142105</v>
      </c>
      <c r="E16" s="254">
        <v>139198</v>
      </c>
      <c r="F16" s="254">
        <v>141996</v>
      </c>
      <c r="G16" s="254">
        <v>147257</v>
      </c>
      <c r="H16" s="254">
        <v>153964</v>
      </c>
      <c r="I16" s="254">
        <v>161050</v>
      </c>
      <c r="J16" s="254">
        <v>164947</v>
      </c>
      <c r="K16" s="254">
        <v>158366</v>
      </c>
      <c r="L16" s="254">
        <v>159503</v>
      </c>
      <c r="M16" s="254">
        <v>173242</v>
      </c>
      <c r="N16" s="139"/>
      <c r="O16" s="139"/>
    </row>
    <row r="17" spans="1:15" s="8" customFormat="1" ht="16.5" customHeight="1">
      <c r="A17" s="46" t="s">
        <v>58</v>
      </c>
      <c r="B17" s="44" t="s">
        <v>45</v>
      </c>
      <c r="C17" s="252">
        <v>374813</v>
      </c>
      <c r="D17" s="252">
        <v>365055</v>
      </c>
      <c r="E17" s="252">
        <v>364306</v>
      </c>
      <c r="F17" s="252">
        <v>358742</v>
      </c>
      <c r="G17" s="252">
        <v>357287</v>
      </c>
      <c r="H17" s="252">
        <v>356743</v>
      </c>
      <c r="I17" s="252">
        <v>357880</v>
      </c>
      <c r="J17" s="252">
        <v>359925</v>
      </c>
      <c r="K17" s="252">
        <v>355278</v>
      </c>
      <c r="L17" s="252">
        <v>357312</v>
      </c>
      <c r="M17" s="252">
        <v>390147</v>
      </c>
      <c r="N17" s="139"/>
      <c r="O17" s="139"/>
    </row>
    <row r="18" spans="1:15" s="8" customFormat="1" ht="12.75" customHeight="1">
      <c r="A18" s="47"/>
      <c r="B18" s="48" t="s">
        <v>53</v>
      </c>
      <c r="C18" s="254">
        <v>190913</v>
      </c>
      <c r="D18" s="254">
        <v>184699</v>
      </c>
      <c r="E18" s="254">
        <v>184540</v>
      </c>
      <c r="F18" s="254">
        <v>180783</v>
      </c>
      <c r="G18" s="254">
        <v>181205</v>
      </c>
      <c r="H18" s="254">
        <v>182213</v>
      </c>
      <c r="I18" s="254">
        <v>184393</v>
      </c>
      <c r="J18" s="254">
        <v>187093</v>
      </c>
      <c r="K18" s="254">
        <v>187182</v>
      </c>
      <c r="L18" s="254">
        <v>188548</v>
      </c>
      <c r="M18" s="254">
        <v>208088</v>
      </c>
      <c r="N18" s="139"/>
      <c r="O18" s="139"/>
    </row>
    <row r="19" spans="1:15" s="8" customFormat="1" ht="12.75" customHeight="1">
      <c r="A19" s="46"/>
      <c r="B19" s="48" t="s">
        <v>54</v>
      </c>
      <c r="C19" s="254">
        <v>183900</v>
      </c>
      <c r="D19" s="254">
        <v>180356</v>
      </c>
      <c r="E19" s="254">
        <v>179766</v>
      </c>
      <c r="F19" s="254">
        <v>177959</v>
      </c>
      <c r="G19" s="254">
        <v>176082</v>
      </c>
      <c r="H19" s="254">
        <v>174530</v>
      </c>
      <c r="I19" s="254">
        <v>173487</v>
      </c>
      <c r="J19" s="254">
        <v>172832</v>
      </c>
      <c r="K19" s="254">
        <v>168096</v>
      </c>
      <c r="L19" s="254">
        <v>168764</v>
      </c>
      <c r="M19" s="254">
        <v>182059</v>
      </c>
      <c r="N19" s="139"/>
      <c r="O19" s="139"/>
    </row>
    <row r="20" spans="1:15" s="8" customFormat="1" ht="16.5" customHeight="1">
      <c r="A20" s="46" t="s">
        <v>59</v>
      </c>
      <c r="B20" s="44" t="s">
        <v>45</v>
      </c>
      <c r="C20" s="252">
        <v>401761</v>
      </c>
      <c r="D20" s="252">
        <v>399462</v>
      </c>
      <c r="E20" s="252">
        <v>402951</v>
      </c>
      <c r="F20" s="252">
        <v>403321</v>
      </c>
      <c r="G20" s="252">
        <v>401501</v>
      </c>
      <c r="H20" s="252">
        <v>401529</v>
      </c>
      <c r="I20" s="252">
        <v>404395</v>
      </c>
      <c r="J20" s="252">
        <v>402914</v>
      </c>
      <c r="K20" s="252">
        <v>390970</v>
      </c>
      <c r="L20" s="252">
        <v>380153</v>
      </c>
      <c r="M20" s="252">
        <v>398061</v>
      </c>
      <c r="N20" s="139"/>
      <c r="O20" s="139"/>
    </row>
    <row r="21" spans="1:15" s="8" customFormat="1" ht="12.75" customHeight="1">
      <c r="A21" s="47"/>
      <c r="B21" s="48" t="s">
        <v>53</v>
      </c>
      <c r="C21" s="254">
        <v>206979</v>
      </c>
      <c r="D21" s="254">
        <v>204549</v>
      </c>
      <c r="E21" s="254">
        <v>205809</v>
      </c>
      <c r="F21" s="254">
        <v>204090</v>
      </c>
      <c r="G21" s="254">
        <v>202948</v>
      </c>
      <c r="H21" s="254">
        <v>203280</v>
      </c>
      <c r="I21" s="254">
        <v>205696</v>
      </c>
      <c r="J21" s="254">
        <v>205891</v>
      </c>
      <c r="K21" s="254">
        <v>201984</v>
      </c>
      <c r="L21" s="254">
        <v>196795</v>
      </c>
      <c r="M21" s="254">
        <v>207992</v>
      </c>
      <c r="N21" s="139"/>
      <c r="O21" s="139"/>
    </row>
    <row r="22" spans="1:15" s="8" customFormat="1" ht="12.75" customHeight="1">
      <c r="A22" s="46"/>
      <c r="B22" s="48" t="s">
        <v>54</v>
      </c>
      <c r="C22" s="254">
        <v>194782</v>
      </c>
      <c r="D22" s="254">
        <v>194913</v>
      </c>
      <c r="E22" s="254">
        <v>197142</v>
      </c>
      <c r="F22" s="254">
        <v>199231</v>
      </c>
      <c r="G22" s="254">
        <v>198553</v>
      </c>
      <c r="H22" s="254">
        <v>198249</v>
      </c>
      <c r="I22" s="254">
        <v>198699</v>
      </c>
      <c r="J22" s="254">
        <v>197023</v>
      </c>
      <c r="K22" s="254">
        <v>188986</v>
      </c>
      <c r="L22" s="254">
        <v>183358</v>
      </c>
      <c r="M22" s="254">
        <v>190069</v>
      </c>
      <c r="N22" s="139"/>
      <c r="O22" s="139"/>
    </row>
    <row r="23" spans="1:15" s="8" customFormat="1" ht="16.5" customHeight="1">
      <c r="A23" s="46" t="s">
        <v>60</v>
      </c>
      <c r="B23" s="44" t="s">
        <v>45</v>
      </c>
      <c r="C23" s="252">
        <v>343084</v>
      </c>
      <c r="D23" s="252">
        <v>351159</v>
      </c>
      <c r="E23" s="252">
        <v>368420</v>
      </c>
      <c r="F23" s="252">
        <v>386160</v>
      </c>
      <c r="G23" s="252">
        <v>404236</v>
      </c>
      <c r="H23" s="252">
        <v>420413</v>
      </c>
      <c r="I23" s="252">
        <v>429624</v>
      </c>
      <c r="J23" s="252">
        <v>427698</v>
      </c>
      <c r="K23" s="252">
        <v>421690</v>
      </c>
      <c r="L23" s="252">
        <v>408105</v>
      </c>
      <c r="M23" s="252">
        <v>423321</v>
      </c>
      <c r="N23" s="139"/>
      <c r="O23" s="139"/>
    </row>
    <row r="24" spans="1:15" s="8" customFormat="1" ht="12.75" customHeight="1">
      <c r="A24" s="47"/>
      <c r="B24" s="48" t="s">
        <v>53</v>
      </c>
      <c r="C24" s="254">
        <v>178701</v>
      </c>
      <c r="D24" s="254">
        <v>181664</v>
      </c>
      <c r="E24" s="254">
        <v>189669</v>
      </c>
      <c r="F24" s="254">
        <v>197261</v>
      </c>
      <c r="G24" s="254">
        <v>205927</v>
      </c>
      <c r="H24" s="254">
        <v>214153</v>
      </c>
      <c r="I24" s="254">
        <v>218703</v>
      </c>
      <c r="J24" s="254">
        <v>218345</v>
      </c>
      <c r="K24" s="254">
        <v>216198</v>
      </c>
      <c r="L24" s="254">
        <v>208335</v>
      </c>
      <c r="M24" s="254">
        <v>216580</v>
      </c>
      <c r="N24" s="139"/>
      <c r="O24" s="139"/>
    </row>
    <row r="25" spans="1:15" s="8" customFormat="1" ht="12.75" customHeight="1">
      <c r="A25" s="46"/>
      <c r="B25" s="48" t="s">
        <v>54</v>
      </c>
      <c r="C25" s="254">
        <v>164383</v>
      </c>
      <c r="D25" s="254">
        <v>169495</v>
      </c>
      <c r="E25" s="254">
        <v>178751</v>
      </c>
      <c r="F25" s="254">
        <v>188899</v>
      </c>
      <c r="G25" s="254">
        <v>198309</v>
      </c>
      <c r="H25" s="254">
        <v>206260</v>
      </c>
      <c r="I25" s="254">
        <v>210921</v>
      </c>
      <c r="J25" s="254">
        <v>209353</v>
      </c>
      <c r="K25" s="254">
        <v>205492</v>
      </c>
      <c r="L25" s="254">
        <v>199770</v>
      </c>
      <c r="M25" s="254">
        <v>206741</v>
      </c>
      <c r="N25" s="139"/>
      <c r="O25" s="139"/>
    </row>
    <row r="26" spans="1:15" s="8" customFormat="1" ht="16.5" customHeight="1">
      <c r="A26" s="46" t="s">
        <v>61</v>
      </c>
      <c r="B26" s="44" t="s">
        <v>45</v>
      </c>
      <c r="C26" s="252">
        <v>294405</v>
      </c>
      <c r="D26" s="252">
        <v>299127</v>
      </c>
      <c r="E26" s="252">
        <v>310574</v>
      </c>
      <c r="F26" s="252">
        <v>322015</v>
      </c>
      <c r="G26" s="252">
        <v>340070</v>
      </c>
      <c r="H26" s="252">
        <v>357859</v>
      </c>
      <c r="I26" s="252">
        <v>375994</v>
      </c>
      <c r="J26" s="252">
        <v>385008</v>
      </c>
      <c r="K26" s="252">
        <v>395386</v>
      </c>
      <c r="L26" s="252">
        <v>401585</v>
      </c>
      <c r="M26" s="252">
        <v>429128</v>
      </c>
      <c r="N26" s="139"/>
      <c r="O26" s="139"/>
    </row>
    <row r="27" spans="1:15" s="8" customFormat="1" ht="12.75" customHeight="1">
      <c r="A27" s="47"/>
      <c r="B27" s="48" t="s">
        <v>53</v>
      </c>
      <c r="C27" s="254">
        <v>154453</v>
      </c>
      <c r="D27" s="254">
        <v>155991</v>
      </c>
      <c r="E27" s="254">
        <v>161147</v>
      </c>
      <c r="F27" s="254">
        <v>165714</v>
      </c>
      <c r="G27" s="254">
        <v>174784</v>
      </c>
      <c r="H27" s="254">
        <v>184319</v>
      </c>
      <c r="I27" s="254">
        <v>193294</v>
      </c>
      <c r="J27" s="254">
        <v>197447</v>
      </c>
      <c r="K27" s="254">
        <v>203550</v>
      </c>
      <c r="L27" s="254">
        <v>205394</v>
      </c>
      <c r="M27" s="254">
        <v>218880</v>
      </c>
      <c r="N27" s="139"/>
      <c r="O27" s="139"/>
    </row>
    <row r="28" spans="1:15" s="8" customFormat="1" ht="12.75" customHeight="1">
      <c r="A28" s="46"/>
      <c r="B28" s="48" t="s">
        <v>54</v>
      </c>
      <c r="C28" s="254">
        <v>139952</v>
      </c>
      <c r="D28" s="254">
        <v>143136</v>
      </c>
      <c r="E28" s="254">
        <v>149427</v>
      </c>
      <c r="F28" s="254">
        <v>156301</v>
      </c>
      <c r="G28" s="254">
        <v>165286</v>
      </c>
      <c r="H28" s="254">
        <v>173540</v>
      </c>
      <c r="I28" s="254">
        <v>182700</v>
      </c>
      <c r="J28" s="254">
        <v>187561</v>
      </c>
      <c r="K28" s="254">
        <v>191836</v>
      </c>
      <c r="L28" s="254">
        <v>196191</v>
      </c>
      <c r="M28" s="254">
        <v>210248</v>
      </c>
      <c r="N28" s="139"/>
      <c r="O28" s="139"/>
    </row>
    <row r="29" spans="1:15" s="8" customFormat="1" ht="16.5" customHeight="1">
      <c r="A29" s="46" t="s">
        <v>62</v>
      </c>
      <c r="B29" s="44" t="s">
        <v>45</v>
      </c>
      <c r="C29" s="252">
        <v>238528</v>
      </c>
      <c r="D29" s="252">
        <v>243612</v>
      </c>
      <c r="E29" s="252">
        <v>254771</v>
      </c>
      <c r="F29" s="252">
        <v>268173</v>
      </c>
      <c r="G29" s="252">
        <v>285691</v>
      </c>
      <c r="H29" s="252">
        <v>301821</v>
      </c>
      <c r="I29" s="252">
        <v>316767</v>
      </c>
      <c r="J29" s="252">
        <v>321211</v>
      </c>
      <c r="K29" s="252">
        <v>326029</v>
      </c>
      <c r="L29" s="252">
        <v>331946</v>
      </c>
      <c r="M29" s="252">
        <v>356932</v>
      </c>
      <c r="N29" s="139"/>
      <c r="O29" s="139"/>
    </row>
    <row r="30" spans="1:15" s="8" customFormat="1" ht="12.75" customHeight="1">
      <c r="A30" s="47"/>
      <c r="B30" s="48" t="s">
        <v>53</v>
      </c>
      <c r="C30" s="254">
        <v>128714</v>
      </c>
      <c r="D30" s="254">
        <v>129950</v>
      </c>
      <c r="E30" s="254">
        <v>134964</v>
      </c>
      <c r="F30" s="254">
        <v>141049</v>
      </c>
      <c r="G30" s="254">
        <v>149949</v>
      </c>
      <c r="H30" s="254">
        <v>157982</v>
      </c>
      <c r="I30" s="254">
        <v>165922</v>
      </c>
      <c r="J30" s="254">
        <v>166923</v>
      </c>
      <c r="K30" s="254">
        <v>169949</v>
      </c>
      <c r="L30" s="254">
        <v>171732</v>
      </c>
      <c r="M30" s="254">
        <v>183896</v>
      </c>
      <c r="N30" s="139"/>
      <c r="O30" s="139"/>
    </row>
    <row r="31" spans="1:15" s="8" customFormat="1" ht="12.75" customHeight="1">
      <c r="A31" s="46"/>
      <c r="B31" s="48" t="s">
        <v>54</v>
      </c>
      <c r="C31" s="254">
        <v>109814</v>
      </c>
      <c r="D31" s="254">
        <v>113662</v>
      </c>
      <c r="E31" s="254">
        <v>119807</v>
      </c>
      <c r="F31" s="254">
        <v>127124</v>
      </c>
      <c r="G31" s="254">
        <v>135742</v>
      </c>
      <c r="H31" s="254">
        <v>143839</v>
      </c>
      <c r="I31" s="254">
        <v>150845</v>
      </c>
      <c r="J31" s="254">
        <v>154288</v>
      </c>
      <c r="K31" s="254">
        <v>156080</v>
      </c>
      <c r="L31" s="254">
        <v>160214</v>
      </c>
      <c r="M31" s="254">
        <v>173036</v>
      </c>
      <c r="N31" s="139"/>
      <c r="O31" s="139"/>
    </row>
    <row r="32" spans="1:15" s="8" customFormat="1" ht="16.5" customHeight="1">
      <c r="A32" s="46" t="s">
        <v>63</v>
      </c>
      <c r="B32" s="44" t="s">
        <v>45</v>
      </c>
      <c r="C32" s="252">
        <v>159650</v>
      </c>
      <c r="D32" s="252">
        <v>167903</v>
      </c>
      <c r="E32" s="252">
        <v>181742</v>
      </c>
      <c r="F32" s="252">
        <v>194900</v>
      </c>
      <c r="G32" s="252">
        <v>208931</v>
      </c>
      <c r="H32" s="252">
        <v>226252</v>
      </c>
      <c r="I32" s="252">
        <v>242664</v>
      </c>
      <c r="J32" s="252">
        <v>250736</v>
      </c>
      <c r="K32" s="252">
        <v>260160</v>
      </c>
      <c r="L32" s="252">
        <v>266190</v>
      </c>
      <c r="M32" s="252">
        <v>285393</v>
      </c>
      <c r="N32" s="139"/>
      <c r="O32" s="139"/>
    </row>
    <row r="33" spans="1:15" s="8" customFormat="1" ht="12.75" customHeight="1">
      <c r="A33" s="47"/>
      <c r="B33" s="48" t="s">
        <v>53</v>
      </c>
      <c r="C33" s="254">
        <v>90821</v>
      </c>
      <c r="D33" s="254">
        <v>93822</v>
      </c>
      <c r="E33" s="254">
        <v>100043</v>
      </c>
      <c r="F33" s="254">
        <v>106199</v>
      </c>
      <c r="G33" s="254">
        <v>113202</v>
      </c>
      <c r="H33" s="254">
        <v>122797</v>
      </c>
      <c r="I33" s="254">
        <v>131577</v>
      </c>
      <c r="J33" s="254">
        <v>134804</v>
      </c>
      <c r="K33" s="254">
        <v>139411</v>
      </c>
      <c r="L33" s="254">
        <v>141593</v>
      </c>
      <c r="M33" s="254">
        <v>150231</v>
      </c>
      <c r="N33" s="139"/>
      <c r="O33" s="139"/>
    </row>
    <row r="34" spans="1:15" s="8" customFormat="1" ht="12.75" customHeight="1">
      <c r="A34" s="46"/>
      <c r="B34" s="48" t="s">
        <v>54</v>
      </c>
      <c r="C34" s="254">
        <v>68829</v>
      </c>
      <c r="D34" s="254">
        <v>74081</v>
      </c>
      <c r="E34" s="254">
        <v>81699</v>
      </c>
      <c r="F34" s="254">
        <v>88701</v>
      </c>
      <c r="G34" s="254">
        <v>95729</v>
      </c>
      <c r="H34" s="254">
        <v>103455</v>
      </c>
      <c r="I34" s="254">
        <v>111087</v>
      </c>
      <c r="J34" s="254">
        <v>115932</v>
      </c>
      <c r="K34" s="254">
        <v>120749</v>
      </c>
      <c r="L34" s="254">
        <v>124597</v>
      </c>
      <c r="M34" s="254">
        <v>135162</v>
      </c>
      <c r="N34" s="139"/>
      <c r="O34" s="139"/>
    </row>
    <row r="35" spans="1:15" s="8" customFormat="1" ht="16.5" customHeight="1">
      <c r="A35" s="46" t="s">
        <v>64</v>
      </c>
      <c r="B35" s="44" t="s">
        <v>45</v>
      </c>
      <c r="C35" s="252">
        <v>72157</v>
      </c>
      <c r="D35" s="252">
        <v>77778</v>
      </c>
      <c r="E35" s="252">
        <v>86375</v>
      </c>
      <c r="F35" s="252">
        <v>94453</v>
      </c>
      <c r="G35" s="252">
        <v>101937</v>
      </c>
      <c r="H35" s="252">
        <v>115424</v>
      </c>
      <c r="I35" s="252">
        <v>122990</v>
      </c>
      <c r="J35" s="252">
        <v>129982</v>
      </c>
      <c r="K35" s="252">
        <v>136328</v>
      </c>
      <c r="L35" s="252">
        <v>147017</v>
      </c>
      <c r="M35" s="252">
        <v>167283</v>
      </c>
      <c r="N35" s="139"/>
      <c r="O35" s="139"/>
    </row>
    <row r="36" spans="1:15" s="8" customFormat="1" ht="12.75" customHeight="1">
      <c r="A36" s="47"/>
      <c r="B36" s="48" t="s">
        <v>53</v>
      </c>
      <c r="C36" s="254">
        <v>40244</v>
      </c>
      <c r="D36" s="254">
        <v>43298</v>
      </c>
      <c r="E36" s="254">
        <v>48273</v>
      </c>
      <c r="F36" s="254">
        <v>52491</v>
      </c>
      <c r="G36" s="254">
        <v>56506</v>
      </c>
      <c r="H36" s="254">
        <v>64123</v>
      </c>
      <c r="I36" s="254">
        <v>67556</v>
      </c>
      <c r="J36" s="254">
        <v>70416</v>
      </c>
      <c r="K36" s="254">
        <v>73844</v>
      </c>
      <c r="L36" s="254">
        <v>79524</v>
      </c>
      <c r="M36" s="254">
        <v>90520</v>
      </c>
      <c r="N36" s="139"/>
      <c r="O36" s="139"/>
    </row>
    <row r="37" spans="1:15" s="8" customFormat="1" ht="12.75" customHeight="1">
      <c r="A37" s="46"/>
      <c r="B37" s="48" t="s">
        <v>54</v>
      </c>
      <c r="C37" s="254">
        <v>31913</v>
      </c>
      <c r="D37" s="254">
        <v>34480</v>
      </c>
      <c r="E37" s="254">
        <v>38102</v>
      </c>
      <c r="F37" s="254">
        <v>41962</v>
      </c>
      <c r="G37" s="254">
        <v>45431</v>
      </c>
      <c r="H37" s="254">
        <v>51301</v>
      </c>
      <c r="I37" s="254">
        <v>55434</v>
      </c>
      <c r="J37" s="254">
        <v>59566</v>
      </c>
      <c r="K37" s="254">
        <v>62484</v>
      </c>
      <c r="L37" s="254">
        <v>67493</v>
      </c>
      <c r="M37" s="254">
        <v>76763</v>
      </c>
      <c r="N37" s="139"/>
      <c r="O37" s="139"/>
    </row>
    <row r="38" spans="1:15" s="8" customFormat="1" ht="16.5" customHeight="1">
      <c r="A38" s="46" t="s">
        <v>65</v>
      </c>
      <c r="B38" s="44" t="s">
        <v>45</v>
      </c>
      <c r="C38" s="252">
        <v>18633</v>
      </c>
      <c r="D38" s="252">
        <v>18687</v>
      </c>
      <c r="E38" s="252">
        <v>21870</v>
      </c>
      <c r="F38" s="252">
        <v>24902</v>
      </c>
      <c r="G38" s="252">
        <v>28135</v>
      </c>
      <c r="H38" s="252">
        <v>31931</v>
      </c>
      <c r="I38" s="252">
        <v>36702</v>
      </c>
      <c r="J38" s="252">
        <v>42154</v>
      </c>
      <c r="K38" s="252">
        <v>43484</v>
      </c>
      <c r="L38" s="252">
        <v>46896</v>
      </c>
      <c r="M38" s="252">
        <v>53834</v>
      </c>
      <c r="N38" s="139"/>
      <c r="O38" s="139"/>
    </row>
    <row r="39" spans="1:15" s="8" customFormat="1" ht="12.75" customHeight="1">
      <c r="A39" s="47"/>
      <c r="B39" s="48" t="s">
        <v>53</v>
      </c>
      <c r="C39" s="254">
        <v>11400</v>
      </c>
      <c r="D39" s="254">
        <v>11276</v>
      </c>
      <c r="E39" s="254">
        <v>12687</v>
      </c>
      <c r="F39" s="254">
        <v>14235</v>
      </c>
      <c r="G39" s="254">
        <v>15954</v>
      </c>
      <c r="H39" s="254">
        <v>18372</v>
      </c>
      <c r="I39" s="254">
        <v>21276</v>
      </c>
      <c r="J39" s="254">
        <v>24844</v>
      </c>
      <c r="K39" s="254">
        <v>25548</v>
      </c>
      <c r="L39" s="254">
        <v>27505</v>
      </c>
      <c r="M39" s="254">
        <v>31840</v>
      </c>
      <c r="N39" s="139"/>
      <c r="O39" s="139"/>
    </row>
    <row r="40" spans="1:15" s="8" customFormat="1" ht="12.75" customHeight="1">
      <c r="A40" s="46"/>
      <c r="B40" s="48" t="s">
        <v>54</v>
      </c>
      <c r="C40" s="254">
        <v>7233</v>
      </c>
      <c r="D40" s="254">
        <v>7411</v>
      </c>
      <c r="E40" s="254">
        <v>9183</v>
      </c>
      <c r="F40" s="254">
        <v>10667</v>
      </c>
      <c r="G40" s="254">
        <v>12181</v>
      </c>
      <c r="H40" s="254">
        <v>13559</v>
      </c>
      <c r="I40" s="254">
        <v>15426</v>
      </c>
      <c r="J40" s="254">
        <v>17310</v>
      </c>
      <c r="K40" s="254">
        <v>17936</v>
      </c>
      <c r="L40" s="254">
        <v>19391</v>
      </c>
      <c r="M40" s="254">
        <v>21994</v>
      </c>
      <c r="N40" s="139"/>
      <c r="O40" s="139"/>
    </row>
    <row r="41" spans="1:15" s="8" customFormat="1" ht="16.5" customHeight="1">
      <c r="A41" s="46" t="s">
        <v>13</v>
      </c>
      <c r="B41" s="44" t="s">
        <v>45</v>
      </c>
      <c r="C41" s="252">
        <v>2384</v>
      </c>
      <c r="D41" s="252">
        <v>2129</v>
      </c>
      <c r="E41" s="252">
        <v>2227</v>
      </c>
      <c r="F41" s="252">
        <v>2352</v>
      </c>
      <c r="G41" s="252">
        <v>2554</v>
      </c>
      <c r="H41" s="252">
        <v>2683</v>
      </c>
      <c r="I41" s="252">
        <v>2987</v>
      </c>
      <c r="J41" s="252">
        <v>792</v>
      </c>
      <c r="K41" s="252">
        <v>462</v>
      </c>
      <c r="L41" s="252">
        <v>958</v>
      </c>
      <c r="M41" s="252">
        <v>377</v>
      </c>
      <c r="N41" s="139"/>
      <c r="O41" s="139"/>
    </row>
    <row r="42" spans="1:15" s="8" customFormat="1" ht="12.75" customHeight="1">
      <c r="A42" s="47"/>
      <c r="B42" s="48" t="s">
        <v>53</v>
      </c>
      <c r="C42" s="254">
        <v>1473</v>
      </c>
      <c r="D42" s="254">
        <v>1374</v>
      </c>
      <c r="E42" s="254">
        <v>1415</v>
      </c>
      <c r="F42" s="254">
        <v>1458</v>
      </c>
      <c r="G42" s="254">
        <v>1609</v>
      </c>
      <c r="H42" s="254">
        <v>1670</v>
      </c>
      <c r="I42" s="254">
        <v>1869</v>
      </c>
      <c r="J42" s="254">
        <v>318</v>
      </c>
      <c r="K42" s="254">
        <v>230</v>
      </c>
      <c r="L42" s="254">
        <v>386</v>
      </c>
      <c r="M42" s="254">
        <v>200</v>
      </c>
      <c r="N42" s="139"/>
      <c r="O42" s="139"/>
    </row>
    <row r="43" spans="1:15" s="8" customFormat="1" ht="12.75" customHeight="1">
      <c r="A43" s="9"/>
      <c r="B43" s="49" t="s">
        <v>54</v>
      </c>
      <c r="C43" s="255">
        <v>911</v>
      </c>
      <c r="D43" s="255">
        <v>755</v>
      </c>
      <c r="E43" s="255">
        <v>812</v>
      </c>
      <c r="F43" s="255">
        <v>894</v>
      </c>
      <c r="G43" s="255">
        <v>945</v>
      </c>
      <c r="H43" s="255">
        <v>1013</v>
      </c>
      <c r="I43" s="255">
        <v>1118</v>
      </c>
      <c r="J43" s="255">
        <v>474</v>
      </c>
      <c r="K43" s="255">
        <v>232</v>
      </c>
      <c r="L43" s="255">
        <v>572</v>
      </c>
      <c r="M43" s="255">
        <v>177</v>
      </c>
      <c r="N43" s="139"/>
      <c r="O43" s="139"/>
    </row>
    <row r="44" spans="1:15" ht="15" customHeight="1">
      <c r="A44" s="20" t="s">
        <v>138</v>
      </c>
      <c r="B44" s="31"/>
      <c r="C44" s="101"/>
      <c r="D44" s="45"/>
      <c r="E44" s="45"/>
      <c r="F44" s="45"/>
      <c r="G44" s="45"/>
      <c r="H44" s="45"/>
      <c r="I44" s="45"/>
      <c r="J44" s="45"/>
      <c r="K44" s="45"/>
      <c r="L44" s="45"/>
      <c r="M44" s="45"/>
    </row>
    <row r="45" spans="1:15" ht="15" customHeight="1">
      <c r="B45" s="41"/>
      <c r="C45" s="138"/>
      <c r="D45" s="138"/>
      <c r="E45" s="138"/>
      <c r="F45" s="138"/>
      <c r="G45" s="138"/>
      <c r="H45" s="138"/>
      <c r="I45" s="138"/>
      <c r="J45" s="138"/>
      <c r="K45" s="138"/>
      <c r="L45" s="138"/>
      <c r="M45" s="138"/>
    </row>
    <row r="46" spans="1:15">
      <c r="C46" s="138"/>
      <c r="D46" s="138"/>
      <c r="E46" s="138"/>
      <c r="F46" s="138"/>
      <c r="G46" s="138"/>
      <c r="H46" s="138"/>
      <c r="I46" s="138"/>
      <c r="J46" s="138"/>
      <c r="K46" s="138"/>
      <c r="L46" s="138"/>
      <c r="M46" s="138"/>
    </row>
    <row r="47" spans="1:15">
      <c r="C47" s="138"/>
      <c r="D47" s="138"/>
      <c r="E47" s="138"/>
      <c r="F47" s="138"/>
      <c r="G47" s="138"/>
      <c r="H47" s="138"/>
      <c r="I47" s="138"/>
      <c r="J47" s="138"/>
      <c r="K47" s="138"/>
      <c r="L47" s="138"/>
      <c r="M47" s="138"/>
    </row>
  </sheetData>
  <mergeCells count="1">
    <mergeCell ref="A1:M1"/>
  </mergeCells>
  <phoneticPr fontId="25" type="noConversion"/>
  <conditionalFormatting sqref="A1 N1:XFD4 I2:I3 A2:G4 H4:I4 N5:O12 A5:J43 P5:XFD1048576 A44:F1048576 N44:O1048576">
    <cfRule type="cellIs" dxfId="22" priority="38" operator="equal">
      <formula>0</formula>
    </cfRule>
  </conditionalFormatting>
  <conditionalFormatting sqref="O5:O8">
    <cfRule type="containsText" dxfId="21" priority="36" operator="containsText" text="FALSO">
      <formula>NOT(ISERROR(SEARCH("FALSO",O5)))</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tabColor indexed="25"/>
    <pageSetUpPr fitToPage="1"/>
  </sheetPr>
  <dimension ref="A1:Z32"/>
  <sheetViews>
    <sheetView showGridLines="0" workbookViewId="0">
      <selection activeCell="P8" sqref="P8"/>
    </sheetView>
  </sheetViews>
  <sheetFormatPr defaultColWidth="9.140625" defaultRowHeight="17.25" customHeight="1"/>
  <cols>
    <col min="1" max="1" width="25.7109375" style="41" customWidth="1"/>
    <col min="2" max="2" width="1.28515625" style="42" customWidth="1"/>
    <col min="3" max="13" width="7.5703125" style="41" customWidth="1"/>
    <col min="14" max="16384" width="9.140625" style="41"/>
  </cols>
  <sheetData>
    <row r="1" spans="1:25" s="34" customFormat="1" ht="28.5" customHeight="1">
      <c r="A1" s="580" t="s">
        <v>205</v>
      </c>
      <c r="B1" s="580"/>
      <c r="C1" s="580"/>
      <c r="D1" s="580"/>
      <c r="E1" s="580"/>
      <c r="F1" s="580"/>
      <c r="G1" s="580"/>
      <c r="H1" s="580"/>
      <c r="I1" s="580"/>
      <c r="J1" s="580"/>
      <c r="K1" s="580"/>
      <c r="L1" s="580"/>
      <c r="M1" s="580"/>
    </row>
    <row r="2" spans="1:25" s="36" customFormat="1" ht="15" customHeight="1">
      <c r="A2" s="35"/>
      <c r="B2" s="37"/>
      <c r="C2" s="35"/>
      <c r="D2" s="103"/>
      <c r="E2" s="103"/>
      <c r="F2" s="103"/>
      <c r="G2" s="103"/>
      <c r="H2" s="103"/>
      <c r="I2" s="103"/>
      <c r="J2" s="103"/>
      <c r="K2" s="103"/>
      <c r="L2" s="103"/>
      <c r="M2" s="103"/>
    </row>
    <row r="3" spans="1:25" s="36" customFormat="1" ht="15" customHeight="1">
      <c r="A3" s="56" t="s">
        <v>14</v>
      </c>
      <c r="B3" s="37"/>
      <c r="C3" s="35"/>
      <c r="D3" s="103"/>
      <c r="E3" s="103"/>
      <c r="F3" s="103"/>
      <c r="G3" s="103"/>
      <c r="H3" s="103"/>
      <c r="I3" s="103"/>
      <c r="J3" s="103"/>
      <c r="K3" s="103"/>
      <c r="L3" s="103"/>
      <c r="M3" s="103"/>
    </row>
    <row r="4" spans="1:25" s="36" customFormat="1" ht="28.5" customHeight="1" thickBot="1">
      <c r="A4" s="38"/>
      <c r="B4" s="63"/>
      <c r="C4" s="38">
        <v>2012</v>
      </c>
      <c r="D4" s="38">
        <v>2013</v>
      </c>
      <c r="E4" s="38">
        <v>2014</v>
      </c>
      <c r="F4" s="38">
        <v>2015</v>
      </c>
      <c r="G4" s="38">
        <v>2016</v>
      </c>
      <c r="H4" s="38">
        <v>2017</v>
      </c>
      <c r="I4" s="38">
        <v>2018</v>
      </c>
      <c r="J4" s="38">
        <v>2019</v>
      </c>
      <c r="K4" s="38">
        <v>2020</v>
      </c>
      <c r="L4" s="38">
        <v>2021</v>
      </c>
      <c r="M4" s="38">
        <v>2022</v>
      </c>
      <c r="O4" s="36">
        <f>+C4</f>
        <v>2012</v>
      </c>
      <c r="P4" s="36">
        <f t="shared" ref="P4:Y4" si="0">+D4</f>
        <v>2013</v>
      </c>
      <c r="Q4" s="36">
        <f t="shared" si="0"/>
        <v>2014</v>
      </c>
      <c r="R4" s="36">
        <f t="shared" si="0"/>
        <v>2015</v>
      </c>
      <c r="S4" s="36">
        <f t="shared" si="0"/>
        <v>2016</v>
      </c>
      <c r="T4" s="36">
        <f t="shared" si="0"/>
        <v>2017</v>
      </c>
      <c r="U4" s="36">
        <f t="shared" si="0"/>
        <v>2018</v>
      </c>
      <c r="V4" s="36">
        <f t="shared" si="0"/>
        <v>2019</v>
      </c>
      <c r="W4" s="36">
        <f t="shared" si="0"/>
        <v>2020</v>
      </c>
      <c r="X4" s="36">
        <f t="shared" si="0"/>
        <v>2021</v>
      </c>
      <c r="Y4" s="36">
        <f t="shared" si="0"/>
        <v>2022</v>
      </c>
    </row>
    <row r="5" spans="1:25" s="36" customFormat="1" ht="20.25" customHeight="1" thickTop="1">
      <c r="A5" s="52" t="s">
        <v>12</v>
      </c>
      <c r="B5" s="52" t="s">
        <v>45</v>
      </c>
      <c r="C5" s="253">
        <v>2387386</v>
      </c>
      <c r="D5" s="253">
        <v>2384121</v>
      </c>
      <c r="E5" s="253">
        <v>2458163</v>
      </c>
      <c r="F5" s="253">
        <v>2537653</v>
      </c>
      <c r="G5" s="253">
        <v>2641919</v>
      </c>
      <c r="H5" s="253">
        <v>2767521</v>
      </c>
      <c r="I5" s="253">
        <v>2877918</v>
      </c>
      <c r="J5" s="253">
        <v>2930482</v>
      </c>
      <c r="K5" s="253">
        <v>2902825</v>
      </c>
      <c r="L5" s="253">
        <v>2922343</v>
      </c>
      <c r="M5" s="253">
        <v>3148147</v>
      </c>
      <c r="O5" s="502">
        <f>+C5*100/C$5</f>
        <v>100</v>
      </c>
      <c r="P5" s="502">
        <f t="shared" ref="P5:Y5" si="1">+D5*100/D$5</f>
        <v>100</v>
      </c>
      <c r="Q5" s="502">
        <f t="shared" si="1"/>
        <v>100</v>
      </c>
      <c r="R5" s="502">
        <f t="shared" si="1"/>
        <v>100</v>
      </c>
      <c r="S5" s="502">
        <f t="shared" si="1"/>
        <v>100</v>
      </c>
      <c r="T5" s="502">
        <f t="shared" si="1"/>
        <v>100</v>
      </c>
      <c r="U5" s="502">
        <f t="shared" si="1"/>
        <v>100</v>
      </c>
      <c r="V5" s="502">
        <f t="shared" si="1"/>
        <v>100</v>
      </c>
      <c r="W5" s="502">
        <f t="shared" si="1"/>
        <v>100</v>
      </c>
      <c r="X5" s="502">
        <f t="shared" si="1"/>
        <v>100</v>
      </c>
      <c r="Y5" s="502">
        <f t="shared" si="1"/>
        <v>100</v>
      </c>
    </row>
    <row r="6" spans="1:25" s="36" customFormat="1" ht="15" customHeight="1">
      <c r="A6" s="35"/>
      <c r="B6" s="52" t="s">
        <v>46</v>
      </c>
      <c r="C6" s="252">
        <v>1250432</v>
      </c>
      <c r="D6" s="252">
        <v>1242007</v>
      </c>
      <c r="E6" s="252">
        <v>1278921</v>
      </c>
      <c r="F6" s="252">
        <v>1311721</v>
      </c>
      <c r="G6" s="252">
        <v>1367705</v>
      </c>
      <c r="H6" s="252">
        <v>1437729</v>
      </c>
      <c r="I6" s="252">
        <v>1499993</v>
      </c>
      <c r="J6" s="252">
        <v>1529276</v>
      </c>
      <c r="K6" s="252">
        <v>1526297</v>
      </c>
      <c r="L6" s="252">
        <v>1530240</v>
      </c>
      <c r="M6" s="252">
        <v>1653917</v>
      </c>
    </row>
    <row r="7" spans="1:25" s="36" customFormat="1" ht="15" customHeight="1">
      <c r="A7" s="35"/>
      <c r="B7" s="52" t="s">
        <v>47</v>
      </c>
      <c r="C7" s="252">
        <v>1136954</v>
      </c>
      <c r="D7" s="252">
        <v>1142114</v>
      </c>
      <c r="E7" s="252">
        <v>1179242</v>
      </c>
      <c r="F7" s="252">
        <v>1225932</v>
      </c>
      <c r="G7" s="252">
        <v>1274214</v>
      </c>
      <c r="H7" s="252">
        <v>1329792</v>
      </c>
      <c r="I7" s="252">
        <v>1377925</v>
      </c>
      <c r="J7" s="252">
        <v>1401206</v>
      </c>
      <c r="K7" s="252">
        <v>1376528</v>
      </c>
      <c r="L7" s="252">
        <v>1392103</v>
      </c>
      <c r="M7" s="252">
        <v>1494230</v>
      </c>
      <c r="O7" s="502">
        <f>+C7/C5*100</f>
        <v>47.623383901891017</v>
      </c>
      <c r="P7" s="502">
        <f t="shared" ref="P7:Y7" si="2">+D7/D5*100</f>
        <v>47.90503502129296</v>
      </c>
      <c r="Q7" s="502">
        <f t="shared" si="2"/>
        <v>47.972490026088586</v>
      </c>
      <c r="R7" s="502">
        <f t="shared" si="2"/>
        <v>48.309678273585874</v>
      </c>
      <c r="S7" s="502">
        <f t="shared" si="2"/>
        <v>48.230623270433348</v>
      </c>
      <c r="T7" s="502">
        <f t="shared" si="2"/>
        <v>48.049933496439593</v>
      </c>
      <c r="U7" s="502">
        <f t="shared" si="2"/>
        <v>47.879230749451516</v>
      </c>
      <c r="V7" s="502">
        <f t="shared" si="2"/>
        <v>47.814864585416323</v>
      </c>
      <c r="W7" s="502">
        <f t="shared" si="2"/>
        <v>47.420288856544914</v>
      </c>
      <c r="X7" s="502">
        <f t="shared" si="2"/>
        <v>47.636536847317373</v>
      </c>
      <c r="Y7" s="502">
        <f t="shared" si="2"/>
        <v>47.463793780913029</v>
      </c>
    </row>
    <row r="8" spans="1:25" s="36" customFormat="1" ht="20.25" customHeight="1">
      <c r="A8" s="35" t="s">
        <v>48</v>
      </c>
      <c r="B8" s="52" t="s">
        <v>45</v>
      </c>
      <c r="C8" s="252">
        <v>195797</v>
      </c>
      <c r="D8" s="252">
        <v>197559</v>
      </c>
      <c r="E8" s="252">
        <v>198228</v>
      </c>
      <c r="F8" s="252">
        <v>204966</v>
      </c>
      <c r="G8" s="252">
        <v>212297</v>
      </c>
      <c r="H8" s="252">
        <v>220121</v>
      </c>
      <c r="I8" s="252">
        <v>233180</v>
      </c>
      <c r="J8" s="252">
        <v>247905</v>
      </c>
      <c r="K8" s="252">
        <v>262157</v>
      </c>
      <c r="L8" s="252">
        <v>275270</v>
      </c>
      <c r="M8" s="252">
        <v>297522</v>
      </c>
      <c r="O8" s="502">
        <f>+C8*100/C$5</f>
        <v>8.2013130679328778</v>
      </c>
      <c r="P8" s="502">
        <f t="shared" ref="P8:Y8" si="3">+D8*100/D$5</f>
        <v>8.2864502263098228</v>
      </c>
      <c r="Q8" s="502">
        <f t="shared" si="3"/>
        <v>8.064070608824558</v>
      </c>
      <c r="R8" s="502">
        <f t="shared" si="3"/>
        <v>8.0769908257748408</v>
      </c>
      <c r="S8" s="502">
        <f t="shared" si="3"/>
        <v>8.0357119200096605</v>
      </c>
      <c r="T8" s="502">
        <f t="shared" si="3"/>
        <v>7.9537246510505248</v>
      </c>
      <c r="U8" s="502">
        <f t="shared" si="3"/>
        <v>8.1023851270258564</v>
      </c>
      <c r="V8" s="502">
        <f t="shared" si="3"/>
        <v>8.4595298657353979</v>
      </c>
      <c r="W8" s="502">
        <f t="shared" si="3"/>
        <v>9.0310990156140996</v>
      </c>
      <c r="X8" s="502">
        <f t="shared" si="3"/>
        <v>9.4194966162425153</v>
      </c>
      <c r="Y8" s="502">
        <f t="shared" si="3"/>
        <v>9.450702270256123</v>
      </c>
    </row>
    <row r="9" spans="1:25" ht="15" customHeight="1">
      <c r="A9" s="50"/>
      <c r="B9" s="37" t="s">
        <v>46</v>
      </c>
      <c r="C9" s="254">
        <v>108361</v>
      </c>
      <c r="D9" s="254">
        <v>108560</v>
      </c>
      <c r="E9" s="254">
        <v>107935</v>
      </c>
      <c r="F9" s="254">
        <v>110245</v>
      </c>
      <c r="G9" s="254">
        <v>112923</v>
      </c>
      <c r="H9" s="254">
        <v>116590</v>
      </c>
      <c r="I9" s="254">
        <v>122652</v>
      </c>
      <c r="J9" s="254">
        <v>129834</v>
      </c>
      <c r="K9" s="254">
        <v>136643</v>
      </c>
      <c r="L9" s="254">
        <v>142391</v>
      </c>
      <c r="M9" s="254">
        <v>154897</v>
      </c>
      <c r="N9" s="36"/>
    </row>
    <row r="10" spans="1:25" ht="15" customHeight="1">
      <c r="A10" s="50"/>
      <c r="B10" s="37" t="s">
        <v>47</v>
      </c>
      <c r="C10" s="254">
        <v>87436</v>
      </c>
      <c r="D10" s="254">
        <v>88999</v>
      </c>
      <c r="E10" s="254">
        <v>90293</v>
      </c>
      <c r="F10" s="254">
        <v>94721</v>
      </c>
      <c r="G10" s="254">
        <v>99374</v>
      </c>
      <c r="H10" s="254">
        <v>103531</v>
      </c>
      <c r="I10" s="254">
        <v>110528</v>
      </c>
      <c r="J10" s="254">
        <v>118071</v>
      </c>
      <c r="K10" s="254">
        <v>125514</v>
      </c>
      <c r="L10" s="254">
        <v>132879</v>
      </c>
      <c r="M10" s="254">
        <v>142625</v>
      </c>
      <c r="O10" s="502">
        <f>+C10/C8*100</f>
        <v>44.656455410450619</v>
      </c>
      <c r="P10" s="502">
        <f t="shared" ref="P10" si="4">+D10/D8*100</f>
        <v>45.049327036480243</v>
      </c>
      <c r="Q10" s="502">
        <f t="shared" ref="Q10" si="5">+E10/E8*100</f>
        <v>45.550073652561693</v>
      </c>
      <c r="R10" s="502">
        <f t="shared" ref="R10" si="6">+F10/F8*100</f>
        <v>46.213030453831365</v>
      </c>
      <c r="S10" s="502">
        <f t="shared" ref="S10" si="7">+G10/G8*100</f>
        <v>46.808951610244137</v>
      </c>
      <c r="T10" s="502">
        <f t="shared" ref="T10" si="8">+H10/H8*100</f>
        <v>47.033676932232723</v>
      </c>
      <c r="U10" s="502">
        <f t="shared" ref="U10" si="9">+I10/I8*100</f>
        <v>47.400291620207561</v>
      </c>
      <c r="V10" s="502">
        <f t="shared" ref="V10" si="10">+J10/J8*100</f>
        <v>47.627518605917594</v>
      </c>
      <c r="W10" s="502">
        <f t="shared" ref="W10" si="11">+K10/K8*100</f>
        <v>47.877416967694927</v>
      </c>
      <c r="X10" s="502">
        <f t="shared" ref="X10" si="12">+L10/L8*100</f>
        <v>48.272241798961019</v>
      </c>
      <c r="Y10" s="502">
        <f t="shared" ref="Y10" si="13">+M10/M8*100</f>
        <v>47.937631502880457</v>
      </c>
    </row>
    <row r="11" spans="1:25" s="36" customFormat="1" ht="20.25" customHeight="1">
      <c r="A11" s="35" t="s">
        <v>49</v>
      </c>
      <c r="B11" s="52" t="s">
        <v>45</v>
      </c>
      <c r="C11" s="252">
        <v>138507</v>
      </c>
      <c r="D11" s="252">
        <v>136489</v>
      </c>
      <c r="E11" s="252">
        <v>138984</v>
      </c>
      <c r="F11" s="252">
        <v>143200</v>
      </c>
      <c r="G11" s="252">
        <v>149778</v>
      </c>
      <c r="H11" s="252">
        <v>157495</v>
      </c>
      <c r="I11" s="252">
        <v>165603</v>
      </c>
      <c r="J11" s="252">
        <v>165392</v>
      </c>
      <c r="K11" s="252">
        <v>172837</v>
      </c>
      <c r="L11" s="252">
        <v>176658</v>
      </c>
      <c r="M11" s="252">
        <v>192362</v>
      </c>
      <c r="O11" s="502">
        <f>+C11*100/C$5</f>
        <v>5.8016173337700732</v>
      </c>
      <c r="P11" s="502">
        <f t="shared" ref="P11:Y11" si="14">+D11*100/D$5</f>
        <v>5.7249191630793907</v>
      </c>
      <c r="Q11" s="502">
        <f t="shared" si="14"/>
        <v>5.6539781942857328</v>
      </c>
      <c r="R11" s="502">
        <f t="shared" si="14"/>
        <v>5.643009505239684</v>
      </c>
      <c r="S11" s="502">
        <f t="shared" si="14"/>
        <v>5.669288119734178</v>
      </c>
      <c r="T11" s="502">
        <f t="shared" si="14"/>
        <v>5.6908330596226735</v>
      </c>
      <c r="U11" s="502">
        <f t="shared" si="14"/>
        <v>5.7542640200311475</v>
      </c>
      <c r="V11" s="502">
        <f t="shared" si="14"/>
        <v>5.6438497148250697</v>
      </c>
      <c r="W11" s="502">
        <f t="shared" si="14"/>
        <v>5.9540964405363743</v>
      </c>
      <c r="X11" s="502">
        <f t="shared" si="14"/>
        <v>6.0450809504565344</v>
      </c>
      <c r="Y11" s="502">
        <f t="shared" si="14"/>
        <v>6.1103245814124945</v>
      </c>
    </row>
    <row r="12" spans="1:25" ht="15" customHeight="1">
      <c r="A12" s="50"/>
      <c r="B12" s="37" t="s">
        <v>46</v>
      </c>
      <c r="C12" s="254">
        <v>74164</v>
      </c>
      <c r="D12" s="254">
        <v>71920</v>
      </c>
      <c r="E12" s="254">
        <v>72941</v>
      </c>
      <c r="F12" s="254">
        <v>74247</v>
      </c>
      <c r="G12" s="254">
        <v>76819</v>
      </c>
      <c r="H12" s="254">
        <v>81167</v>
      </c>
      <c r="I12" s="254">
        <v>84803</v>
      </c>
      <c r="J12" s="254">
        <v>83836</v>
      </c>
      <c r="K12" s="254">
        <v>87718</v>
      </c>
      <c r="L12" s="254">
        <v>89330</v>
      </c>
      <c r="M12" s="254">
        <v>97684</v>
      </c>
    </row>
    <row r="13" spans="1:25" ht="15" customHeight="1">
      <c r="A13" s="50"/>
      <c r="B13" s="37" t="s">
        <v>47</v>
      </c>
      <c r="C13" s="254">
        <v>64343</v>
      </c>
      <c r="D13" s="254">
        <v>64569</v>
      </c>
      <c r="E13" s="254">
        <v>66043</v>
      </c>
      <c r="F13" s="254">
        <v>68953</v>
      </c>
      <c r="G13" s="254">
        <v>72959</v>
      </c>
      <c r="H13" s="254">
        <v>76328</v>
      </c>
      <c r="I13" s="254">
        <v>80800</v>
      </c>
      <c r="J13" s="254">
        <v>81556</v>
      </c>
      <c r="K13" s="254">
        <v>85119</v>
      </c>
      <c r="L13" s="254">
        <v>87328</v>
      </c>
      <c r="M13" s="254">
        <v>94678</v>
      </c>
      <c r="O13" s="502">
        <f>+C13/C11*100</f>
        <v>46.454691820630003</v>
      </c>
      <c r="P13" s="502">
        <f t="shared" ref="P13" si="15">+D13/D11*100</f>
        <v>47.307108997794693</v>
      </c>
      <c r="Q13" s="502">
        <f t="shared" ref="Q13" si="16">+E13/E11*100</f>
        <v>47.51841938640419</v>
      </c>
      <c r="R13" s="502">
        <f t="shared" ref="R13" si="17">+F13/F11*100</f>
        <v>48.15153631284916</v>
      </c>
      <c r="S13" s="502">
        <f t="shared" ref="S13" si="18">+G13/G11*100</f>
        <v>48.71142624417471</v>
      </c>
      <c r="T13" s="502">
        <f t="shared" ref="T13" si="19">+H13/H11*100</f>
        <v>48.463760754309661</v>
      </c>
      <c r="U13" s="502">
        <f t="shared" ref="U13" si="20">+I13/I11*100</f>
        <v>48.791386629469272</v>
      </c>
      <c r="V13" s="502">
        <f t="shared" ref="V13" si="21">+J13/J11*100</f>
        <v>49.310728451194734</v>
      </c>
      <c r="W13" s="502">
        <f t="shared" ref="W13" si="22">+K13/K11*100</f>
        <v>49.248135526536565</v>
      </c>
      <c r="X13" s="502">
        <f t="shared" ref="X13" si="23">+L13/L11*100</f>
        <v>49.433368429394648</v>
      </c>
      <c r="Y13" s="502">
        <f t="shared" ref="Y13" si="24">+M13/M11*100</f>
        <v>49.21866065023238</v>
      </c>
    </row>
    <row r="14" spans="1:25" s="36" customFormat="1" ht="20.25" customHeight="1">
      <c r="A14" s="35" t="s">
        <v>70</v>
      </c>
      <c r="B14" s="52" t="s">
        <v>45</v>
      </c>
      <c r="C14" s="252">
        <v>122080</v>
      </c>
      <c r="D14" s="252">
        <v>119895</v>
      </c>
      <c r="E14" s="252">
        <v>121764</v>
      </c>
      <c r="F14" s="252">
        <v>123477</v>
      </c>
      <c r="G14" s="252">
        <v>130096</v>
      </c>
      <c r="H14" s="252">
        <v>136871</v>
      </c>
      <c r="I14" s="252">
        <v>144343</v>
      </c>
      <c r="J14" s="252">
        <v>138249</v>
      </c>
      <c r="K14" s="252">
        <v>135963</v>
      </c>
      <c r="L14" s="252">
        <v>141942</v>
      </c>
      <c r="M14" s="252">
        <v>156172</v>
      </c>
      <c r="O14" s="502">
        <f>+C14*100/C$5</f>
        <v>5.1135425942851302</v>
      </c>
      <c r="P14" s="502">
        <f t="shared" ref="P14:Y14" si="25">+D14*100/D$5</f>
        <v>5.0288974427052988</v>
      </c>
      <c r="Q14" s="502">
        <f t="shared" si="25"/>
        <v>4.9534550800740229</v>
      </c>
      <c r="R14" s="502">
        <f t="shared" si="25"/>
        <v>4.8657952840676009</v>
      </c>
      <c r="S14" s="502">
        <f t="shared" si="25"/>
        <v>4.924299344529488</v>
      </c>
      <c r="T14" s="502">
        <f t="shared" si="25"/>
        <v>4.9456173954958249</v>
      </c>
      <c r="U14" s="502">
        <f t="shared" si="25"/>
        <v>5.0155355364537835</v>
      </c>
      <c r="V14" s="502">
        <f t="shared" si="25"/>
        <v>4.7176198318228879</v>
      </c>
      <c r="W14" s="502">
        <f t="shared" si="25"/>
        <v>4.6838166269065482</v>
      </c>
      <c r="X14" s="502">
        <f t="shared" si="25"/>
        <v>4.8571300494158285</v>
      </c>
      <c r="Y14" s="502">
        <f t="shared" si="25"/>
        <v>4.9607594562769783</v>
      </c>
    </row>
    <row r="15" spans="1:25" ht="15" customHeight="1">
      <c r="A15" s="50"/>
      <c r="B15" s="37" t="s">
        <v>46</v>
      </c>
      <c r="C15" s="254">
        <v>78583</v>
      </c>
      <c r="D15" s="254">
        <v>76740</v>
      </c>
      <c r="E15" s="254">
        <v>77240</v>
      </c>
      <c r="F15" s="254">
        <v>77620</v>
      </c>
      <c r="G15" s="254">
        <v>80653</v>
      </c>
      <c r="H15" s="254">
        <v>83817</v>
      </c>
      <c r="I15" s="254">
        <v>87877</v>
      </c>
      <c r="J15" s="254">
        <v>85329</v>
      </c>
      <c r="K15" s="254">
        <v>83980</v>
      </c>
      <c r="L15" s="254">
        <v>86890</v>
      </c>
      <c r="M15" s="254">
        <v>94376</v>
      </c>
    </row>
    <row r="16" spans="1:25" ht="15" customHeight="1">
      <c r="A16" s="50"/>
      <c r="B16" s="37" t="s">
        <v>47</v>
      </c>
      <c r="C16" s="254">
        <v>43497</v>
      </c>
      <c r="D16" s="254">
        <v>43155</v>
      </c>
      <c r="E16" s="254">
        <v>44524</v>
      </c>
      <c r="F16" s="254">
        <v>45857</v>
      </c>
      <c r="G16" s="254">
        <v>49443</v>
      </c>
      <c r="H16" s="254">
        <v>53054</v>
      </c>
      <c r="I16" s="254">
        <v>56466</v>
      </c>
      <c r="J16" s="254">
        <v>52920</v>
      </c>
      <c r="K16" s="254">
        <v>51983</v>
      </c>
      <c r="L16" s="254">
        <v>55052</v>
      </c>
      <c r="M16" s="254">
        <v>61796</v>
      </c>
      <c r="O16" s="502">
        <f>+C16/C14*100</f>
        <v>35.629914809960681</v>
      </c>
      <c r="P16" s="502">
        <f t="shared" ref="P16" si="26">+D16/D14*100</f>
        <v>35.993994745402226</v>
      </c>
      <c r="Q16" s="502">
        <f t="shared" ref="Q16" si="27">+E16/E14*100</f>
        <v>36.565815840478301</v>
      </c>
      <c r="R16" s="502">
        <f t="shared" ref="R16" si="28">+F16/F14*100</f>
        <v>37.138090494586038</v>
      </c>
      <c r="S16" s="502">
        <f t="shared" ref="S16" si="29">+G16/G14*100</f>
        <v>38.005011683679747</v>
      </c>
      <c r="T16" s="502">
        <f t="shared" ref="T16" si="30">+H16/H14*100</f>
        <v>38.762046014130092</v>
      </c>
      <c r="U16" s="502">
        <f t="shared" ref="U16" si="31">+I16/I14*100</f>
        <v>39.119319953167107</v>
      </c>
      <c r="V16" s="502">
        <f t="shared" ref="V16" si="32">+J16/J14*100</f>
        <v>38.278757893366318</v>
      </c>
      <c r="W16" s="502">
        <f t="shared" ref="W16" si="33">+K16/K14*100</f>
        <v>38.233195795915066</v>
      </c>
      <c r="X16" s="502">
        <f t="shared" ref="X16" si="34">+L16/L14*100</f>
        <v>38.784855786166176</v>
      </c>
      <c r="Y16" s="502">
        <f t="shared" ref="Y16" si="35">+M16/M14*100</f>
        <v>39.569192941116206</v>
      </c>
    </row>
    <row r="17" spans="1:26" s="36" customFormat="1" ht="20.25" customHeight="1">
      <c r="A17" s="35" t="s">
        <v>69</v>
      </c>
      <c r="B17" s="52" t="s">
        <v>45</v>
      </c>
      <c r="C17" s="252">
        <v>179939</v>
      </c>
      <c r="D17" s="252">
        <v>176384</v>
      </c>
      <c r="E17" s="252">
        <v>182629</v>
      </c>
      <c r="F17" s="252">
        <v>189545</v>
      </c>
      <c r="G17" s="252">
        <v>201938</v>
      </c>
      <c r="H17" s="252">
        <v>213571</v>
      </c>
      <c r="I17" s="252">
        <v>223564</v>
      </c>
      <c r="J17" s="252">
        <v>243170</v>
      </c>
      <c r="K17" s="252">
        <v>254726</v>
      </c>
      <c r="L17" s="252">
        <v>263533</v>
      </c>
      <c r="M17" s="252">
        <v>284791</v>
      </c>
      <c r="O17" s="502">
        <f>+C17*100/C$5</f>
        <v>7.5370719272040629</v>
      </c>
      <c r="P17" s="502">
        <f t="shared" ref="P17:Y17" si="36">+D17*100/D$5</f>
        <v>7.3982822180585632</v>
      </c>
      <c r="Q17" s="502">
        <f t="shared" si="36"/>
        <v>7.4294910467694777</v>
      </c>
      <c r="R17" s="502">
        <f t="shared" si="36"/>
        <v>7.4693033287056974</v>
      </c>
      <c r="S17" s="502">
        <f t="shared" si="36"/>
        <v>7.6436105724664536</v>
      </c>
      <c r="T17" s="502">
        <f t="shared" si="36"/>
        <v>7.7170507468597345</v>
      </c>
      <c r="U17" s="502">
        <f t="shared" si="36"/>
        <v>7.7682546896749667</v>
      </c>
      <c r="V17" s="502">
        <f t="shared" si="36"/>
        <v>8.2979523505007027</v>
      </c>
      <c r="W17" s="502">
        <f t="shared" si="36"/>
        <v>8.7751070078285807</v>
      </c>
      <c r="X17" s="502">
        <f t="shared" si="36"/>
        <v>9.0178668280896535</v>
      </c>
      <c r="Y17" s="502">
        <f t="shared" si="36"/>
        <v>9.0463056521820615</v>
      </c>
    </row>
    <row r="18" spans="1:26" ht="15" customHeight="1">
      <c r="A18" s="50"/>
      <c r="B18" s="37" t="s">
        <v>46</v>
      </c>
      <c r="C18" s="254">
        <v>91983</v>
      </c>
      <c r="D18" s="254">
        <v>89419</v>
      </c>
      <c r="E18" s="254">
        <v>91459</v>
      </c>
      <c r="F18" s="254">
        <v>93730</v>
      </c>
      <c r="G18" s="254">
        <v>99603</v>
      </c>
      <c r="H18" s="254">
        <v>106415</v>
      </c>
      <c r="I18" s="254">
        <v>110781</v>
      </c>
      <c r="J18" s="254">
        <v>121613</v>
      </c>
      <c r="K18" s="254">
        <v>125955</v>
      </c>
      <c r="L18" s="254">
        <v>129812</v>
      </c>
      <c r="M18" s="254">
        <v>141741</v>
      </c>
    </row>
    <row r="19" spans="1:26" ht="15" customHeight="1">
      <c r="A19" s="50"/>
      <c r="B19" s="37" t="s">
        <v>47</v>
      </c>
      <c r="C19" s="254">
        <v>87956</v>
      </c>
      <c r="D19" s="254">
        <v>86965</v>
      </c>
      <c r="E19" s="254">
        <v>91170</v>
      </c>
      <c r="F19" s="254">
        <v>95815</v>
      </c>
      <c r="G19" s="254">
        <v>102335</v>
      </c>
      <c r="H19" s="254">
        <v>107156</v>
      </c>
      <c r="I19" s="254">
        <v>112783</v>
      </c>
      <c r="J19" s="254">
        <v>121557</v>
      </c>
      <c r="K19" s="254">
        <v>128771</v>
      </c>
      <c r="L19" s="254">
        <v>133721</v>
      </c>
      <c r="M19" s="254">
        <v>143050</v>
      </c>
      <c r="O19" s="502">
        <f>+C19/C17*100</f>
        <v>48.88100967550114</v>
      </c>
      <c r="P19" s="502">
        <f t="shared" ref="P19" si="37">+D19/D17*100</f>
        <v>49.304358671988389</v>
      </c>
      <c r="Q19" s="502">
        <f t="shared" ref="Q19" si="38">+E19/E17*100</f>
        <v>49.920877845249109</v>
      </c>
      <c r="R19" s="502">
        <f t="shared" ref="R19" si="39">+F19/F17*100</f>
        <v>50.550001318948013</v>
      </c>
      <c r="S19" s="502">
        <f t="shared" ref="S19" si="40">+G19/G17*100</f>
        <v>50.67644524557042</v>
      </c>
      <c r="T19" s="502">
        <f t="shared" ref="T19" si="41">+H19/H17*100</f>
        <v>50.173478608987175</v>
      </c>
      <c r="U19" s="502">
        <f t="shared" ref="U19" si="42">+I19/I17*100</f>
        <v>50.447746506593191</v>
      </c>
      <c r="V19" s="502">
        <f t="shared" ref="V19" si="43">+J19/J17*100</f>
        <v>49.988485421721428</v>
      </c>
      <c r="W19" s="502">
        <f t="shared" ref="W19" si="44">+K19/K17*100</f>
        <v>50.552750798897641</v>
      </c>
      <c r="X19" s="502">
        <f t="shared" ref="X19" si="45">+L19/L17*100</f>
        <v>50.741652848030419</v>
      </c>
      <c r="Y19" s="502">
        <f t="shared" ref="Y19" si="46">+M19/M17*100</f>
        <v>50.229817655754573</v>
      </c>
    </row>
    <row r="20" spans="1:26" s="36" customFormat="1" ht="20.25" customHeight="1">
      <c r="A20" s="35" t="s">
        <v>50</v>
      </c>
      <c r="B20" s="52" t="s">
        <v>45</v>
      </c>
      <c r="C20" s="252">
        <v>913908</v>
      </c>
      <c r="D20" s="252">
        <v>902091</v>
      </c>
      <c r="E20" s="252">
        <v>927748</v>
      </c>
      <c r="F20" s="252">
        <v>958705</v>
      </c>
      <c r="G20" s="252">
        <v>993716</v>
      </c>
      <c r="H20" s="252">
        <v>1092258</v>
      </c>
      <c r="I20" s="252">
        <v>1149282</v>
      </c>
      <c r="J20" s="252">
        <v>1091473</v>
      </c>
      <c r="K20" s="252">
        <v>1073089</v>
      </c>
      <c r="L20" s="252">
        <v>1066230</v>
      </c>
      <c r="M20" s="252">
        <v>1141072</v>
      </c>
      <c r="O20" s="502">
        <f>+C20*100/C$5</f>
        <v>38.280696963122011</v>
      </c>
      <c r="P20" s="502">
        <f t="shared" ref="P20:Y20" si="47">+D20*100/D$5</f>
        <v>37.837467141978109</v>
      </c>
      <c r="Q20" s="502">
        <f t="shared" si="47"/>
        <v>37.741516734244229</v>
      </c>
      <c r="R20" s="502">
        <f t="shared" si="47"/>
        <v>37.779199914251478</v>
      </c>
      <c r="S20" s="502">
        <f t="shared" si="47"/>
        <v>37.613416611183006</v>
      </c>
      <c r="T20" s="502">
        <f t="shared" si="47"/>
        <v>39.467017594446439</v>
      </c>
      <c r="U20" s="502">
        <f t="shared" si="47"/>
        <v>39.934494311512701</v>
      </c>
      <c r="V20" s="502">
        <f t="shared" si="47"/>
        <v>37.245511147995451</v>
      </c>
      <c r="W20" s="502">
        <f t="shared" si="47"/>
        <v>36.967057952167288</v>
      </c>
      <c r="X20" s="502">
        <f t="shared" si="47"/>
        <v>36.485450202115217</v>
      </c>
      <c r="Y20" s="502">
        <f t="shared" si="47"/>
        <v>36.245829689655537</v>
      </c>
      <c r="Z20" s="502">
        <f>+R20+R23</f>
        <v>59.65859004363481</v>
      </c>
    </row>
    <row r="21" spans="1:26" ht="15" customHeight="1">
      <c r="A21" s="50"/>
      <c r="B21" s="37" t="s">
        <v>46</v>
      </c>
      <c r="C21" s="254">
        <v>540359</v>
      </c>
      <c r="D21" s="254">
        <v>527897</v>
      </c>
      <c r="E21" s="254">
        <v>541440</v>
      </c>
      <c r="F21" s="254">
        <v>558904</v>
      </c>
      <c r="G21" s="254">
        <v>577377</v>
      </c>
      <c r="H21" s="254">
        <v>623424</v>
      </c>
      <c r="I21" s="254">
        <v>656464</v>
      </c>
      <c r="J21" s="254">
        <v>631996</v>
      </c>
      <c r="K21" s="254">
        <v>627429</v>
      </c>
      <c r="L21" s="254">
        <v>617966</v>
      </c>
      <c r="M21" s="254">
        <v>660462</v>
      </c>
    </row>
    <row r="22" spans="1:26" ht="15" customHeight="1">
      <c r="A22" s="50"/>
      <c r="B22" s="37" t="s">
        <v>47</v>
      </c>
      <c r="C22" s="254">
        <v>373549</v>
      </c>
      <c r="D22" s="254">
        <v>374194</v>
      </c>
      <c r="E22" s="254">
        <v>386308</v>
      </c>
      <c r="F22" s="254">
        <v>399801</v>
      </c>
      <c r="G22" s="254">
        <v>416339</v>
      </c>
      <c r="H22" s="254">
        <v>468834</v>
      </c>
      <c r="I22" s="254">
        <v>492818</v>
      </c>
      <c r="J22" s="254">
        <v>459477</v>
      </c>
      <c r="K22" s="254">
        <v>445660</v>
      </c>
      <c r="L22" s="254">
        <v>448264</v>
      </c>
      <c r="M22" s="254">
        <v>480610</v>
      </c>
      <c r="O22" s="502">
        <f>+C22/C20*100</f>
        <v>40.873807866874998</v>
      </c>
      <c r="P22" s="502">
        <f t="shared" ref="P22" si="48">+D22/D20*100</f>
        <v>41.480737530914283</v>
      </c>
      <c r="Q22" s="502">
        <f t="shared" ref="Q22" si="49">+E22/E20*100</f>
        <v>41.639324471731548</v>
      </c>
      <c r="R22" s="502">
        <f t="shared" ref="R22" si="50">+F22/F20*100</f>
        <v>41.702192019442897</v>
      </c>
      <c r="S22" s="502">
        <f t="shared" ref="S22" si="51">+G22/G20*100</f>
        <v>41.897181891003065</v>
      </c>
      <c r="T22" s="502">
        <f t="shared" ref="T22" si="52">+H22/H20*100</f>
        <v>42.923375246507696</v>
      </c>
      <c r="U22" s="502">
        <f t="shared" ref="U22" si="53">+I22/I20*100</f>
        <v>42.880511484561666</v>
      </c>
      <c r="V22" s="502">
        <f t="shared" ref="V22" si="54">+J22/J20*100</f>
        <v>42.096964377497201</v>
      </c>
      <c r="W22" s="502">
        <f t="shared" ref="W22" si="55">+K22/K20*100</f>
        <v>41.530572021519184</v>
      </c>
      <c r="X22" s="502">
        <f t="shared" ref="X22" si="56">+L22/L20*100</f>
        <v>42.041960927754801</v>
      </c>
      <c r="Y22" s="502">
        <f t="shared" ref="Y22" si="57">+M22/M20*100</f>
        <v>42.119165135942346</v>
      </c>
    </row>
    <row r="23" spans="1:26" s="36" customFormat="1" ht="20.25" customHeight="1">
      <c r="A23" s="35" t="s">
        <v>71</v>
      </c>
      <c r="B23" s="52" t="s">
        <v>45</v>
      </c>
      <c r="C23" s="252">
        <v>500004</v>
      </c>
      <c r="D23" s="252">
        <v>519108</v>
      </c>
      <c r="E23" s="252">
        <v>535910</v>
      </c>
      <c r="F23" s="252">
        <v>555223</v>
      </c>
      <c r="G23" s="252">
        <v>585440</v>
      </c>
      <c r="H23" s="252">
        <v>569141</v>
      </c>
      <c r="I23" s="252">
        <v>582366</v>
      </c>
      <c r="J23" s="252">
        <v>594326</v>
      </c>
      <c r="K23" s="252">
        <v>575153</v>
      </c>
      <c r="L23" s="252">
        <v>555639</v>
      </c>
      <c r="M23" s="252">
        <v>602364</v>
      </c>
      <c r="O23" s="502">
        <f>+C23*100/C$5</f>
        <v>20.943575944568661</v>
      </c>
      <c r="P23" s="502">
        <f t="shared" ref="P23:Y23" si="58">+D23*100/D$5</f>
        <v>21.773559311796674</v>
      </c>
      <c r="Q23" s="502">
        <f t="shared" si="58"/>
        <v>21.801239380789639</v>
      </c>
      <c r="R23" s="502">
        <f t="shared" si="58"/>
        <v>21.879390129383331</v>
      </c>
      <c r="S23" s="502">
        <f t="shared" si="58"/>
        <v>22.159649860574831</v>
      </c>
      <c r="T23" s="502">
        <f t="shared" si="58"/>
        <v>20.565011069473368</v>
      </c>
      <c r="U23" s="502">
        <f t="shared" si="58"/>
        <v>20.235670370038338</v>
      </c>
      <c r="V23" s="502">
        <f t="shared" si="58"/>
        <v>20.280827522571371</v>
      </c>
      <c r="W23" s="502">
        <f t="shared" si="58"/>
        <v>19.813560927716967</v>
      </c>
      <c r="X23" s="502">
        <f t="shared" si="58"/>
        <v>19.013476515248211</v>
      </c>
      <c r="Y23" s="502">
        <f t="shared" si="58"/>
        <v>19.133922272371652</v>
      </c>
    </row>
    <row r="24" spans="1:26" ht="15" customHeight="1">
      <c r="A24" s="50"/>
      <c r="B24" s="37" t="s">
        <v>46</v>
      </c>
      <c r="C24" s="254">
        <v>209626</v>
      </c>
      <c r="D24" s="254">
        <v>222139</v>
      </c>
      <c r="E24" s="254">
        <v>233306</v>
      </c>
      <c r="F24" s="254">
        <v>237914</v>
      </c>
      <c r="G24" s="254">
        <v>254447</v>
      </c>
      <c r="H24" s="254">
        <v>248727</v>
      </c>
      <c r="I24" s="254">
        <v>255362</v>
      </c>
      <c r="J24" s="254">
        <v>257099</v>
      </c>
      <c r="K24" s="254">
        <v>251110</v>
      </c>
      <c r="L24" s="254">
        <v>240263</v>
      </c>
      <c r="M24" s="254">
        <v>260895</v>
      </c>
    </row>
    <row r="25" spans="1:26" ht="15" customHeight="1">
      <c r="A25" s="50"/>
      <c r="B25" s="37" t="s">
        <v>47</v>
      </c>
      <c r="C25" s="254">
        <v>290378</v>
      </c>
      <c r="D25" s="254">
        <v>296969</v>
      </c>
      <c r="E25" s="254">
        <v>302604</v>
      </c>
      <c r="F25" s="254">
        <v>317309</v>
      </c>
      <c r="G25" s="254">
        <v>330993</v>
      </c>
      <c r="H25" s="254">
        <v>320414</v>
      </c>
      <c r="I25" s="254">
        <v>327004</v>
      </c>
      <c r="J25" s="254">
        <v>337227</v>
      </c>
      <c r="K25" s="254">
        <v>324043</v>
      </c>
      <c r="L25" s="254">
        <v>315376</v>
      </c>
      <c r="M25" s="254">
        <v>341469</v>
      </c>
      <c r="O25" s="502">
        <f>+C25/C23*100</f>
        <v>58.075135398916814</v>
      </c>
      <c r="P25" s="502">
        <f t="shared" ref="P25" si="59">+D25/D23*100</f>
        <v>57.207556038435158</v>
      </c>
      <c r="Q25" s="502">
        <f t="shared" ref="Q25" si="60">+E25/E23*100</f>
        <v>56.465451288462617</v>
      </c>
      <c r="R25" s="502">
        <f t="shared" ref="R25" si="61">+F25/F23*100</f>
        <v>57.149829888171055</v>
      </c>
      <c r="S25" s="502">
        <f t="shared" ref="S25" si="62">+G25/G23*100</f>
        <v>56.537476086362389</v>
      </c>
      <c r="T25" s="502">
        <f t="shared" ref="T25" si="63">+H25/H23*100</f>
        <v>56.297824264988819</v>
      </c>
      <c r="U25" s="502">
        <f t="shared" ref="U25" si="64">+I25/I23*100</f>
        <v>56.150942877846575</v>
      </c>
      <c r="V25" s="502">
        <f t="shared" ref="V25" si="65">+J25/J23*100</f>
        <v>56.741081493994884</v>
      </c>
      <c r="W25" s="502">
        <f t="shared" ref="W25" si="66">+K25/K23*100</f>
        <v>56.340312925430283</v>
      </c>
      <c r="X25" s="502">
        <f t="shared" ref="X25" si="67">+L25/L23*100</f>
        <v>56.759154774952805</v>
      </c>
      <c r="Y25" s="502">
        <f t="shared" ref="Y25" si="68">+M25/M23*100</f>
        <v>56.68814869414507</v>
      </c>
    </row>
    <row r="26" spans="1:26" s="36" customFormat="1" ht="20.25" customHeight="1">
      <c r="A26" s="35" t="s">
        <v>51</v>
      </c>
      <c r="B26" s="52" t="s">
        <v>45</v>
      </c>
      <c r="C26" s="252">
        <v>263897</v>
      </c>
      <c r="D26" s="252">
        <v>261276</v>
      </c>
      <c r="E26" s="252">
        <v>276984</v>
      </c>
      <c r="F26" s="252">
        <v>284805</v>
      </c>
      <c r="G26" s="252">
        <v>291322</v>
      </c>
      <c r="H26" s="252">
        <v>297838</v>
      </c>
      <c r="I26" s="252">
        <v>296301</v>
      </c>
      <c r="J26" s="252">
        <v>366355</v>
      </c>
      <c r="K26" s="252">
        <v>361526</v>
      </c>
      <c r="L26" s="252">
        <v>371122</v>
      </c>
      <c r="M26" s="252">
        <v>396732</v>
      </c>
      <c r="O26" s="502">
        <f>+C26*100/C$5</f>
        <v>11.05380529164534</v>
      </c>
      <c r="P26" s="502">
        <f t="shared" ref="P26:Y26" si="69">+D26*100/D$5</f>
        <v>10.959007533594143</v>
      </c>
      <c r="Q26" s="502">
        <f t="shared" si="69"/>
        <v>11.267926496330796</v>
      </c>
      <c r="R26" s="502">
        <f t="shared" si="69"/>
        <v>11.223165657400756</v>
      </c>
      <c r="S26" s="502">
        <f t="shared" si="69"/>
        <v>11.026908849211502</v>
      </c>
      <c r="T26" s="502">
        <f t="shared" si="69"/>
        <v>10.76190569104986</v>
      </c>
      <c r="U26" s="502">
        <f t="shared" si="69"/>
        <v>10.29567207960755</v>
      </c>
      <c r="V26" s="502">
        <f t="shared" si="69"/>
        <v>12.501527052546304</v>
      </c>
      <c r="W26" s="502">
        <f t="shared" si="69"/>
        <v>12.454281604988244</v>
      </c>
      <c r="X26" s="502">
        <f t="shared" si="69"/>
        <v>12.699467516304555</v>
      </c>
      <c r="Y26" s="502">
        <f t="shared" si="69"/>
        <v>12.602079890170312</v>
      </c>
    </row>
    <row r="27" spans="1:26" ht="15" customHeight="1">
      <c r="A27" s="50"/>
      <c r="B27" s="37" t="s">
        <v>46</v>
      </c>
      <c r="C27" s="254">
        <v>111867</v>
      </c>
      <c r="D27" s="254">
        <v>110519</v>
      </c>
      <c r="E27" s="254">
        <v>117350</v>
      </c>
      <c r="F27" s="254">
        <v>120466</v>
      </c>
      <c r="G27" s="254">
        <v>127061</v>
      </c>
      <c r="H27" s="254">
        <v>136792</v>
      </c>
      <c r="I27" s="254">
        <v>139286</v>
      </c>
      <c r="J27" s="254">
        <v>175214</v>
      </c>
      <c r="K27" s="254">
        <v>175948</v>
      </c>
      <c r="L27" s="254">
        <v>183201</v>
      </c>
      <c r="M27" s="254">
        <v>202071</v>
      </c>
    </row>
    <row r="28" spans="1:26" ht="15" customHeight="1">
      <c r="A28" s="50"/>
      <c r="B28" s="37" t="s">
        <v>47</v>
      </c>
      <c r="C28" s="254">
        <v>152030</v>
      </c>
      <c r="D28" s="254">
        <v>150757</v>
      </c>
      <c r="E28" s="254">
        <v>159634</v>
      </c>
      <c r="F28" s="254">
        <v>164339</v>
      </c>
      <c r="G28" s="254">
        <v>164261</v>
      </c>
      <c r="H28" s="254">
        <v>161046</v>
      </c>
      <c r="I28" s="254">
        <v>157015</v>
      </c>
      <c r="J28" s="254">
        <v>191141</v>
      </c>
      <c r="K28" s="254">
        <v>185578</v>
      </c>
      <c r="L28" s="254">
        <v>187921</v>
      </c>
      <c r="M28" s="254">
        <v>194661</v>
      </c>
      <c r="O28" s="502">
        <f>+C28/C26*100</f>
        <v>57.60959768394487</v>
      </c>
      <c r="P28" s="502">
        <f t="shared" ref="P28" si="70">+D28/D26*100</f>
        <v>57.700286287297722</v>
      </c>
      <c r="Q28" s="502">
        <f t="shared" ref="Q28" si="71">+E28/E26*100</f>
        <v>57.63293186610057</v>
      </c>
      <c r="R28" s="502">
        <f t="shared" ref="R28" si="72">+F28/F26*100</f>
        <v>57.702287530064432</v>
      </c>
      <c r="S28" s="502">
        <f t="shared" ref="S28" si="73">+G28/G26*100</f>
        <v>56.38468773384777</v>
      </c>
      <c r="T28" s="502">
        <f t="shared" ref="T28" si="74">+H28/H26*100</f>
        <v>54.071676548996436</v>
      </c>
      <c r="U28" s="502">
        <f t="shared" ref="U28" si="75">+I28/I26*100</f>
        <v>52.991721256425052</v>
      </c>
      <c r="V28" s="502">
        <f t="shared" ref="V28" si="76">+J28/J26*100</f>
        <v>52.173711290960952</v>
      </c>
      <c r="W28" s="502">
        <f t="shared" ref="W28" si="77">+K28/K26*100</f>
        <v>51.331854417109703</v>
      </c>
      <c r="X28" s="502">
        <f t="shared" ref="X28" si="78">+L28/L26*100</f>
        <v>50.635909485290554</v>
      </c>
      <c r="Y28" s="502">
        <f t="shared" ref="Y28" si="79">+M28/M26*100</f>
        <v>49.066120202050755</v>
      </c>
    </row>
    <row r="29" spans="1:26" s="36" customFormat="1" ht="20.25" customHeight="1">
      <c r="A29" s="35" t="s">
        <v>52</v>
      </c>
      <c r="B29" s="52" t="s">
        <v>45</v>
      </c>
      <c r="C29" s="252">
        <v>73254</v>
      </c>
      <c r="D29" s="252">
        <v>71319</v>
      </c>
      <c r="E29" s="252">
        <v>75916</v>
      </c>
      <c r="F29" s="252">
        <v>77732</v>
      </c>
      <c r="G29" s="252">
        <v>77332</v>
      </c>
      <c r="H29" s="252">
        <v>80226</v>
      </c>
      <c r="I29" s="252">
        <v>83279</v>
      </c>
      <c r="J29" s="252">
        <v>83612</v>
      </c>
      <c r="K29" s="252">
        <v>67374</v>
      </c>
      <c r="L29" s="252">
        <v>71949</v>
      </c>
      <c r="M29" s="252">
        <v>77132</v>
      </c>
      <c r="O29" s="502">
        <f>+C29*100/C$5</f>
        <v>3.0683768774718456</v>
      </c>
      <c r="P29" s="502">
        <f t="shared" ref="P29:Y29" si="80">+D29*100/D$5</f>
        <v>2.9914169624779952</v>
      </c>
      <c r="Q29" s="502">
        <f t="shared" si="80"/>
        <v>3.0883224586815441</v>
      </c>
      <c r="R29" s="502">
        <f t="shared" si="80"/>
        <v>3.0631453551766139</v>
      </c>
      <c r="S29" s="502">
        <f t="shared" si="80"/>
        <v>2.9271147222908804</v>
      </c>
      <c r="T29" s="502">
        <f t="shared" si="80"/>
        <v>2.8988397920015783</v>
      </c>
      <c r="U29" s="502">
        <f t="shared" si="80"/>
        <v>2.8937238656556579</v>
      </c>
      <c r="V29" s="502">
        <f t="shared" si="80"/>
        <v>2.8531825140028158</v>
      </c>
      <c r="W29" s="502">
        <f t="shared" si="80"/>
        <v>2.3209804242419021</v>
      </c>
      <c r="X29" s="502">
        <f t="shared" si="80"/>
        <v>2.4620313221274848</v>
      </c>
      <c r="Y29" s="502">
        <f t="shared" si="80"/>
        <v>2.4500761876748447</v>
      </c>
    </row>
    <row r="30" spans="1:26" ht="15" customHeight="1">
      <c r="A30" s="50"/>
      <c r="B30" s="37" t="s">
        <v>46</v>
      </c>
      <c r="C30" s="254">
        <v>35489</v>
      </c>
      <c r="D30" s="254">
        <v>34813</v>
      </c>
      <c r="E30" s="254">
        <v>37250</v>
      </c>
      <c r="F30" s="254">
        <v>38595</v>
      </c>
      <c r="G30" s="254">
        <v>38822</v>
      </c>
      <c r="H30" s="254">
        <v>40797</v>
      </c>
      <c r="I30" s="254">
        <v>42768</v>
      </c>
      <c r="J30" s="254">
        <v>44355</v>
      </c>
      <c r="K30" s="254">
        <v>37514</v>
      </c>
      <c r="L30" s="254">
        <v>40387</v>
      </c>
      <c r="M30" s="254">
        <v>41791</v>
      </c>
    </row>
    <row r="31" spans="1:26" ht="15" customHeight="1">
      <c r="A31" s="65"/>
      <c r="B31" s="66" t="s">
        <v>47</v>
      </c>
      <c r="C31" s="255">
        <v>37765</v>
      </c>
      <c r="D31" s="255">
        <v>36506</v>
      </c>
      <c r="E31" s="255">
        <v>38666</v>
      </c>
      <c r="F31" s="255">
        <v>39137</v>
      </c>
      <c r="G31" s="255">
        <v>38510</v>
      </c>
      <c r="H31" s="255">
        <v>39429</v>
      </c>
      <c r="I31" s="255">
        <v>40511</v>
      </c>
      <c r="J31" s="255">
        <v>39257</v>
      </c>
      <c r="K31" s="255">
        <v>29860</v>
      </c>
      <c r="L31" s="255">
        <v>31562</v>
      </c>
      <c r="M31" s="255">
        <v>35341</v>
      </c>
      <c r="O31" s="502">
        <f>+C31/C29*100</f>
        <v>51.553498785049278</v>
      </c>
      <c r="P31" s="502">
        <f t="shared" ref="P31" si="81">+D31/D29*100</f>
        <v>51.186920736409661</v>
      </c>
      <c r="Q31" s="502">
        <f t="shared" ref="Q31" si="82">+E31/E29*100</f>
        <v>50.932609726539859</v>
      </c>
      <c r="R31" s="502">
        <f t="shared" ref="R31" si="83">+F31/F29*100</f>
        <v>50.348633767303042</v>
      </c>
      <c r="S31" s="502">
        <f t="shared" ref="S31" si="84">+G31/G29*100</f>
        <v>49.798272384006623</v>
      </c>
      <c r="T31" s="502">
        <f t="shared" ref="T31" si="85">+H31/H29*100</f>
        <v>49.147408570787526</v>
      </c>
      <c r="U31" s="502">
        <f t="shared" ref="U31" si="86">+I31/I29*100</f>
        <v>48.644916485548578</v>
      </c>
      <c r="V31" s="502">
        <f t="shared" ref="V31" si="87">+J31/J29*100</f>
        <v>46.951394536669376</v>
      </c>
      <c r="W31" s="502">
        <f t="shared" ref="W31" si="88">+K31/K29*100</f>
        <v>44.319767269273015</v>
      </c>
      <c r="X31" s="502">
        <f t="shared" ref="X31" si="89">+L31/L29*100</f>
        <v>43.867183699564968</v>
      </c>
      <c r="Y31" s="502">
        <f t="shared" ref="Y31" si="90">+M31/M29*100</f>
        <v>45.818855987138932</v>
      </c>
    </row>
    <row r="32" spans="1:26" ht="15" customHeight="1">
      <c r="A32" s="20" t="s">
        <v>138</v>
      </c>
      <c r="B32" s="10"/>
      <c r="C32" s="45"/>
    </row>
  </sheetData>
  <mergeCells count="1">
    <mergeCell ref="A1:M1"/>
  </mergeCells>
  <phoneticPr fontId="25" type="noConversion"/>
  <conditionalFormatting sqref="A1 N1:XFD4 N5:Y8 Z5:XFD29 N9 O9:Y29 O30:XFD31 N32:XFD1048576">
    <cfRule type="cellIs" dxfId="20" priority="56" operator="equal">
      <formula>0</formula>
    </cfRule>
  </conditionalFormatting>
  <conditionalFormatting sqref="A2:M1048576">
    <cfRule type="cellIs" dxfId="19"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91" orientation="portrait" r:id="rId1"/>
  <headerFooter>
    <oddHeader xml:space="preserve">&amp;C&amp;G
</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tabColor indexed="25"/>
    <pageSetUpPr fitToPage="1"/>
  </sheetPr>
  <dimension ref="A1:P21"/>
  <sheetViews>
    <sheetView showGridLines="0" workbookViewId="0">
      <selection activeCell="P8" sqref="P8"/>
    </sheetView>
  </sheetViews>
  <sheetFormatPr defaultColWidth="9.140625" defaultRowHeight="17.25" customHeight="1"/>
  <cols>
    <col min="1" max="1" width="29.7109375" style="41" customWidth="1"/>
    <col min="2" max="13" width="7.5703125" style="41" customWidth="1"/>
    <col min="14" max="16384" width="9.140625" style="41"/>
  </cols>
  <sheetData>
    <row r="1" spans="1:16" s="34" customFormat="1" ht="28.5" customHeight="1">
      <c r="A1" s="598" t="s">
        <v>245</v>
      </c>
      <c r="B1" s="598"/>
      <c r="C1" s="598"/>
      <c r="D1" s="598"/>
      <c r="E1" s="598"/>
      <c r="F1" s="598"/>
      <c r="G1" s="598"/>
      <c r="H1" s="598"/>
      <c r="I1" s="598"/>
      <c r="J1" s="598"/>
      <c r="K1" s="598"/>
      <c r="L1" s="598"/>
    </row>
    <row r="2" spans="1:16" s="36" customFormat="1" ht="15" customHeight="1">
      <c r="A2" s="103"/>
      <c r="B2" s="103"/>
      <c r="C2" s="103"/>
      <c r="D2" s="103"/>
      <c r="E2" s="103"/>
      <c r="F2" s="103"/>
      <c r="G2" s="103"/>
      <c r="H2" s="103"/>
      <c r="I2" s="103"/>
      <c r="J2" s="103"/>
      <c r="K2" s="103"/>
      <c r="L2" s="103"/>
    </row>
    <row r="3" spans="1:16" s="36" customFormat="1" ht="15" customHeight="1">
      <c r="A3" s="103" t="s">
        <v>14</v>
      </c>
      <c r="B3" s="103"/>
      <c r="C3" s="103"/>
      <c r="D3" s="103"/>
      <c r="E3" s="103"/>
      <c r="F3" s="103"/>
      <c r="G3" s="103"/>
      <c r="H3" s="103"/>
      <c r="I3" s="103"/>
      <c r="J3" s="103"/>
      <c r="K3" s="103"/>
      <c r="L3" s="103"/>
    </row>
    <row r="4" spans="1:16" s="39" customFormat="1" ht="28.5" customHeight="1" thickBot="1">
      <c r="A4" s="113"/>
      <c r="B4" s="113">
        <v>2012</v>
      </c>
      <c r="C4" s="113">
        <v>2013</v>
      </c>
      <c r="D4" s="113">
        <v>2014</v>
      </c>
      <c r="E4" s="113">
        <v>2015</v>
      </c>
      <c r="F4" s="113">
        <v>2016</v>
      </c>
      <c r="G4" s="113">
        <v>2017</v>
      </c>
      <c r="H4" s="113">
        <v>2018</v>
      </c>
      <c r="I4" s="113">
        <v>2019</v>
      </c>
      <c r="J4" s="113">
        <v>2020</v>
      </c>
      <c r="K4" s="113">
        <v>2021</v>
      </c>
      <c r="L4" s="113">
        <v>2022</v>
      </c>
    </row>
    <row r="5" spans="1:16" s="39" customFormat="1" ht="19.5" customHeight="1" thickTop="1">
      <c r="A5" s="16" t="s">
        <v>12</v>
      </c>
      <c r="B5" s="322">
        <v>2387386</v>
      </c>
      <c r="C5" s="322">
        <v>2384121</v>
      </c>
      <c r="D5" s="322">
        <v>2458163</v>
      </c>
      <c r="E5" s="322">
        <v>2537653</v>
      </c>
      <c r="F5" s="322">
        <v>2641919</v>
      </c>
      <c r="G5" s="322">
        <v>2767521</v>
      </c>
      <c r="H5" s="322">
        <v>2877918</v>
      </c>
      <c r="I5" s="322">
        <v>2930482</v>
      </c>
      <c r="J5" s="322">
        <v>2902825</v>
      </c>
      <c r="K5" s="322">
        <v>2922343</v>
      </c>
      <c r="L5" s="322">
        <v>3148147</v>
      </c>
    </row>
    <row r="6" spans="1:16" s="36" customFormat="1" ht="18" customHeight="1">
      <c r="A6" s="103" t="s">
        <v>246</v>
      </c>
      <c r="B6" s="256">
        <v>1775773</v>
      </c>
      <c r="C6" s="256">
        <v>1752648</v>
      </c>
      <c r="D6" s="256">
        <v>1802130</v>
      </c>
      <c r="E6" s="256">
        <v>1855203</v>
      </c>
      <c r="F6" s="256">
        <v>1911498</v>
      </c>
      <c r="G6" s="256">
        <v>1975887</v>
      </c>
      <c r="H6" s="256">
        <v>2073822</v>
      </c>
      <c r="I6" s="256">
        <v>2078465</v>
      </c>
      <c r="J6" s="256">
        <v>2014412</v>
      </c>
      <c r="K6" s="256">
        <v>2031422</v>
      </c>
      <c r="L6" s="256">
        <v>2174986</v>
      </c>
      <c r="N6" s="502">
        <f>+L6/$L$5*100</f>
        <v>69.087815784968114</v>
      </c>
      <c r="O6" s="502">
        <f>+B6/$B$5*100</f>
        <v>74.381478319802497</v>
      </c>
      <c r="P6" s="502">
        <f>+N6-O6</f>
        <v>-5.2936625348343824</v>
      </c>
    </row>
    <row r="7" spans="1:16" s="36" customFormat="1" ht="16.5" customHeight="1">
      <c r="A7" s="103" t="s">
        <v>247</v>
      </c>
      <c r="B7" s="256">
        <v>97097</v>
      </c>
      <c r="C7" s="256">
        <v>97694</v>
      </c>
      <c r="D7" s="256">
        <v>97038</v>
      </c>
      <c r="E7" s="256">
        <v>99532</v>
      </c>
      <c r="F7" s="256">
        <v>101183</v>
      </c>
      <c r="G7" s="256">
        <v>106693</v>
      </c>
      <c r="H7" s="256">
        <v>109690</v>
      </c>
      <c r="I7" s="256">
        <v>104297</v>
      </c>
      <c r="J7" s="256">
        <v>118636</v>
      </c>
      <c r="K7" s="256">
        <v>118983</v>
      </c>
      <c r="L7" s="256">
        <v>122759</v>
      </c>
      <c r="N7" s="502">
        <f t="shared" ref="N7:N10" si="0">+L7/$L$5*100</f>
        <v>3.8994049515476878</v>
      </c>
      <c r="O7" s="502">
        <f t="shared" ref="O7:O10" si="1">+B7/$B$5*100</f>
        <v>4.0670842503055642</v>
      </c>
      <c r="P7" s="502">
        <f t="shared" ref="P7:P10" si="2">+N7-O7</f>
        <v>-0.16767929875787635</v>
      </c>
    </row>
    <row r="8" spans="1:16" s="36" customFormat="1" ht="16.5" customHeight="1">
      <c r="A8" s="103" t="s">
        <v>144</v>
      </c>
      <c r="B8" s="256">
        <v>186893</v>
      </c>
      <c r="C8" s="256">
        <v>194848</v>
      </c>
      <c r="D8" s="256">
        <v>205896</v>
      </c>
      <c r="E8" s="256">
        <v>212238</v>
      </c>
      <c r="F8" s="256">
        <v>219677</v>
      </c>
      <c r="G8" s="256">
        <v>226793</v>
      </c>
      <c r="H8" s="256">
        <v>211503</v>
      </c>
      <c r="I8" s="256">
        <v>219272</v>
      </c>
      <c r="J8" s="256">
        <v>221568</v>
      </c>
      <c r="K8" s="256">
        <v>214401</v>
      </c>
      <c r="L8" s="256">
        <v>232081</v>
      </c>
      <c r="N8" s="502">
        <f t="shared" si="0"/>
        <v>7.3719873944895209</v>
      </c>
      <c r="O8" s="502">
        <f t="shared" si="1"/>
        <v>7.8283528511937313</v>
      </c>
      <c r="P8" s="502">
        <f t="shared" si="2"/>
        <v>-0.45636545670421036</v>
      </c>
    </row>
    <row r="9" spans="1:16" s="36" customFormat="1" ht="16.5" customHeight="1">
      <c r="A9" s="103" t="s">
        <v>44</v>
      </c>
      <c r="B9" s="256">
        <v>82486</v>
      </c>
      <c r="C9" s="256">
        <v>80074</v>
      </c>
      <c r="D9" s="256">
        <v>80029</v>
      </c>
      <c r="E9" s="256">
        <v>78163</v>
      </c>
      <c r="F9" s="256">
        <v>79933</v>
      </c>
      <c r="G9" s="256">
        <v>85752</v>
      </c>
      <c r="H9" s="256">
        <v>86043</v>
      </c>
      <c r="I9" s="256">
        <v>91984</v>
      </c>
      <c r="J9" s="256">
        <v>90179</v>
      </c>
      <c r="K9" s="256">
        <v>89882</v>
      </c>
      <c r="L9" s="256">
        <v>92151</v>
      </c>
      <c r="N9" s="502">
        <f t="shared" si="0"/>
        <v>2.9271504793137044</v>
      </c>
      <c r="O9" s="502">
        <f t="shared" si="1"/>
        <v>3.4550759701196205</v>
      </c>
      <c r="P9" s="502">
        <f t="shared" si="2"/>
        <v>-0.52792549080591611</v>
      </c>
    </row>
    <row r="10" spans="1:16" ht="15" customHeight="1">
      <c r="A10" s="134" t="s">
        <v>248</v>
      </c>
      <c r="B10" s="257">
        <v>245137</v>
      </c>
      <c r="C10" s="257">
        <v>258857</v>
      </c>
      <c r="D10" s="257">
        <v>273070</v>
      </c>
      <c r="E10" s="257">
        <v>292517</v>
      </c>
      <c r="F10" s="257">
        <v>329628</v>
      </c>
      <c r="G10" s="257">
        <v>372396</v>
      </c>
      <c r="H10" s="257">
        <v>396860</v>
      </c>
      <c r="I10" s="257">
        <v>436464</v>
      </c>
      <c r="J10" s="257">
        <v>458030</v>
      </c>
      <c r="K10" s="257">
        <v>467655</v>
      </c>
      <c r="L10" s="257">
        <v>526170</v>
      </c>
      <c r="N10" s="502">
        <f t="shared" si="0"/>
        <v>16.713641389680976</v>
      </c>
      <c r="O10" s="502">
        <f t="shared" si="1"/>
        <v>10.268008608578588</v>
      </c>
      <c r="P10" s="502">
        <f t="shared" si="2"/>
        <v>6.4456327811023879</v>
      </c>
    </row>
    <row r="11" spans="1:16" ht="15" customHeight="1">
      <c r="A11" s="20" t="s">
        <v>138</v>
      </c>
      <c r="B11" s="40"/>
      <c r="C11" s="135"/>
      <c r="D11" s="135"/>
      <c r="E11" s="100"/>
      <c r="F11" s="100"/>
      <c r="G11" s="100"/>
      <c r="H11" s="100"/>
      <c r="I11" s="100"/>
      <c r="J11" s="100"/>
      <c r="K11" s="100"/>
      <c r="L11" s="100"/>
    </row>
    <row r="12" spans="1:16" ht="15" customHeight="1">
      <c r="A12" s="22" t="s">
        <v>98</v>
      </c>
      <c r="B12" s="40"/>
      <c r="C12" s="135"/>
      <c r="D12" s="135"/>
      <c r="E12" s="100"/>
      <c r="F12" s="100"/>
      <c r="G12" s="100"/>
      <c r="H12" s="100"/>
      <c r="I12" s="100"/>
      <c r="J12" s="100"/>
      <c r="K12" s="100"/>
      <c r="L12" s="100"/>
    </row>
    <row r="13" spans="1:16" ht="22.5" customHeight="1">
      <c r="A13" s="616" t="s">
        <v>259</v>
      </c>
      <c r="B13" s="616"/>
      <c r="C13" s="616"/>
      <c r="D13" s="616"/>
      <c r="E13" s="616"/>
      <c r="F13" s="616"/>
      <c r="G13" s="616"/>
      <c r="H13" s="616"/>
      <c r="I13" s="616"/>
      <c r="J13" s="616"/>
      <c r="K13" s="616"/>
      <c r="L13" s="616"/>
    </row>
    <row r="14" spans="1:16" ht="17.25" customHeight="1">
      <c r="C14" s="100"/>
      <c r="D14" s="100"/>
    </row>
    <row r="16" spans="1:16" ht="17.25" customHeight="1">
      <c r="B16" s="427"/>
      <c r="C16" s="427"/>
      <c r="D16" s="427"/>
      <c r="E16" s="427"/>
      <c r="F16" s="427"/>
      <c r="G16" s="427"/>
      <c r="H16" s="427"/>
      <c r="I16" s="427"/>
      <c r="J16" s="427"/>
      <c r="K16" s="427"/>
      <c r="L16" s="427"/>
    </row>
    <row r="17" spans="1:12" ht="17.25" customHeight="1">
      <c r="A17" s="103"/>
      <c r="B17" s="428"/>
      <c r="C17" s="428"/>
      <c r="D17" s="428"/>
      <c r="E17" s="428"/>
      <c r="F17" s="428"/>
      <c r="G17" s="428"/>
      <c r="H17" s="428"/>
      <c r="I17" s="428"/>
      <c r="J17" s="428"/>
      <c r="K17" s="428"/>
      <c r="L17" s="428"/>
    </row>
    <row r="18" spans="1:12" ht="17.25" customHeight="1">
      <c r="A18" s="103"/>
      <c r="B18" s="428"/>
      <c r="C18" s="428"/>
      <c r="D18" s="428"/>
      <c r="E18" s="428"/>
      <c r="F18" s="428"/>
      <c r="G18" s="428"/>
      <c r="H18" s="428"/>
      <c r="I18" s="428"/>
      <c r="J18" s="428"/>
      <c r="K18" s="428"/>
      <c r="L18" s="428"/>
    </row>
    <row r="19" spans="1:12" ht="17.25" customHeight="1">
      <c r="A19" s="103"/>
      <c r="B19" s="428"/>
      <c r="C19" s="428"/>
      <c r="D19" s="428"/>
      <c r="E19" s="428"/>
      <c r="F19" s="428"/>
      <c r="G19" s="428"/>
      <c r="H19" s="428"/>
      <c r="I19" s="428"/>
      <c r="J19" s="428"/>
      <c r="K19" s="428"/>
      <c r="L19" s="428"/>
    </row>
    <row r="20" spans="1:12" ht="17.25" customHeight="1">
      <c r="A20" s="103"/>
      <c r="B20" s="428"/>
      <c r="C20" s="428"/>
      <c r="D20" s="428"/>
      <c r="E20" s="428"/>
      <c r="F20" s="428"/>
      <c r="G20" s="428"/>
      <c r="H20" s="428"/>
      <c r="I20" s="428"/>
      <c r="J20" s="428"/>
      <c r="K20" s="428"/>
      <c r="L20" s="428"/>
    </row>
    <row r="21" spans="1:12" ht="17.25" customHeight="1">
      <c r="A21" s="103"/>
      <c r="B21" s="428"/>
      <c r="C21" s="428"/>
      <c r="D21" s="428"/>
      <c r="E21" s="428"/>
      <c r="F21" s="428"/>
      <c r="G21" s="428"/>
      <c r="H21" s="428"/>
      <c r="I21" s="428"/>
      <c r="J21" s="428"/>
      <c r="K21" s="428"/>
      <c r="L21" s="428"/>
    </row>
  </sheetData>
  <mergeCells count="2">
    <mergeCell ref="A13:L13"/>
    <mergeCell ref="A1:L1"/>
  </mergeCells>
  <phoneticPr fontId="25" type="noConversion"/>
  <conditionalFormatting sqref="A1 M1:XFD1048576 K22:L1048576">
    <cfRule type="cellIs" dxfId="18" priority="69" operator="equal">
      <formula>0</formula>
    </cfRule>
  </conditionalFormatting>
  <conditionalFormatting sqref="A5:A21">
    <cfRule type="cellIs" dxfId="17" priority="8" operator="equal">
      <formula>0</formula>
    </cfRule>
  </conditionalFormatting>
  <conditionalFormatting sqref="A25:J1048576">
    <cfRule type="cellIs" dxfId="16" priority="51" operator="equal">
      <formula>0</formula>
    </cfRule>
  </conditionalFormatting>
  <conditionalFormatting sqref="A2:K4">
    <cfRule type="cellIs" dxfId="15" priority="40" operator="equal">
      <formula>0</formula>
    </cfRule>
  </conditionalFormatting>
  <conditionalFormatting sqref="B5:K12">
    <cfRule type="cellIs" dxfId="14" priority="38" operator="equal">
      <formula>0</formula>
    </cfRule>
  </conditionalFormatting>
  <conditionalFormatting sqref="B14:L21">
    <cfRule type="cellIs" dxfId="13" priority="1" operator="equal">
      <formula>0</formula>
    </cfRule>
  </conditionalFormatting>
  <conditionalFormatting sqref="L2:L12">
    <cfRule type="cellIs" dxfId="12" priority="11" operator="equal">
      <formula>0</formula>
    </cfRule>
  </conditionalFormatting>
  <printOptions horizontalCentered="1"/>
  <pageMargins left="0.27559055118110237" right="0.27559055118110237" top="1.7716535433070868" bottom="0.47244094488188981" header="0.19685039370078741" footer="0.19685039370078741"/>
  <pageSetup paperSize="9" scale="89" orientation="portrait" r:id="rId1"/>
  <headerFooter>
    <oddHeader>&amp;C&amp;G</oddHead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36">
    <tabColor rgb="FFE1EAEF"/>
  </sheetPr>
  <dimension ref="A1"/>
  <sheetViews>
    <sheetView showGridLines="0" topLeftCell="A7" workbookViewId="0">
      <selection activeCell="P8" sqref="P8"/>
    </sheetView>
  </sheetViews>
  <sheetFormatPr defaultColWidth="8.7109375" defaultRowHeight="15"/>
  <cols>
    <col min="1" max="16384" width="8.7109375" style="326"/>
  </cols>
  <sheetData/>
  <pageMargins left="0.19685039370078741" right="0" top="0.74803149606299213" bottom="0.74803149606299213" header="0.31496062992125984" footer="0.31496062992125984"/>
  <pageSetup paperSize="9" orientation="portrait" horizontalDpi="300" verticalDpi="3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101">
    <tabColor rgb="FFE1EAEF"/>
    <pageSetUpPr fitToPage="1"/>
  </sheetPr>
  <dimension ref="A1:AB29"/>
  <sheetViews>
    <sheetView showGridLines="0" zoomScaleNormal="100" workbookViewId="0">
      <selection activeCell="P8" sqref="P8"/>
    </sheetView>
  </sheetViews>
  <sheetFormatPr defaultColWidth="9.140625" defaultRowHeight="11.25"/>
  <cols>
    <col min="1" max="1" width="16.7109375" style="8" customWidth="1"/>
    <col min="2" max="12" width="7.5703125" style="8" customWidth="1"/>
    <col min="13" max="13" width="8.5703125" style="8" customWidth="1"/>
    <col min="14" max="16384" width="9.140625" style="8"/>
  </cols>
  <sheetData>
    <row r="1" spans="1:14" s="162" customFormat="1" ht="28.5" customHeight="1">
      <c r="A1" s="617" t="s">
        <v>206</v>
      </c>
      <c r="B1" s="617"/>
      <c r="C1" s="617"/>
      <c r="D1" s="617"/>
      <c r="E1" s="617"/>
      <c r="F1" s="617"/>
      <c r="G1" s="617"/>
      <c r="H1" s="617"/>
      <c r="I1" s="617"/>
      <c r="J1" s="617"/>
      <c r="K1" s="617"/>
      <c r="L1" s="617"/>
    </row>
    <row r="2" spans="1:14" s="165" customFormat="1" ht="15" customHeight="1">
      <c r="A2" s="163"/>
      <c r="B2" s="163"/>
      <c r="C2" s="163"/>
      <c r="D2" s="163"/>
      <c r="E2" s="163"/>
      <c r="F2" s="163"/>
      <c r="G2" s="163"/>
      <c r="H2" s="163"/>
      <c r="I2" s="163"/>
      <c r="J2" s="163"/>
      <c r="K2" s="163"/>
      <c r="L2" s="163"/>
    </row>
    <row r="3" spans="1:14" s="165" customFormat="1" ht="14.25" customHeight="1">
      <c r="A3" s="207" t="s">
        <v>14</v>
      </c>
      <c r="B3" s="212"/>
      <c r="C3" s="163"/>
      <c r="D3" s="163"/>
      <c r="E3" s="163"/>
      <c r="F3" s="163"/>
      <c r="G3" s="163"/>
      <c r="H3" s="163"/>
      <c r="I3" s="163"/>
      <c r="J3" s="163"/>
      <c r="K3" s="163"/>
      <c r="L3" s="163"/>
    </row>
    <row r="4" spans="1:14" s="168" customFormat="1" ht="28.5" customHeight="1" thickBot="1">
      <c r="A4" s="166"/>
      <c r="B4" s="167">
        <v>2012</v>
      </c>
      <c r="C4" s="167">
        <v>2013</v>
      </c>
      <c r="D4" s="167">
        <v>2014</v>
      </c>
      <c r="E4" s="167">
        <v>2015</v>
      </c>
      <c r="F4" s="167">
        <v>2016</v>
      </c>
      <c r="G4" s="167">
        <v>2017</v>
      </c>
      <c r="H4" s="167">
        <v>2018</v>
      </c>
      <c r="I4" s="167">
        <v>2019</v>
      </c>
      <c r="J4" s="167">
        <v>2020</v>
      </c>
      <c r="K4" s="167">
        <v>2021</v>
      </c>
      <c r="L4" s="167">
        <v>2022</v>
      </c>
    </row>
    <row r="5" spans="1:14" s="228" customFormat="1" ht="16.5" customHeight="1" thickTop="1">
      <c r="A5" s="11" t="s">
        <v>12</v>
      </c>
      <c r="B5" s="258">
        <v>1910957</v>
      </c>
      <c r="C5" s="258">
        <v>1890511</v>
      </c>
      <c r="D5" s="258">
        <v>1928307</v>
      </c>
      <c r="E5" s="258">
        <v>1991131</v>
      </c>
      <c r="F5" s="258">
        <v>2054911</v>
      </c>
      <c r="G5" s="258">
        <v>2131943</v>
      </c>
      <c r="H5" s="258">
        <v>2205449</v>
      </c>
      <c r="I5" s="258">
        <v>2232400</v>
      </c>
      <c r="J5" s="258">
        <v>2164118</v>
      </c>
      <c r="K5" s="258">
        <v>2200594</v>
      </c>
      <c r="L5" s="258">
        <v>2376115</v>
      </c>
      <c r="M5" s="230"/>
      <c r="N5" s="168"/>
    </row>
    <row r="6" spans="1:14" ht="20.25" customHeight="1">
      <c r="A6" s="30" t="s">
        <v>118</v>
      </c>
      <c r="B6" s="260">
        <v>10456</v>
      </c>
      <c r="C6" s="260">
        <v>9784</v>
      </c>
      <c r="D6" s="260">
        <v>14553</v>
      </c>
      <c r="E6" s="260">
        <v>11605</v>
      </c>
      <c r="F6" s="260">
        <v>11074</v>
      </c>
      <c r="G6" s="260">
        <v>11491</v>
      </c>
      <c r="H6" s="260">
        <v>10293</v>
      </c>
      <c r="I6" s="260">
        <v>11154</v>
      </c>
      <c r="J6" s="260">
        <v>10068</v>
      </c>
      <c r="K6" s="260">
        <v>11022</v>
      </c>
      <c r="L6" s="260">
        <v>11373</v>
      </c>
      <c r="M6" s="161"/>
      <c r="N6" s="168"/>
    </row>
    <row r="7" spans="1:14" ht="15" customHeight="1">
      <c r="A7" s="30" t="s">
        <v>119</v>
      </c>
      <c r="B7" s="260">
        <v>275374</v>
      </c>
      <c r="C7" s="260">
        <v>267756</v>
      </c>
      <c r="D7" s="260">
        <v>392781</v>
      </c>
      <c r="E7" s="260">
        <v>366054</v>
      </c>
      <c r="F7" s="260">
        <v>454324</v>
      </c>
      <c r="G7" s="260">
        <v>487970</v>
      </c>
      <c r="H7" s="260">
        <v>492192</v>
      </c>
      <c r="I7" s="260">
        <v>468236</v>
      </c>
      <c r="J7" s="260">
        <v>516788</v>
      </c>
      <c r="K7" s="260">
        <v>516811</v>
      </c>
      <c r="L7" s="260">
        <v>554729</v>
      </c>
      <c r="M7" s="199"/>
      <c r="N7" s="168"/>
    </row>
    <row r="8" spans="1:14" ht="15" customHeight="1">
      <c r="A8" s="136" t="s">
        <v>236</v>
      </c>
      <c r="B8" s="260">
        <v>873940</v>
      </c>
      <c r="C8" s="260">
        <v>871803</v>
      </c>
      <c r="D8" s="260">
        <v>769209</v>
      </c>
      <c r="E8" s="260">
        <v>831191</v>
      </c>
      <c r="F8" s="260">
        <v>772438</v>
      </c>
      <c r="G8" s="260">
        <v>755178</v>
      </c>
      <c r="H8" s="260">
        <v>745551</v>
      </c>
      <c r="I8" s="260">
        <v>712055</v>
      </c>
      <c r="J8" s="260">
        <v>531849</v>
      </c>
      <c r="K8" s="260">
        <v>452242</v>
      </c>
      <c r="L8" s="260">
        <v>273978</v>
      </c>
      <c r="M8" s="161"/>
      <c r="N8" s="199"/>
    </row>
    <row r="9" spans="1:14" ht="15" customHeight="1">
      <c r="A9" s="111" t="s">
        <v>176</v>
      </c>
      <c r="B9" s="260">
        <v>273272</v>
      </c>
      <c r="C9" s="260">
        <v>268541</v>
      </c>
      <c r="D9" s="260">
        <v>275462</v>
      </c>
      <c r="E9" s="260">
        <v>286618</v>
      </c>
      <c r="F9" s="260">
        <v>303882</v>
      </c>
      <c r="G9" s="260">
        <v>332070</v>
      </c>
      <c r="H9" s="260">
        <v>363662</v>
      </c>
      <c r="I9" s="260">
        <v>401930</v>
      </c>
      <c r="J9" s="260">
        <v>441482</v>
      </c>
      <c r="K9" s="260">
        <v>501129</v>
      </c>
      <c r="L9" s="260">
        <v>686659</v>
      </c>
      <c r="M9" s="199"/>
      <c r="N9" s="199"/>
    </row>
    <row r="10" spans="1:14" ht="15" customHeight="1">
      <c r="A10" s="30" t="s">
        <v>177</v>
      </c>
      <c r="B10" s="260">
        <v>259037</v>
      </c>
      <c r="C10" s="260">
        <v>257462</v>
      </c>
      <c r="D10" s="260">
        <v>260623</v>
      </c>
      <c r="E10" s="260">
        <v>272248</v>
      </c>
      <c r="F10" s="260">
        <v>282191</v>
      </c>
      <c r="G10" s="260">
        <v>301579</v>
      </c>
      <c r="H10" s="260">
        <v>327799</v>
      </c>
      <c r="I10" s="260">
        <v>350368</v>
      </c>
      <c r="J10" s="260">
        <v>366310</v>
      </c>
      <c r="K10" s="260">
        <v>395484</v>
      </c>
      <c r="L10" s="260">
        <v>462230</v>
      </c>
      <c r="M10" s="161"/>
      <c r="N10" s="199"/>
    </row>
    <row r="11" spans="1:14" ht="15" customHeight="1">
      <c r="A11" s="30" t="s">
        <v>178</v>
      </c>
      <c r="B11" s="260">
        <v>149231</v>
      </c>
      <c r="C11" s="260">
        <v>146669</v>
      </c>
      <c r="D11" s="260">
        <v>147728</v>
      </c>
      <c r="E11" s="260">
        <v>152155</v>
      </c>
      <c r="F11" s="260">
        <v>155880</v>
      </c>
      <c r="G11" s="260">
        <v>164581</v>
      </c>
      <c r="H11" s="260">
        <v>179358</v>
      </c>
      <c r="I11" s="260">
        <v>193721</v>
      </c>
      <c r="J11" s="260">
        <v>200290</v>
      </c>
      <c r="K11" s="260">
        <v>215755</v>
      </c>
      <c r="L11" s="260">
        <v>253765</v>
      </c>
      <c r="M11" s="161"/>
      <c r="N11" s="199"/>
    </row>
    <row r="12" spans="1:14" ht="15" customHeight="1">
      <c r="A12" s="30" t="s">
        <v>179</v>
      </c>
      <c r="B12" s="260">
        <v>45270</v>
      </c>
      <c r="C12" s="260">
        <v>44890</v>
      </c>
      <c r="D12" s="260">
        <v>45110</v>
      </c>
      <c r="E12" s="260">
        <v>47598</v>
      </c>
      <c r="F12" s="260">
        <v>50132</v>
      </c>
      <c r="G12" s="260">
        <v>53023</v>
      </c>
      <c r="H12" s="260">
        <v>58760</v>
      </c>
      <c r="I12" s="260">
        <v>64464</v>
      </c>
      <c r="J12" s="260">
        <v>66879</v>
      </c>
      <c r="K12" s="260">
        <v>74024</v>
      </c>
      <c r="L12" s="260">
        <v>89286</v>
      </c>
      <c r="M12" s="161"/>
      <c r="N12" s="199"/>
    </row>
    <row r="13" spans="1:14" ht="15" customHeight="1">
      <c r="A13" s="30" t="s">
        <v>180</v>
      </c>
      <c r="B13" s="260">
        <v>13195</v>
      </c>
      <c r="C13" s="260">
        <v>12849</v>
      </c>
      <c r="D13" s="260">
        <v>12151</v>
      </c>
      <c r="E13" s="260">
        <v>12533</v>
      </c>
      <c r="F13" s="260">
        <v>13548</v>
      </c>
      <c r="G13" s="260">
        <v>14082</v>
      </c>
      <c r="H13" s="260">
        <v>15054</v>
      </c>
      <c r="I13" s="260">
        <v>16385</v>
      </c>
      <c r="J13" s="260">
        <v>16730</v>
      </c>
      <c r="K13" s="260">
        <v>18882</v>
      </c>
      <c r="L13" s="260">
        <v>24268</v>
      </c>
      <c r="M13" s="161"/>
      <c r="N13" s="199"/>
    </row>
    <row r="14" spans="1:14" ht="15" customHeight="1">
      <c r="A14" s="30" t="s">
        <v>181</v>
      </c>
      <c r="B14" s="236">
        <v>11182</v>
      </c>
      <c r="C14" s="236">
        <v>10757</v>
      </c>
      <c r="D14" s="236">
        <v>10690</v>
      </c>
      <c r="E14" s="236">
        <v>11129</v>
      </c>
      <c r="F14" s="236">
        <v>11442</v>
      </c>
      <c r="G14" s="236">
        <v>11969</v>
      </c>
      <c r="H14" s="236">
        <v>12780</v>
      </c>
      <c r="I14" s="236">
        <v>14087</v>
      </c>
      <c r="J14" s="236">
        <v>13722</v>
      </c>
      <c r="K14" s="236">
        <v>15245</v>
      </c>
      <c r="L14" s="236">
        <v>19827</v>
      </c>
      <c r="M14" s="161"/>
      <c r="N14" s="199"/>
    </row>
    <row r="15" spans="1:14" s="170" customFormat="1" ht="11.25" customHeight="1">
      <c r="A15" s="169"/>
      <c r="B15" s="107"/>
      <c r="C15" s="107"/>
      <c r="D15" s="107"/>
      <c r="E15" s="107"/>
      <c r="F15" s="107"/>
      <c r="G15" s="107"/>
      <c r="H15" s="107"/>
      <c r="I15" s="107"/>
      <c r="J15" s="107"/>
      <c r="K15" s="107"/>
      <c r="L15" s="107"/>
    </row>
    <row r="16" spans="1:14" s="168" customFormat="1">
      <c r="A16" s="171" t="s">
        <v>120</v>
      </c>
      <c r="B16" s="172"/>
      <c r="C16" s="172"/>
      <c r="D16" s="172"/>
      <c r="E16" s="172"/>
      <c r="F16" s="172"/>
      <c r="G16" s="172"/>
      <c r="H16" s="172"/>
      <c r="I16" s="172"/>
      <c r="J16" s="172"/>
      <c r="K16" s="172"/>
      <c r="L16" s="172"/>
    </row>
    <row r="17" spans="1:28" s="222" customFormat="1" ht="20.25" customHeight="1">
      <c r="A17" s="11" t="s">
        <v>12</v>
      </c>
      <c r="B17" s="229">
        <v>100</v>
      </c>
      <c r="C17" s="229">
        <v>100</v>
      </c>
      <c r="D17" s="229">
        <v>100</v>
      </c>
      <c r="E17" s="229">
        <v>100</v>
      </c>
      <c r="F17" s="229">
        <v>100</v>
      </c>
      <c r="G17" s="229">
        <v>100</v>
      </c>
      <c r="H17" s="229">
        <v>100</v>
      </c>
      <c r="I17" s="229">
        <v>100</v>
      </c>
      <c r="J17" s="229">
        <v>100</v>
      </c>
      <c r="K17" s="229">
        <v>100</v>
      </c>
      <c r="L17" s="229">
        <v>100</v>
      </c>
    </row>
    <row r="18" spans="1:28" s="222" customFormat="1" ht="20.25" customHeight="1">
      <c r="A18" s="30" t="s">
        <v>118</v>
      </c>
      <c r="B18" s="105">
        <v>0.54716040183007786</v>
      </c>
      <c r="C18" s="105">
        <v>0.51753203234469414</v>
      </c>
      <c r="D18" s="105">
        <v>0.75470347823245987</v>
      </c>
      <c r="E18" s="105">
        <v>0.58283457994476506</v>
      </c>
      <c r="F18" s="105">
        <v>0.53890411798856497</v>
      </c>
      <c r="G18" s="105">
        <v>0.53899189612480258</v>
      </c>
      <c r="H18" s="105">
        <v>0.46670768628066212</v>
      </c>
      <c r="I18" s="105">
        <v>0.49964164128292421</v>
      </c>
      <c r="J18" s="105">
        <v>0.46522416984656106</v>
      </c>
      <c r="K18" s="105">
        <v>0.50086476651304146</v>
      </c>
      <c r="L18" s="105">
        <v>0.47863844973833336</v>
      </c>
      <c r="R18" s="105"/>
      <c r="S18" s="105"/>
      <c r="T18" s="105"/>
      <c r="U18" s="105"/>
      <c r="V18" s="105"/>
      <c r="W18" s="105"/>
      <c r="X18" s="105"/>
      <c r="Y18" s="105"/>
      <c r="Z18" s="105"/>
      <c r="AA18" s="105"/>
      <c r="AB18" s="105"/>
    </row>
    <row r="19" spans="1:28" s="223" customFormat="1" ht="15" customHeight="1">
      <c r="A19" s="30" t="s">
        <v>119</v>
      </c>
      <c r="B19" s="105">
        <v>14.410266688366091</v>
      </c>
      <c r="C19" s="105">
        <v>14.163154829567242</v>
      </c>
      <c r="D19" s="105">
        <v>20.369215067932647</v>
      </c>
      <c r="E19" s="105">
        <v>18.384224845075487</v>
      </c>
      <c r="F19" s="105">
        <v>22.109181370872022</v>
      </c>
      <c r="G19" s="105">
        <v>22.888510621531626</v>
      </c>
      <c r="H19" s="105">
        <v>22.317088266380225</v>
      </c>
      <c r="I19" s="105">
        <v>20.974556531087618</v>
      </c>
      <c r="J19" s="105">
        <v>23.87984389021301</v>
      </c>
      <c r="K19" s="105">
        <v>23.485068122516012</v>
      </c>
      <c r="L19" s="105">
        <v>23.346050170130656</v>
      </c>
      <c r="M19" s="505">
        <f>+L19-B19</f>
        <v>8.9357834817645649</v>
      </c>
      <c r="R19" s="105"/>
      <c r="S19" s="105"/>
      <c r="T19" s="105"/>
      <c r="U19" s="105"/>
      <c r="V19" s="105"/>
      <c r="W19" s="105"/>
      <c r="X19" s="105"/>
      <c r="Y19" s="105"/>
      <c r="Z19" s="105"/>
      <c r="AA19" s="105"/>
      <c r="AB19" s="105"/>
    </row>
    <row r="20" spans="1:28" s="223" customFormat="1" ht="15" customHeight="1">
      <c r="A20" s="136" t="s">
        <v>236</v>
      </c>
      <c r="B20" s="105">
        <v>45.733106501088201</v>
      </c>
      <c r="C20" s="105">
        <v>46.114674815433496</v>
      </c>
      <c r="D20" s="105">
        <v>39.890380525507609</v>
      </c>
      <c r="E20" s="105">
        <v>41.744666724590196</v>
      </c>
      <c r="F20" s="105">
        <v>37.589851823266315</v>
      </c>
      <c r="G20" s="105">
        <v>35.422053966733628</v>
      </c>
      <c r="H20" s="105">
        <v>33.80495309571883</v>
      </c>
      <c r="I20" s="105">
        <v>31.896389535925461</v>
      </c>
      <c r="J20" s="105">
        <v>24.575785608732982</v>
      </c>
      <c r="K20" s="105">
        <v>20.550905800888305</v>
      </c>
      <c r="L20" s="105">
        <v>11.530502521973894</v>
      </c>
      <c r="M20" s="505">
        <f>+L19+L20</f>
        <v>34.876552692104553</v>
      </c>
      <c r="N20" s="505">
        <f>+B19+B20</f>
        <v>60.143373189454294</v>
      </c>
      <c r="O20" s="505">
        <f>+M20-N20</f>
        <v>-25.266820497349741</v>
      </c>
      <c r="R20" s="105"/>
      <c r="S20" s="105"/>
      <c r="T20" s="105"/>
      <c r="U20" s="105"/>
      <c r="V20" s="105"/>
      <c r="W20" s="105"/>
      <c r="X20" s="105"/>
      <c r="Y20" s="105"/>
      <c r="Z20" s="105"/>
      <c r="AA20" s="105"/>
      <c r="AB20" s="105"/>
    </row>
    <row r="21" spans="1:28" s="223" customFormat="1" ht="15" customHeight="1">
      <c r="A21" s="111" t="s">
        <v>176</v>
      </c>
      <c r="B21" s="105">
        <v>14.300269446146615</v>
      </c>
      <c r="C21" s="105">
        <v>14.204677994468163</v>
      </c>
      <c r="D21" s="105">
        <v>14.285173470821814</v>
      </c>
      <c r="E21" s="105">
        <v>14.394733445463908</v>
      </c>
      <c r="F21" s="105">
        <v>14.788085712714565</v>
      </c>
      <c r="G21" s="105">
        <v>15.575932377178939</v>
      </c>
      <c r="H21" s="105">
        <v>16.489250034800172</v>
      </c>
      <c r="I21" s="105">
        <v>18.004389894284177</v>
      </c>
      <c r="J21" s="105">
        <v>20.400089089411946</v>
      </c>
      <c r="K21" s="105">
        <v>22.772442349656501</v>
      </c>
      <c r="L21" s="105">
        <v>28.898390860711707</v>
      </c>
      <c r="M21" s="505">
        <f>+L20-B20</f>
        <v>-34.202603979114308</v>
      </c>
      <c r="R21" s="105"/>
      <c r="S21" s="105"/>
      <c r="T21" s="105"/>
      <c r="U21" s="105"/>
      <c r="V21" s="105"/>
      <c r="W21" s="105"/>
      <c r="X21" s="105"/>
      <c r="Y21" s="105"/>
      <c r="Z21" s="105"/>
      <c r="AA21" s="105"/>
      <c r="AB21" s="105"/>
    </row>
    <row r="22" spans="1:28" s="223" customFormat="1" ht="15" customHeight="1">
      <c r="A22" s="30" t="s">
        <v>177</v>
      </c>
      <c r="B22" s="105">
        <v>13.555354725407218</v>
      </c>
      <c r="C22" s="105">
        <v>13.618645963974821</v>
      </c>
      <c r="D22" s="105">
        <v>13.515638329373903</v>
      </c>
      <c r="E22" s="105">
        <v>13.673033065127308</v>
      </c>
      <c r="F22" s="105">
        <v>13.732516882726308</v>
      </c>
      <c r="G22" s="105">
        <v>14.145734665514039</v>
      </c>
      <c r="H22" s="105">
        <v>14.863141246975106</v>
      </c>
      <c r="I22" s="105">
        <v>15.694678373051424</v>
      </c>
      <c r="J22" s="105">
        <v>16.926526187573877</v>
      </c>
      <c r="K22" s="105">
        <v>17.971693097409155</v>
      </c>
      <c r="L22" s="105">
        <v>19.453183031966045</v>
      </c>
      <c r="R22" s="105"/>
      <c r="S22" s="105"/>
      <c r="T22" s="105"/>
      <c r="U22" s="105"/>
      <c r="V22" s="105"/>
      <c r="W22" s="105"/>
      <c r="X22" s="105"/>
      <c r="Y22" s="105"/>
      <c r="Z22" s="105"/>
      <c r="AA22" s="105"/>
      <c r="AB22" s="105"/>
    </row>
    <row r="23" spans="1:28" s="223" customFormat="1" ht="15" customHeight="1">
      <c r="A23" s="30" t="s">
        <v>178</v>
      </c>
      <c r="B23" s="105">
        <v>7.8092285697689698</v>
      </c>
      <c r="C23" s="105">
        <v>7.7581669717869932</v>
      </c>
      <c r="D23" s="105">
        <v>7.6610207814419589</v>
      </c>
      <c r="E23" s="105">
        <v>7.6416368385605979</v>
      </c>
      <c r="F23" s="105">
        <v>7.5857299902526192</v>
      </c>
      <c r="G23" s="105">
        <v>7.7197654909160338</v>
      </c>
      <c r="H23" s="105">
        <v>8.1324936554869325</v>
      </c>
      <c r="I23" s="105">
        <v>8.677701128829959</v>
      </c>
      <c r="J23" s="105">
        <v>9.2550406216296892</v>
      </c>
      <c r="K23" s="105">
        <v>9.8043982670133598</v>
      </c>
      <c r="L23" s="105">
        <v>10.679828206968098</v>
      </c>
      <c r="R23" s="105"/>
      <c r="S23" s="105"/>
      <c r="T23" s="105"/>
      <c r="U23" s="105"/>
      <c r="V23" s="105"/>
      <c r="W23" s="105"/>
      <c r="X23" s="105"/>
      <c r="Y23" s="105"/>
      <c r="Z23" s="105"/>
      <c r="AA23" s="105"/>
      <c r="AB23" s="105"/>
    </row>
    <row r="24" spans="1:28" s="223" customFormat="1" ht="15" customHeight="1">
      <c r="A24" s="30" t="s">
        <v>179</v>
      </c>
      <c r="B24" s="105">
        <v>2.3689701024146541</v>
      </c>
      <c r="C24" s="105">
        <v>2.3744902833149344</v>
      </c>
      <c r="D24" s="105">
        <v>2.3393577889827712</v>
      </c>
      <c r="E24" s="105">
        <v>2.3905006752443709</v>
      </c>
      <c r="F24" s="105">
        <v>2.4396190394620496</v>
      </c>
      <c r="G24" s="105">
        <v>2.4870739977569758</v>
      </c>
      <c r="H24" s="105">
        <v>2.6643100792627714</v>
      </c>
      <c r="I24" s="105">
        <v>2.887654542196739</v>
      </c>
      <c r="J24" s="105">
        <v>3.0903582891505916</v>
      </c>
      <c r="K24" s="105">
        <v>3.3638190415860443</v>
      </c>
      <c r="L24" s="105">
        <v>3.7576464102116272</v>
      </c>
      <c r="R24" s="105"/>
      <c r="S24" s="105"/>
      <c r="T24" s="105"/>
      <c r="U24" s="105"/>
      <c r="V24" s="105"/>
      <c r="W24" s="105"/>
      <c r="X24" s="105"/>
      <c r="Y24" s="105"/>
      <c r="Z24" s="105"/>
      <c r="AA24" s="105"/>
      <c r="AB24" s="105"/>
    </row>
    <row r="25" spans="1:28" s="223" customFormat="1" ht="15" customHeight="1">
      <c r="A25" s="30" t="s">
        <v>180</v>
      </c>
      <c r="B25" s="105">
        <v>0.69049172744336995</v>
      </c>
      <c r="C25" s="105">
        <v>0.67965751058840707</v>
      </c>
      <c r="D25" s="105">
        <v>0.63013825080757369</v>
      </c>
      <c r="E25" s="105">
        <v>0.62944125725529865</v>
      </c>
      <c r="F25" s="105">
        <v>0.65929862655852256</v>
      </c>
      <c r="G25" s="105">
        <v>0.66052422602292837</v>
      </c>
      <c r="H25" s="105">
        <v>0.68258209552794014</v>
      </c>
      <c r="I25" s="105">
        <v>0.73396344741085828</v>
      </c>
      <c r="J25" s="105">
        <v>0.77306320635011583</v>
      </c>
      <c r="K25" s="105">
        <v>0.85804105618755666</v>
      </c>
      <c r="L25" s="105">
        <v>1.0213310382704541</v>
      </c>
      <c r="R25" s="105"/>
      <c r="S25" s="105"/>
      <c r="T25" s="105"/>
      <c r="U25" s="105"/>
      <c r="V25" s="105"/>
      <c r="W25" s="105"/>
      <c r="X25" s="105"/>
      <c r="Y25" s="105"/>
      <c r="Z25" s="105"/>
      <c r="AA25" s="105"/>
      <c r="AB25" s="105"/>
    </row>
    <row r="26" spans="1:28" ht="15" customHeight="1">
      <c r="A26" s="33" t="s">
        <v>181</v>
      </c>
      <c r="B26" s="105">
        <v>0.58515183753480582</v>
      </c>
      <c r="C26" s="105">
        <v>0.56899959852124637</v>
      </c>
      <c r="D26" s="105">
        <v>0.55437230689926442</v>
      </c>
      <c r="E26" s="105">
        <v>0.55892856873806895</v>
      </c>
      <c r="F26" s="155">
        <v>0.55681243615903553</v>
      </c>
      <c r="G26" s="155">
        <v>0.56141275822102188</v>
      </c>
      <c r="H26" s="155">
        <v>0.57947383956736243</v>
      </c>
      <c r="I26" s="155">
        <v>0.63102490593083682</v>
      </c>
      <c r="J26" s="155">
        <v>0.63406893709123069</v>
      </c>
      <c r="K26" s="155">
        <v>0.69276749823002337</v>
      </c>
      <c r="L26" s="155">
        <v>0.8344293100291863</v>
      </c>
      <c r="R26" s="105"/>
      <c r="S26" s="105"/>
      <c r="T26" s="105"/>
      <c r="U26" s="105"/>
      <c r="V26" s="105"/>
      <c r="W26" s="105"/>
      <c r="X26" s="105"/>
      <c r="Y26" s="105"/>
      <c r="Z26" s="105"/>
      <c r="AA26" s="105"/>
      <c r="AB26" s="105"/>
    </row>
    <row r="27" spans="1:28" ht="35.25" customHeight="1">
      <c r="A27" s="618" t="s">
        <v>255</v>
      </c>
      <c r="B27" s="618"/>
      <c r="C27" s="618"/>
      <c r="D27" s="618"/>
      <c r="E27" s="618"/>
      <c r="F27" s="618"/>
      <c r="G27" s="618"/>
      <c r="H27" s="618"/>
      <c r="I27" s="618"/>
      <c r="J27" s="618"/>
      <c r="K27" s="618"/>
      <c r="L27" s="618"/>
      <c r="R27" s="539"/>
      <c r="S27" s="539"/>
      <c r="T27" s="539"/>
      <c r="U27" s="539"/>
      <c r="V27" s="539"/>
      <c r="W27" s="539"/>
      <c r="X27" s="539"/>
      <c r="Y27" s="539"/>
      <c r="Z27" s="539"/>
      <c r="AA27" s="539"/>
      <c r="AB27" s="539"/>
    </row>
    <row r="28" spans="1:28" ht="15" customHeight="1">
      <c r="A28" s="126" t="s">
        <v>138</v>
      </c>
      <c r="B28" s="110"/>
      <c r="C28" s="110"/>
      <c r="D28" s="110"/>
      <c r="E28" s="210"/>
      <c r="F28" s="210"/>
      <c r="G28" s="210"/>
      <c r="H28" s="210"/>
      <c r="I28" s="210"/>
      <c r="J28" s="210"/>
      <c r="K28" s="210"/>
      <c r="L28" s="210"/>
    </row>
    <row r="29" spans="1:28" ht="11.25" customHeight="1">
      <c r="A29" s="619" t="s">
        <v>128</v>
      </c>
      <c r="B29" s="619"/>
      <c r="C29" s="619"/>
      <c r="D29" s="619"/>
      <c r="E29" s="619"/>
      <c r="F29" s="619"/>
      <c r="G29" s="619"/>
      <c r="H29" s="619"/>
      <c r="I29" s="619"/>
      <c r="J29" s="619"/>
      <c r="K29" s="619"/>
      <c r="L29" s="619"/>
    </row>
  </sheetData>
  <mergeCells count="3">
    <mergeCell ref="A1:L1"/>
    <mergeCell ref="A27:L27"/>
    <mergeCell ref="A29:L29"/>
  </mergeCells>
  <conditionalFormatting sqref="A1:A29">
    <cfRule type="cellIs" dxfId="11" priority="83" operator="equal">
      <formula>0</formula>
    </cfRule>
  </conditionalFormatting>
  <conditionalFormatting sqref="B2:L26">
    <cfRule type="cellIs" dxfId="10" priority="11" operator="equal">
      <formula>0</formula>
    </cfRule>
  </conditionalFormatting>
  <conditionalFormatting sqref="B28:L28 A30:L1048576">
    <cfRule type="cellIs" dxfId="9" priority="15" operator="equal">
      <formula>0</formula>
    </cfRule>
  </conditionalFormatting>
  <conditionalFormatting sqref="M1:XFD4 N5:N7 M28:N1048576">
    <cfRule type="cellIs" dxfId="8" priority="103" operator="equal">
      <formula>0</formula>
    </cfRule>
  </conditionalFormatting>
  <conditionalFormatting sqref="O5:XFD1048576">
    <cfRule type="cellIs" dxfId="7" priority="5"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14">
    <tabColor indexed="26"/>
    <pageSetUpPr fitToPage="1"/>
  </sheetPr>
  <dimension ref="A1:O110"/>
  <sheetViews>
    <sheetView showGridLines="0" workbookViewId="0">
      <selection activeCell="P8" sqref="P8"/>
    </sheetView>
  </sheetViews>
  <sheetFormatPr defaultColWidth="9.140625" defaultRowHeight="11.25"/>
  <cols>
    <col min="1" max="1" width="2.28515625" style="62" customWidth="1"/>
    <col min="2" max="2" width="28.7109375" style="62" customWidth="1"/>
    <col min="3" max="13" width="6.42578125" style="62" customWidth="1"/>
    <col min="14" max="16384" width="9.140625" style="62"/>
  </cols>
  <sheetData>
    <row r="1" spans="1:15" s="173" customFormat="1" ht="28.5" customHeight="1">
      <c r="A1" s="617" t="s">
        <v>207</v>
      </c>
      <c r="B1" s="617"/>
      <c r="C1" s="617"/>
      <c r="D1" s="617"/>
      <c r="E1" s="617"/>
      <c r="F1" s="617"/>
      <c r="G1" s="617"/>
      <c r="H1" s="617"/>
      <c r="I1" s="617"/>
      <c r="J1" s="617"/>
      <c r="K1" s="617"/>
      <c r="L1" s="617"/>
      <c r="M1" s="617"/>
    </row>
    <row r="2" spans="1:15" s="170" customFormat="1" ht="15" customHeight="1">
      <c r="A2" s="196"/>
      <c r="B2" s="196"/>
      <c r="C2" s="196"/>
      <c r="D2" s="196"/>
      <c r="E2" s="196"/>
      <c r="F2" s="187"/>
      <c r="G2" s="187"/>
      <c r="H2" s="187"/>
      <c r="I2" s="187"/>
      <c r="J2" s="187"/>
      <c r="K2" s="187"/>
      <c r="L2" s="187"/>
      <c r="M2" s="187"/>
    </row>
    <row r="3" spans="1:15" s="4" customFormat="1" ht="15" customHeight="1">
      <c r="A3" s="27" t="s">
        <v>42</v>
      </c>
      <c r="B3" s="20"/>
      <c r="C3" s="28"/>
      <c r="E3" s="315"/>
      <c r="F3" s="315"/>
      <c r="G3" s="315"/>
      <c r="H3" s="315"/>
      <c r="I3" s="315"/>
      <c r="J3" s="315"/>
      <c r="K3" s="620" t="s">
        <v>68</v>
      </c>
      <c r="L3" s="620"/>
      <c r="M3" s="28"/>
    </row>
    <row r="4" spans="1:15" s="4" customFormat="1" ht="28.5" customHeight="1" thickBot="1">
      <c r="A4" s="84" t="s">
        <v>1</v>
      </c>
      <c r="B4" s="6"/>
      <c r="C4" s="6">
        <v>2012</v>
      </c>
      <c r="D4" s="6">
        <v>2013</v>
      </c>
      <c r="E4" s="6">
        <v>2014</v>
      </c>
      <c r="F4" s="6">
        <v>2015</v>
      </c>
      <c r="G4" s="6">
        <v>2016</v>
      </c>
      <c r="H4" s="6">
        <v>2017</v>
      </c>
      <c r="I4" s="6">
        <v>2018</v>
      </c>
      <c r="J4" s="6">
        <v>2019</v>
      </c>
      <c r="K4" s="6">
        <v>2020</v>
      </c>
      <c r="L4" s="6">
        <v>2021</v>
      </c>
      <c r="M4" s="6">
        <v>2022</v>
      </c>
    </row>
    <row r="5" spans="1:15" s="4" customFormat="1" ht="16.5" customHeight="1" thickTop="1">
      <c r="A5" s="30" t="s">
        <v>43</v>
      </c>
      <c r="B5" s="11"/>
      <c r="C5" s="262">
        <v>915.01247006081212</v>
      </c>
      <c r="D5" s="262">
        <v>912.18298170177309</v>
      </c>
      <c r="E5" s="262">
        <v>909.49144915721399</v>
      </c>
      <c r="F5" s="262">
        <v>913.92544791377406</v>
      </c>
      <c r="G5" s="262">
        <v>924.9392153090821</v>
      </c>
      <c r="H5" s="262">
        <v>943.00107511786211</v>
      </c>
      <c r="I5" s="262">
        <v>970.41689676342503</v>
      </c>
      <c r="J5" s="262">
        <v>1005.08927925103</v>
      </c>
      <c r="K5" s="262">
        <v>1041.9948771786001</v>
      </c>
      <c r="L5" s="262">
        <v>1082.7724697513502</v>
      </c>
      <c r="M5" s="262">
        <v>1143.44558285689</v>
      </c>
      <c r="N5" s="175">
        <f>+M5-41</f>
        <v>1102.44558285689</v>
      </c>
      <c r="O5" s="4">
        <f>+(M5/C5-1)*100</f>
        <v>24.96502728327803</v>
      </c>
    </row>
    <row r="6" spans="1:15" s="4" customFormat="1" ht="16.5" customHeight="1">
      <c r="A6" s="11" t="s">
        <v>73</v>
      </c>
      <c r="B6" s="30" t="s">
        <v>172</v>
      </c>
      <c r="C6" s="391">
        <v>709.31408527707606</v>
      </c>
      <c r="D6" s="391">
        <v>684.70209934705304</v>
      </c>
      <c r="E6" s="391">
        <v>687.92314514818202</v>
      </c>
      <c r="F6" s="391">
        <v>701.34431736112913</v>
      </c>
      <c r="G6" s="391">
        <v>726.48589810017302</v>
      </c>
      <c r="H6" s="391">
        <v>738.39001875293002</v>
      </c>
      <c r="I6" s="391">
        <v>773.21816728332806</v>
      </c>
      <c r="J6" s="391">
        <v>823.08134849192106</v>
      </c>
      <c r="K6" s="391">
        <v>823.11781650322496</v>
      </c>
      <c r="L6" s="391">
        <v>872.68203826163904</v>
      </c>
      <c r="M6" s="391">
        <v>916.19425957124201</v>
      </c>
      <c r="N6" s="175"/>
    </row>
    <row r="7" spans="1:15" s="4" customFormat="1" ht="12.75" customHeight="1">
      <c r="A7" s="11" t="s">
        <v>74</v>
      </c>
      <c r="B7" s="30" t="s">
        <v>102</v>
      </c>
      <c r="C7" s="262">
        <v>909.41963441491703</v>
      </c>
      <c r="D7" s="262">
        <v>918.56127009883517</v>
      </c>
      <c r="E7" s="262">
        <v>934.73887812263411</v>
      </c>
      <c r="F7" s="262">
        <v>937.8072592368261</v>
      </c>
      <c r="G7" s="262">
        <v>958.09868165716898</v>
      </c>
      <c r="H7" s="262">
        <v>986.18185247921213</v>
      </c>
      <c r="I7" s="262">
        <v>1036.7307164880299</v>
      </c>
      <c r="J7" s="262">
        <v>1083.2395469646601</v>
      </c>
      <c r="K7" s="262">
        <v>1099.73007606333</v>
      </c>
      <c r="L7" s="262">
        <v>1159.4527605973801</v>
      </c>
      <c r="M7" s="262">
        <v>1221.0700789127602</v>
      </c>
      <c r="N7" s="175"/>
    </row>
    <row r="8" spans="1:15" s="4" customFormat="1" ht="12.75" customHeight="1">
      <c r="A8" s="11" t="s">
        <v>75</v>
      </c>
      <c r="B8" s="30" t="s">
        <v>101</v>
      </c>
      <c r="C8" s="262">
        <v>836.46267618588308</v>
      </c>
      <c r="D8" s="262">
        <v>839.40630322254503</v>
      </c>
      <c r="E8" s="262">
        <v>844.00682901366599</v>
      </c>
      <c r="F8" s="262">
        <v>856.12305859116407</v>
      </c>
      <c r="G8" s="262">
        <v>870.08486223409204</v>
      </c>
      <c r="H8" s="262">
        <v>895.89243994149103</v>
      </c>
      <c r="I8" s="262">
        <v>929.15451693602415</v>
      </c>
      <c r="J8" s="262">
        <v>964.71261065318311</v>
      </c>
      <c r="K8" s="262">
        <v>1003.2084417479001</v>
      </c>
      <c r="L8" s="262">
        <v>1031.02559057797</v>
      </c>
      <c r="M8" s="262">
        <v>1095.17302564704</v>
      </c>
      <c r="N8" s="175"/>
    </row>
    <row r="9" spans="1:15" s="4" customFormat="1" ht="12.75" customHeight="1">
      <c r="A9" s="83"/>
      <c r="B9" s="10" t="s">
        <v>88</v>
      </c>
      <c r="C9" s="264">
        <v>744.16280577029306</v>
      </c>
      <c r="D9" s="264">
        <v>745.48260773927905</v>
      </c>
      <c r="E9" s="264">
        <v>747.79988837161</v>
      </c>
      <c r="F9" s="264">
        <v>760.186250342888</v>
      </c>
      <c r="G9" s="264">
        <v>770.616938796054</v>
      </c>
      <c r="H9" s="264">
        <v>796.37709078210014</v>
      </c>
      <c r="I9" s="264">
        <v>822.89722434986197</v>
      </c>
      <c r="J9" s="264">
        <v>849.91338132269607</v>
      </c>
      <c r="K9" s="264">
        <v>888.37123778614705</v>
      </c>
      <c r="L9" s="264">
        <v>926.13292123717213</v>
      </c>
      <c r="M9" s="264">
        <v>966.1297341221391</v>
      </c>
      <c r="N9" s="175"/>
    </row>
    <row r="10" spans="1:15" s="4" customFormat="1" ht="12.75" customHeight="1">
      <c r="A10" s="83"/>
      <c r="B10" s="10" t="s">
        <v>89</v>
      </c>
      <c r="C10" s="264">
        <v>1097.20380053083</v>
      </c>
      <c r="D10" s="264">
        <v>1105.9654889750902</v>
      </c>
      <c r="E10" s="264">
        <v>1112.4550821847902</v>
      </c>
      <c r="F10" s="264">
        <v>1115.2389760081701</v>
      </c>
      <c r="G10" s="264">
        <v>1122.6081762887602</v>
      </c>
      <c r="H10" s="264">
        <v>1131.4299424294802</v>
      </c>
      <c r="I10" s="264">
        <v>1135.9904179213402</v>
      </c>
      <c r="J10" s="264">
        <v>1167.4897741364002</v>
      </c>
      <c r="K10" s="264">
        <v>1197.16324772243</v>
      </c>
      <c r="L10" s="264">
        <v>1222.7309902330501</v>
      </c>
      <c r="M10" s="264">
        <v>1271.0404950494999</v>
      </c>
      <c r="N10" s="175"/>
    </row>
    <row r="11" spans="1:15" s="4" customFormat="1" ht="12.75" customHeight="1">
      <c r="A11" s="83"/>
      <c r="B11" s="10" t="s">
        <v>90</v>
      </c>
      <c r="C11" s="264">
        <v>1789.22683823529</v>
      </c>
      <c r="D11" s="264">
        <v>1759.9572453703699</v>
      </c>
      <c r="E11" s="264">
        <v>1885.93009569378</v>
      </c>
      <c r="F11" s="264">
        <v>1764.3263179916303</v>
      </c>
      <c r="G11" s="264">
        <v>1660.5453456221198</v>
      </c>
      <c r="H11" s="264">
        <v>1624.73822368421</v>
      </c>
      <c r="I11" s="264">
        <v>1717.6155432372502</v>
      </c>
      <c r="J11" s="264">
        <v>1691.7986784141001</v>
      </c>
      <c r="K11" s="264">
        <v>1765.3826879271101</v>
      </c>
      <c r="L11" s="264">
        <v>1800.0368246445501</v>
      </c>
      <c r="M11" s="264">
        <v>1855.1481162790701</v>
      </c>
      <c r="N11" s="175"/>
    </row>
    <row r="12" spans="1:15" s="4" customFormat="1" ht="12.75" customHeight="1">
      <c r="A12" s="83"/>
      <c r="B12" s="10" t="s">
        <v>0</v>
      </c>
      <c r="C12" s="264">
        <v>682.25763422869807</v>
      </c>
      <c r="D12" s="264">
        <v>681.72285655241603</v>
      </c>
      <c r="E12" s="264">
        <v>696.6769219690641</v>
      </c>
      <c r="F12" s="264">
        <v>712.82458521531805</v>
      </c>
      <c r="G12" s="264">
        <v>732.98156169086201</v>
      </c>
      <c r="H12" s="264">
        <v>762.1355849363631</v>
      </c>
      <c r="I12" s="264">
        <v>794.24474282715209</v>
      </c>
      <c r="J12" s="264">
        <v>817.69371947496904</v>
      </c>
      <c r="K12" s="264">
        <v>854.641722904056</v>
      </c>
      <c r="L12" s="264">
        <v>891.41382400622501</v>
      </c>
      <c r="M12" s="264">
        <v>952.77412615920809</v>
      </c>
      <c r="N12" s="175"/>
    </row>
    <row r="13" spans="1:15" s="4" customFormat="1" ht="12.75" customHeight="1">
      <c r="A13" s="83"/>
      <c r="B13" s="10" t="s">
        <v>91</v>
      </c>
      <c r="C13" s="264">
        <v>583.49531784998408</v>
      </c>
      <c r="D13" s="264">
        <v>583.81836841243603</v>
      </c>
      <c r="E13" s="264">
        <v>599.73445213559603</v>
      </c>
      <c r="F13" s="264">
        <v>608.79661717434601</v>
      </c>
      <c r="G13" s="264">
        <v>635.15391652421204</v>
      </c>
      <c r="H13" s="264">
        <v>666.45286769125107</v>
      </c>
      <c r="I13" s="264">
        <v>698.050648746354</v>
      </c>
      <c r="J13" s="264">
        <v>728.51413141845399</v>
      </c>
      <c r="K13" s="264">
        <v>764.32329641974002</v>
      </c>
      <c r="L13" s="264">
        <v>802.15335783207604</v>
      </c>
      <c r="M13" s="264">
        <v>853.14016650938515</v>
      </c>
      <c r="N13" s="175"/>
    </row>
    <row r="14" spans="1:15" s="4" customFormat="1" ht="12.75" customHeight="1">
      <c r="A14" s="83"/>
      <c r="B14" s="10" t="s">
        <v>146</v>
      </c>
      <c r="C14" s="264">
        <v>606.16544097952897</v>
      </c>
      <c r="D14" s="264">
        <v>613.50423190680306</v>
      </c>
      <c r="E14" s="264">
        <v>630.90954630563203</v>
      </c>
      <c r="F14" s="264">
        <v>649.506344269897</v>
      </c>
      <c r="G14" s="264">
        <v>672.78776394183308</v>
      </c>
      <c r="H14" s="264">
        <v>698.03883868611103</v>
      </c>
      <c r="I14" s="264">
        <v>730.56010916179298</v>
      </c>
      <c r="J14" s="264">
        <v>766.70750168123698</v>
      </c>
      <c r="K14" s="264">
        <v>797.306551369472</v>
      </c>
      <c r="L14" s="264">
        <v>835.99386360414007</v>
      </c>
      <c r="M14" s="264">
        <v>888.03818296823999</v>
      </c>
      <c r="N14" s="175"/>
    </row>
    <row r="15" spans="1:15" s="4" customFormat="1" ht="12.75" customHeight="1">
      <c r="A15" s="83"/>
      <c r="B15" s="10" t="s">
        <v>147</v>
      </c>
      <c r="C15" s="264">
        <v>801.81164399956504</v>
      </c>
      <c r="D15" s="264">
        <v>813.29641401521508</v>
      </c>
      <c r="E15" s="264">
        <v>825.69172027586205</v>
      </c>
      <c r="F15" s="264">
        <v>833.73854588667405</v>
      </c>
      <c r="G15" s="264">
        <v>857.44896297100706</v>
      </c>
      <c r="H15" s="264">
        <v>875.60552987538597</v>
      </c>
      <c r="I15" s="264">
        <v>900.189299785755</v>
      </c>
      <c r="J15" s="264">
        <v>932.61174470780804</v>
      </c>
      <c r="K15" s="264">
        <v>964.04637914691909</v>
      </c>
      <c r="L15" s="264">
        <v>1002.66086644806</v>
      </c>
      <c r="M15" s="264">
        <v>1055.1126334652802</v>
      </c>
      <c r="N15" s="175"/>
    </row>
    <row r="16" spans="1:15" s="4" customFormat="1" ht="12.75" customHeight="1">
      <c r="A16" s="83"/>
      <c r="B16" s="10" t="s">
        <v>148</v>
      </c>
      <c r="C16" s="264">
        <v>1109.00273121074</v>
      </c>
      <c r="D16" s="264">
        <v>1110.8820545572601</v>
      </c>
      <c r="E16" s="264">
        <v>1117.3790922811602</v>
      </c>
      <c r="F16" s="264">
        <v>1130.68489179891</v>
      </c>
      <c r="G16" s="264">
        <v>1110.49469515485</v>
      </c>
      <c r="H16" s="264">
        <v>1117.5847156422801</v>
      </c>
      <c r="I16" s="264">
        <v>1125.6973887832698</v>
      </c>
      <c r="J16" s="264">
        <v>1161.6459808978</v>
      </c>
      <c r="K16" s="264">
        <v>1197.7736998205298</v>
      </c>
      <c r="L16" s="264">
        <v>1228.2606555233901</v>
      </c>
      <c r="M16" s="264">
        <v>1265.7799982025699</v>
      </c>
      <c r="N16" s="175"/>
    </row>
    <row r="17" spans="1:14" s="4" customFormat="1" ht="12.75" customHeight="1">
      <c r="A17" s="83"/>
      <c r="B17" s="10" t="s">
        <v>149</v>
      </c>
      <c r="C17" s="264">
        <v>873.89827780429607</v>
      </c>
      <c r="D17" s="264">
        <v>868.12809397944204</v>
      </c>
      <c r="E17" s="264">
        <v>875.21054320987707</v>
      </c>
      <c r="F17" s="264">
        <v>877.75376784483615</v>
      </c>
      <c r="G17" s="264">
        <v>889.46193170731704</v>
      </c>
      <c r="H17" s="264">
        <v>901.83862139716712</v>
      </c>
      <c r="I17" s="264">
        <v>927.75820975216595</v>
      </c>
      <c r="J17" s="264">
        <v>956.10982142857108</v>
      </c>
      <c r="K17" s="264">
        <v>983.08659268629299</v>
      </c>
      <c r="L17" s="264">
        <v>1019.64044198895</v>
      </c>
      <c r="M17" s="264">
        <v>1057.6977303128399</v>
      </c>
      <c r="N17" s="175"/>
    </row>
    <row r="18" spans="1:14" s="4" customFormat="1" ht="12.75" customHeight="1">
      <c r="A18" s="83"/>
      <c r="B18" s="10" t="s">
        <v>150</v>
      </c>
      <c r="C18" s="264">
        <v>2705.3212022471903</v>
      </c>
      <c r="D18" s="264">
        <v>2561.3685378067103</v>
      </c>
      <c r="E18" s="264">
        <v>2533.4298898216202</v>
      </c>
      <c r="F18" s="264">
        <v>2513.30450704225</v>
      </c>
      <c r="G18" s="264">
        <v>2545.6039140401099</v>
      </c>
      <c r="H18" s="264">
        <v>2544.47100928074</v>
      </c>
      <c r="I18" s="264">
        <v>2515.4563194850803</v>
      </c>
      <c r="J18" s="264">
        <v>2600.0677244772401</v>
      </c>
      <c r="K18" s="264">
        <v>2574.1896028645801</v>
      </c>
      <c r="L18" s="264">
        <v>2791.9539082278498</v>
      </c>
      <c r="M18" s="264">
        <v>2786.0646955245797</v>
      </c>
      <c r="N18" s="175"/>
    </row>
    <row r="19" spans="1:14" s="4" customFormat="1" ht="12.75" customHeight="1">
      <c r="A19" s="83"/>
      <c r="B19" s="10" t="s">
        <v>151</v>
      </c>
      <c r="C19" s="264">
        <v>1303.7961942388499</v>
      </c>
      <c r="D19" s="264">
        <v>1313.00508644501</v>
      </c>
      <c r="E19" s="264">
        <v>1300.85385606215</v>
      </c>
      <c r="F19" s="264">
        <v>1305.9977107704701</v>
      </c>
      <c r="G19" s="264">
        <v>1318.4886512370301</v>
      </c>
      <c r="H19" s="264">
        <v>1323.6062579491302</v>
      </c>
      <c r="I19" s="264">
        <v>1352.6211790017201</v>
      </c>
      <c r="J19" s="264">
        <v>1414.3268440168799</v>
      </c>
      <c r="K19" s="264">
        <v>1437.4447417609399</v>
      </c>
      <c r="L19" s="264">
        <v>1451.02369230769</v>
      </c>
      <c r="M19" s="264">
        <v>1520.7054074960902</v>
      </c>
      <c r="N19" s="175"/>
    </row>
    <row r="20" spans="1:14" s="4" customFormat="1" ht="12.75" customHeight="1">
      <c r="A20" s="83"/>
      <c r="B20" s="10" t="s">
        <v>160</v>
      </c>
      <c r="C20" s="264">
        <v>1553.32970737198</v>
      </c>
      <c r="D20" s="264">
        <v>1546.16641826056</v>
      </c>
      <c r="E20" s="264">
        <v>1544.24269712471</v>
      </c>
      <c r="F20" s="264">
        <v>1572.8072606800299</v>
      </c>
      <c r="G20" s="264">
        <v>1549.6539053348101</v>
      </c>
      <c r="H20" s="264">
        <v>1591.87534904669</v>
      </c>
      <c r="I20" s="264">
        <v>1623.5206735112902</v>
      </c>
      <c r="J20" s="264">
        <v>1723.9145340453902</v>
      </c>
      <c r="K20" s="264">
        <v>1677.7043697066401</v>
      </c>
      <c r="L20" s="264">
        <v>1735.6341055542198</v>
      </c>
      <c r="M20" s="264">
        <v>1813.0944428069402</v>
      </c>
      <c r="N20" s="175"/>
    </row>
    <row r="21" spans="1:14" s="4" customFormat="1" ht="12.75" customHeight="1">
      <c r="A21" s="83"/>
      <c r="B21" s="10" t="s">
        <v>152</v>
      </c>
      <c r="C21" s="264">
        <v>904.24493161705607</v>
      </c>
      <c r="D21" s="264">
        <v>899.35499133355006</v>
      </c>
      <c r="E21" s="264">
        <v>910.81160006260404</v>
      </c>
      <c r="F21" s="264">
        <v>914.196550952405</v>
      </c>
      <c r="G21" s="264">
        <v>938.00287152560304</v>
      </c>
      <c r="H21" s="264">
        <v>950.36595997498398</v>
      </c>
      <c r="I21" s="264">
        <v>986.69937535918007</v>
      </c>
      <c r="J21" s="264">
        <v>1019.55024515687</v>
      </c>
      <c r="K21" s="264">
        <v>1036.41927381916</v>
      </c>
      <c r="L21" s="264">
        <v>1069.66002615039</v>
      </c>
      <c r="M21" s="264">
        <v>1122.1446303238301</v>
      </c>
      <c r="N21" s="175"/>
    </row>
    <row r="22" spans="1:14" s="4" customFormat="1" ht="12.75" customHeight="1">
      <c r="A22" s="83"/>
      <c r="B22" s="10" t="s">
        <v>159</v>
      </c>
      <c r="C22" s="264">
        <v>875.08232725595906</v>
      </c>
      <c r="D22" s="264">
        <v>870.04002174153413</v>
      </c>
      <c r="E22" s="264">
        <v>869.22902129817408</v>
      </c>
      <c r="F22" s="264">
        <v>877.27897822024204</v>
      </c>
      <c r="G22" s="264">
        <v>883.02576193029506</v>
      </c>
      <c r="H22" s="264">
        <v>902.94016794210302</v>
      </c>
      <c r="I22" s="264">
        <v>929.27615496927103</v>
      </c>
      <c r="J22" s="264">
        <v>961.81531588540815</v>
      </c>
      <c r="K22" s="264">
        <v>981.73562648979214</v>
      </c>
      <c r="L22" s="264">
        <v>1022.36305834679</v>
      </c>
      <c r="M22" s="264">
        <v>1077.86796970977</v>
      </c>
      <c r="N22" s="175"/>
    </row>
    <row r="23" spans="1:14" s="4" customFormat="1" ht="12.75" customHeight="1">
      <c r="A23" s="83"/>
      <c r="B23" s="10" t="s">
        <v>92</v>
      </c>
      <c r="C23" s="264">
        <v>1021.6042002479901</v>
      </c>
      <c r="D23" s="264">
        <v>1020.6317871611101</v>
      </c>
      <c r="E23" s="264">
        <v>996.45728761198609</v>
      </c>
      <c r="F23" s="264">
        <v>998.43266447859207</v>
      </c>
      <c r="G23" s="264">
        <v>1016.8276994957001</v>
      </c>
      <c r="H23" s="264">
        <v>1027.24659300184</v>
      </c>
      <c r="I23" s="264">
        <v>1078.2111374963399</v>
      </c>
      <c r="J23" s="264">
        <v>1099.46732833237</v>
      </c>
      <c r="K23" s="264">
        <v>1137.96941756141</v>
      </c>
      <c r="L23" s="264">
        <v>1170.1587342135499</v>
      </c>
      <c r="M23" s="264">
        <v>1214.0187072035101</v>
      </c>
      <c r="N23" s="175"/>
    </row>
    <row r="24" spans="1:14" s="4" customFormat="1" ht="12.75" customHeight="1">
      <c r="A24" s="83"/>
      <c r="B24" s="10" t="s">
        <v>157</v>
      </c>
      <c r="C24" s="264">
        <v>850.34830979133199</v>
      </c>
      <c r="D24" s="264">
        <v>850.8965815854101</v>
      </c>
      <c r="E24" s="264">
        <v>855.254484135486</v>
      </c>
      <c r="F24" s="264">
        <v>868.97740442808595</v>
      </c>
      <c r="G24" s="264">
        <v>878.58516045052704</v>
      </c>
      <c r="H24" s="264">
        <v>908.92311364932311</v>
      </c>
      <c r="I24" s="264">
        <v>938.81589135029913</v>
      </c>
      <c r="J24" s="264">
        <v>972.99640528471707</v>
      </c>
      <c r="K24" s="264">
        <v>992.93233894694106</v>
      </c>
      <c r="L24" s="264">
        <v>1023.4543792184101</v>
      </c>
      <c r="M24" s="264">
        <v>1082.54260660767</v>
      </c>
      <c r="N24" s="175"/>
    </row>
    <row r="25" spans="1:14" s="4" customFormat="1" ht="12.75" customHeight="1">
      <c r="A25" s="83"/>
      <c r="B25" s="10" t="s">
        <v>158</v>
      </c>
      <c r="C25" s="264">
        <v>1199.1037039990902</v>
      </c>
      <c r="D25" s="264">
        <v>1065.5452440743102</v>
      </c>
      <c r="E25" s="264">
        <v>1080.3844427952999</v>
      </c>
      <c r="F25" s="264">
        <v>1123.7301117979698</v>
      </c>
      <c r="G25" s="264">
        <v>1131.2853947532001</v>
      </c>
      <c r="H25" s="264">
        <v>1145.3599357696603</v>
      </c>
      <c r="I25" s="264">
        <v>1182.5429940892</v>
      </c>
      <c r="J25" s="264">
        <v>1225.20360364927</v>
      </c>
      <c r="K25" s="264">
        <v>1256.7542053375801</v>
      </c>
      <c r="L25" s="264">
        <v>1289.67456177402</v>
      </c>
      <c r="M25" s="264">
        <v>1419.9042983766601</v>
      </c>
      <c r="N25" s="175"/>
    </row>
    <row r="26" spans="1:14" s="4" customFormat="1" ht="12.75" customHeight="1">
      <c r="A26" s="83"/>
      <c r="B26" s="10" t="s">
        <v>153</v>
      </c>
      <c r="C26" s="264">
        <v>977.74065492789407</v>
      </c>
      <c r="D26" s="264">
        <v>1085.5700692743701</v>
      </c>
      <c r="E26" s="264">
        <v>1109.3528373438901</v>
      </c>
      <c r="F26" s="264">
        <v>1162.2738377683002</v>
      </c>
      <c r="G26" s="264">
        <v>1170.6393176470601</v>
      </c>
      <c r="H26" s="264">
        <v>1200.6727941663901</v>
      </c>
      <c r="I26" s="264">
        <v>1233.3232857763201</v>
      </c>
      <c r="J26" s="264">
        <v>1198.5609940591298</v>
      </c>
      <c r="K26" s="264">
        <v>1354.5462913203799</v>
      </c>
      <c r="L26" s="264">
        <v>1275.7023690706503</v>
      </c>
      <c r="M26" s="264">
        <v>1459.5242730764801</v>
      </c>
      <c r="N26" s="175"/>
    </row>
    <row r="27" spans="1:14" s="4" customFormat="1" ht="12.75" customHeight="1">
      <c r="A27" s="83"/>
      <c r="B27" s="10" t="s">
        <v>161</v>
      </c>
      <c r="C27" s="264">
        <v>940.94041107547309</v>
      </c>
      <c r="D27" s="264">
        <v>950.59441063898805</v>
      </c>
      <c r="E27" s="264">
        <v>954.11421175030614</v>
      </c>
      <c r="F27" s="264">
        <v>972.05847528672098</v>
      </c>
      <c r="G27" s="264">
        <v>980.18542078625205</v>
      </c>
      <c r="H27" s="264">
        <v>1003.4101681003</v>
      </c>
      <c r="I27" s="264">
        <v>1029.41380417598</v>
      </c>
      <c r="J27" s="264">
        <v>1068.51643259502</v>
      </c>
      <c r="K27" s="264">
        <v>1092.0818190887901</v>
      </c>
      <c r="L27" s="264">
        <v>1136.2188323958301</v>
      </c>
      <c r="M27" s="264">
        <v>1190.88698442079</v>
      </c>
      <c r="N27" s="175"/>
    </row>
    <row r="28" spans="1:14" s="4" customFormat="1" ht="12.75" customHeight="1">
      <c r="A28" s="83"/>
      <c r="B28" s="10" t="s">
        <v>154</v>
      </c>
      <c r="C28" s="264">
        <v>1032.9870175670301</v>
      </c>
      <c r="D28" s="264">
        <v>1047.35692536029</v>
      </c>
      <c r="E28" s="264">
        <v>1063.5722617507499</v>
      </c>
      <c r="F28" s="264">
        <v>1073.56708731044</v>
      </c>
      <c r="G28" s="264">
        <v>1049.9116008867602</v>
      </c>
      <c r="H28" s="264">
        <v>1054.6660495894898</v>
      </c>
      <c r="I28" s="264">
        <v>1044.3209998284499</v>
      </c>
      <c r="J28" s="264">
        <v>1086.7650210096101</v>
      </c>
      <c r="K28" s="264">
        <v>1134.38482717018</v>
      </c>
      <c r="L28" s="264">
        <v>1142.0657405930101</v>
      </c>
      <c r="M28" s="264">
        <v>1254.9097514135001</v>
      </c>
      <c r="N28" s="175"/>
    </row>
    <row r="29" spans="1:14" s="4" customFormat="1" ht="12.75" customHeight="1">
      <c r="A29" s="83"/>
      <c r="B29" s="10" t="s">
        <v>162</v>
      </c>
      <c r="C29" s="264">
        <v>895.88049443207103</v>
      </c>
      <c r="D29" s="264">
        <v>906.19088360237913</v>
      </c>
      <c r="E29" s="264">
        <v>901.95459920634903</v>
      </c>
      <c r="F29" s="264">
        <v>926.64785436550005</v>
      </c>
      <c r="G29" s="264">
        <v>912.65740670461707</v>
      </c>
      <c r="H29" s="264">
        <v>921.7137096321261</v>
      </c>
      <c r="I29" s="264">
        <v>954.79884276729604</v>
      </c>
      <c r="J29" s="264">
        <v>975.38671116225498</v>
      </c>
      <c r="K29" s="264">
        <v>1012.4521403508801</v>
      </c>
      <c r="L29" s="264">
        <v>1029.72671857864</v>
      </c>
      <c r="M29" s="264">
        <v>1083.5494925587202</v>
      </c>
      <c r="N29" s="175"/>
    </row>
    <row r="30" spans="1:14" s="4" customFormat="1" ht="12.75" customHeight="1">
      <c r="A30" s="83"/>
      <c r="B30" s="10" t="s">
        <v>155</v>
      </c>
      <c r="C30" s="264">
        <v>646.85553878245605</v>
      </c>
      <c r="D30" s="264">
        <v>648.85981976311712</v>
      </c>
      <c r="E30" s="264">
        <v>658.69950700768902</v>
      </c>
      <c r="F30" s="264">
        <v>664.91436373138208</v>
      </c>
      <c r="G30" s="264">
        <v>682.17721257811706</v>
      </c>
      <c r="H30" s="264">
        <v>708.0599681013141</v>
      </c>
      <c r="I30" s="264">
        <v>739.02352319879299</v>
      </c>
      <c r="J30" s="264">
        <v>765.79981030456099</v>
      </c>
      <c r="K30" s="264">
        <v>795.33894851701211</v>
      </c>
      <c r="L30" s="264">
        <v>827.91118560023801</v>
      </c>
      <c r="M30" s="264">
        <v>883.72038905973307</v>
      </c>
      <c r="N30" s="175"/>
    </row>
    <row r="31" spans="1:14" s="4" customFormat="1" ht="12.75" customHeight="1">
      <c r="A31" s="83"/>
      <c r="B31" s="10" t="s">
        <v>156</v>
      </c>
      <c r="C31" s="264">
        <v>784.50699154147208</v>
      </c>
      <c r="D31" s="264">
        <v>800.21457832881299</v>
      </c>
      <c r="E31" s="264">
        <v>805.14943063152703</v>
      </c>
      <c r="F31" s="264">
        <v>806.94724778141108</v>
      </c>
      <c r="G31" s="264">
        <v>836.75159808185606</v>
      </c>
      <c r="H31" s="264">
        <v>853.78274845856413</v>
      </c>
      <c r="I31" s="264">
        <v>885.17014072847712</v>
      </c>
      <c r="J31" s="264">
        <v>927.34376799232302</v>
      </c>
      <c r="K31" s="264">
        <v>948.198809749921</v>
      </c>
      <c r="L31" s="264">
        <v>983.08517220396698</v>
      </c>
      <c r="M31" s="264">
        <v>1051.73816244471</v>
      </c>
      <c r="N31" s="175"/>
    </row>
    <row r="32" spans="1:14" s="4" customFormat="1" ht="12.75" customHeight="1">
      <c r="A32" s="83"/>
      <c r="B32" s="10" t="s">
        <v>163</v>
      </c>
      <c r="C32" s="264">
        <v>1055.4868888374601</v>
      </c>
      <c r="D32" s="264">
        <v>1056.1796607088802</v>
      </c>
      <c r="E32" s="264">
        <v>1037.4138561088</v>
      </c>
      <c r="F32" s="264">
        <v>1019.24032866188</v>
      </c>
      <c r="G32" s="264">
        <v>1023.9281146676001</v>
      </c>
      <c r="H32" s="264">
        <v>1044.2840356874301</v>
      </c>
      <c r="I32" s="264">
        <v>1080.9278644950402</v>
      </c>
      <c r="J32" s="264">
        <v>1107.0173100141999</v>
      </c>
      <c r="K32" s="264">
        <v>1124.9941768088802</v>
      </c>
      <c r="L32" s="264">
        <v>1167.3800842877401</v>
      </c>
      <c r="M32" s="264">
        <v>1210.1091304347801</v>
      </c>
      <c r="N32" s="175"/>
    </row>
    <row r="33" spans="1:14" s="4" customFormat="1" ht="16.5" customHeight="1">
      <c r="A33" s="11" t="s">
        <v>76</v>
      </c>
      <c r="B33" s="30" t="s">
        <v>164</v>
      </c>
      <c r="C33" s="262">
        <v>2347.4893993855603</v>
      </c>
      <c r="D33" s="262">
        <v>2395.9176109432201</v>
      </c>
      <c r="E33" s="262">
        <v>2065.0708853992601</v>
      </c>
      <c r="F33" s="262">
        <v>2091.50311708861</v>
      </c>
      <c r="G33" s="262">
        <v>2075.6353677801499</v>
      </c>
      <c r="H33" s="262">
        <v>2070.1446386908601</v>
      </c>
      <c r="I33" s="262">
        <v>2080.65154713436</v>
      </c>
      <c r="J33" s="262">
        <v>2086.9000282131701</v>
      </c>
      <c r="K33" s="262">
        <v>2128.4663371176298</v>
      </c>
      <c r="L33" s="262">
        <v>2156.6853935813501</v>
      </c>
      <c r="M33" s="262">
        <v>2243.08646440129</v>
      </c>
      <c r="N33" s="175"/>
    </row>
    <row r="34" spans="1:14" s="4" customFormat="1" ht="12.75" customHeight="1">
      <c r="A34" s="11" t="s">
        <v>77</v>
      </c>
      <c r="B34" s="30" t="s">
        <v>173</v>
      </c>
      <c r="C34" s="262">
        <v>879.21199829738896</v>
      </c>
      <c r="D34" s="262">
        <v>880.62721842149199</v>
      </c>
      <c r="E34" s="262">
        <v>885.35339179967298</v>
      </c>
      <c r="F34" s="262">
        <v>893.71437909950009</v>
      </c>
      <c r="G34" s="262">
        <v>883.84341588340908</v>
      </c>
      <c r="H34" s="262">
        <v>891.48590289564402</v>
      </c>
      <c r="I34" s="262">
        <v>920.04443925944702</v>
      </c>
      <c r="J34" s="262">
        <v>936.66852291208306</v>
      </c>
      <c r="K34" s="262">
        <v>970.37218146718101</v>
      </c>
      <c r="L34" s="262">
        <v>989.78848389665507</v>
      </c>
      <c r="M34" s="262">
        <v>1034.7815110133999</v>
      </c>
      <c r="N34" s="175"/>
    </row>
    <row r="35" spans="1:14" s="4" customFormat="1" ht="12.75" customHeight="1">
      <c r="A35" s="11" t="s">
        <v>78</v>
      </c>
      <c r="B35" s="30" t="s">
        <v>79</v>
      </c>
      <c r="C35" s="262">
        <v>806.69803934794004</v>
      </c>
      <c r="D35" s="262">
        <v>805.13499129282297</v>
      </c>
      <c r="E35" s="262">
        <v>800.210134121686</v>
      </c>
      <c r="F35" s="262">
        <v>796.21899502653002</v>
      </c>
      <c r="G35" s="262">
        <v>798.871905025052</v>
      </c>
      <c r="H35" s="262">
        <v>808.62405783048507</v>
      </c>
      <c r="I35" s="262">
        <v>824.75819202702405</v>
      </c>
      <c r="J35" s="262">
        <v>853.91631065988611</v>
      </c>
      <c r="K35" s="262">
        <v>880.76837590518107</v>
      </c>
      <c r="L35" s="262">
        <v>934.51280997494007</v>
      </c>
      <c r="M35" s="262">
        <v>973.22021681295314</v>
      </c>
      <c r="N35" s="175"/>
    </row>
    <row r="36" spans="1:14" s="4" customFormat="1" ht="12.75" customHeight="1">
      <c r="A36" s="11" t="s">
        <v>80</v>
      </c>
      <c r="B36" s="30" t="s">
        <v>174</v>
      </c>
      <c r="C36" s="262">
        <v>865.27399656330908</v>
      </c>
      <c r="D36" s="262">
        <v>861.46923289776305</v>
      </c>
      <c r="E36" s="262">
        <v>862.67048918128114</v>
      </c>
      <c r="F36" s="262">
        <v>867.89261905765204</v>
      </c>
      <c r="G36" s="262">
        <v>881.90021078892607</v>
      </c>
      <c r="H36" s="262">
        <v>900.402191994124</v>
      </c>
      <c r="I36" s="262">
        <v>924.91415517005908</v>
      </c>
      <c r="J36" s="262">
        <v>959.33335282434405</v>
      </c>
      <c r="K36" s="262">
        <v>989.90563296268704</v>
      </c>
      <c r="L36" s="262">
        <v>1031.8456251120601</v>
      </c>
      <c r="M36" s="262">
        <v>1075.6046225387602</v>
      </c>
      <c r="N36" s="175"/>
    </row>
    <row r="37" spans="1:14" s="4" customFormat="1" ht="12.75" customHeight="1">
      <c r="A37" s="11" t="s">
        <v>53</v>
      </c>
      <c r="B37" s="30" t="s">
        <v>93</v>
      </c>
      <c r="C37" s="262">
        <v>995.08957381331709</v>
      </c>
      <c r="D37" s="262">
        <v>990.1964324080991</v>
      </c>
      <c r="E37" s="262">
        <v>977.21577401380512</v>
      </c>
      <c r="F37" s="262">
        <v>988.24594925141707</v>
      </c>
      <c r="G37" s="262">
        <v>994.98019956187204</v>
      </c>
      <c r="H37" s="262">
        <v>1002.6356806408501</v>
      </c>
      <c r="I37" s="262">
        <v>1033.97434618229</v>
      </c>
      <c r="J37" s="262">
        <v>1071.3695109096002</v>
      </c>
      <c r="K37" s="262">
        <v>1033.2504809453701</v>
      </c>
      <c r="L37" s="262">
        <v>1056.1173564088701</v>
      </c>
      <c r="M37" s="262">
        <v>1184.2369983634701</v>
      </c>
      <c r="N37" s="175"/>
    </row>
    <row r="38" spans="1:14" s="4" customFormat="1" ht="12.75" customHeight="1">
      <c r="A38" s="11" t="s">
        <v>10</v>
      </c>
      <c r="B38" s="30" t="s">
        <v>165</v>
      </c>
      <c r="C38" s="262">
        <v>665.14247539857013</v>
      </c>
      <c r="D38" s="262">
        <v>663.49358903478503</v>
      </c>
      <c r="E38" s="262">
        <v>669.99232723917498</v>
      </c>
      <c r="F38" s="262">
        <v>673.94495034677914</v>
      </c>
      <c r="G38" s="262">
        <v>690.54060548259508</v>
      </c>
      <c r="H38" s="262">
        <v>713.45454855878506</v>
      </c>
      <c r="I38" s="262">
        <v>739.37179505964298</v>
      </c>
      <c r="J38" s="262">
        <v>764.07750352494998</v>
      </c>
      <c r="K38" s="262">
        <v>780.14158453833704</v>
      </c>
      <c r="L38" s="262">
        <v>822.385398330062</v>
      </c>
      <c r="M38" s="262">
        <v>872.72265913876606</v>
      </c>
      <c r="N38" s="175"/>
    </row>
    <row r="39" spans="1:14" s="4" customFormat="1" ht="12.75" customHeight="1">
      <c r="A39" s="11" t="s">
        <v>81</v>
      </c>
      <c r="B39" s="30" t="s">
        <v>171</v>
      </c>
      <c r="C39" s="262">
        <v>1523.06483792322</v>
      </c>
      <c r="D39" s="262">
        <v>1515.3957406658599</v>
      </c>
      <c r="E39" s="262">
        <v>1500.69470452417</v>
      </c>
      <c r="F39" s="262">
        <v>1488.7321388029702</v>
      </c>
      <c r="G39" s="262">
        <v>1520.0864750285102</v>
      </c>
      <c r="H39" s="262">
        <v>1522.7872626272399</v>
      </c>
      <c r="I39" s="262">
        <v>1562.8561622751499</v>
      </c>
      <c r="J39" s="262">
        <v>1614.9740241059401</v>
      </c>
      <c r="K39" s="262">
        <v>1668.1161779340503</v>
      </c>
      <c r="L39" s="262">
        <v>1748.1088944124501</v>
      </c>
      <c r="M39" s="262">
        <v>1915.45167650083</v>
      </c>
      <c r="N39" s="175"/>
    </row>
    <row r="40" spans="1:14" s="170" customFormat="1" ht="12.75" customHeight="1">
      <c r="A40" s="11" t="s">
        <v>82</v>
      </c>
      <c r="B40" s="30" t="s">
        <v>166</v>
      </c>
      <c r="C40" s="262">
        <v>1580.93139130435</v>
      </c>
      <c r="D40" s="262">
        <v>1577.8276242433899</v>
      </c>
      <c r="E40" s="262">
        <v>1572.9612425125501</v>
      </c>
      <c r="F40" s="262">
        <v>1571.1204680148201</v>
      </c>
      <c r="G40" s="262">
        <v>1585.2929752966002</v>
      </c>
      <c r="H40" s="262">
        <v>1592.4439893747901</v>
      </c>
      <c r="I40" s="262">
        <v>1601.1210134726703</v>
      </c>
      <c r="J40" s="262">
        <v>1632.2589263661</v>
      </c>
      <c r="K40" s="262">
        <v>1651.3015192094701</v>
      </c>
      <c r="L40" s="262">
        <v>1674.12368130901</v>
      </c>
      <c r="M40" s="262">
        <v>1705.2331345150601</v>
      </c>
      <c r="N40" s="175"/>
    </row>
    <row r="41" spans="1:14" s="170" customFormat="1" ht="12.75" customHeight="1">
      <c r="A41" s="11" t="s">
        <v>83</v>
      </c>
      <c r="B41" s="30" t="s">
        <v>103</v>
      </c>
      <c r="C41" s="262">
        <v>974.00191556895709</v>
      </c>
      <c r="D41" s="262">
        <v>958.98461345422197</v>
      </c>
      <c r="E41" s="262">
        <v>951.85174810070009</v>
      </c>
      <c r="F41" s="262">
        <v>945.13983036707509</v>
      </c>
      <c r="G41" s="262">
        <v>969.55322791001004</v>
      </c>
      <c r="H41" s="262">
        <v>978.98750000000007</v>
      </c>
      <c r="I41" s="262">
        <v>1001.04499947028</v>
      </c>
      <c r="J41" s="262">
        <v>1045.9610219236199</v>
      </c>
      <c r="K41" s="262">
        <v>1091.6445527877802</v>
      </c>
      <c r="L41" s="262">
        <v>1129.1853103318101</v>
      </c>
      <c r="M41" s="262">
        <v>1185.3302392222101</v>
      </c>
      <c r="N41" s="175"/>
    </row>
    <row r="42" spans="1:14" s="170" customFormat="1" ht="12.75" customHeight="1">
      <c r="A42" s="11" t="s">
        <v>54</v>
      </c>
      <c r="B42" s="30" t="s">
        <v>175</v>
      </c>
      <c r="C42" s="262">
        <v>1203.5435557061401</v>
      </c>
      <c r="D42" s="262">
        <v>1193.0417860733301</v>
      </c>
      <c r="E42" s="262">
        <v>1170.24744384978</v>
      </c>
      <c r="F42" s="262">
        <v>1171.06011686806</v>
      </c>
      <c r="G42" s="262">
        <v>1183.3937842045102</v>
      </c>
      <c r="H42" s="262">
        <v>1225.5762643666399</v>
      </c>
      <c r="I42" s="262">
        <v>1249.7838320242101</v>
      </c>
      <c r="J42" s="262">
        <v>1288.0862269404499</v>
      </c>
      <c r="K42" s="262">
        <v>1335.14220475722</v>
      </c>
      <c r="L42" s="262">
        <v>1403.13461277088</v>
      </c>
      <c r="M42" s="262">
        <v>1491.9657939461799</v>
      </c>
      <c r="N42" s="175"/>
    </row>
    <row r="43" spans="1:14" s="170" customFormat="1" ht="12.75" customHeight="1">
      <c r="A43" s="11" t="s">
        <v>85</v>
      </c>
      <c r="B43" s="30" t="s">
        <v>169</v>
      </c>
      <c r="C43" s="262">
        <v>778.43652847668909</v>
      </c>
      <c r="D43" s="262">
        <v>767.09408516154303</v>
      </c>
      <c r="E43" s="262">
        <v>772.15337029394504</v>
      </c>
      <c r="F43" s="262">
        <v>768.27087521479302</v>
      </c>
      <c r="G43" s="262">
        <v>772.58567131477002</v>
      </c>
      <c r="H43" s="262">
        <v>787.929825874416</v>
      </c>
      <c r="I43" s="262">
        <v>807.44326051546705</v>
      </c>
      <c r="J43" s="262">
        <v>842.4761816352601</v>
      </c>
      <c r="K43" s="262">
        <v>864.18440446708109</v>
      </c>
      <c r="L43" s="262">
        <v>916.97032858433511</v>
      </c>
      <c r="M43" s="262">
        <v>970.39278583200996</v>
      </c>
      <c r="N43" s="175"/>
    </row>
    <row r="44" spans="1:14" s="170" customFormat="1" ht="12.75" customHeight="1">
      <c r="A44" s="11" t="s">
        <v>86</v>
      </c>
      <c r="B44" s="30" t="s">
        <v>170</v>
      </c>
      <c r="C44" s="262">
        <v>898.74943544951009</v>
      </c>
      <c r="D44" s="262">
        <v>874.368605257441</v>
      </c>
      <c r="E44" s="262">
        <v>880.98849613859306</v>
      </c>
      <c r="F44" s="262">
        <v>849.19945606252611</v>
      </c>
      <c r="G44" s="262">
        <v>848.71251706395014</v>
      </c>
      <c r="H44" s="262">
        <v>866.69458366854406</v>
      </c>
      <c r="I44" s="262">
        <v>895.15834533073905</v>
      </c>
      <c r="J44" s="262">
        <v>950.41182258984611</v>
      </c>
      <c r="K44" s="262">
        <v>990.79099972459414</v>
      </c>
      <c r="L44" s="262">
        <v>1027.5082074060199</v>
      </c>
      <c r="M44" s="262">
        <v>1035.50470390484</v>
      </c>
      <c r="N44" s="175"/>
    </row>
    <row r="45" spans="1:14" s="170" customFormat="1" ht="12.75" customHeight="1">
      <c r="A45" s="11" t="s">
        <v>94</v>
      </c>
      <c r="B45" s="30" t="s">
        <v>84</v>
      </c>
      <c r="C45" s="262">
        <v>1129.3833492752599</v>
      </c>
      <c r="D45" s="262">
        <v>1137.0320941376101</v>
      </c>
      <c r="E45" s="262">
        <v>1119.5386512001601</v>
      </c>
      <c r="F45" s="262">
        <v>1118.43869186047</v>
      </c>
      <c r="G45" s="262">
        <v>1121.57449204406</v>
      </c>
      <c r="H45" s="262">
        <v>1136.2709303330901</v>
      </c>
      <c r="I45" s="262">
        <v>1161.1423260459401</v>
      </c>
      <c r="J45" s="262">
        <v>1219.7930119299501</v>
      </c>
      <c r="K45" s="262">
        <v>1259.2832209786602</v>
      </c>
      <c r="L45" s="262">
        <v>1296.7184035308401</v>
      </c>
      <c r="M45" s="262">
        <v>1348.7300260772402</v>
      </c>
      <c r="N45" s="175"/>
    </row>
    <row r="46" spans="1:14" s="170" customFormat="1" ht="12.75" customHeight="1">
      <c r="A46" s="11" t="s">
        <v>87</v>
      </c>
      <c r="B46" s="30" t="s">
        <v>141</v>
      </c>
      <c r="C46" s="262">
        <v>814.83935037014112</v>
      </c>
      <c r="D46" s="262">
        <v>820.32154632946106</v>
      </c>
      <c r="E46" s="262">
        <v>821.86181171729697</v>
      </c>
      <c r="F46" s="262">
        <v>833.43913617824001</v>
      </c>
      <c r="G46" s="262">
        <v>851.35971351443413</v>
      </c>
      <c r="H46" s="262">
        <v>871.00278517655204</v>
      </c>
      <c r="I46" s="262">
        <v>891.94092989525302</v>
      </c>
      <c r="J46" s="262">
        <v>923.59450725392105</v>
      </c>
      <c r="K46" s="262">
        <v>942.71178632846113</v>
      </c>
      <c r="L46" s="262">
        <v>974.57898527437214</v>
      </c>
      <c r="M46" s="262">
        <v>1004.81363273947</v>
      </c>
      <c r="N46" s="175"/>
    </row>
    <row r="47" spans="1:14" s="170" customFormat="1" ht="12.75" customHeight="1">
      <c r="A47" s="11" t="s">
        <v>95</v>
      </c>
      <c r="B47" s="30" t="s">
        <v>167</v>
      </c>
      <c r="C47" s="262">
        <v>1516.9304159477399</v>
      </c>
      <c r="D47" s="262">
        <v>1457.94635679315</v>
      </c>
      <c r="E47" s="262">
        <v>1383.3723070947699</v>
      </c>
      <c r="F47" s="262">
        <v>1514.3955796677601</v>
      </c>
      <c r="G47" s="262">
        <v>1537.2510891254701</v>
      </c>
      <c r="H47" s="262">
        <v>1612.8990528532502</v>
      </c>
      <c r="I47" s="262">
        <v>1607.9499511987101</v>
      </c>
      <c r="J47" s="262">
        <v>1645.6621931894101</v>
      </c>
      <c r="K47" s="262">
        <v>1838.9745813040101</v>
      </c>
      <c r="L47" s="262">
        <v>1780.1012672638201</v>
      </c>
      <c r="M47" s="262">
        <v>1789.8588604859799</v>
      </c>
      <c r="N47" s="175"/>
    </row>
    <row r="48" spans="1:14" s="170" customFormat="1" ht="12.75" customHeight="1">
      <c r="A48" s="11" t="s">
        <v>96</v>
      </c>
      <c r="B48" s="30" t="s">
        <v>104</v>
      </c>
      <c r="C48" s="262">
        <v>845.17285477785504</v>
      </c>
      <c r="D48" s="262">
        <v>843.58706719739598</v>
      </c>
      <c r="E48" s="262">
        <v>847.60340294025912</v>
      </c>
      <c r="F48" s="262">
        <v>847.05432379474996</v>
      </c>
      <c r="G48" s="262">
        <v>857.44158379820499</v>
      </c>
      <c r="H48" s="262">
        <v>877.33948986960002</v>
      </c>
      <c r="I48" s="262">
        <v>901.61593273478707</v>
      </c>
      <c r="J48" s="262">
        <v>932.374981835178</v>
      </c>
      <c r="K48" s="262">
        <v>987.51096645240398</v>
      </c>
      <c r="L48" s="262">
        <v>1012.5876791584501</v>
      </c>
      <c r="M48" s="262">
        <v>1053.4306588592303</v>
      </c>
      <c r="N48" s="175"/>
    </row>
    <row r="49" spans="1:14" s="170" customFormat="1" ht="12.75" customHeight="1">
      <c r="A49" s="32" t="s">
        <v>97</v>
      </c>
      <c r="B49" s="33" t="s">
        <v>168</v>
      </c>
      <c r="C49" s="266">
        <v>1975.48822222222</v>
      </c>
      <c r="D49" s="266">
        <v>1810.3555555555602</v>
      </c>
      <c r="E49" s="266">
        <v>1772.7097435897401</v>
      </c>
      <c r="F49" s="266">
        <v>1910.540375</v>
      </c>
      <c r="G49" s="266">
        <v>2028.9570967741902</v>
      </c>
      <c r="H49" s="266">
        <v>1986.43304878049</v>
      </c>
      <c r="I49" s="266">
        <v>2136.1323333333298</v>
      </c>
      <c r="J49" s="266">
        <v>2160.3618947368404</v>
      </c>
      <c r="K49" s="266">
        <v>1978.9849090909102</v>
      </c>
      <c r="L49" s="266">
        <v>1886.5118749999999</v>
      </c>
      <c r="M49" s="266">
        <v>3156.8388888888899</v>
      </c>
      <c r="N49" s="175"/>
    </row>
    <row r="50" spans="1:14" s="170" customFormat="1" ht="15" customHeight="1">
      <c r="A50" s="20" t="s">
        <v>138</v>
      </c>
      <c r="B50" s="98"/>
      <c r="C50" s="118"/>
      <c r="D50" s="77"/>
      <c r="E50" s="77"/>
      <c r="F50" s="140"/>
      <c r="G50" s="77"/>
      <c r="H50" s="77"/>
      <c r="I50" s="77"/>
      <c r="J50" s="77"/>
      <c r="K50" s="77"/>
      <c r="L50" s="77"/>
      <c r="M50" s="77"/>
      <c r="N50" s="175"/>
    </row>
    <row r="51" spans="1:14" s="170" customFormat="1" ht="11.25" customHeight="1">
      <c r="B51" s="600" t="s">
        <v>132</v>
      </c>
      <c r="C51" s="600"/>
      <c r="D51" s="600"/>
      <c r="E51" s="600"/>
      <c r="F51" s="600"/>
      <c r="G51" s="600"/>
      <c r="H51" s="600"/>
      <c r="I51" s="600"/>
      <c r="J51" s="600"/>
      <c r="K51" s="600"/>
      <c r="L51" s="600"/>
      <c r="M51" s="600"/>
    </row>
    <row r="52" spans="1:14" s="170" customFormat="1" ht="14.25">
      <c r="N52" s="175"/>
    </row>
    <row r="53" spans="1:14" s="170" customFormat="1" ht="14.25">
      <c r="N53" s="175"/>
    </row>
    <row r="54" spans="1:14" s="170" customFormat="1" ht="14.25">
      <c r="N54" s="175"/>
    </row>
    <row r="55" spans="1:14" s="170" customFormat="1" ht="14.25">
      <c r="N55" s="175"/>
    </row>
    <row r="56" spans="1:14" s="170" customFormat="1" ht="14.25">
      <c r="N56" s="175"/>
    </row>
    <row r="57" spans="1:14" s="170" customFormat="1" ht="14.25">
      <c r="N57" s="175"/>
    </row>
    <row r="58" spans="1:14" s="170" customFormat="1" ht="14.25">
      <c r="N58" s="175"/>
    </row>
    <row r="59" spans="1:14" s="170" customFormat="1" ht="14.25">
      <c r="C59" s="62"/>
      <c r="D59" s="62"/>
      <c r="E59" s="62"/>
      <c r="N59" s="175"/>
    </row>
    <row r="60" spans="1:14" ht="14.25">
      <c r="N60" s="175"/>
    </row>
    <row r="61" spans="1:14" ht="14.25">
      <c r="N61" s="175"/>
    </row>
    <row r="62" spans="1:14" ht="14.25">
      <c r="N62" s="175"/>
    </row>
    <row r="63" spans="1:14" ht="14.25">
      <c r="N63" s="175"/>
    </row>
    <row r="64" spans="1:14" ht="14.25">
      <c r="N64" s="175"/>
    </row>
    <row r="65" spans="14:14" ht="14.25">
      <c r="N65" s="175"/>
    </row>
    <row r="66" spans="14:14" ht="14.25">
      <c r="N66" s="175"/>
    </row>
    <row r="67" spans="14:14" ht="14.25">
      <c r="N67" s="175"/>
    </row>
    <row r="68" spans="14:14" ht="14.25">
      <c r="N68" s="175"/>
    </row>
    <row r="69" spans="14:14" ht="14.25">
      <c r="N69" s="175"/>
    </row>
    <row r="70" spans="14:14" ht="14.25">
      <c r="N70" s="175"/>
    </row>
    <row r="71" spans="14:14" ht="14.25">
      <c r="N71" s="175"/>
    </row>
    <row r="72" spans="14:14" ht="14.25">
      <c r="N72" s="175"/>
    </row>
    <row r="73" spans="14:14" ht="14.25">
      <c r="N73" s="175"/>
    </row>
    <row r="74" spans="14:14" ht="14.25">
      <c r="N74" s="175"/>
    </row>
    <row r="75" spans="14:14" ht="14.25">
      <c r="N75" s="175"/>
    </row>
    <row r="76" spans="14:14" ht="14.25">
      <c r="N76" s="175"/>
    </row>
    <row r="77" spans="14:14" ht="14.25">
      <c r="N77" s="175"/>
    </row>
    <row r="78" spans="14:14" ht="14.25">
      <c r="N78" s="175"/>
    </row>
    <row r="79" spans="14:14" ht="14.25">
      <c r="N79" s="175"/>
    </row>
    <row r="80" spans="14:14" ht="14.25">
      <c r="N80" s="175"/>
    </row>
    <row r="81" spans="14:14" ht="14.25">
      <c r="N81" s="175"/>
    </row>
    <row r="82" spans="14:14" ht="14.25">
      <c r="N82" s="175"/>
    </row>
    <row r="83" spans="14:14" ht="14.25">
      <c r="N83" s="175"/>
    </row>
    <row r="84" spans="14:14" ht="14.25">
      <c r="N84" s="175"/>
    </row>
    <row r="85" spans="14:14" ht="14.25">
      <c r="N85" s="175"/>
    </row>
    <row r="86" spans="14:14" ht="14.25">
      <c r="N86" s="175"/>
    </row>
    <row r="87" spans="14:14" ht="14.25">
      <c r="N87" s="175"/>
    </row>
    <row r="88" spans="14:14" ht="14.25">
      <c r="N88" s="175"/>
    </row>
    <row r="89" spans="14:14" ht="14.25">
      <c r="N89" s="175"/>
    </row>
    <row r="90" spans="14:14" ht="14.25">
      <c r="N90" s="175"/>
    </row>
    <row r="91" spans="14:14" ht="14.25">
      <c r="N91" s="175"/>
    </row>
    <row r="92" spans="14:14" ht="14.25">
      <c r="N92" s="175"/>
    </row>
    <row r="93" spans="14:14" ht="14.25">
      <c r="N93" s="175"/>
    </row>
    <row r="94" spans="14:14" ht="14.25">
      <c r="N94" s="175"/>
    </row>
    <row r="95" spans="14:14" ht="14.25">
      <c r="N95" s="175"/>
    </row>
    <row r="96" spans="14:14" ht="14.25">
      <c r="N96" s="175"/>
    </row>
    <row r="97" spans="14:14" ht="14.25">
      <c r="N97" s="175"/>
    </row>
    <row r="98" spans="14:14" ht="14.25">
      <c r="N98" s="175"/>
    </row>
    <row r="99" spans="14:14" ht="14.25">
      <c r="N99" s="175"/>
    </row>
    <row r="100" spans="14:14" ht="14.25">
      <c r="N100" s="175"/>
    </row>
    <row r="101" spans="14:14" ht="14.25">
      <c r="N101" s="175"/>
    </row>
    <row r="102" spans="14:14" ht="14.25">
      <c r="N102" s="175"/>
    </row>
    <row r="103" spans="14:14" ht="14.25">
      <c r="N103" s="175"/>
    </row>
    <row r="104" spans="14:14" ht="14.25">
      <c r="N104" s="175"/>
    </row>
    <row r="105" spans="14:14" ht="14.25">
      <c r="N105" s="175"/>
    </row>
    <row r="106" spans="14:14" ht="14.25">
      <c r="N106" s="175"/>
    </row>
    <row r="107" spans="14:14" ht="14.25">
      <c r="N107" s="175"/>
    </row>
    <row r="108" spans="14:14" ht="14.25">
      <c r="N108" s="175"/>
    </row>
    <row r="109" spans="14:14" ht="14.25">
      <c r="N109" s="175"/>
    </row>
    <row r="110" spans="14:14" ht="14.25">
      <c r="N110" s="175"/>
    </row>
  </sheetData>
  <mergeCells count="3">
    <mergeCell ref="K3:L3"/>
    <mergeCell ref="B51:M51"/>
    <mergeCell ref="A1:M1"/>
  </mergeCells>
  <conditionalFormatting sqref="A1 N1:XFD4 A3:C3 A4:F4 A5:B5 C5:E49 F5:F50 N5:N50 O5:XFD1048576 A51:B51">
    <cfRule type="cellIs" dxfId="6" priority="31" operator="equal">
      <formula>0</formula>
    </cfRule>
  </conditionalFormatting>
  <conditionalFormatting sqref="A50:E50">
    <cfRule type="cellIs" dxfId="5" priority="29" operator="equal">
      <formula>0</formula>
    </cfRule>
  </conditionalFormatting>
  <conditionalFormatting sqref="A2:J2">
    <cfRule type="cellIs" dxfId="4" priority="16" operator="equal">
      <formula>0</formula>
    </cfRule>
  </conditionalFormatting>
  <conditionalFormatting sqref="G4:J50">
    <cfRule type="cellIs" dxfId="3" priority="17" operator="equal">
      <formula>0</formula>
    </cfRule>
  </conditionalFormatting>
  <conditionalFormatting sqref="K2:K50">
    <cfRule type="cellIs" dxfId="2" priority="12" operator="equal">
      <formula>0</formula>
    </cfRule>
  </conditionalFormatting>
  <conditionalFormatting sqref="L2:M2 A52:N1048576">
    <cfRule type="cellIs" dxfId="1" priority="1" operator="equal">
      <formula>0</formula>
    </cfRule>
  </conditionalFormatting>
  <conditionalFormatting sqref="L4:M50">
    <cfRule type="cellIs" dxfId="0" priority="2" operator="equal">
      <formula>0</formula>
    </cfRule>
  </conditionalFormatting>
  <printOptions horizontalCentered="1"/>
  <pageMargins left="0.27559055118110237" right="0.27559055118110237" top="1.7716535433070868" bottom="0.47244094488188981" header="0.19685039370078741" footer="0.19685039370078741"/>
  <pageSetup paperSize="9" scale="96" orientation="portrait" r:id="rId1"/>
  <headerFooter>
    <oddHeader>&amp;C&amp;G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1">
    <tabColor indexed="26"/>
    <pageSetUpPr fitToPage="1"/>
  </sheetPr>
  <dimension ref="A1:FN43"/>
  <sheetViews>
    <sheetView showGridLines="0" workbookViewId="0">
      <selection activeCell="P8" sqref="P8"/>
    </sheetView>
  </sheetViews>
  <sheetFormatPr defaultColWidth="9.140625" defaultRowHeight="17.25" customHeight="1"/>
  <cols>
    <col min="1" max="1" width="14.7109375" style="62" customWidth="1"/>
    <col min="2" max="2" width="2.42578125" style="62" customWidth="1"/>
    <col min="3" max="13" width="6.42578125" style="62" customWidth="1"/>
    <col min="14" max="170" width="9.140625" style="62"/>
    <col min="171" max="16384" width="9.140625" style="8"/>
  </cols>
  <sheetData>
    <row r="1" spans="1:14" s="78" customFormat="1" ht="28.5" customHeight="1">
      <c r="A1" s="585" t="s">
        <v>208</v>
      </c>
      <c r="B1" s="585"/>
      <c r="C1" s="585"/>
      <c r="D1" s="585"/>
      <c r="E1" s="585"/>
      <c r="F1" s="585"/>
      <c r="G1" s="585"/>
      <c r="H1" s="585"/>
      <c r="I1" s="585"/>
      <c r="J1" s="585"/>
      <c r="K1" s="585"/>
      <c r="L1" s="585"/>
      <c r="M1" s="585"/>
    </row>
    <row r="2" spans="1:14" s="61" customFormat="1" ht="15" customHeight="1">
      <c r="A2" s="194"/>
      <c r="B2" s="194"/>
      <c r="C2" s="195"/>
      <c r="D2" s="195"/>
      <c r="E2" s="195"/>
      <c r="F2" s="195"/>
      <c r="G2" s="195"/>
      <c r="H2" s="195"/>
      <c r="I2" s="195"/>
      <c r="J2" s="195"/>
      <c r="K2" s="195"/>
      <c r="L2" s="195"/>
      <c r="M2" s="195"/>
    </row>
    <row r="3" spans="1:14" s="170" customFormat="1" ht="15" customHeight="1">
      <c r="A3" s="164" t="s">
        <v>14</v>
      </c>
      <c r="B3" s="176"/>
      <c r="C3" s="99"/>
      <c r="D3" s="99"/>
      <c r="E3" s="225"/>
      <c r="F3" s="225"/>
      <c r="G3" s="225"/>
      <c r="H3" s="225"/>
      <c r="I3" s="225"/>
      <c r="J3" s="225"/>
      <c r="K3" s="225"/>
      <c r="L3" s="225"/>
      <c r="M3" s="225" t="s">
        <v>68</v>
      </c>
    </row>
    <row r="4" spans="1:14" s="179" customFormat="1" ht="28.5" customHeight="1" thickBot="1">
      <c r="A4" s="178"/>
      <c r="B4" s="178"/>
      <c r="C4" s="167">
        <v>2012</v>
      </c>
      <c r="D4" s="167">
        <v>2013</v>
      </c>
      <c r="E4" s="167">
        <v>2014</v>
      </c>
      <c r="F4" s="167">
        <v>2015</v>
      </c>
      <c r="G4" s="167">
        <v>2016</v>
      </c>
      <c r="H4" s="167">
        <v>2017</v>
      </c>
      <c r="I4" s="167">
        <v>2018</v>
      </c>
      <c r="J4" s="167">
        <v>2019</v>
      </c>
      <c r="K4" s="167">
        <v>2020</v>
      </c>
      <c r="L4" s="167">
        <v>2021</v>
      </c>
      <c r="M4" s="167">
        <v>2022</v>
      </c>
    </row>
    <row r="5" spans="1:14" s="170" customFormat="1" ht="16.5" customHeight="1" thickTop="1">
      <c r="A5" s="174" t="s">
        <v>12</v>
      </c>
      <c r="B5" s="176" t="s">
        <v>45</v>
      </c>
      <c r="C5" s="267">
        <v>915.01247006081212</v>
      </c>
      <c r="D5" s="267">
        <v>912.18298170177309</v>
      </c>
      <c r="E5" s="267">
        <v>909.49144915721399</v>
      </c>
      <c r="F5" s="267">
        <v>913.92544791377406</v>
      </c>
      <c r="G5" s="267">
        <v>924.9392153090821</v>
      </c>
      <c r="H5" s="267">
        <v>943.00107511786211</v>
      </c>
      <c r="I5" s="267">
        <v>970.41689676342503</v>
      </c>
      <c r="J5" s="267">
        <v>1005.08927925103</v>
      </c>
      <c r="K5" s="267">
        <v>1041.9948771786001</v>
      </c>
      <c r="L5" s="267">
        <v>1082.7724697513502</v>
      </c>
      <c r="M5" s="267">
        <v>1143.44558285689</v>
      </c>
      <c r="N5" s="180"/>
    </row>
    <row r="6" spans="1:14" s="170" customFormat="1" ht="12.75" customHeight="1">
      <c r="A6" s="164"/>
      <c r="B6" s="176" t="s">
        <v>53</v>
      </c>
      <c r="C6" s="268">
        <v>999.85354294571812</v>
      </c>
      <c r="D6" s="268">
        <v>993.79266174939096</v>
      </c>
      <c r="E6" s="268">
        <v>985.0215081163841</v>
      </c>
      <c r="F6" s="268">
        <v>990.04668016967901</v>
      </c>
      <c r="G6" s="268">
        <v>997.37861815735698</v>
      </c>
      <c r="H6" s="268">
        <v>1012.2476626665</v>
      </c>
      <c r="I6" s="268">
        <v>1039.08171517903</v>
      </c>
      <c r="J6" s="268">
        <v>1073.8189900697198</v>
      </c>
      <c r="K6" s="268">
        <v>1109.2123384778902</v>
      </c>
      <c r="L6" s="268">
        <v>1152.2390834169501</v>
      </c>
      <c r="M6" s="268">
        <v>1217.3282728682302</v>
      </c>
    </row>
    <row r="7" spans="1:14" s="170" customFormat="1" ht="12.75" customHeight="1">
      <c r="A7" s="164"/>
      <c r="B7" s="176" t="s">
        <v>54</v>
      </c>
      <c r="C7" s="268">
        <v>814.53727639534998</v>
      </c>
      <c r="D7" s="268">
        <v>816.21122210111105</v>
      </c>
      <c r="E7" s="268">
        <v>820.25300466774809</v>
      </c>
      <c r="F7" s="268">
        <v>824.99170229471508</v>
      </c>
      <c r="G7" s="268">
        <v>840.26183463405107</v>
      </c>
      <c r="H7" s="268">
        <v>861.16674363485106</v>
      </c>
      <c r="I7" s="268">
        <v>888.55773746998204</v>
      </c>
      <c r="J7" s="268">
        <v>922.62610151052809</v>
      </c>
      <c r="K7" s="268">
        <v>960.26781704583709</v>
      </c>
      <c r="L7" s="268">
        <v>999.32524311817906</v>
      </c>
      <c r="M7" s="268">
        <v>1054.3618671065601</v>
      </c>
    </row>
    <row r="8" spans="1:14" s="170" customFormat="1" ht="16.5" customHeight="1">
      <c r="A8" s="181" t="s">
        <v>32</v>
      </c>
      <c r="B8" s="176" t="s">
        <v>45</v>
      </c>
      <c r="C8" s="268">
        <v>693.31185570240609</v>
      </c>
      <c r="D8" s="268">
        <v>690.07430705391198</v>
      </c>
      <c r="E8" s="268">
        <v>697.48168929055805</v>
      </c>
      <c r="F8" s="268">
        <v>695.67367591467712</v>
      </c>
      <c r="G8" s="268">
        <v>713.54126968340199</v>
      </c>
      <c r="H8" s="268">
        <v>735.679468743759</v>
      </c>
      <c r="I8" s="268">
        <v>760.65776867203306</v>
      </c>
      <c r="J8" s="268">
        <v>790.54723985008206</v>
      </c>
      <c r="K8" s="268">
        <v>825.97969469202405</v>
      </c>
      <c r="L8" s="268">
        <v>863.77465019702913</v>
      </c>
      <c r="M8" s="268">
        <v>911.12045839158804</v>
      </c>
    </row>
    <row r="9" spans="1:14" s="170" customFormat="1" ht="12.75" customHeight="1">
      <c r="A9" s="177"/>
      <c r="B9" s="185" t="s">
        <v>53</v>
      </c>
      <c r="C9" s="269">
        <v>736.19934826013503</v>
      </c>
      <c r="D9" s="269">
        <v>729.63203435265405</v>
      </c>
      <c r="E9" s="269">
        <v>734.808976478658</v>
      </c>
      <c r="F9" s="269">
        <v>733.43432987844596</v>
      </c>
      <c r="G9" s="269">
        <v>748.821942208623</v>
      </c>
      <c r="H9" s="269">
        <v>771.25515143538109</v>
      </c>
      <c r="I9" s="269">
        <v>796.7421066945011</v>
      </c>
      <c r="J9" s="269">
        <v>828.52939903441109</v>
      </c>
      <c r="K9" s="269">
        <v>863.85977602528305</v>
      </c>
      <c r="L9" s="269">
        <v>904.44217497760508</v>
      </c>
      <c r="M9" s="269">
        <v>953.95112178957299</v>
      </c>
    </row>
    <row r="10" spans="1:14" s="170" customFormat="1" ht="12.75" customHeight="1">
      <c r="A10" s="177"/>
      <c r="B10" s="185" t="s">
        <v>54</v>
      </c>
      <c r="C10" s="269">
        <v>649.98606976793599</v>
      </c>
      <c r="D10" s="269">
        <v>649.97596026779502</v>
      </c>
      <c r="E10" s="269">
        <v>659.622867029487</v>
      </c>
      <c r="F10" s="269">
        <v>658.302502977372</v>
      </c>
      <c r="G10" s="269">
        <v>678.13976436969108</v>
      </c>
      <c r="H10" s="269">
        <v>699.92112094796107</v>
      </c>
      <c r="I10" s="269">
        <v>724.18522094550508</v>
      </c>
      <c r="J10" s="269">
        <v>751.94890766688002</v>
      </c>
      <c r="K10" s="269">
        <v>786.53123932845608</v>
      </c>
      <c r="L10" s="269">
        <v>821.85543182517711</v>
      </c>
      <c r="M10" s="269">
        <v>867.15913803407113</v>
      </c>
    </row>
    <row r="11" spans="1:14" s="165" customFormat="1" ht="16.5" customHeight="1">
      <c r="A11" s="181" t="s">
        <v>33</v>
      </c>
      <c r="B11" s="176" t="s">
        <v>45</v>
      </c>
      <c r="C11" s="268">
        <v>795.92183281039206</v>
      </c>
      <c r="D11" s="268">
        <v>793.7234990133901</v>
      </c>
      <c r="E11" s="268">
        <v>790.6252304090691</v>
      </c>
      <c r="F11" s="268">
        <v>788.89388262987904</v>
      </c>
      <c r="G11" s="268">
        <v>798.57252191573104</v>
      </c>
      <c r="H11" s="268">
        <v>812.56938319060998</v>
      </c>
      <c r="I11" s="268">
        <v>834.51416875644895</v>
      </c>
      <c r="J11" s="268">
        <v>857.670854264985</v>
      </c>
      <c r="K11" s="268">
        <v>896.13545252880601</v>
      </c>
      <c r="L11" s="268">
        <v>929.35751386718005</v>
      </c>
      <c r="M11" s="268">
        <v>974.76846697108306</v>
      </c>
    </row>
    <row r="12" spans="1:14" s="170" customFormat="1" ht="12.75" customHeight="1">
      <c r="A12" s="177"/>
      <c r="B12" s="185" t="s">
        <v>53</v>
      </c>
      <c r="C12" s="269">
        <v>837.09259699746508</v>
      </c>
      <c r="D12" s="269">
        <v>834.25557693375902</v>
      </c>
      <c r="E12" s="269">
        <v>825.55547477010612</v>
      </c>
      <c r="F12" s="269">
        <v>821.50347255434406</v>
      </c>
      <c r="G12" s="269">
        <v>829.86318660262009</v>
      </c>
      <c r="H12" s="269">
        <v>841.87029740522803</v>
      </c>
      <c r="I12" s="269">
        <v>865.08429761791808</v>
      </c>
      <c r="J12" s="269">
        <v>887.68198984598007</v>
      </c>
      <c r="K12" s="269">
        <v>925.22925578559602</v>
      </c>
      <c r="L12" s="269">
        <v>958.852885053813</v>
      </c>
      <c r="M12" s="269">
        <v>1007.99076031973</v>
      </c>
    </row>
    <row r="13" spans="1:14" s="170" customFormat="1" ht="12.75" customHeight="1">
      <c r="A13" s="177"/>
      <c r="B13" s="185" t="s">
        <v>54</v>
      </c>
      <c r="C13" s="269">
        <v>746.56635720330405</v>
      </c>
      <c r="D13" s="269">
        <v>745.49183666724502</v>
      </c>
      <c r="E13" s="269">
        <v>749.07706881611398</v>
      </c>
      <c r="F13" s="269">
        <v>750.570683115419</v>
      </c>
      <c r="G13" s="269">
        <v>761.68285225787008</v>
      </c>
      <c r="H13" s="269">
        <v>778.32055090708309</v>
      </c>
      <c r="I13" s="269">
        <v>798.62737728295701</v>
      </c>
      <c r="J13" s="269">
        <v>822.24333398098906</v>
      </c>
      <c r="K13" s="269">
        <v>860.72346046357404</v>
      </c>
      <c r="L13" s="269">
        <v>893.93071562309797</v>
      </c>
      <c r="M13" s="269">
        <v>935.47206999838909</v>
      </c>
    </row>
    <row r="14" spans="1:14" s="165" customFormat="1" ht="16.5" customHeight="1">
      <c r="A14" s="181" t="s">
        <v>34</v>
      </c>
      <c r="B14" s="176" t="s">
        <v>45</v>
      </c>
      <c r="C14" s="268">
        <v>840.06820612425304</v>
      </c>
      <c r="D14" s="268">
        <v>840.64158277675506</v>
      </c>
      <c r="E14" s="268">
        <v>838.91064820041106</v>
      </c>
      <c r="F14" s="268">
        <v>838.98482803786305</v>
      </c>
      <c r="G14" s="268">
        <v>845.97069283957501</v>
      </c>
      <c r="H14" s="268">
        <v>862.17567944250902</v>
      </c>
      <c r="I14" s="268">
        <v>883.97252478750011</v>
      </c>
      <c r="J14" s="268">
        <v>910.61409141543209</v>
      </c>
      <c r="K14" s="268">
        <v>952.24268663926</v>
      </c>
      <c r="L14" s="268">
        <v>984.81111876110401</v>
      </c>
      <c r="M14" s="268">
        <v>1032.0465702932402</v>
      </c>
    </row>
    <row r="15" spans="1:14" s="170" customFormat="1" ht="12.75" customHeight="1">
      <c r="A15" s="177"/>
      <c r="B15" s="185" t="s">
        <v>53</v>
      </c>
      <c r="C15" s="269">
        <v>897.24773638381396</v>
      </c>
      <c r="D15" s="269">
        <v>897.70389029488706</v>
      </c>
      <c r="E15" s="269">
        <v>890.38186553809896</v>
      </c>
      <c r="F15" s="269">
        <v>891.44122112605908</v>
      </c>
      <c r="G15" s="269">
        <v>893.10493603343002</v>
      </c>
      <c r="H15" s="269">
        <v>906.12006787774601</v>
      </c>
      <c r="I15" s="269">
        <v>926.56559101640903</v>
      </c>
      <c r="J15" s="269">
        <v>954.96205512071106</v>
      </c>
      <c r="K15" s="269">
        <v>993.21672718574303</v>
      </c>
      <c r="L15" s="269">
        <v>1028.7310996247299</v>
      </c>
      <c r="M15" s="269">
        <v>1076.5259293333302</v>
      </c>
    </row>
    <row r="16" spans="1:14" s="170" customFormat="1" ht="12.75" customHeight="1">
      <c r="A16" s="177"/>
      <c r="B16" s="185" t="s">
        <v>54</v>
      </c>
      <c r="C16" s="269">
        <v>767.17754657682099</v>
      </c>
      <c r="D16" s="269">
        <v>768.59569750198602</v>
      </c>
      <c r="E16" s="269">
        <v>774.25775618344403</v>
      </c>
      <c r="F16" s="269">
        <v>774.28209054779404</v>
      </c>
      <c r="G16" s="269">
        <v>787.12240586899111</v>
      </c>
      <c r="H16" s="269">
        <v>806.76656168263412</v>
      </c>
      <c r="I16" s="269">
        <v>830.30633200211207</v>
      </c>
      <c r="J16" s="269">
        <v>854.04331631069408</v>
      </c>
      <c r="K16" s="269">
        <v>897.28857162335601</v>
      </c>
      <c r="L16" s="269">
        <v>927.62213326426308</v>
      </c>
      <c r="M16" s="269">
        <v>974.1746947124941</v>
      </c>
    </row>
    <row r="17" spans="1:13" s="165" customFormat="1" ht="16.5" customHeight="1">
      <c r="A17" s="181" t="s">
        <v>35</v>
      </c>
      <c r="B17" s="176" t="s">
        <v>45</v>
      </c>
      <c r="C17" s="268">
        <v>920.82799670903</v>
      </c>
      <c r="D17" s="268">
        <v>910.92982655011099</v>
      </c>
      <c r="E17" s="268">
        <v>903.33510394310599</v>
      </c>
      <c r="F17" s="268">
        <v>904.24866040185395</v>
      </c>
      <c r="G17" s="268">
        <v>910.56325660407811</v>
      </c>
      <c r="H17" s="268">
        <v>922.47393003106106</v>
      </c>
      <c r="I17" s="268">
        <v>946.80066018519005</v>
      </c>
      <c r="J17" s="268">
        <v>977.50319491004802</v>
      </c>
      <c r="K17" s="268">
        <v>1017.98088552506</v>
      </c>
      <c r="L17" s="268">
        <v>1054.0593528976001</v>
      </c>
      <c r="M17" s="268">
        <v>1098.66452570255</v>
      </c>
    </row>
    <row r="18" spans="1:13" s="170" customFormat="1" ht="12.75" customHeight="1">
      <c r="A18" s="177"/>
      <c r="B18" s="185" t="s">
        <v>53</v>
      </c>
      <c r="C18" s="269">
        <v>1017.1927624921</v>
      </c>
      <c r="D18" s="269">
        <v>1004.6429292331201</v>
      </c>
      <c r="E18" s="269">
        <v>991.71206035773616</v>
      </c>
      <c r="F18" s="269">
        <v>987.49159460529506</v>
      </c>
      <c r="G18" s="269">
        <v>989.95062003626902</v>
      </c>
      <c r="H18" s="269">
        <v>996.30340793190203</v>
      </c>
      <c r="I18" s="269">
        <v>1017.0269873918301</v>
      </c>
      <c r="J18" s="269">
        <v>1046.4867239314801</v>
      </c>
      <c r="K18" s="269">
        <v>1089.04044772969</v>
      </c>
      <c r="L18" s="269">
        <v>1127.1992334828799</v>
      </c>
      <c r="M18" s="269">
        <v>1172.64478133949</v>
      </c>
    </row>
    <row r="19" spans="1:13" s="170" customFormat="1" ht="12.75" customHeight="1">
      <c r="A19" s="177"/>
      <c r="B19" s="185" t="s">
        <v>54</v>
      </c>
      <c r="C19" s="269">
        <v>809.306602837323</v>
      </c>
      <c r="D19" s="269">
        <v>804.37717204321405</v>
      </c>
      <c r="E19" s="269">
        <v>802.78299162961207</v>
      </c>
      <c r="F19" s="269">
        <v>808.54396430496502</v>
      </c>
      <c r="G19" s="269">
        <v>819.03912660493108</v>
      </c>
      <c r="H19" s="269">
        <v>836.376819426098</v>
      </c>
      <c r="I19" s="269">
        <v>864.1846170897511</v>
      </c>
      <c r="J19" s="269">
        <v>893.65473605270608</v>
      </c>
      <c r="K19" s="269">
        <v>929.72703687307012</v>
      </c>
      <c r="L19" s="269">
        <v>964.25267119545299</v>
      </c>
      <c r="M19" s="269">
        <v>1008.10902448864</v>
      </c>
    </row>
    <row r="20" spans="1:13" s="165" customFormat="1" ht="16.5" customHeight="1">
      <c r="A20" s="181" t="s">
        <v>36</v>
      </c>
      <c r="B20" s="176" t="s">
        <v>45</v>
      </c>
      <c r="C20" s="268">
        <v>970.74764928367301</v>
      </c>
      <c r="D20" s="268">
        <v>958.95680328579203</v>
      </c>
      <c r="E20" s="268">
        <v>957.53812930352717</v>
      </c>
      <c r="F20" s="268">
        <v>959.45902998610006</v>
      </c>
      <c r="G20" s="268">
        <v>963.53191502701202</v>
      </c>
      <c r="H20" s="268">
        <v>989.73076858311811</v>
      </c>
      <c r="I20" s="268">
        <v>1013.6629595584101</v>
      </c>
      <c r="J20" s="268">
        <v>1043.70757266379</v>
      </c>
      <c r="K20" s="268">
        <v>1085.35750154833</v>
      </c>
      <c r="L20" s="268">
        <v>1135.0468820963602</v>
      </c>
      <c r="M20" s="268">
        <v>1181.8915247346499</v>
      </c>
    </row>
    <row r="21" spans="1:13" s="170" customFormat="1" ht="12.75" customHeight="1">
      <c r="A21" s="177"/>
      <c r="B21" s="185" t="s">
        <v>53</v>
      </c>
      <c r="C21" s="269">
        <v>1093.27177615302</v>
      </c>
      <c r="D21" s="269">
        <v>1073.5194932107902</v>
      </c>
      <c r="E21" s="269">
        <v>1065.4761454785701</v>
      </c>
      <c r="F21" s="269">
        <v>1066.4717616094301</v>
      </c>
      <c r="G21" s="269">
        <v>1063.5657982854302</v>
      </c>
      <c r="H21" s="269">
        <v>1088.33539654775</v>
      </c>
      <c r="I21" s="269">
        <v>1110.9952151623302</v>
      </c>
      <c r="J21" s="269">
        <v>1137.7042740743802</v>
      </c>
      <c r="K21" s="269">
        <v>1178.5121045250301</v>
      </c>
      <c r="L21" s="269">
        <v>1235.8029416531001</v>
      </c>
      <c r="M21" s="269">
        <v>1280.6740151694701</v>
      </c>
    </row>
    <row r="22" spans="1:13" s="170" customFormat="1" ht="12.75" customHeight="1">
      <c r="A22" s="177"/>
      <c r="B22" s="185" t="s">
        <v>54</v>
      </c>
      <c r="C22" s="269">
        <v>833.46375253317001</v>
      </c>
      <c r="D22" s="269">
        <v>831.29678377179403</v>
      </c>
      <c r="E22" s="269">
        <v>837.07039967473804</v>
      </c>
      <c r="F22" s="269">
        <v>841.61591051155301</v>
      </c>
      <c r="G22" s="269">
        <v>853.07869251987404</v>
      </c>
      <c r="H22" s="269">
        <v>878.06978345892503</v>
      </c>
      <c r="I22" s="269">
        <v>902.82039167260507</v>
      </c>
      <c r="J22" s="269">
        <v>935.48449025776006</v>
      </c>
      <c r="K22" s="269">
        <v>977.04796424322603</v>
      </c>
      <c r="L22" s="269">
        <v>1019.5098345161201</v>
      </c>
      <c r="M22" s="269">
        <v>1066.7248411068399</v>
      </c>
    </row>
    <row r="23" spans="1:13" s="165" customFormat="1" ht="16.5" customHeight="1">
      <c r="A23" s="181" t="s">
        <v>37</v>
      </c>
      <c r="B23" s="176" t="s">
        <v>45</v>
      </c>
      <c r="C23" s="268">
        <v>1130.61492767204</v>
      </c>
      <c r="D23" s="268">
        <v>1094.1421918813198</v>
      </c>
      <c r="E23" s="268">
        <v>1085.9124623800701</v>
      </c>
      <c r="F23" s="268">
        <v>1091.4796823349602</v>
      </c>
      <c r="G23" s="268">
        <v>1084.1753787172001</v>
      </c>
      <c r="H23" s="268">
        <v>1059.05759475374</v>
      </c>
      <c r="I23" s="268">
        <v>1100.59208861412</v>
      </c>
      <c r="J23" s="268">
        <v>1141.5032989376202</v>
      </c>
      <c r="K23" s="268">
        <v>1166.09786123238</v>
      </c>
      <c r="L23" s="268">
        <v>1205.96843960402</v>
      </c>
      <c r="M23" s="268">
        <v>1287.1607030735001</v>
      </c>
    </row>
    <row r="24" spans="1:13" s="170" customFormat="1" ht="12.75" customHeight="1">
      <c r="A24" s="177"/>
      <c r="B24" s="185" t="s">
        <v>53</v>
      </c>
      <c r="C24" s="269">
        <v>1270.5372532188799</v>
      </c>
      <c r="D24" s="269">
        <v>1210.1168761449599</v>
      </c>
      <c r="E24" s="269">
        <v>1197.25743206318</v>
      </c>
      <c r="F24" s="269">
        <v>1201.1814373707102</v>
      </c>
      <c r="G24" s="269">
        <v>1185.8387117903901</v>
      </c>
      <c r="H24" s="269">
        <v>1134.3776324140999</v>
      </c>
      <c r="I24" s="269">
        <v>1171.61339243614</v>
      </c>
      <c r="J24" s="269">
        <v>1215.1559866202199</v>
      </c>
      <c r="K24" s="269">
        <v>1239.3201434497103</v>
      </c>
      <c r="L24" s="269">
        <v>1286.4722339952802</v>
      </c>
      <c r="M24" s="269">
        <v>1366.18548296583</v>
      </c>
    </row>
    <row r="25" spans="1:13" s="170" customFormat="1" ht="12.75" customHeight="1">
      <c r="A25" s="177"/>
      <c r="B25" s="185" t="s">
        <v>54</v>
      </c>
      <c r="C25" s="269">
        <v>949.71238912762306</v>
      </c>
      <c r="D25" s="269">
        <v>945.54015880143709</v>
      </c>
      <c r="E25" s="269">
        <v>939.78535308953303</v>
      </c>
      <c r="F25" s="269">
        <v>947.27940564301798</v>
      </c>
      <c r="G25" s="269">
        <v>955.10095252762505</v>
      </c>
      <c r="H25" s="269">
        <v>960.53591307149907</v>
      </c>
      <c r="I25" s="269">
        <v>1006.8762333407</v>
      </c>
      <c r="J25" s="269">
        <v>1045.4539704026799</v>
      </c>
      <c r="K25" s="269">
        <v>1069.5490738173501</v>
      </c>
      <c r="L25" s="269">
        <v>1101.6537861911402</v>
      </c>
      <c r="M25" s="269">
        <v>1184.3673787540401</v>
      </c>
    </row>
    <row r="26" spans="1:13" s="165" customFormat="1" ht="16.5" customHeight="1">
      <c r="A26" s="181" t="s">
        <v>38</v>
      </c>
      <c r="B26" s="176" t="s">
        <v>45</v>
      </c>
      <c r="C26" s="268">
        <v>1091.2504342150901</v>
      </c>
      <c r="D26" s="268">
        <v>1147.32405771867</v>
      </c>
      <c r="E26" s="268">
        <v>1128.0194436891002</v>
      </c>
      <c r="F26" s="268">
        <v>1086.8480126392399</v>
      </c>
      <c r="G26" s="268">
        <v>1182.74747581366</v>
      </c>
      <c r="H26" s="268">
        <v>1143.5510007537903</v>
      </c>
      <c r="I26" s="268">
        <v>1150.8954903890601</v>
      </c>
      <c r="J26" s="268">
        <v>1141.4004104114799</v>
      </c>
      <c r="K26" s="268">
        <v>1208.0981263021501</v>
      </c>
      <c r="L26" s="268">
        <v>1237.38361673702</v>
      </c>
      <c r="M26" s="268">
        <v>1300.4003608595799</v>
      </c>
    </row>
    <row r="27" spans="1:13" s="170" customFormat="1" ht="12.75" customHeight="1">
      <c r="A27" s="177"/>
      <c r="B27" s="185" t="s">
        <v>53</v>
      </c>
      <c r="C27" s="269">
        <v>1172.81920769267</v>
      </c>
      <c r="D27" s="269">
        <v>1247.7281097069699</v>
      </c>
      <c r="E27" s="269">
        <v>1220.42574815428</v>
      </c>
      <c r="F27" s="269">
        <v>1160.83291148946</v>
      </c>
      <c r="G27" s="269">
        <v>1317.1513448713899</v>
      </c>
      <c r="H27" s="269">
        <v>1252.2941014333001</v>
      </c>
      <c r="I27" s="269">
        <v>1246.0422190720601</v>
      </c>
      <c r="J27" s="269">
        <v>1202.8477356226699</v>
      </c>
      <c r="K27" s="269">
        <v>1257.2170677955</v>
      </c>
      <c r="L27" s="269">
        <v>1300.1367537956799</v>
      </c>
      <c r="M27" s="269">
        <v>1371.5311628766201</v>
      </c>
    </row>
    <row r="28" spans="1:13" s="170" customFormat="1" ht="12.75" customHeight="1">
      <c r="A28" s="177"/>
      <c r="B28" s="185" t="s">
        <v>54</v>
      </c>
      <c r="C28" s="269">
        <v>973.56629150978608</v>
      </c>
      <c r="D28" s="269">
        <v>999.44958809370405</v>
      </c>
      <c r="E28" s="269">
        <v>999.75322995231204</v>
      </c>
      <c r="F28" s="269">
        <v>980.93180849690111</v>
      </c>
      <c r="G28" s="269">
        <v>997.523062832135</v>
      </c>
      <c r="H28" s="269">
        <v>1000.6850428639001</v>
      </c>
      <c r="I28" s="269">
        <v>1023.2140712044201</v>
      </c>
      <c r="J28" s="269">
        <v>1058.8673817727101</v>
      </c>
      <c r="K28" s="269">
        <v>1139.6494392921202</v>
      </c>
      <c r="L28" s="269">
        <v>1156.7850298446999</v>
      </c>
      <c r="M28" s="269">
        <v>1208.8389468302701</v>
      </c>
    </row>
    <row r="29" spans="1:13" s="165" customFormat="1" ht="16.5" customHeight="1">
      <c r="A29" s="181" t="s">
        <v>39</v>
      </c>
      <c r="B29" s="176" t="s">
        <v>45</v>
      </c>
      <c r="C29" s="268">
        <v>1172.3180161164</v>
      </c>
      <c r="D29" s="268">
        <v>1151.8365840696401</v>
      </c>
      <c r="E29" s="268">
        <v>1115.2940955402703</v>
      </c>
      <c r="F29" s="268">
        <v>1264.1772525083902</v>
      </c>
      <c r="G29" s="268">
        <v>1171.4301519436601</v>
      </c>
      <c r="H29" s="268">
        <v>1277.65872503892</v>
      </c>
      <c r="I29" s="268">
        <v>1320.5272824818801</v>
      </c>
      <c r="J29" s="268">
        <v>1368.9630997081701</v>
      </c>
      <c r="K29" s="268">
        <v>1439.36823377836</v>
      </c>
      <c r="L29" s="268">
        <v>1365.36138240689</v>
      </c>
      <c r="M29" s="268">
        <v>1409.7251118875101</v>
      </c>
    </row>
    <row r="30" spans="1:13" s="170" customFormat="1" ht="12.75" customHeight="1">
      <c r="A30" s="177"/>
      <c r="B30" s="185" t="s">
        <v>53</v>
      </c>
      <c r="C30" s="269">
        <v>1277.8724927514102</v>
      </c>
      <c r="D30" s="269">
        <v>1269.4173987503802</v>
      </c>
      <c r="E30" s="269">
        <v>1205.6507611741201</v>
      </c>
      <c r="F30" s="269">
        <v>1409.3389387943498</v>
      </c>
      <c r="G30" s="269">
        <v>1254.27726598646</v>
      </c>
      <c r="H30" s="269">
        <v>1459.8711657255801</v>
      </c>
      <c r="I30" s="269">
        <v>1496.0758481824701</v>
      </c>
      <c r="J30" s="269">
        <v>1568.84458195611</v>
      </c>
      <c r="K30" s="269">
        <v>1640.27532520981</v>
      </c>
      <c r="L30" s="269">
        <v>1475.9192764622301</v>
      </c>
      <c r="M30" s="269">
        <v>1507.2290250370299</v>
      </c>
    </row>
    <row r="31" spans="1:13" s="170" customFormat="1" ht="12.75" customHeight="1">
      <c r="A31" s="177"/>
      <c r="B31" s="185" t="s">
        <v>54</v>
      </c>
      <c r="C31" s="269">
        <v>1022.46187455993</v>
      </c>
      <c r="D31" s="269">
        <v>988.76041553560196</v>
      </c>
      <c r="E31" s="269">
        <v>984.82678177527305</v>
      </c>
      <c r="F31" s="269">
        <v>1056.57064141867</v>
      </c>
      <c r="G31" s="269">
        <v>1045.44556238934</v>
      </c>
      <c r="H31" s="269">
        <v>1012.3146207293501</v>
      </c>
      <c r="I31" s="269">
        <v>1057.85610730547</v>
      </c>
      <c r="J31" s="269">
        <v>1071.11790351231</v>
      </c>
      <c r="K31" s="269">
        <v>1139.6161757033399</v>
      </c>
      <c r="L31" s="269">
        <v>1203.0928902621401</v>
      </c>
      <c r="M31" s="269">
        <v>1260.81534843841</v>
      </c>
    </row>
    <row r="32" spans="1:13" s="165" customFormat="1" ht="16.5" customHeight="1">
      <c r="A32" s="181" t="s">
        <v>40</v>
      </c>
      <c r="B32" s="176" t="s">
        <v>45</v>
      </c>
      <c r="C32" s="268">
        <v>1097.6542684477299</v>
      </c>
      <c r="D32" s="268">
        <v>1080.5183205906301</v>
      </c>
      <c r="E32" s="268">
        <v>1119.7143646269501</v>
      </c>
      <c r="F32" s="268">
        <v>1109.2668524492601</v>
      </c>
      <c r="G32" s="268">
        <v>1149.4178326112099</v>
      </c>
      <c r="H32" s="268">
        <v>1180.82247203315</v>
      </c>
      <c r="I32" s="268">
        <v>1182.5932927646902</v>
      </c>
      <c r="J32" s="268">
        <v>1200.5933016435001</v>
      </c>
      <c r="K32" s="268">
        <v>1251.80055121584</v>
      </c>
      <c r="L32" s="268">
        <v>1327.5738912446002</v>
      </c>
      <c r="M32" s="268">
        <v>1385.8180089628299</v>
      </c>
    </row>
    <row r="33" spans="1:13" s="170" customFormat="1" ht="12.75" customHeight="1">
      <c r="A33" s="177"/>
      <c r="B33" s="185" t="s">
        <v>53</v>
      </c>
      <c r="C33" s="269">
        <v>1182.9806422514102</v>
      </c>
      <c r="D33" s="269">
        <v>1148.6066834787</v>
      </c>
      <c r="E33" s="269">
        <v>1195.87437231897</v>
      </c>
      <c r="F33" s="269">
        <v>1185.71625988451</v>
      </c>
      <c r="G33" s="269">
        <v>1221.53503307655</v>
      </c>
      <c r="H33" s="269">
        <v>1243.3235570332001</v>
      </c>
      <c r="I33" s="269">
        <v>1238.5215170169602</v>
      </c>
      <c r="J33" s="269">
        <v>1261.4583677650699</v>
      </c>
      <c r="K33" s="269">
        <v>1317.3187985842601</v>
      </c>
      <c r="L33" s="269">
        <v>1419.94317808489</v>
      </c>
      <c r="M33" s="269">
        <v>1486.1527116881502</v>
      </c>
    </row>
    <row r="34" spans="1:13" s="170" customFormat="1" ht="12.75" customHeight="1">
      <c r="A34" s="177"/>
      <c r="B34" s="185" t="s">
        <v>54</v>
      </c>
      <c r="C34" s="269">
        <v>979.46621914705804</v>
      </c>
      <c r="D34" s="269">
        <v>982.76906250625098</v>
      </c>
      <c r="E34" s="269">
        <v>1009.24343868469</v>
      </c>
      <c r="F34" s="269">
        <v>1000.88188317076</v>
      </c>
      <c r="G34" s="269">
        <v>1048.1743317652401</v>
      </c>
      <c r="H34" s="269">
        <v>1089.8937953406601</v>
      </c>
      <c r="I34" s="269">
        <v>1099.2217505606202</v>
      </c>
      <c r="J34" s="269">
        <v>1110.5301875858599</v>
      </c>
      <c r="K34" s="269">
        <v>1155.97579645311</v>
      </c>
      <c r="L34" s="269">
        <v>1190.43169241025</v>
      </c>
      <c r="M34" s="269">
        <v>1241.0909409947601</v>
      </c>
    </row>
    <row r="35" spans="1:13" s="165" customFormat="1" ht="16.5" customHeight="1">
      <c r="A35" s="181" t="s">
        <v>41</v>
      </c>
      <c r="B35" s="176" t="s">
        <v>45</v>
      </c>
      <c r="C35" s="268">
        <v>1157.2010543588701</v>
      </c>
      <c r="D35" s="268">
        <v>1187.7532396326201</v>
      </c>
      <c r="E35" s="268">
        <v>1154.2357581312299</v>
      </c>
      <c r="F35" s="268">
        <v>1151.37035740238</v>
      </c>
      <c r="G35" s="268">
        <v>1156.6270943990098</v>
      </c>
      <c r="H35" s="268">
        <v>1124.5919278230301</v>
      </c>
      <c r="I35" s="268">
        <v>1175.0582166939103</v>
      </c>
      <c r="J35" s="268">
        <v>1241.5219759204899</v>
      </c>
      <c r="K35" s="268">
        <v>1278.2509985224201</v>
      </c>
      <c r="L35" s="268">
        <v>1314.5898750681499</v>
      </c>
      <c r="M35" s="268">
        <v>1406.2596916146401</v>
      </c>
    </row>
    <row r="36" spans="1:13" s="170" customFormat="1" ht="12.75" customHeight="1">
      <c r="A36" s="177"/>
      <c r="B36" s="185" t="s">
        <v>53</v>
      </c>
      <c r="C36" s="269">
        <v>1265.15645413027</v>
      </c>
      <c r="D36" s="269">
        <v>1293.8937824480101</v>
      </c>
      <c r="E36" s="269">
        <v>1227.71016267033</v>
      </c>
      <c r="F36" s="269">
        <v>1228.1999997963501</v>
      </c>
      <c r="G36" s="269">
        <v>1227.8993699892601</v>
      </c>
      <c r="H36" s="269">
        <v>1183.95011907361</v>
      </c>
      <c r="I36" s="269">
        <v>1255.7263957049402</v>
      </c>
      <c r="J36" s="269">
        <v>1326.2246773305801</v>
      </c>
      <c r="K36" s="269">
        <v>1368.40034237788</v>
      </c>
      <c r="L36" s="269">
        <v>1400.9047499114999</v>
      </c>
      <c r="M36" s="269">
        <v>1474.3856345307001</v>
      </c>
    </row>
    <row r="37" spans="1:13" s="170" customFormat="1" ht="12.75" customHeight="1">
      <c r="A37" s="182"/>
      <c r="B37" s="185" t="s">
        <v>54</v>
      </c>
      <c r="C37" s="269">
        <v>1023.9925668171201</v>
      </c>
      <c r="D37" s="269">
        <v>1056.2651435847399</v>
      </c>
      <c r="E37" s="269">
        <v>1062.15201382086</v>
      </c>
      <c r="F37" s="269">
        <v>1057.8654435274</v>
      </c>
      <c r="G37" s="269">
        <v>1067.4058566994299</v>
      </c>
      <c r="H37" s="269">
        <v>1055.1113503530898</v>
      </c>
      <c r="I37" s="269">
        <v>1080.19393023876</v>
      </c>
      <c r="J37" s="269">
        <v>1142.7784693163301</v>
      </c>
      <c r="K37" s="269">
        <v>1165.7933530047201</v>
      </c>
      <c r="L37" s="269">
        <v>1209.8841069529699</v>
      </c>
      <c r="M37" s="269">
        <v>1320.19041142694</v>
      </c>
    </row>
    <row r="38" spans="1:13" s="165" customFormat="1" ht="16.5" customHeight="1">
      <c r="A38" s="181" t="s">
        <v>72</v>
      </c>
      <c r="B38" s="176" t="s">
        <v>45</v>
      </c>
      <c r="C38" s="268">
        <v>1025.5917487991098</v>
      </c>
      <c r="D38" s="268">
        <v>1008.98544289221</v>
      </c>
      <c r="E38" s="268">
        <v>989.69053348913405</v>
      </c>
      <c r="F38" s="268">
        <v>1012.1766182170501</v>
      </c>
      <c r="G38" s="268">
        <v>1011.2808915493399</v>
      </c>
      <c r="H38" s="268">
        <v>1042.5139126941801</v>
      </c>
      <c r="I38" s="268">
        <v>1087.9007445219302</v>
      </c>
      <c r="J38" s="268">
        <v>1152.03691500786</v>
      </c>
      <c r="K38" s="268">
        <v>1110.1810508902399</v>
      </c>
      <c r="L38" s="268">
        <v>1200.89341730002</v>
      </c>
      <c r="M38" s="268">
        <v>1319.0122851366202</v>
      </c>
    </row>
    <row r="39" spans="1:13" s="170" customFormat="1" ht="12.75" customHeight="1">
      <c r="A39" s="182"/>
      <c r="B39" s="185" t="s">
        <v>53</v>
      </c>
      <c r="C39" s="269">
        <v>1127.56244502103</v>
      </c>
      <c r="D39" s="269">
        <v>1106.8647419163801</v>
      </c>
      <c r="E39" s="269">
        <v>1071.92472702142</v>
      </c>
      <c r="F39" s="269">
        <v>1102.02725196909</v>
      </c>
      <c r="G39" s="269">
        <v>1094.9513228969599</v>
      </c>
      <c r="H39" s="269">
        <v>1110.8924296359398</v>
      </c>
      <c r="I39" s="269">
        <v>1163.3364928373101</v>
      </c>
      <c r="J39" s="269">
        <v>1239.6304019278</v>
      </c>
      <c r="K39" s="269">
        <v>1174.1981879437101</v>
      </c>
      <c r="L39" s="269">
        <v>1274.7043584137803</v>
      </c>
      <c r="M39" s="269">
        <v>1447.7178795530801</v>
      </c>
    </row>
    <row r="40" spans="1:13" s="170" customFormat="1" ht="12.75" customHeight="1">
      <c r="A40" s="183"/>
      <c r="B40" s="184" t="s">
        <v>54</v>
      </c>
      <c r="C40" s="270">
        <v>918.42306533547401</v>
      </c>
      <c r="D40" s="270">
        <v>913.22451478816902</v>
      </c>
      <c r="E40" s="270">
        <v>903.13834965007504</v>
      </c>
      <c r="F40" s="270">
        <v>922.63721855768904</v>
      </c>
      <c r="G40" s="270">
        <v>932.17217396961701</v>
      </c>
      <c r="H40" s="270">
        <v>971.10103871185595</v>
      </c>
      <c r="I40" s="270">
        <v>1008.5943894504501</v>
      </c>
      <c r="J40" s="270">
        <v>1063.0116970993301</v>
      </c>
      <c r="K40" s="270">
        <v>1053.2640135625902</v>
      </c>
      <c r="L40" s="270">
        <v>1132.0729967458701</v>
      </c>
      <c r="M40" s="270">
        <v>1194.08503178511</v>
      </c>
    </row>
    <row r="41" spans="1:13" s="170" customFormat="1" ht="14.25" customHeight="1">
      <c r="A41" s="20" t="s">
        <v>138</v>
      </c>
      <c r="B41" s="185"/>
      <c r="C41" s="177"/>
      <c r="D41" s="180"/>
      <c r="E41" s="180"/>
      <c r="G41" s="180"/>
      <c r="H41" s="180"/>
      <c r="I41" s="180"/>
      <c r="J41" s="180"/>
      <c r="K41" s="180"/>
      <c r="L41" s="180"/>
      <c r="M41" s="180"/>
    </row>
    <row r="42" spans="1:13" s="170" customFormat="1" ht="29.25" customHeight="1">
      <c r="A42" s="586" t="s">
        <v>131</v>
      </c>
      <c r="B42" s="586"/>
      <c r="C42" s="586"/>
      <c r="D42" s="586"/>
      <c r="E42" s="586"/>
      <c r="F42" s="586"/>
      <c r="G42" s="586"/>
      <c r="H42" s="586"/>
      <c r="I42" s="586"/>
      <c r="J42" s="586"/>
      <c r="K42" s="586"/>
      <c r="L42" s="586"/>
      <c r="M42" s="586"/>
    </row>
    <row r="43" spans="1:13" s="61" customFormat="1" ht="17.25" customHeight="1">
      <c r="A43" s="96"/>
      <c r="B43" s="96"/>
    </row>
  </sheetData>
  <mergeCells count="2">
    <mergeCell ref="A42:M42"/>
    <mergeCell ref="A1:M1"/>
  </mergeCells>
  <conditionalFormatting sqref="A42 F2 E3 A1 F43:F1048576 G41 N6:N16 A2:D4 A43:D1048576 B41:D41 A5:I40 O5:O16 N4:O4 N17:O1048576 P4:XFD1048576 N1:XFD3">
    <cfRule type="cellIs" dxfId="690" priority="56" operator="equal">
      <formula>0</formula>
    </cfRule>
  </conditionalFormatting>
  <conditionalFormatting sqref="E2 E43:E1048576 E41 E4:F4">
    <cfRule type="cellIs" dxfId="689" priority="55" operator="equal">
      <formula>0</formula>
    </cfRule>
  </conditionalFormatting>
  <conditionalFormatting sqref="A41">
    <cfRule type="cellIs" dxfId="688" priority="54" operator="equal">
      <formula>0</formula>
    </cfRule>
  </conditionalFormatting>
  <conditionalFormatting sqref="G2 G43:G1048576">
    <cfRule type="cellIs" dxfId="687" priority="53" operator="equal">
      <formula>0</formula>
    </cfRule>
  </conditionalFormatting>
  <conditionalFormatting sqref="G4:I4">
    <cfRule type="cellIs" dxfId="686" priority="52" operator="equal">
      <formula>0</formula>
    </cfRule>
  </conditionalFormatting>
  <conditionalFormatting sqref="I41">
    <cfRule type="cellIs" dxfId="685" priority="50" operator="equal">
      <formula>0</formula>
    </cfRule>
  </conditionalFormatting>
  <conditionalFormatting sqref="I2 I43:I1048576">
    <cfRule type="cellIs" dxfId="684" priority="49" operator="equal">
      <formula>0</formula>
    </cfRule>
  </conditionalFormatting>
  <conditionalFormatting sqref="N5">
    <cfRule type="cellIs" dxfId="683" priority="46" operator="equal">
      <formula>0</formula>
    </cfRule>
  </conditionalFormatting>
  <conditionalFormatting sqref="H41">
    <cfRule type="cellIs" dxfId="682" priority="42" operator="equal">
      <formula>0</formula>
    </cfRule>
  </conditionalFormatting>
  <conditionalFormatting sqref="H2 H43:H1048576">
    <cfRule type="cellIs" dxfId="681" priority="41" operator="equal">
      <formula>0</formula>
    </cfRule>
  </conditionalFormatting>
  <conditionalFormatting sqref="J8:J40">
    <cfRule type="cellIs" dxfId="680" priority="37" operator="equal">
      <formula>0</formula>
    </cfRule>
  </conditionalFormatting>
  <conditionalFormatting sqref="J4">
    <cfRule type="cellIs" dxfId="679" priority="36" operator="equal">
      <formula>0</formula>
    </cfRule>
  </conditionalFormatting>
  <conditionalFormatting sqref="J5:J7">
    <cfRule type="cellIs" dxfId="678" priority="35" operator="equal">
      <formula>0</formula>
    </cfRule>
  </conditionalFormatting>
  <conditionalFormatting sqref="J41">
    <cfRule type="cellIs" dxfId="677" priority="34" operator="equal">
      <formula>0</formula>
    </cfRule>
  </conditionalFormatting>
  <conditionalFormatting sqref="J2 J43:J1048576">
    <cfRule type="cellIs" dxfId="676" priority="33" operator="equal">
      <formula>0</formula>
    </cfRule>
  </conditionalFormatting>
  <conditionalFormatting sqref="K8:K40">
    <cfRule type="cellIs" dxfId="675" priority="32" operator="equal">
      <formula>0</formula>
    </cfRule>
  </conditionalFormatting>
  <conditionalFormatting sqref="K4">
    <cfRule type="cellIs" dxfId="674" priority="31" operator="equal">
      <formula>0</formula>
    </cfRule>
  </conditionalFormatting>
  <conditionalFormatting sqref="K5:K7">
    <cfRule type="cellIs" dxfId="673" priority="30" operator="equal">
      <formula>0</formula>
    </cfRule>
  </conditionalFormatting>
  <conditionalFormatting sqref="K41">
    <cfRule type="cellIs" dxfId="672" priority="29" operator="equal">
      <formula>0</formula>
    </cfRule>
  </conditionalFormatting>
  <conditionalFormatting sqref="K2 K43:K1048576">
    <cfRule type="cellIs" dxfId="671" priority="28" operator="equal">
      <formula>0</formula>
    </cfRule>
  </conditionalFormatting>
  <conditionalFormatting sqref="L8:L40">
    <cfRule type="cellIs" dxfId="670" priority="26" operator="equal">
      <formula>0</formula>
    </cfRule>
  </conditionalFormatting>
  <conditionalFormatting sqref="L4">
    <cfRule type="cellIs" dxfId="669" priority="25" operator="equal">
      <formula>0</formula>
    </cfRule>
  </conditionalFormatting>
  <conditionalFormatting sqref="L5:L7">
    <cfRule type="cellIs" dxfId="668" priority="24" operator="equal">
      <formula>0</formula>
    </cfRule>
  </conditionalFormatting>
  <conditionalFormatting sqref="L41">
    <cfRule type="cellIs" dxfId="667" priority="23" operator="equal">
      <formula>0</formula>
    </cfRule>
  </conditionalFormatting>
  <conditionalFormatting sqref="L2 L43:L1048576">
    <cfRule type="cellIs" dxfId="666" priority="22" operator="equal">
      <formula>0</formula>
    </cfRule>
  </conditionalFormatting>
  <conditionalFormatting sqref="K3">
    <cfRule type="cellIs" dxfId="665" priority="21" operator="equal">
      <formula>0</formula>
    </cfRule>
  </conditionalFormatting>
  <conditionalFormatting sqref="L3">
    <cfRule type="cellIs" dxfId="664" priority="20" operator="equal">
      <formula>0</formula>
    </cfRule>
  </conditionalFormatting>
  <conditionalFormatting sqref="M8:M40">
    <cfRule type="cellIs" dxfId="663" priority="14" operator="equal">
      <formula>0</formula>
    </cfRule>
  </conditionalFormatting>
  <conditionalFormatting sqref="M4">
    <cfRule type="cellIs" dxfId="662" priority="13" operator="equal">
      <formula>0</formula>
    </cfRule>
  </conditionalFormatting>
  <conditionalFormatting sqref="M5:M7">
    <cfRule type="cellIs" dxfId="661" priority="12" operator="equal">
      <formula>0</formula>
    </cfRule>
  </conditionalFormatting>
  <conditionalFormatting sqref="M41">
    <cfRule type="cellIs" dxfId="660" priority="11" operator="equal">
      <formula>0</formula>
    </cfRule>
  </conditionalFormatting>
  <conditionalFormatting sqref="M2 M43:M1048576">
    <cfRule type="cellIs" dxfId="659" priority="10" operator="equal">
      <formula>0</formula>
    </cfRule>
  </conditionalFormatting>
  <conditionalFormatting sqref="M3">
    <cfRule type="cellIs" dxfId="658" priority="9"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2">
    <tabColor indexed="26"/>
    <pageSetUpPr fitToPage="1"/>
  </sheetPr>
  <dimension ref="A1:GI25"/>
  <sheetViews>
    <sheetView showGridLines="0" workbookViewId="0">
      <selection activeCell="P8" sqref="P8"/>
    </sheetView>
  </sheetViews>
  <sheetFormatPr defaultColWidth="9.140625" defaultRowHeight="15.75" customHeight="1"/>
  <cols>
    <col min="1" max="1" width="17.140625" style="62" customWidth="1"/>
    <col min="2" max="4" width="6.42578125" style="67" customWidth="1"/>
    <col min="5" max="12" width="6.42578125" style="62" customWidth="1"/>
    <col min="13" max="191" width="9.140625" style="62"/>
    <col min="192" max="16384" width="9.140625" style="8"/>
  </cols>
  <sheetData>
    <row r="1" spans="1:48" s="69" customFormat="1" ht="28.5" customHeight="1">
      <c r="A1" s="585" t="s">
        <v>209</v>
      </c>
      <c r="B1" s="585"/>
      <c r="C1" s="585"/>
      <c r="D1" s="585"/>
      <c r="E1" s="585"/>
      <c r="F1" s="585"/>
      <c r="G1" s="585"/>
      <c r="H1" s="585"/>
      <c r="I1" s="585"/>
      <c r="J1" s="585"/>
      <c r="K1" s="585"/>
      <c r="L1" s="585"/>
    </row>
    <row r="2" spans="1:48" s="4" customFormat="1" ht="15" customHeight="1">
      <c r="A2" s="129"/>
      <c r="B2" s="130"/>
      <c r="C2" s="130"/>
      <c r="D2" s="130"/>
      <c r="E2" s="98"/>
      <c r="F2" s="98"/>
      <c r="G2" s="98"/>
      <c r="H2" s="98"/>
      <c r="I2" s="98"/>
      <c r="J2" s="98"/>
      <c r="K2" s="98"/>
      <c r="L2" s="98"/>
    </row>
    <row r="3" spans="1:48" s="4" customFormat="1" ht="15" customHeight="1">
      <c r="A3" s="13" t="s">
        <v>14</v>
      </c>
      <c r="B3" s="99"/>
      <c r="C3" s="99"/>
      <c r="E3" s="225"/>
      <c r="F3" s="225"/>
      <c r="G3" s="225"/>
      <c r="H3" s="225"/>
      <c r="I3" s="225"/>
      <c r="J3" s="225"/>
      <c r="K3" s="225"/>
      <c r="L3" s="225" t="s">
        <v>68</v>
      </c>
    </row>
    <row r="4" spans="1:48" s="4" customFormat="1" ht="28.5" customHeight="1" thickBot="1">
      <c r="A4" s="14"/>
      <c r="B4" s="15">
        <v>2012</v>
      </c>
      <c r="C4" s="15">
        <v>2013</v>
      </c>
      <c r="D4" s="15">
        <v>2014</v>
      </c>
      <c r="E4" s="15">
        <v>2015</v>
      </c>
      <c r="F4" s="15">
        <v>2016</v>
      </c>
      <c r="G4" s="15">
        <v>2017</v>
      </c>
      <c r="H4" s="15">
        <v>2018</v>
      </c>
      <c r="I4" s="15">
        <v>2019</v>
      </c>
      <c r="J4" s="15">
        <v>2020</v>
      </c>
      <c r="K4" s="15">
        <v>2021</v>
      </c>
      <c r="L4" s="15">
        <v>2022</v>
      </c>
      <c r="O4" s="327"/>
      <c r="P4" s="345">
        <f>+B4</f>
        <v>2012</v>
      </c>
      <c r="Q4" s="345">
        <f t="shared" ref="Q4:W4" si="0">+C4</f>
        <v>2013</v>
      </c>
      <c r="R4" s="345">
        <f t="shared" si="0"/>
        <v>2014</v>
      </c>
      <c r="S4" s="345">
        <f t="shared" si="0"/>
        <v>2015</v>
      </c>
      <c r="T4" s="345">
        <f t="shared" si="0"/>
        <v>2016</v>
      </c>
      <c r="U4" s="345">
        <f t="shared" si="0"/>
        <v>2017</v>
      </c>
      <c r="V4" s="345">
        <f t="shared" si="0"/>
        <v>2018</v>
      </c>
      <c r="W4" s="345">
        <f t="shared" si="0"/>
        <v>2019</v>
      </c>
      <c r="X4" s="345">
        <f>+J4</f>
        <v>2020</v>
      </c>
      <c r="Y4" s="345">
        <f t="shared" ref="Y4:Z4" si="1">+K4</f>
        <v>2021</v>
      </c>
      <c r="Z4" s="345">
        <f t="shared" si="1"/>
        <v>2022</v>
      </c>
      <c r="AA4" s="345">
        <f>+B4</f>
        <v>2012</v>
      </c>
      <c r="AB4" s="345">
        <f t="shared" ref="AB4:AJ4" si="2">+C4</f>
        <v>2013</v>
      </c>
      <c r="AC4" s="345">
        <f t="shared" si="2"/>
        <v>2014</v>
      </c>
      <c r="AD4" s="345">
        <f t="shared" si="2"/>
        <v>2015</v>
      </c>
      <c r="AE4" s="345">
        <f t="shared" si="2"/>
        <v>2016</v>
      </c>
      <c r="AF4" s="345">
        <f t="shared" si="2"/>
        <v>2017</v>
      </c>
      <c r="AG4" s="345">
        <f t="shared" si="2"/>
        <v>2018</v>
      </c>
      <c r="AH4" s="345">
        <f t="shared" si="2"/>
        <v>2019</v>
      </c>
      <c r="AI4" s="345">
        <f t="shared" si="2"/>
        <v>2020</v>
      </c>
      <c r="AJ4" s="345">
        <f t="shared" si="2"/>
        <v>2021</v>
      </c>
      <c r="AK4" s="345">
        <f>+L4</f>
        <v>2022</v>
      </c>
      <c r="AL4" s="345">
        <f>+B4</f>
        <v>2012</v>
      </c>
      <c r="AM4" s="345">
        <f t="shared" ref="AM4:AV4" si="3">+C4</f>
        <v>2013</v>
      </c>
      <c r="AN4" s="345">
        <f t="shared" si="3"/>
        <v>2014</v>
      </c>
      <c r="AO4" s="345">
        <f t="shared" si="3"/>
        <v>2015</v>
      </c>
      <c r="AP4" s="345">
        <f t="shared" si="3"/>
        <v>2016</v>
      </c>
      <c r="AQ4" s="345">
        <f t="shared" si="3"/>
        <v>2017</v>
      </c>
      <c r="AR4" s="345">
        <f t="shared" si="3"/>
        <v>2018</v>
      </c>
      <c r="AS4" s="345">
        <f t="shared" si="3"/>
        <v>2019</v>
      </c>
      <c r="AT4" s="345">
        <f t="shared" si="3"/>
        <v>2020</v>
      </c>
      <c r="AU4" s="345">
        <f t="shared" si="3"/>
        <v>2021</v>
      </c>
      <c r="AV4" s="345">
        <f t="shared" si="3"/>
        <v>2022</v>
      </c>
    </row>
    <row r="5" spans="1:48" s="4" customFormat="1" ht="20.25" customHeight="1" thickTop="1">
      <c r="A5" s="16" t="s">
        <v>12</v>
      </c>
      <c r="B5" s="271">
        <v>915.01247006081212</v>
      </c>
      <c r="C5" s="271">
        <v>912.18298170177309</v>
      </c>
      <c r="D5" s="271">
        <v>909.49144915721399</v>
      </c>
      <c r="E5" s="271">
        <v>913.92544791377406</v>
      </c>
      <c r="F5" s="271">
        <v>924.9392153090821</v>
      </c>
      <c r="G5" s="271">
        <v>943.00107511786211</v>
      </c>
      <c r="H5" s="271">
        <v>970.41689676342503</v>
      </c>
      <c r="I5" s="271">
        <v>1005.08927925103</v>
      </c>
      <c r="J5" s="271">
        <v>1041.9948771786001</v>
      </c>
      <c r="K5" s="271">
        <v>1082.7724697513502</v>
      </c>
      <c r="L5" s="271">
        <v>1143.44558285689</v>
      </c>
    </row>
    <row r="6" spans="1:48" s="4" customFormat="1" ht="20.25" customHeight="1">
      <c r="A6" s="16" t="s">
        <v>15</v>
      </c>
      <c r="B6" s="273">
        <v>814.04086857411801</v>
      </c>
      <c r="C6" s="273">
        <v>814.32212032682708</v>
      </c>
      <c r="D6" s="273">
        <v>822.65482247798707</v>
      </c>
      <c r="E6" s="273">
        <v>833.47621656852607</v>
      </c>
      <c r="F6" s="273">
        <v>848.24619959365202</v>
      </c>
      <c r="G6" s="273">
        <v>866.16639225268409</v>
      </c>
      <c r="H6" s="273">
        <v>898.44652733664407</v>
      </c>
      <c r="I6" s="273">
        <v>933.567989602804</v>
      </c>
      <c r="J6" s="273">
        <v>962.64234393580011</v>
      </c>
      <c r="K6" s="273">
        <v>993.47741240526011</v>
      </c>
      <c r="L6" s="273">
        <v>1052.7972743375899</v>
      </c>
      <c r="N6" s="499">
        <f>+(L6/B6-1)*100</f>
        <v>29.329781216228113</v>
      </c>
      <c r="O6" s="344">
        <f t="shared" ref="O6:O10" si="4">+L6-B6</f>
        <v>238.75640576347189</v>
      </c>
      <c r="P6" s="499">
        <f>B6*100/B$5</f>
        <v>88.965002686795799</v>
      </c>
      <c r="Q6" s="499">
        <f t="shared" ref="Q6:Z21" si="5">C6*100/C$5</f>
        <v>89.271794876903286</v>
      </c>
      <c r="R6" s="499">
        <f t="shared" si="5"/>
        <v>90.45217777916497</v>
      </c>
      <c r="S6" s="499">
        <f t="shared" si="5"/>
        <v>91.197396731988334</v>
      </c>
      <c r="T6" s="499">
        <f t="shared" si="5"/>
        <v>91.708318293132152</v>
      </c>
      <c r="U6" s="499">
        <f t="shared" si="5"/>
        <v>91.852110788359951</v>
      </c>
      <c r="V6" s="499">
        <f t="shared" si="5"/>
        <v>92.583561800415936</v>
      </c>
      <c r="W6" s="499">
        <f t="shared" si="5"/>
        <v>92.884085909112272</v>
      </c>
      <c r="X6" s="499">
        <f t="shared" si="5"/>
        <v>92.384556298620012</v>
      </c>
      <c r="Y6" s="499">
        <f t="shared" si="5"/>
        <v>91.753109739981113</v>
      </c>
      <c r="Z6" s="499">
        <f t="shared" si="5"/>
        <v>92.072354830142771</v>
      </c>
      <c r="AA6" s="4">
        <f>+RANK(B6,B$6:B$23,0)</f>
        <v>4</v>
      </c>
      <c r="AB6" s="4">
        <f t="shared" ref="AB6:AK21" si="6">+RANK(C6,C$6:C$23,0)</f>
        <v>5</v>
      </c>
      <c r="AC6" s="4">
        <f t="shared" si="6"/>
        <v>4</v>
      </c>
      <c r="AD6" s="4">
        <f t="shared" si="6"/>
        <v>4</v>
      </c>
      <c r="AE6" s="4">
        <f t="shared" si="6"/>
        <v>4</v>
      </c>
      <c r="AF6" s="4">
        <f t="shared" si="6"/>
        <v>4</v>
      </c>
      <c r="AG6" s="4">
        <f t="shared" si="6"/>
        <v>4</v>
      </c>
      <c r="AH6" s="4">
        <f t="shared" si="6"/>
        <v>4</v>
      </c>
      <c r="AI6" s="4">
        <f t="shared" si="6"/>
        <v>4</v>
      </c>
      <c r="AJ6" s="4">
        <f t="shared" si="6"/>
        <v>4</v>
      </c>
      <c r="AK6" s="4">
        <f>+RANK(L6,L$6:L$23,0)</f>
        <v>4</v>
      </c>
      <c r="AL6" s="499">
        <f>+(B6/B$5-1)*100</f>
        <v>-11.034997313204208</v>
      </c>
      <c r="AM6" s="499">
        <f t="shared" ref="AM6:AV6" si="7">+(C6/C$5-1)*100</f>
        <v>-10.728205123096712</v>
      </c>
      <c r="AN6" s="499">
        <f t="shared" si="7"/>
        <v>-9.5478222208350232</v>
      </c>
      <c r="AO6" s="499">
        <f t="shared" si="7"/>
        <v>-8.802603268011655</v>
      </c>
      <c r="AP6" s="499">
        <f t="shared" si="7"/>
        <v>-8.2916817068678377</v>
      </c>
      <c r="AQ6" s="499">
        <f t="shared" si="7"/>
        <v>-8.1478892116400576</v>
      </c>
      <c r="AR6" s="499">
        <f t="shared" si="7"/>
        <v>-7.4164381995840749</v>
      </c>
      <c r="AS6" s="499">
        <f t="shared" si="7"/>
        <v>-7.1159140908877312</v>
      </c>
      <c r="AT6" s="499">
        <f t="shared" si="7"/>
        <v>-7.6154437013799985</v>
      </c>
      <c r="AU6" s="499">
        <f t="shared" si="7"/>
        <v>-8.2468902600188905</v>
      </c>
      <c r="AV6" s="499">
        <f t="shared" si="7"/>
        <v>-7.9276451698572341</v>
      </c>
    </row>
    <row r="7" spans="1:48" s="4" customFormat="1" ht="15" customHeight="1">
      <c r="A7" s="16" t="s">
        <v>16</v>
      </c>
      <c r="B7" s="273">
        <v>763.24835811452112</v>
      </c>
      <c r="C7" s="273">
        <v>768.28900669994198</v>
      </c>
      <c r="D7" s="273">
        <v>766.65191729653702</v>
      </c>
      <c r="E7" s="273">
        <v>771.56351129106304</v>
      </c>
      <c r="F7" s="273">
        <v>774.7519727973521</v>
      </c>
      <c r="G7" s="273">
        <v>798.43359179550907</v>
      </c>
      <c r="H7" s="273">
        <v>825.41418479278207</v>
      </c>
      <c r="I7" s="273">
        <v>846.77599739526806</v>
      </c>
      <c r="J7" s="273">
        <v>870.723383406685</v>
      </c>
      <c r="K7" s="273">
        <v>905.26368882292707</v>
      </c>
      <c r="L7" s="273">
        <v>947.74026093299312</v>
      </c>
      <c r="N7" s="499">
        <f t="shared" ref="N7:N23" si="8">+(L7/B7-1)*100</f>
        <v>24.171935760756668</v>
      </c>
      <c r="O7" s="344">
        <f t="shared" si="4"/>
        <v>184.491902818472</v>
      </c>
      <c r="P7" s="499">
        <f t="shared" ref="P7:Z23" si="9">B7*100/B$5</f>
        <v>83.41398429944843</v>
      </c>
      <c r="Q7" s="499">
        <f t="shared" si="5"/>
        <v>84.225316862042106</v>
      </c>
      <c r="R7" s="499">
        <f t="shared" si="5"/>
        <v>84.294571214161479</v>
      </c>
      <c r="S7" s="499">
        <f t="shared" si="5"/>
        <v>84.423025209804379</v>
      </c>
      <c r="T7" s="499">
        <f t="shared" si="5"/>
        <v>83.762474330646398</v>
      </c>
      <c r="U7" s="499">
        <f t="shared" si="5"/>
        <v>84.669425397602637</v>
      </c>
      <c r="V7" s="499">
        <f t="shared" si="5"/>
        <v>85.057688870189494</v>
      </c>
      <c r="W7" s="499">
        <f t="shared" si="5"/>
        <v>84.248833897250051</v>
      </c>
      <c r="X7" s="499">
        <f t="shared" si="5"/>
        <v>83.563115565820695</v>
      </c>
      <c r="Y7" s="499">
        <f t="shared" si="5"/>
        <v>83.606086607541243</v>
      </c>
      <c r="Z7" s="499">
        <f t="shared" si="5"/>
        <v>82.884596796033904</v>
      </c>
      <c r="AA7" s="4">
        <f t="shared" ref="AA7:AK23" si="10">+RANK(B7,B$6:B$23,0)</f>
        <v>10</v>
      </c>
      <c r="AB7" s="4">
        <f t="shared" si="6"/>
        <v>10</v>
      </c>
      <c r="AC7" s="4">
        <f t="shared" si="6"/>
        <v>10</v>
      </c>
      <c r="AD7" s="4">
        <f t="shared" si="6"/>
        <v>10</v>
      </c>
      <c r="AE7" s="4">
        <f t="shared" si="6"/>
        <v>10</v>
      </c>
      <c r="AF7" s="4">
        <f t="shared" si="6"/>
        <v>10</v>
      </c>
      <c r="AG7" s="4">
        <f t="shared" si="6"/>
        <v>10</v>
      </c>
      <c r="AH7" s="4">
        <f t="shared" si="6"/>
        <v>11</v>
      </c>
      <c r="AI7" s="4">
        <f t="shared" si="6"/>
        <v>11</v>
      </c>
      <c r="AJ7" s="4">
        <f t="shared" si="6"/>
        <v>12</v>
      </c>
      <c r="AK7" s="4">
        <f t="shared" si="6"/>
        <v>12</v>
      </c>
      <c r="AL7" s="499">
        <f t="shared" ref="AL7:AL23" si="11">+(B7/B$5-1)*100</f>
        <v>-16.58601570055157</v>
      </c>
      <c r="AM7" s="499">
        <f t="shared" ref="AM7:AM23" si="12">+(C7/C$5-1)*100</f>
        <v>-15.77468313795789</v>
      </c>
      <c r="AN7" s="499">
        <f t="shared" ref="AN7:AN23" si="13">+(D7/D$5-1)*100</f>
        <v>-15.705428785838516</v>
      </c>
      <c r="AO7" s="499">
        <f t="shared" ref="AO7:AO23" si="14">+(E7/E$5-1)*100</f>
        <v>-15.576974790195619</v>
      </c>
      <c r="AP7" s="499">
        <f t="shared" ref="AP7:AP23" si="15">+(F7/F$5-1)*100</f>
        <v>-16.237525669353602</v>
      </c>
      <c r="AQ7" s="499">
        <f t="shared" ref="AQ7:AQ23" si="16">+(G7/G$5-1)*100</f>
        <v>-15.330574602397363</v>
      </c>
      <c r="AR7" s="499">
        <f t="shared" ref="AR7:AR23" si="17">+(H7/H$5-1)*100</f>
        <v>-14.942311129810504</v>
      </c>
      <c r="AS7" s="499">
        <f t="shared" ref="AS7:AS23" si="18">+(I7/I$5-1)*100</f>
        <v>-15.751166102749947</v>
      </c>
      <c r="AT7" s="499">
        <f t="shared" ref="AT7:AT23" si="19">+(J7/J$5-1)*100</f>
        <v>-16.436884434179298</v>
      </c>
      <c r="AU7" s="499">
        <f t="shared" ref="AU7:AU23" si="20">+(K7/K$5-1)*100</f>
        <v>-16.39391339245876</v>
      </c>
      <c r="AV7" s="499">
        <f t="shared" ref="AV7:AV23" si="21">+(L7/L$5-1)*100</f>
        <v>-17.115403203966096</v>
      </c>
    </row>
    <row r="8" spans="1:48" s="4" customFormat="1" ht="15" customHeight="1">
      <c r="A8" s="16" t="s">
        <v>66</v>
      </c>
      <c r="B8" s="273">
        <v>733.04839275631207</v>
      </c>
      <c r="C8" s="273">
        <v>732.12397412125608</v>
      </c>
      <c r="D8" s="273">
        <v>739.18011428445107</v>
      </c>
      <c r="E8" s="273">
        <v>743.71596674791601</v>
      </c>
      <c r="F8" s="273">
        <v>761.02360793718697</v>
      </c>
      <c r="G8" s="273">
        <v>787.64607867219115</v>
      </c>
      <c r="H8" s="273">
        <v>818.10755215690006</v>
      </c>
      <c r="I8" s="273">
        <v>855.13970360862209</v>
      </c>
      <c r="J8" s="273">
        <v>897.25287991757614</v>
      </c>
      <c r="K8" s="273">
        <v>943.6080715686511</v>
      </c>
      <c r="L8" s="273">
        <v>988.00150691903912</v>
      </c>
      <c r="N8" s="499">
        <f t="shared" si="8"/>
        <v>34.779847644721769</v>
      </c>
      <c r="O8" s="344">
        <f t="shared" si="4"/>
        <v>254.95311416272705</v>
      </c>
      <c r="P8" s="499">
        <f t="shared" si="9"/>
        <v>80.113486618121541</v>
      </c>
      <c r="Q8" s="499">
        <f t="shared" si="5"/>
        <v>80.260648226017324</v>
      </c>
      <c r="R8" s="499">
        <f t="shared" si="5"/>
        <v>81.274003726963798</v>
      </c>
      <c r="S8" s="499">
        <f t="shared" si="5"/>
        <v>81.375999371240084</v>
      </c>
      <c r="T8" s="499">
        <f t="shared" si="5"/>
        <v>82.278229243732483</v>
      </c>
      <c r="U8" s="499">
        <f t="shared" si="5"/>
        <v>83.525469848880746</v>
      </c>
      <c r="V8" s="499">
        <f t="shared" si="5"/>
        <v>84.304751379070851</v>
      </c>
      <c r="W8" s="499">
        <f t="shared" si="5"/>
        <v>85.080969547884649</v>
      </c>
      <c r="X8" s="499">
        <f t="shared" si="5"/>
        <v>86.109145022580108</v>
      </c>
      <c r="Y8" s="499">
        <f t="shared" si="5"/>
        <v>87.147401502121951</v>
      </c>
      <c r="Z8" s="499">
        <f t="shared" si="5"/>
        <v>86.405642885997679</v>
      </c>
      <c r="AA8" s="4">
        <f t="shared" si="10"/>
        <v>13</v>
      </c>
      <c r="AB8" s="4">
        <f t="shared" si="6"/>
        <v>14</v>
      </c>
      <c r="AC8" s="4">
        <f t="shared" si="6"/>
        <v>13</v>
      </c>
      <c r="AD8" s="4">
        <f t="shared" si="6"/>
        <v>13</v>
      </c>
      <c r="AE8" s="4">
        <f t="shared" si="6"/>
        <v>12</v>
      </c>
      <c r="AF8" s="4">
        <f t="shared" si="6"/>
        <v>11</v>
      </c>
      <c r="AG8" s="4">
        <f t="shared" si="6"/>
        <v>11</v>
      </c>
      <c r="AH8" s="4">
        <f t="shared" si="6"/>
        <v>10</v>
      </c>
      <c r="AI8" s="4">
        <f t="shared" si="6"/>
        <v>9</v>
      </c>
      <c r="AJ8" s="4">
        <f t="shared" si="6"/>
        <v>7</v>
      </c>
      <c r="AK8" s="4">
        <f t="shared" si="6"/>
        <v>7</v>
      </c>
      <c r="AL8" s="499">
        <f t="shared" si="11"/>
        <v>-19.886513381878459</v>
      </c>
      <c r="AM8" s="499">
        <f t="shared" si="12"/>
        <v>-19.739351773982673</v>
      </c>
      <c r="AN8" s="499">
        <f t="shared" si="13"/>
        <v>-18.725996273036216</v>
      </c>
      <c r="AO8" s="499">
        <f t="shared" si="14"/>
        <v>-18.624000628759909</v>
      </c>
      <c r="AP8" s="499">
        <f t="shared" si="15"/>
        <v>-17.721770756267517</v>
      </c>
      <c r="AQ8" s="499">
        <f t="shared" si="16"/>
        <v>-16.474530151119261</v>
      </c>
      <c r="AR8" s="499">
        <f t="shared" si="17"/>
        <v>-15.695248620929158</v>
      </c>
      <c r="AS8" s="499">
        <f t="shared" si="18"/>
        <v>-14.919030452115356</v>
      </c>
      <c r="AT8" s="499">
        <f t="shared" si="19"/>
        <v>-13.890854977419897</v>
      </c>
      <c r="AU8" s="499">
        <f t="shared" si="20"/>
        <v>-12.852598497878043</v>
      </c>
      <c r="AV8" s="499">
        <f t="shared" si="21"/>
        <v>-13.594357114002321</v>
      </c>
    </row>
    <row r="9" spans="1:48" s="4" customFormat="1" ht="15" customHeight="1">
      <c r="A9" s="16" t="s">
        <v>17</v>
      </c>
      <c r="B9" s="273">
        <v>702.44470030298999</v>
      </c>
      <c r="C9" s="273">
        <v>715.55134097035011</v>
      </c>
      <c r="D9" s="273">
        <v>706.01042858090602</v>
      </c>
      <c r="E9" s="273">
        <v>708.22745568300297</v>
      </c>
      <c r="F9" s="273">
        <v>726.97779831180503</v>
      </c>
      <c r="G9" s="273">
        <v>745.82629187817315</v>
      </c>
      <c r="H9" s="273">
        <v>766.61063185121304</v>
      </c>
      <c r="I9" s="273">
        <v>793.80467814135307</v>
      </c>
      <c r="J9" s="273">
        <v>827.35869379940698</v>
      </c>
      <c r="K9" s="273">
        <v>858.77248238153106</v>
      </c>
      <c r="L9" s="273">
        <v>892.75012004236817</v>
      </c>
      <c r="N9" s="499">
        <f t="shared" si="8"/>
        <v>27.091872094314695</v>
      </c>
      <c r="O9" s="344">
        <f t="shared" si="4"/>
        <v>190.30541973937818</v>
      </c>
      <c r="P9" s="499">
        <f t="shared" si="9"/>
        <v>76.768866358324615</v>
      </c>
      <c r="Q9" s="499">
        <f t="shared" si="5"/>
        <v>78.443838059268984</v>
      </c>
      <c r="R9" s="499">
        <f t="shared" si="5"/>
        <v>77.62694517195682</v>
      </c>
      <c r="S9" s="499">
        <f t="shared" si="5"/>
        <v>77.492913377090019</v>
      </c>
      <c r="T9" s="499">
        <f t="shared" si="5"/>
        <v>78.59735929445641</v>
      </c>
      <c r="U9" s="499">
        <f t="shared" si="5"/>
        <v>79.090714905595974</v>
      </c>
      <c r="V9" s="499">
        <f t="shared" si="5"/>
        <v>78.998071283388086</v>
      </c>
      <c r="W9" s="499">
        <f t="shared" si="5"/>
        <v>78.978524050408595</v>
      </c>
      <c r="X9" s="499">
        <f t="shared" si="5"/>
        <v>79.401416640323475</v>
      </c>
      <c r="Y9" s="499">
        <f t="shared" si="5"/>
        <v>79.312367683188427</v>
      </c>
      <c r="Z9" s="499">
        <f t="shared" si="5"/>
        <v>78.075435633048571</v>
      </c>
      <c r="AA9" s="4">
        <f t="shared" si="10"/>
        <v>17</v>
      </c>
      <c r="AB9" s="4">
        <f t="shared" si="6"/>
        <v>16</v>
      </c>
      <c r="AC9" s="4">
        <f t="shared" si="6"/>
        <v>17</v>
      </c>
      <c r="AD9" s="4">
        <f t="shared" si="6"/>
        <v>17</v>
      </c>
      <c r="AE9" s="4">
        <f t="shared" si="6"/>
        <v>17</v>
      </c>
      <c r="AF9" s="4">
        <f t="shared" si="6"/>
        <v>17</v>
      </c>
      <c r="AG9" s="4">
        <f t="shared" si="6"/>
        <v>18</v>
      </c>
      <c r="AH9" s="4">
        <f t="shared" si="6"/>
        <v>18</v>
      </c>
      <c r="AI9" s="4">
        <f t="shared" si="6"/>
        <v>17</v>
      </c>
      <c r="AJ9" s="4">
        <f t="shared" si="6"/>
        <v>18</v>
      </c>
      <c r="AK9" s="4">
        <f t="shared" si="6"/>
        <v>18</v>
      </c>
      <c r="AL9" s="499">
        <f t="shared" si="11"/>
        <v>-23.23113364167537</v>
      </c>
      <c r="AM9" s="499">
        <f t="shared" si="12"/>
        <v>-21.556161940731013</v>
      </c>
      <c r="AN9" s="499">
        <f t="shared" si="13"/>
        <v>-22.37305482804318</v>
      </c>
      <c r="AO9" s="499">
        <f t="shared" si="14"/>
        <v>-22.507086622909977</v>
      </c>
      <c r="AP9" s="499">
        <f t="shared" si="15"/>
        <v>-21.402640705543586</v>
      </c>
      <c r="AQ9" s="499">
        <f t="shared" si="16"/>
        <v>-20.909285094404041</v>
      </c>
      <c r="AR9" s="499">
        <f t="shared" si="17"/>
        <v>-21.001928716611918</v>
      </c>
      <c r="AS9" s="499">
        <f t="shared" si="18"/>
        <v>-21.021475949591416</v>
      </c>
      <c r="AT9" s="499">
        <f t="shared" si="19"/>
        <v>-20.598583359676535</v>
      </c>
      <c r="AU9" s="499">
        <f t="shared" si="20"/>
        <v>-20.687632316811566</v>
      </c>
      <c r="AV9" s="499">
        <f t="shared" si="21"/>
        <v>-21.924564366951437</v>
      </c>
    </row>
    <row r="10" spans="1:48" s="4" customFormat="1" ht="15" customHeight="1">
      <c r="A10" s="16" t="s">
        <v>18</v>
      </c>
      <c r="B10" s="273">
        <v>710.93857245656704</v>
      </c>
      <c r="C10" s="273">
        <v>714.41865989236715</v>
      </c>
      <c r="D10" s="273">
        <v>720.73257118528602</v>
      </c>
      <c r="E10" s="273">
        <v>727.47418887026697</v>
      </c>
      <c r="F10" s="273">
        <v>746.22250849300212</v>
      </c>
      <c r="G10" s="273">
        <v>764.31757621643396</v>
      </c>
      <c r="H10" s="273">
        <v>784.67502689297612</v>
      </c>
      <c r="I10" s="273">
        <v>816.48797818902813</v>
      </c>
      <c r="J10" s="273">
        <v>854.54879239097011</v>
      </c>
      <c r="K10" s="273">
        <v>893.36371952050104</v>
      </c>
      <c r="L10" s="273">
        <v>932.85300061654311</v>
      </c>
      <c r="N10" s="499">
        <f t="shared" si="8"/>
        <v>31.214290060697671</v>
      </c>
      <c r="O10" s="344">
        <f t="shared" si="4"/>
        <v>221.91442815997607</v>
      </c>
      <c r="P10" s="499">
        <f t="shared" si="9"/>
        <v>77.697145745928225</v>
      </c>
      <c r="Q10" s="499">
        <f t="shared" si="5"/>
        <v>78.319665486363732</v>
      </c>
      <c r="R10" s="499">
        <f t="shared" si="5"/>
        <v>79.245667658905148</v>
      </c>
      <c r="S10" s="499">
        <f t="shared" si="5"/>
        <v>79.5988546473762</v>
      </c>
      <c r="T10" s="499">
        <f t="shared" si="5"/>
        <v>80.678005229093984</v>
      </c>
      <c r="U10" s="499">
        <f t="shared" si="5"/>
        <v>81.051612387706427</v>
      </c>
      <c r="V10" s="499">
        <f t="shared" si="5"/>
        <v>80.859579991862987</v>
      </c>
      <c r="W10" s="499">
        <f t="shared" si="5"/>
        <v>81.235368344338184</v>
      </c>
      <c r="X10" s="499">
        <f t="shared" si="5"/>
        <v>82.010843921308322</v>
      </c>
      <c r="Y10" s="499">
        <f t="shared" si="5"/>
        <v>82.507058913832068</v>
      </c>
      <c r="Z10" s="499">
        <f t="shared" si="5"/>
        <v>81.582631880549755</v>
      </c>
      <c r="AA10" s="4">
        <f t="shared" si="10"/>
        <v>16</v>
      </c>
      <c r="AB10" s="4">
        <f t="shared" si="6"/>
        <v>17</v>
      </c>
      <c r="AC10" s="4">
        <f t="shared" si="6"/>
        <v>16</v>
      </c>
      <c r="AD10" s="4">
        <f t="shared" si="6"/>
        <v>16</v>
      </c>
      <c r="AE10" s="4">
        <f t="shared" si="6"/>
        <v>16</v>
      </c>
      <c r="AF10" s="4">
        <f t="shared" si="6"/>
        <v>16</v>
      </c>
      <c r="AG10" s="4">
        <f t="shared" si="6"/>
        <v>16</v>
      </c>
      <c r="AH10" s="4">
        <f t="shared" si="6"/>
        <v>16</v>
      </c>
      <c r="AI10" s="4">
        <f t="shared" si="6"/>
        <v>14</v>
      </c>
      <c r="AJ10" s="4">
        <f t="shared" si="6"/>
        <v>15</v>
      </c>
      <c r="AK10" s="4">
        <f t="shared" si="6"/>
        <v>14</v>
      </c>
      <c r="AL10" s="499">
        <f t="shared" si="11"/>
        <v>-22.302854254071779</v>
      </c>
      <c r="AM10" s="499">
        <f t="shared" si="12"/>
        <v>-21.680334513636268</v>
      </c>
      <c r="AN10" s="499">
        <f t="shared" si="13"/>
        <v>-20.754332341094862</v>
      </c>
      <c r="AO10" s="499">
        <f t="shared" si="14"/>
        <v>-20.401145352623796</v>
      </c>
      <c r="AP10" s="499">
        <f t="shared" si="15"/>
        <v>-19.321994770906016</v>
      </c>
      <c r="AQ10" s="499">
        <f t="shared" si="16"/>
        <v>-18.948387612293573</v>
      </c>
      <c r="AR10" s="499">
        <f t="shared" si="17"/>
        <v>-19.140420008137017</v>
      </c>
      <c r="AS10" s="499">
        <f t="shared" si="18"/>
        <v>-18.764631655661812</v>
      </c>
      <c r="AT10" s="499">
        <f t="shared" si="19"/>
        <v>-17.989156078691671</v>
      </c>
      <c r="AU10" s="499">
        <f t="shared" si="20"/>
        <v>-17.492941086167924</v>
      </c>
      <c r="AV10" s="499">
        <f t="shared" si="21"/>
        <v>-18.417368119450252</v>
      </c>
    </row>
    <row r="11" spans="1:48" s="4" customFormat="1" ht="15" customHeight="1">
      <c r="A11" s="16" t="s">
        <v>19</v>
      </c>
      <c r="B11" s="273">
        <v>812.1180321302071</v>
      </c>
      <c r="C11" s="273">
        <v>816.6465485115051</v>
      </c>
      <c r="D11" s="273">
        <v>802.90606423090003</v>
      </c>
      <c r="E11" s="273">
        <v>802.07598060838711</v>
      </c>
      <c r="F11" s="273">
        <v>816.40504654292613</v>
      </c>
      <c r="G11" s="273">
        <v>834.24928808467109</v>
      </c>
      <c r="H11" s="273">
        <v>862.98138061357599</v>
      </c>
      <c r="I11" s="273">
        <v>896.41803716406298</v>
      </c>
      <c r="J11" s="273">
        <v>924.3968412620651</v>
      </c>
      <c r="K11" s="273">
        <v>969.39124593846498</v>
      </c>
      <c r="L11" s="273">
        <v>1016.0729735121099</v>
      </c>
      <c r="N11" s="499">
        <f t="shared" si="8"/>
        <v>25.113953060114124</v>
      </c>
      <c r="O11" s="344">
        <f t="shared" ref="O11:O23" si="22">+L11-B11</f>
        <v>203.95494138190281</v>
      </c>
      <c r="P11" s="499">
        <f t="shared" si="9"/>
        <v>88.754859491284691</v>
      </c>
      <c r="Q11" s="499">
        <f t="shared" si="5"/>
        <v>89.526615261771852</v>
      </c>
      <c r="R11" s="499">
        <f t="shared" si="5"/>
        <v>88.28077108090659</v>
      </c>
      <c r="S11" s="499">
        <f t="shared" si="5"/>
        <v>87.76164209447208</v>
      </c>
      <c r="T11" s="499">
        <f t="shared" si="5"/>
        <v>88.265805258360928</v>
      </c>
      <c r="U11" s="499">
        <f t="shared" si="5"/>
        <v>88.467480058853752</v>
      </c>
      <c r="V11" s="499">
        <f t="shared" si="5"/>
        <v>88.928931832476081</v>
      </c>
      <c r="W11" s="499">
        <f t="shared" si="5"/>
        <v>89.187901579455072</v>
      </c>
      <c r="X11" s="499">
        <f t="shared" si="5"/>
        <v>88.714144522960225</v>
      </c>
      <c r="Y11" s="499">
        <f t="shared" si="5"/>
        <v>89.52861963336376</v>
      </c>
      <c r="Z11" s="499">
        <f t="shared" si="5"/>
        <v>88.860632175731467</v>
      </c>
      <c r="AA11" s="4">
        <f t="shared" si="10"/>
        <v>5</v>
      </c>
      <c r="AB11" s="4">
        <f t="shared" si="6"/>
        <v>4</v>
      </c>
      <c r="AC11" s="4">
        <f t="shared" si="6"/>
        <v>5</v>
      </c>
      <c r="AD11" s="4">
        <f t="shared" si="6"/>
        <v>5</v>
      </c>
      <c r="AE11" s="4">
        <f t="shared" si="6"/>
        <v>5</v>
      </c>
      <c r="AF11" s="4">
        <f t="shared" si="6"/>
        <v>5</v>
      </c>
      <c r="AG11" s="4">
        <f t="shared" si="6"/>
        <v>5</v>
      </c>
      <c r="AH11" s="4">
        <f t="shared" si="6"/>
        <v>5</v>
      </c>
      <c r="AI11" s="4">
        <f t="shared" si="6"/>
        <v>5</v>
      </c>
      <c r="AJ11" s="4">
        <f t="shared" si="6"/>
        <v>5</v>
      </c>
      <c r="AK11" s="4">
        <f t="shared" si="6"/>
        <v>5</v>
      </c>
      <c r="AL11" s="499">
        <f t="shared" si="11"/>
        <v>-11.245140508715323</v>
      </c>
      <c r="AM11" s="499">
        <f t="shared" si="12"/>
        <v>-10.473384738228154</v>
      </c>
      <c r="AN11" s="499">
        <f t="shared" si="13"/>
        <v>-11.719228919093405</v>
      </c>
      <c r="AO11" s="499">
        <f t="shared" si="14"/>
        <v>-12.238357905527931</v>
      </c>
      <c r="AP11" s="499">
        <f t="shared" si="15"/>
        <v>-11.734194741639071</v>
      </c>
      <c r="AQ11" s="499">
        <f t="shared" si="16"/>
        <v>-11.532519941146258</v>
      </c>
      <c r="AR11" s="499">
        <f t="shared" si="17"/>
        <v>-11.071068167523922</v>
      </c>
      <c r="AS11" s="499">
        <f t="shared" si="18"/>
        <v>-10.812098420544924</v>
      </c>
      <c r="AT11" s="499">
        <f t="shared" si="19"/>
        <v>-11.285855477039785</v>
      </c>
      <c r="AU11" s="499">
        <f t="shared" si="20"/>
        <v>-10.47138036663624</v>
      </c>
      <c r="AV11" s="499">
        <f t="shared" si="21"/>
        <v>-11.139367824268531</v>
      </c>
    </row>
    <row r="12" spans="1:48" s="4" customFormat="1" ht="15" customHeight="1">
      <c r="A12" s="16" t="s">
        <v>20</v>
      </c>
      <c r="B12" s="273">
        <v>782.2058064269321</v>
      </c>
      <c r="C12" s="273">
        <v>789.16583271994693</v>
      </c>
      <c r="D12" s="273">
        <v>791.90848027258301</v>
      </c>
      <c r="E12" s="273">
        <v>796.54554832782105</v>
      </c>
      <c r="F12" s="273">
        <v>804.01786004498308</v>
      </c>
      <c r="G12" s="273">
        <v>819.60018360678998</v>
      </c>
      <c r="H12" s="273">
        <v>839.16181474480209</v>
      </c>
      <c r="I12" s="273">
        <v>861.12811243331998</v>
      </c>
      <c r="J12" s="273">
        <v>898.00852296249502</v>
      </c>
      <c r="K12" s="273">
        <v>931.83232782701702</v>
      </c>
      <c r="L12" s="273">
        <v>984.10746899954609</v>
      </c>
      <c r="N12" s="499">
        <f t="shared" si="8"/>
        <v>25.81183378002374</v>
      </c>
      <c r="O12" s="344">
        <f t="shared" si="22"/>
        <v>201.90166257261399</v>
      </c>
      <c r="P12" s="499">
        <f t="shared" si="9"/>
        <v>85.485808338212749</v>
      </c>
      <c r="Q12" s="499">
        <f t="shared" si="5"/>
        <v>86.513983329054795</v>
      </c>
      <c r="R12" s="499">
        <f t="shared" si="5"/>
        <v>87.071569612491686</v>
      </c>
      <c r="S12" s="499">
        <f t="shared" si="5"/>
        <v>87.156512617752668</v>
      </c>
      <c r="T12" s="499">
        <f t="shared" si="5"/>
        <v>86.926561955350621</v>
      </c>
      <c r="U12" s="499">
        <f t="shared" si="5"/>
        <v>86.91402430313785</v>
      </c>
      <c r="V12" s="499">
        <f t="shared" si="5"/>
        <v>86.474361436163122</v>
      </c>
      <c r="W12" s="499">
        <f t="shared" si="5"/>
        <v>85.676778193775306</v>
      </c>
      <c r="X12" s="499">
        <f t="shared" si="5"/>
        <v>86.181663905491021</v>
      </c>
      <c r="Y12" s="499">
        <f t="shared" si="5"/>
        <v>86.059846723015099</v>
      </c>
      <c r="Z12" s="499">
        <f t="shared" si="5"/>
        <v>86.065089913659122</v>
      </c>
      <c r="AA12" s="4">
        <f t="shared" si="10"/>
        <v>9</v>
      </c>
      <c r="AB12" s="4">
        <f t="shared" si="6"/>
        <v>6</v>
      </c>
      <c r="AC12" s="4">
        <f t="shared" si="6"/>
        <v>7</v>
      </c>
      <c r="AD12" s="4">
        <f t="shared" si="6"/>
        <v>7</v>
      </c>
      <c r="AE12" s="4">
        <f t="shared" si="6"/>
        <v>7</v>
      </c>
      <c r="AF12" s="4">
        <f t="shared" si="6"/>
        <v>8</v>
      </c>
      <c r="AG12" s="4">
        <f t="shared" si="6"/>
        <v>8</v>
      </c>
      <c r="AH12" s="4">
        <f t="shared" si="6"/>
        <v>9</v>
      </c>
      <c r="AI12" s="4">
        <f t="shared" si="6"/>
        <v>8</v>
      </c>
      <c r="AJ12" s="4">
        <f t="shared" si="6"/>
        <v>9</v>
      </c>
      <c r="AK12" s="4">
        <f t="shared" si="6"/>
        <v>8</v>
      </c>
      <c r="AL12" s="499">
        <f t="shared" si="11"/>
        <v>-14.514191661787256</v>
      </c>
      <c r="AM12" s="499">
        <f t="shared" si="12"/>
        <v>-13.486016670945201</v>
      </c>
      <c r="AN12" s="499">
        <f t="shared" si="13"/>
        <v>-12.928430387508316</v>
      </c>
      <c r="AO12" s="499">
        <f t="shared" si="14"/>
        <v>-12.843487382247332</v>
      </c>
      <c r="AP12" s="499">
        <f t="shared" si="15"/>
        <v>-13.073438044649388</v>
      </c>
      <c r="AQ12" s="499">
        <f t="shared" si="16"/>
        <v>-13.085975696862139</v>
      </c>
      <c r="AR12" s="499">
        <f t="shared" si="17"/>
        <v>-13.525638563836884</v>
      </c>
      <c r="AS12" s="499">
        <f t="shared" si="18"/>
        <v>-14.323221806224684</v>
      </c>
      <c r="AT12" s="499">
        <f t="shared" si="19"/>
        <v>-13.818336094508988</v>
      </c>
      <c r="AU12" s="499">
        <f t="shared" si="20"/>
        <v>-13.940153276984901</v>
      </c>
      <c r="AV12" s="499">
        <f t="shared" si="21"/>
        <v>-13.934910086340867</v>
      </c>
    </row>
    <row r="13" spans="1:48" s="4" customFormat="1" ht="15" customHeight="1">
      <c r="A13" s="16" t="s">
        <v>21</v>
      </c>
      <c r="B13" s="273">
        <v>790.6002577683621</v>
      </c>
      <c r="C13" s="273">
        <v>785.86960122626203</v>
      </c>
      <c r="D13" s="273">
        <v>780.52258650459305</v>
      </c>
      <c r="E13" s="273">
        <v>781.12469577959496</v>
      </c>
      <c r="F13" s="273">
        <v>793.75555532098804</v>
      </c>
      <c r="G13" s="273">
        <v>810.98580678129701</v>
      </c>
      <c r="H13" s="273">
        <v>836.08858210028609</v>
      </c>
      <c r="I13" s="273">
        <v>861.14538818491701</v>
      </c>
      <c r="J13" s="273">
        <v>897.182116421091</v>
      </c>
      <c r="K13" s="273">
        <v>928.44039553929315</v>
      </c>
      <c r="L13" s="273">
        <v>965.82601351644109</v>
      </c>
      <c r="N13" s="499">
        <f t="shared" si="8"/>
        <v>22.163635038861628</v>
      </c>
      <c r="O13" s="344">
        <f t="shared" si="22"/>
        <v>175.225755748079</v>
      </c>
      <c r="P13" s="499">
        <f t="shared" si="9"/>
        <v>86.403222211367066</v>
      </c>
      <c r="Q13" s="499">
        <f t="shared" si="5"/>
        <v>86.152626938965668</v>
      </c>
      <c r="R13" s="499">
        <f t="shared" si="5"/>
        <v>85.819672876294689</v>
      </c>
      <c r="S13" s="499">
        <f t="shared" si="5"/>
        <v>85.46919199620443</v>
      </c>
      <c r="T13" s="499">
        <f t="shared" si="5"/>
        <v>85.817050697298299</v>
      </c>
      <c r="U13" s="499">
        <f t="shared" si="5"/>
        <v>86.00051772792888</v>
      </c>
      <c r="V13" s="499">
        <f t="shared" si="5"/>
        <v>86.157669439685534</v>
      </c>
      <c r="W13" s="499">
        <f t="shared" si="5"/>
        <v>85.678497021341542</v>
      </c>
      <c r="X13" s="499">
        <f t="shared" si="5"/>
        <v>86.102353866689128</v>
      </c>
      <c r="Y13" s="499">
        <f t="shared" si="5"/>
        <v>85.746583098155597</v>
      </c>
      <c r="Z13" s="499">
        <f t="shared" si="5"/>
        <v>84.46628575916418</v>
      </c>
      <c r="AA13" s="4">
        <f t="shared" si="10"/>
        <v>7</v>
      </c>
      <c r="AB13" s="4">
        <f t="shared" si="6"/>
        <v>8</v>
      </c>
      <c r="AC13" s="4">
        <f t="shared" si="6"/>
        <v>9</v>
      </c>
      <c r="AD13" s="4">
        <f t="shared" si="6"/>
        <v>9</v>
      </c>
      <c r="AE13" s="4">
        <f t="shared" si="6"/>
        <v>9</v>
      </c>
      <c r="AF13" s="4">
        <f t="shared" si="6"/>
        <v>9</v>
      </c>
      <c r="AG13" s="4">
        <f t="shared" si="6"/>
        <v>9</v>
      </c>
      <c r="AH13" s="4">
        <f t="shared" si="6"/>
        <v>8</v>
      </c>
      <c r="AI13" s="4">
        <f t="shared" si="6"/>
        <v>10</v>
      </c>
      <c r="AJ13" s="4">
        <f t="shared" si="6"/>
        <v>10</v>
      </c>
      <c r="AK13" s="4">
        <f t="shared" si="6"/>
        <v>10</v>
      </c>
      <c r="AL13" s="499">
        <f t="shared" si="11"/>
        <v>-13.596777788632931</v>
      </c>
      <c r="AM13" s="499">
        <f t="shared" si="12"/>
        <v>-13.847373061034329</v>
      </c>
      <c r="AN13" s="499">
        <f t="shared" si="13"/>
        <v>-14.180327123705316</v>
      </c>
      <c r="AO13" s="499">
        <f t="shared" si="14"/>
        <v>-14.53080800379556</v>
      </c>
      <c r="AP13" s="499">
        <f t="shared" si="15"/>
        <v>-14.182949302701708</v>
      </c>
      <c r="AQ13" s="499">
        <f t="shared" si="16"/>
        <v>-13.999482272071118</v>
      </c>
      <c r="AR13" s="499">
        <f t="shared" si="17"/>
        <v>-13.842330560314476</v>
      </c>
      <c r="AS13" s="499">
        <f t="shared" si="18"/>
        <v>-14.321502978658451</v>
      </c>
      <c r="AT13" s="499">
        <f t="shared" si="19"/>
        <v>-13.89764613331087</v>
      </c>
      <c r="AU13" s="499">
        <f t="shared" si="20"/>
        <v>-14.253416901844407</v>
      </c>
      <c r="AV13" s="499">
        <f t="shared" si="21"/>
        <v>-15.533714240835828</v>
      </c>
    </row>
    <row r="14" spans="1:48" s="4" customFormat="1" ht="15" customHeight="1">
      <c r="A14" s="16" t="s">
        <v>22</v>
      </c>
      <c r="B14" s="273">
        <v>694.57855928350602</v>
      </c>
      <c r="C14" s="273">
        <v>689.493036023797</v>
      </c>
      <c r="D14" s="273">
        <v>700.01182138551394</v>
      </c>
      <c r="E14" s="273">
        <v>704.54793201262805</v>
      </c>
      <c r="F14" s="273">
        <v>721.53267898797799</v>
      </c>
      <c r="G14" s="273">
        <v>744.132647548161</v>
      </c>
      <c r="H14" s="273">
        <v>769.55114462756603</v>
      </c>
      <c r="I14" s="273">
        <v>795.04389444831202</v>
      </c>
      <c r="J14" s="273">
        <v>826.99627556977907</v>
      </c>
      <c r="K14" s="273">
        <v>864.42162057401708</v>
      </c>
      <c r="L14" s="273">
        <v>905.20674300469909</v>
      </c>
      <c r="N14" s="499">
        <f t="shared" si="8"/>
        <v>30.324602005922419</v>
      </c>
      <c r="O14" s="344">
        <f t="shared" si="22"/>
        <v>210.62818372119307</v>
      </c>
      <c r="P14" s="499">
        <f t="shared" si="9"/>
        <v>75.909190531287962</v>
      </c>
      <c r="Q14" s="499">
        <f t="shared" si="5"/>
        <v>75.587140941554878</v>
      </c>
      <c r="R14" s="499">
        <f t="shared" si="5"/>
        <v>76.96738897701394</v>
      </c>
      <c r="S14" s="499">
        <f t="shared" si="5"/>
        <v>77.090306832018513</v>
      </c>
      <c r="T14" s="499">
        <f t="shared" si="5"/>
        <v>78.008659060570508</v>
      </c>
      <c r="U14" s="499">
        <f t="shared" si="5"/>
        <v>78.911113378651734</v>
      </c>
      <c r="V14" s="499">
        <f t="shared" si="5"/>
        <v>79.301086697295275</v>
      </c>
      <c r="W14" s="499">
        <f t="shared" si="5"/>
        <v>79.101818202733284</v>
      </c>
      <c r="X14" s="499">
        <f t="shared" si="5"/>
        <v>79.366635449209625</v>
      </c>
      <c r="Y14" s="499">
        <f t="shared" si="5"/>
        <v>79.834096702931916</v>
      </c>
      <c r="Z14" s="499">
        <f t="shared" si="5"/>
        <v>79.164829229830687</v>
      </c>
      <c r="AA14" s="4">
        <f t="shared" si="10"/>
        <v>18</v>
      </c>
      <c r="AB14" s="4">
        <f t="shared" si="6"/>
        <v>18</v>
      </c>
      <c r="AC14" s="4">
        <f t="shared" si="6"/>
        <v>18</v>
      </c>
      <c r="AD14" s="4">
        <f t="shared" si="6"/>
        <v>18</v>
      </c>
      <c r="AE14" s="4">
        <f t="shared" si="6"/>
        <v>18</v>
      </c>
      <c r="AF14" s="4">
        <f t="shared" si="6"/>
        <v>18</v>
      </c>
      <c r="AG14" s="4">
        <f t="shared" si="6"/>
        <v>17</v>
      </c>
      <c r="AH14" s="4">
        <f t="shared" si="6"/>
        <v>17</v>
      </c>
      <c r="AI14" s="4">
        <f t="shared" si="6"/>
        <v>18</v>
      </c>
      <c r="AJ14" s="4">
        <f t="shared" si="6"/>
        <v>17</v>
      </c>
      <c r="AK14" s="4">
        <f t="shared" si="6"/>
        <v>17</v>
      </c>
      <c r="AL14" s="499">
        <f t="shared" si="11"/>
        <v>-24.090809468712049</v>
      </c>
      <c r="AM14" s="499">
        <f t="shared" si="12"/>
        <v>-24.412859058445115</v>
      </c>
      <c r="AN14" s="499">
        <f t="shared" si="13"/>
        <v>-23.03261102298605</v>
      </c>
      <c r="AO14" s="499">
        <f t="shared" si="14"/>
        <v>-22.90969316798148</v>
      </c>
      <c r="AP14" s="499">
        <f t="shared" si="15"/>
        <v>-21.991340939429492</v>
      </c>
      <c r="AQ14" s="499">
        <f t="shared" si="16"/>
        <v>-21.088886621348269</v>
      </c>
      <c r="AR14" s="499">
        <f t="shared" si="17"/>
        <v>-20.698913302704725</v>
      </c>
      <c r="AS14" s="499">
        <f t="shared" si="18"/>
        <v>-20.898181797266712</v>
      </c>
      <c r="AT14" s="499">
        <f t="shared" si="19"/>
        <v>-20.633364550790379</v>
      </c>
      <c r="AU14" s="499">
        <f t="shared" si="20"/>
        <v>-20.165903297068088</v>
      </c>
      <c r="AV14" s="499">
        <f t="shared" si="21"/>
        <v>-20.83517077016932</v>
      </c>
    </row>
    <row r="15" spans="1:48" s="4" customFormat="1" ht="15" customHeight="1">
      <c r="A15" s="16" t="s">
        <v>23</v>
      </c>
      <c r="B15" s="273">
        <v>792.19349937652498</v>
      </c>
      <c r="C15" s="273">
        <v>788.75951120712898</v>
      </c>
      <c r="D15" s="273">
        <v>794.28739505667909</v>
      </c>
      <c r="E15" s="273">
        <v>799.94521429660904</v>
      </c>
      <c r="F15" s="273">
        <v>815.09836307576404</v>
      </c>
      <c r="G15" s="273">
        <v>833.68045279035312</v>
      </c>
      <c r="H15" s="273">
        <v>861.01912379943917</v>
      </c>
      <c r="I15" s="273">
        <v>887.38140267370704</v>
      </c>
      <c r="J15" s="273">
        <v>918.07984009793813</v>
      </c>
      <c r="K15" s="273">
        <v>961.20841721487614</v>
      </c>
      <c r="L15" s="273">
        <v>1007.35363342332</v>
      </c>
      <c r="N15" s="499">
        <f t="shared" si="8"/>
        <v>27.160047919622055</v>
      </c>
      <c r="O15" s="344">
        <f t="shared" si="22"/>
        <v>215.16013404679506</v>
      </c>
      <c r="P15" s="499">
        <f t="shared" si="9"/>
        <v>86.577344604262663</v>
      </c>
      <c r="Q15" s="499">
        <f t="shared" si="5"/>
        <v>86.469439468780195</v>
      </c>
      <c r="R15" s="499">
        <f t="shared" si="5"/>
        <v>87.333134994585222</v>
      </c>
      <c r="S15" s="499">
        <f t="shared" si="5"/>
        <v>87.528497660575184</v>
      </c>
      <c r="T15" s="499">
        <f t="shared" si="5"/>
        <v>88.124532897373896</v>
      </c>
      <c r="U15" s="499">
        <f t="shared" si="5"/>
        <v>88.407158251241086</v>
      </c>
      <c r="V15" s="499">
        <f t="shared" si="5"/>
        <v>88.726724222460064</v>
      </c>
      <c r="W15" s="499">
        <f t="shared" si="5"/>
        <v>88.288813839001818</v>
      </c>
      <c r="X15" s="499">
        <f t="shared" si="5"/>
        <v>88.107903426916494</v>
      </c>
      <c r="Y15" s="499">
        <f t="shared" si="5"/>
        <v>88.772890340997478</v>
      </c>
      <c r="Z15" s="499">
        <f t="shared" si="5"/>
        <v>88.098082543329667</v>
      </c>
      <c r="AA15" s="4">
        <f t="shared" si="10"/>
        <v>6</v>
      </c>
      <c r="AB15" s="4">
        <f t="shared" si="6"/>
        <v>7</v>
      </c>
      <c r="AC15" s="4">
        <f t="shared" si="6"/>
        <v>6</v>
      </c>
      <c r="AD15" s="4">
        <f t="shared" si="6"/>
        <v>6</v>
      </c>
      <c r="AE15" s="4">
        <f t="shared" si="6"/>
        <v>6</v>
      </c>
      <c r="AF15" s="4">
        <f t="shared" si="6"/>
        <v>6</v>
      </c>
      <c r="AG15" s="4">
        <f t="shared" si="6"/>
        <v>6</v>
      </c>
      <c r="AH15" s="4">
        <f t="shared" si="6"/>
        <v>6</v>
      </c>
      <c r="AI15" s="4">
        <f t="shared" si="6"/>
        <v>6</v>
      </c>
      <c r="AJ15" s="4">
        <f t="shared" si="6"/>
        <v>6</v>
      </c>
      <c r="AK15" s="4">
        <f t="shared" si="6"/>
        <v>6</v>
      </c>
      <c r="AL15" s="499">
        <f t="shared" si="11"/>
        <v>-13.422655395737348</v>
      </c>
      <c r="AM15" s="499">
        <f t="shared" si="12"/>
        <v>-13.530560531219804</v>
      </c>
      <c r="AN15" s="499">
        <f t="shared" si="13"/>
        <v>-12.666865005414785</v>
      </c>
      <c r="AO15" s="499">
        <f t="shared" si="14"/>
        <v>-12.471502339424811</v>
      </c>
      <c r="AP15" s="499">
        <f t="shared" si="15"/>
        <v>-11.875467102626104</v>
      </c>
      <c r="AQ15" s="499">
        <f t="shared" si="16"/>
        <v>-11.59284174875892</v>
      </c>
      <c r="AR15" s="499">
        <f t="shared" si="17"/>
        <v>-11.273275777539926</v>
      </c>
      <c r="AS15" s="499">
        <f t="shared" si="18"/>
        <v>-11.711186160998178</v>
      </c>
      <c r="AT15" s="499">
        <f t="shared" si="19"/>
        <v>-11.892096573083499</v>
      </c>
      <c r="AU15" s="499">
        <f t="shared" si="20"/>
        <v>-11.227109659002521</v>
      </c>
      <c r="AV15" s="499">
        <f t="shared" si="21"/>
        <v>-11.901917456670329</v>
      </c>
    </row>
    <row r="16" spans="1:48" s="4" customFormat="1" ht="15" customHeight="1">
      <c r="A16" s="16" t="s">
        <v>24</v>
      </c>
      <c r="B16" s="273">
        <v>1167.6580160847802</v>
      </c>
      <c r="C16" s="273">
        <v>1160.86936374842</v>
      </c>
      <c r="D16" s="273">
        <v>1150.4698448745501</v>
      </c>
      <c r="E16" s="273">
        <v>1151.63595646608</v>
      </c>
      <c r="F16" s="273">
        <v>1155.93299539847</v>
      </c>
      <c r="G16" s="273">
        <v>1171.8790741674702</v>
      </c>
      <c r="H16" s="273">
        <v>1194.2196335718302</v>
      </c>
      <c r="I16" s="273">
        <v>1230.1318842360802</v>
      </c>
      <c r="J16" s="273">
        <v>1266.69296096934</v>
      </c>
      <c r="K16" s="273">
        <v>1312.06898770012</v>
      </c>
      <c r="L16" s="273">
        <v>1388.3698339134201</v>
      </c>
      <c r="N16" s="499">
        <f t="shared" si="8"/>
        <v>18.902094173831685</v>
      </c>
      <c r="O16" s="344">
        <f t="shared" si="22"/>
        <v>220.71181782863982</v>
      </c>
      <c r="P16" s="499">
        <f t="shared" si="9"/>
        <v>127.61115878641273</v>
      </c>
      <c r="Q16" s="499">
        <f t="shared" si="5"/>
        <v>127.26277370168607</v>
      </c>
      <c r="R16" s="499">
        <f t="shared" si="5"/>
        <v>126.49594957056938</v>
      </c>
      <c r="S16" s="499">
        <f t="shared" si="5"/>
        <v>126.00983582358165</v>
      </c>
      <c r="T16" s="499">
        <f t="shared" si="5"/>
        <v>124.97394166731247</v>
      </c>
      <c r="U16" s="499">
        <f t="shared" si="5"/>
        <v>124.27123415750098</v>
      </c>
      <c r="V16" s="499">
        <f t="shared" si="5"/>
        <v>123.06253503569872</v>
      </c>
      <c r="W16" s="499">
        <f t="shared" si="5"/>
        <v>122.39030995860854</v>
      </c>
      <c r="X16" s="499">
        <f t="shared" si="5"/>
        <v>121.56422154388638</v>
      </c>
      <c r="Y16" s="499">
        <f t="shared" si="5"/>
        <v>121.1767960817683</v>
      </c>
      <c r="Z16" s="499">
        <f t="shared" si="5"/>
        <v>121.41984321147918</v>
      </c>
      <c r="AA16" s="4">
        <f t="shared" si="10"/>
        <v>1</v>
      </c>
      <c r="AB16" s="4">
        <f t="shared" si="6"/>
        <v>1</v>
      </c>
      <c r="AC16" s="4">
        <f t="shared" si="6"/>
        <v>1</v>
      </c>
      <c r="AD16" s="4">
        <f t="shared" si="6"/>
        <v>1</v>
      </c>
      <c r="AE16" s="4">
        <f t="shared" si="6"/>
        <v>1</v>
      </c>
      <c r="AF16" s="4">
        <f t="shared" si="6"/>
        <v>1</v>
      </c>
      <c r="AG16" s="4">
        <f t="shared" si="6"/>
        <v>1</v>
      </c>
      <c r="AH16" s="4">
        <f t="shared" si="6"/>
        <v>1</v>
      </c>
      <c r="AI16" s="4">
        <f t="shared" si="6"/>
        <v>1</v>
      </c>
      <c r="AJ16" s="4">
        <f t="shared" si="6"/>
        <v>1</v>
      </c>
      <c r="AK16" s="4">
        <f t="shared" si="6"/>
        <v>1</v>
      </c>
      <c r="AL16" s="499">
        <f t="shared" si="11"/>
        <v>27.611158786412737</v>
      </c>
      <c r="AM16" s="499">
        <f t="shared" si="12"/>
        <v>27.262773701686083</v>
      </c>
      <c r="AN16" s="499">
        <f t="shared" si="13"/>
        <v>26.495949570569376</v>
      </c>
      <c r="AO16" s="499">
        <f t="shared" si="14"/>
        <v>26.00983582358165</v>
      </c>
      <c r="AP16" s="499">
        <f t="shared" si="15"/>
        <v>24.973941667312481</v>
      </c>
      <c r="AQ16" s="499">
        <f t="shared" si="16"/>
        <v>24.271234157500988</v>
      </c>
      <c r="AR16" s="499">
        <f t="shared" si="17"/>
        <v>23.062535035698705</v>
      </c>
      <c r="AS16" s="499">
        <f t="shared" si="18"/>
        <v>22.390309958608533</v>
      </c>
      <c r="AT16" s="499">
        <f t="shared" si="19"/>
        <v>21.564221543886354</v>
      </c>
      <c r="AU16" s="499">
        <f t="shared" si="20"/>
        <v>21.176796081768302</v>
      </c>
      <c r="AV16" s="499">
        <f t="shared" si="21"/>
        <v>21.419843211479161</v>
      </c>
    </row>
    <row r="17" spans="1:48" s="4" customFormat="1" ht="15" customHeight="1">
      <c r="A17" s="16" t="s">
        <v>25</v>
      </c>
      <c r="B17" s="273">
        <v>755.4183697403181</v>
      </c>
      <c r="C17" s="273">
        <v>750.1532035595111</v>
      </c>
      <c r="D17" s="273">
        <v>754.22184279021303</v>
      </c>
      <c r="E17" s="273">
        <v>755.70994773741211</v>
      </c>
      <c r="F17" s="273">
        <v>767.83196906199908</v>
      </c>
      <c r="G17" s="273">
        <v>783.58564020717904</v>
      </c>
      <c r="H17" s="273">
        <v>805.96255195599008</v>
      </c>
      <c r="I17" s="273">
        <v>828.76150024325011</v>
      </c>
      <c r="J17" s="273">
        <v>863.38273371624098</v>
      </c>
      <c r="K17" s="273">
        <v>899.36013867586894</v>
      </c>
      <c r="L17" s="273">
        <v>939.134315018758</v>
      </c>
      <c r="N17" s="499">
        <f t="shared" si="8"/>
        <v>24.319761424598909</v>
      </c>
      <c r="O17" s="344">
        <f t="shared" si="22"/>
        <v>183.7159452784399</v>
      </c>
      <c r="P17" s="499">
        <f t="shared" si="9"/>
        <v>82.558259527338762</v>
      </c>
      <c r="Q17" s="499">
        <f t="shared" si="5"/>
        <v>82.237140859613675</v>
      </c>
      <c r="R17" s="499">
        <f t="shared" si="5"/>
        <v>82.927865181043472</v>
      </c>
      <c r="S17" s="499">
        <f t="shared" si="5"/>
        <v>82.688358165589776</v>
      </c>
      <c r="T17" s="499">
        <f t="shared" si="5"/>
        <v>83.014316654896803</v>
      </c>
      <c r="U17" s="499">
        <f t="shared" si="5"/>
        <v>83.094883015827065</v>
      </c>
      <c r="V17" s="499">
        <f t="shared" si="5"/>
        <v>83.053227395779075</v>
      </c>
      <c r="W17" s="499">
        <f t="shared" si="5"/>
        <v>82.456505840040847</v>
      </c>
      <c r="X17" s="499">
        <f t="shared" si="5"/>
        <v>82.858635164696238</v>
      </c>
      <c r="Y17" s="499">
        <f t="shared" si="5"/>
        <v>83.060861242842606</v>
      </c>
      <c r="Z17" s="499">
        <f t="shared" si="5"/>
        <v>82.131964047850715</v>
      </c>
      <c r="AA17" s="4">
        <f t="shared" si="10"/>
        <v>11</v>
      </c>
      <c r="AB17" s="4">
        <f t="shared" si="6"/>
        <v>11</v>
      </c>
      <c r="AC17" s="4">
        <f t="shared" si="6"/>
        <v>11</v>
      </c>
      <c r="AD17" s="4">
        <f t="shared" si="6"/>
        <v>11</v>
      </c>
      <c r="AE17" s="4">
        <f t="shared" si="6"/>
        <v>11</v>
      </c>
      <c r="AF17" s="4">
        <f t="shared" si="6"/>
        <v>12</v>
      </c>
      <c r="AG17" s="4">
        <f t="shared" si="6"/>
        <v>12</v>
      </c>
      <c r="AH17" s="4">
        <f t="shared" si="6"/>
        <v>13</v>
      </c>
      <c r="AI17" s="4">
        <f t="shared" si="6"/>
        <v>13</v>
      </c>
      <c r="AJ17" s="4">
        <f t="shared" si="6"/>
        <v>14</v>
      </c>
      <c r="AK17" s="4">
        <f t="shared" si="6"/>
        <v>13</v>
      </c>
      <c r="AL17" s="499">
        <f t="shared" si="11"/>
        <v>-17.441740472661248</v>
      </c>
      <c r="AM17" s="499">
        <f t="shared" si="12"/>
        <v>-17.762859140386333</v>
      </c>
      <c r="AN17" s="499">
        <f t="shared" si="13"/>
        <v>-17.072134818956521</v>
      </c>
      <c r="AO17" s="499">
        <f t="shared" si="14"/>
        <v>-17.311641834410231</v>
      </c>
      <c r="AP17" s="499">
        <f t="shared" si="15"/>
        <v>-16.985683345103208</v>
      </c>
      <c r="AQ17" s="499">
        <f t="shared" si="16"/>
        <v>-16.905116984172931</v>
      </c>
      <c r="AR17" s="499">
        <f t="shared" si="17"/>
        <v>-16.946772604220929</v>
      </c>
      <c r="AS17" s="499">
        <f t="shared" si="18"/>
        <v>-17.543494159959138</v>
      </c>
      <c r="AT17" s="499">
        <f t="shared" si="19"/>
        <v>-17.141364835303751</v>
      </c>
      <c r="AU17" s="499">
        <f t="shared" si="20"/>
        <v>-16.939138757157391</v>
      </c>
      <c r="AV17" s="499">
        <f t="shared" si="21"/>
        <v>-17.868035952149285</v>
      </c>
    </row>
    <row r="18" spans="1:48" s="4" customFormat="1" ht="15" customHeight="1">
      <c r="A18" s="16" t="s">
        <v>26</v>
      </c>
      <c r="B18" s="273">
        <v>868.82706318074304</v>
      </c>
      <c r="C18" s="273">
        <v>870.78390462603909</v>
      </c>
      <c r="D18" s="273">
        <v>870.07515649366599</v>
      </c>
      <c r="E18" s="273">
        <v>879.09111754373509</v>
      </c>
      <c r="F18" s="273">
        <v>891.71007283776407</v>
      </c>
      <c r="G18" s="273">
        <v>908.24950197802696</v>
      </c>
      <c r="H18" s="273">
        <v>944.91945456281496</v>
      </c>
      <c r="I18" s="273">
        <v>983.5025545794681</v>
      </c>
      <c r="J18" s="273">
        <v>1030.3435518030101</v>
      </c>
      <c r="K18" s="273">
        <v>1072.1580746769</v>
      </c>
      <c r="L18" s="273">
        <v>1135.72575816629</v>
      </c>
      <c r="N18" s="499">
        <f t="shared" si="8"/>
        <v>30.719426948838468</v>
      </c>
      <c r="O18" s="344">
        <f t="shared" si="22"/>
        <v>266.89869498554697</v>
      </c>
      <c r="P18" s="499">
        <f t="shared" si="9"/>
        <v>94.952483338615082</v>
      </c>
      <c r="Q18" s="499">
        <f t="shared" si="5"/>
        <v>95.461538100776707</v>
      </c>
      <c r="R18" s="499">
        <f t="shared" si="5"/>
        <v>95.666117290044525</v>
      </c>
      <c r="S18" s="499">
        <f t="shared" si="5"/>
        <v>96.188493224523341</v>
      </c>
      <c r="T18" s="499">
        <f t="shared" si="5"/>
        <v>96.407424193792664</v>
      </c>
      <c r="U18" s="499">
        <f t="shared" si="5"/>
        <v>96.314789658591678</v>
      </c>
      <c r="V18" s="499">
        <f t="shared" si="5"/>
        <v>97.372526974164373</v>
      </c>
      <c r="W18" s="499">
        <f t="shared" si="5"/>
        <v>97.852257991683302</v>
      </c>
      <c r="X18" s="499">
        <f t="shared" si="5"/>
        <v>98.881825080835497</v>
      </c>
      <c r="Y18" s="499">
        <f t="shared" si="5"/>
        <v>99.019702165415453</v>
      </c>
      <c r="Z18" s="499">
        <f t="shared" si="5"/>
        <v>99.324862957508472</v>
      </c>
      <c r="AA18" s="4">
        <f t="shared" si="10"/>
        <v>3</v>
      </c>
      <c r="AB18" s="4">
        <f t="shared" si="6"/>
        <v>3</v>
      </c>
      <c r="AC18" s="4">
        <f t="shared" si="6"/>
        <v>3</v>
      </c>
      <c r="AD18" s="4">
        <f t="shared" si="6"/>
        <v>3</v>
      </c>
      <c r="AE18" s="4">
        <f t="shared" si="6"/>
        <v>3</v>
      </c>
      <c r="AF18" s="4">
        <f t="shared" si="6"/>
        <v>3</v>
      </c>
      <c r="AG18" s="4">
        <f t="shared" si="6"/>
        <v>3</v>
      </c>
      <c r="AH18" s="4">
        <f t="shared" si="6"/>
        <v>3</v>
      </c>
      <c r="AI18" s="4">
        <f t="shared" si="6"/>
        <v>3</v>
      </c>
      <c r="AJ18" s="4">
        <f t="shared" si="6"/>
        <v>3</v>
      </c>
      <c r="AK18" s="4">
        <f t="shared" si="6"/>
        <v>2</v>
      </c>
      <c r="AL18" s="499">
        <f t="shared" si="11"/>
        <v>-5.0475166613849094</v>
      </c>
      <c r="AM18" s="499">
        <f t="shared" si="12"/>
        <v>-4.5384618992233001</v>
      </c>
      <c r="AN18" s="499">
        <f t="shared" si="13"/>
        <v>-4.3338827099554722</v>
      </c>
      <c r="AO18" s="499">
        <f t="shared" si="14"/>
        <v>-3.8115067754766696</v>
      </c>
      <c r="AP18" s="499">
        <f t="shared" si="15"/>
        <v>-3.5925758062073321</v>
      </c>
      <c r="AQ18" s="499">
        <f t="shared" si="16"/>
        <v>-3.6852103414083293</v>
      </c>
      <c r="AR18" s="499">
        <f t="shared" si="17"/>
        <v>-2.6274730258356138</v>
      </c>
      <c r="AS18" s="499">
        <f t="shared" si="18"/>
        <v>-2.1477420083166998</v>
      </c>
      <c r="AT18" s="499">
        <f t="shared" si="19"/>
        <v>-1.1181749191644941</v>
      </c>
      <c r="AU18" s="499">
        <f t="shared" si="20"/>
        <v>-0.98029783458455366</v>
      </c>
      <c r="AV18" s="499">
        <f t="shared" si="21"/>
        <v>-0.67513704249152484</v>
      </c>
    </row>
    <row r="19" spans="1:48" s="4" customFormat="1" ht="15" customHeight="1">
      <c r="A19" s="16" t="s">
        <v>27</v>
      </c>
      <c r="B19" s="273">
        <v>783.44995652838213</v>
      </c>
      <c r="C19" s="273">
        <v>783.970542908673</v>
      </c>
      <c r="D19" s="273">
        <v>786.63850439100997</v>
      </c>
      <c r="E19" s="273">
        <v>793.64357515528002</v>
      </c>
      <c r="F19" s="273">
        <v>799.14794069259904</v>
      </c>
      <c r="G19" s="273">
        <v>823.02580456725002</v>
      </c>
      <c r="H19" s="273">
        <v>842.949313592321</v>
      </c>
      <c r="I19" s="273">
        <v>867.34102856775201</v>
      </c>
      <c r="J19" s="273">
        <v>899.19370357138098</v>
      </c>
      <c r="K19" s="273">
        <v>933.03086560395195</v>
      </c>
      <c r="L19" s="273">
        <v>975.11611004518909</v>
      </c>
      <c r="N19" s="499">
        <f t="shared" si="8"/>
        <v>24.464377324892151</v>
      </c>
      <c r="O19" s="344">
        <f t="shared" si="22"/>
        <v>191.66615351680696</v>
      </c>
      <c r="P19" s="499">
        <f t="shared" si="9"/>
        <v>85.62177917381976</v>
      </c>
      <c r="Q19" s="499">
        <f t="shared" si="5"/>
        <v>85.944438630733231</v>
      </c>
      <c r="R19" s="499">
        <f t="shared" si="5"/>
        <v>86.492127564250708</v>
      </c>
      <c r="S19" s="499">
        <f t="shared" si="5"/>
        <v>86.838984182674565</v>
      </c>
      <c r="T19" s="499">
        <f t="shared" si="5"/>
        <v>86.400049588723732</v>
      </c>
      <c r="U19" s="499">
        <f t="shared" si="5"/>
        <v>87.277292283509126</v>
      </c>
      <c r="V19" s="499">
        <f t="shared" si="5"/>
        <v>86.864657489349241</v>
      </c>
      <c r="W19" s="499">
        <f t="shared" si="5"/>
        <v>86.29492389114678</v>
      </c>
      <c r="X19" s="499">
        <f t="shared" si="5"/>
        <v>86.295405406034192</v>
      </c>
      <c r="Y19" s="499">
        <f t="shared" si="5"/>
        <v>86.170538286609272</v>
      </c>
      <c r="Z19" s="499">
        <f t="shared" si="5"/>
        <v>85.27875087932641</v>
      </c>
      <c r="AA19" s="4">
        <f t="shared" si="10"/>
        <v>8</v>
      </c>
      <c r="AB19" s="4">
        <f t="shared" si="6"/>
        <v>9</v>
      </c>
      <c r="AC19" s="4">
        <f t="shared" si="6"/>
        <v>8</v>
      </c>
      <c r="AD19" s="4">
        <f t="shared" si="6"/>
        <v>8</v>
      </c>
      <c r="AE19" s="4">
        <f t="shared" si="6"/>
        <v>8</v>
      </c>
      <c r="AF19" s="4">
        <f t="shared" si="6"/>
        <v>7</v>
      </c>
      <c r="AG19" s="4">
        <f t="shared" si="6"/>
        <v>7</v>
      </c>
      <c r="AH19" s="4">
        <f t="shared" si="6"/>
        <v>7</v>
      </c>
      <c r="AI19" s="4">
        <f t="shared" si="6"/>
        <v>7</v>
      </c>
      <c r="AJ19" s="4">
        <f t="shared" si="6"/>
        <v>8</v>
      </c>
      <c r="AK19" s="4">
        <f t="shared" si="6"/>
        <v>9</v>
      </c>
      <c r="AL19" s="499">
        <f t="shared" si="11"/>
        <v>-14.378220826180243</v>
      </c>
      <c r="AM19" s="499">
        <f t="shared" si="12"/>
        <v>-14.055561369266755</v>
      </c>
      <c r="AN19" s="499">
        <f t="shared" si="13"/>
        <v>-13.507872435749279</v>
      </c>
      <c r="AO19" s="499">
        <f t="shared" si="14"/>
        <v>-13.161015817325428</v>
      </c>
      <c r="AP19" s="499">
        <f t="shared" si="15"/>
        <v>-13.599950411276273</v>
      </c>
      <c r="AQ19" s="499">
        <f t="shared" si="16"/>
        <v>-12.722707716490866</v>
      </c>
      <c r="AR19" s="499">
        <f t="shared" si="17"/>
        <v>-13.13534251065076</v>
      </c>
      <c r="AS19" s="499">
        <f t="shared" si="18"/>
        <v>-13.70507610885323</v>
      </c>
      <c r="AT19" s="499">
        <f t="shared" si="19"/>
        <v>-13.704594593965814</v>
      </c>
      <c r="AU19" s="499">
        <f t="shared" si="20"/>
        <v>-13.829461713390733</v>
      </c>
      <c r="AV19" s="499">
        <f t="shared" si="21"/>
        <v>-14.721249120673596</v>
      </c>
    </row>
    <row r="20" spans="1:48" s="4" customFormat="1" ht="15" customHeight="1">
      <c r="A20" s="16" t="s">
        <v>28</v>
      </c>
      <c r="B20" s="273">
        <v>963.98564243242708</v>
      </c>
      <c r="C20" s="273">
        <v>951.47682952332502</v>
      </c>
      <c r="D20" s="273">
        <v>945.366781540479</v>
      </c>
      <c r="E20" s="273">
        <v>958.98408847235601</v>
      </c>
      <c r="F20" s="273">
        <v>979.51321544628911</v>
      </c>
      <c r="G20" s="273">
        <v>989.53921109868509</v>
      </c>
      <c r="H20" s="273">
        <v>1000.04486796398</v>
      </c>
      <c r="I20" s="273">
        <v>1024.4552325727302</v>
      </c>
      <c r="J20" s="273">
        <v>1059.24441370617</v>
      </c>
      <c r="K20" s="273">
        <v>1079.7417246013899</v>
      </c>
      <c r="L20" s="273">
        <v>1127.3913262441799</v>
      </c>
      <c r="N20" s="499">
        <f t="shared" si="8"/>
        <v>16.951049540471463</v>
      </c>
      <c r="O20" s="344">
        <f t="shared" si="22"/>
        <v>163.40568381175285</v>
      </c>
      <c r="P20" s="499">
        <f t="shared" si="9"/>
        <v>105.3521863334125</v>
      </c>
      <c r="Q20" s="499">
        <f t="shared" si="5"/>
        <v>104.30767166344685</v>
      </c>
      <c r="R20" s="499">
        <f t="shared" si="5"/>
        <v>103.94454861741791</v>
      </c>
      <c r="S20" s="499">
        <f t="shared" si="5"/>
        <v>104.93023152615322</v>
      </c>
      <c r="T20" s="499">
        <f t="shared" si="5"/>
        <v>105.90027963285894</v>
      </c>
      <c r="U20" s="499">
        <f t="shared" si="5"/>
        <v>104.93510953579839</v>
      </c>
      <c r="V20" s="499">
        <f t="shared" si="5"/>
        <v>103.05311781970939</v>
      </c>
      <c r="W20" s="499">
        <f t="shared" si="5"/>
        <v>101.92678936304357</v>
      </c>
      <c r="X20" s="499">
        <f t="shared" si="5"/>
        <v>101.65543390906838</v>
      </c>
      <c r="Y20" s="499">
        <f t="shared" si="5"/>
        <v>99.720093996233913</v>
      </c>
      <c r="Z20" s="499">
        <f t="shared" si="5"/>
        <v>98.595975457564094</v>
      </c>
      <c r="AA20" s="4">
        <f t="shared" si="10"/>
        <v>2</v>
      </c>
      <c r="AB20" s="4">
        <f t="shared" si="6"/>
        <v>2</v>
      </c>
      <c r="AC20" s="4">
        <f t="shared" si="6"/>
        <v>2</v>
      </c>
      <c r="AD20" s="4">
        <f t="shared" si="6"/>
        <v>2</v>
      </c>
      <c r="AE20" s="4">
        <f t="shared" si="6"/>
        <v>2</v>
      </c>
      <c r="AF20" s="4">
        <f t="shared" si="6"/>
        <v>2</v>
      </c>
      <c r="AG20" s="4">
        <f t="shared" si="6"/>
        <v>2</v>
      </c>
      <c r="AH20" s="4">
        <f t="shared" si="6"/>
        <v>2</v>
      </c>
      <c r="AI20" s="4">
        <f t="shared" si="6"/>
        <v>2</v>
      </c>
      <c r="AJ20" s="4">
        <f t="shared" si="6"/>
        <v>2</v>
      </c>
      <c r="AK20" s="4">
        <f t="shared" si="6"/>
        <v>3</v>
      </c>
      <c r="AL20" s="499">
        <f t="shared" si="11"/>
        <v>5.3521863334125008</v>
      </c>
      <c r="AM20" s="499">
        <f t="shared" si="12"/>
        <v>4.3076716634468548</v>
      </c>
      <c r="AN20" s="499">
        <f t="shared" si="13"/>
        <v>3.944548617417909</v>
      </c>
      <c r="AO20" s="499">
        <f t="shared" si="14"/>
        <v>4.930231526153217</v>
      </c>
      <c r="AP20" s="499">
        <f t="shared" si="15"/>
        <v>5.9002796328589291</v>
      </c>
      <c r="AQ20" s="499">
        <f t="shared" si="16"/>
        <v>4.9351095357983876</v>
      </c>
      <c r="AR20" s="499">
        <f t="shared" si="17"/>
        <v>3.0531178197093833</v>
      </c>
      <c r="AS20" s="499">
        <f t="shared" si="18"/>
        <v>1.9267893630435795</v>
      </c>
      <c r="AT20" s="499">
        <f t="shared" si="19"/>
        <v>1.6554339090683712</v>
      </c>
      <c r="AU20" s="499">
        <f t="shared" si="20"/>
        <v>-0.27990600376607278</v>
      </c>
      <c r="AV20" s="499">
        <f t="shared" si="21"/>
        <v>-1.404024542435911</v>
      </c>
    </row>
    <row r="21" spans="1:48" s="4" customFormat="1" ht="15" customHeight="1">
      <c r="A21" s="16" t="s">
        <v>29</v>
      </c>
      <c r="B21" s="273">
        <v>722.48055520348305</v>
      </c>
      <c r="C21" s="273">
        <v>726.57026737386104</v>
      </c>
      <c r="D21" s="273">
        <v>729.88665249678604</v>
      </c>
      <c r="E21" s="273">
        <v>741.65304225916304</v>
      </c>
      <c r="F21" s="273">
        <v>746.71799608418996</v>
      </c>
      <c r="G21" s="273">
        <v>782.27367877575693</v>
      </c>
      <c r="H21" s="273">
        <v>802.92211141340704</v>
      </c>
      <c r="I21" s="273">
        <v>834.96549839156512</v>
      </c>
      <c r="J21" s="273">
        <v>865.75743811257007</v>
      </c>
      <c r="K21" s="273">
        <v>907.38138718916798</v>
      </c>
      <c r="L21" s="273">
        <v>955.66561814916508</v>
      </c>
      <c r="N21" s="499">
        <f t="shared" si="8"/>
        <v>32.275617837217311</v>
      </c>
      <c r="O21" s="344">
        <f t="shared" si="22"/>
        <v>233.18506294568203</v>
      </c>
      <c r="P21" s="499">
        <f t="shared" si="9"/>
        <v>78.958547434382695</v>
      </c>
      <c r="Q21" s="499">
        <f t="shared" si="5"/>
        <v>79.651811308556518</v>
      </c>
      <c r="R21" s="499">
        <f t="shared" si="5"/>
        <v>80.252173142819544</v>
      </c>
      <c r="S21" s="499">
        <f t="shared" si="5"/>
        <v>81.150278061754506</v>
      </c>
      <c r="T21" s="499">
        <f t="shared" si="5"/>
        <v>80.731574975406687</v>
      </c>
      <c r="U21" s="499">
        <f t="shared" si="5"/>
        <v>82.9557568296498</v>
      </c>
      <c r="V21" s="499">
        <f t="shared" si="5"/>
        <v>82.739914576028752</v>
      </c>
      <c r="W21" s="499">
        <f t="shared" si="5"/>
        <v>83.073764254431467</v>
      </c>
      <c r="X21" s="499">
        <f t="shared" si="5"/>
        <v>83.086534979593523</v>
      </c>
      <c r="Y21" s="499">
        <f t="shared" si="5"/>
        <v>83.801667713027527</v>
      </c>
      <c r="Z21" s="499">
        <f t="shared" si="5"/>
        <v>83.577708679536968</v>
      </c>
      <c r="AA21" s="4">
        <f t="shared" si="10"/>
        <v>15</v>
      </c>
      <c r="AB21" s="4">
        <f t="shared" si="6"/>
        <v>15</v>
      </c>
      <c r="AC21" s="4">
        <f t="shared" si="6"/>
        <v>15</v>
      </c>
      <c r="AD21" s="4">
        <f t="shared" si="6"/>
        <v>14</v>
      </c>
      <c r="AE21" s="4">
        <f t="shared" si="6"/>
        <v>15</v>
      </c>
      <c r="AF21" s="4">
        <f t="shared" si="6"/>
        <v>13</v>
      </c>
      <c r="AG21" s="4">
        <f t="shared" si="6"/>
        <v>13</v>
      </c>
      <c r="AH21" s="4">
        <f t="shared" si="6"/>
        <v>12</v>
      </c>
      <c r="AI21" s="4">
        <f t="shared" si="6"/>
        <v>12</v>
      </c>
      <c r="AJ21" s="4">
        <f t="shared" si="6"/>
        <v>11</v>
      </c>
      <c r="AK21" s="4">
        <f t="shared" si="6"/>
        <v>11</v>
      </c>
      <c r="AL21" s="499">
        <f t="shared" si="11"/>
        <v>-21.041452565617313</v>
      </c>
      <c r="AM21" s="499">
        <f t="shared" si="12"/>
        <v>-20.348188691443468</v>
      </c>
      <c r="AN21" s="499">
        <f t="shared" si="13"/>
        <v>-19.747826857180449</v>
      </c>
      <c r="AO21" s="499">
        <f t="shared" si="14"/>
        <v>-18.849721938245491</v>
      </c>
      <c r="AP21" s="499">
        <f t="shared" si="15"/>
        <v>-19.268425024593306</v>
      </c>
      <c r="AQ21" s="499">
        <f t="shared" si="16"/>
        <v>-17.044243170350203</v>
      </c>
      <c r="AR21" s="499">
        <f t="shared" si="17"/>
        <v>-17.26008542397124</v>
      </c>
      <c r="AS21" s="499">
        <f t="shared" si="18"/>
        <v>-16.92623574556853</v>
      </c>
      <c r="AT21" s="499">
        <f t="shared" si="19"/>
        <v>-16.91346502040648</v>
      </c>
      <c r="AU21" s="499">
        <f t="shared" si="20"/>
        <v>-16.198332286972473</v>
      </c>
      <c r="AV21" s="499">
        <f t="shared" si="21"/>
        <v>-16.422291320463035</v>
      </c>
    </row>
    <row r="22" spans="1:48" s="4" customFormat="1" ht="15" customHeight="1">
      <c r="A22" s="16" t="s">
        <v>30</v>
      </c>
      <c r="B22" s="273">
        <v>730.93516690729302</v>
      </c>
      <c r="C22" s="273">
        <v>737.07910256985201</v>
      </c>
      <c r="D22" s="273">
        <v>740.76690860215115</v>
      </c>
      <c r="E22" s="273">
        <v>744.13880082325306</v>
      </c>
      <c r="F22" s="273">
        <v>756.43071015036003</v>
      </c>
      <c r="G22" s="273">
        <v>776.74700216663405</v>
      </c>
      <c r="H22" s="273">
        <v>799.21047500776206</v>
      </c>
      <c r="I22" s="273">
        <v>826.76410600255394</v>
      </c>
      <c r="J22" s="273">
        <v>851.91765330739304</v>
      </c>
      <c r="K22" s="273">
        <v>878.43449570855717</v>
      </c>
      <c r="L22" s="273">
        <v>927.78715854618304</v>
      </c>
      <c r="N22" s="499">
        <f t="shared" si="8"/>
        <v>26.93152560599912</v>
      </c>
      <c r="O22" s="344">
        <f t="shared" si="22"/>
        <v>196.85199163889001</v>
      </c>
      <c r="P22" s="499">
        <f t="shared" si="9"/>
        <v>79.882536120924641</v>
      </c>
      <c r="Q22" s="499">
        <f t="shared" si="9"/>
        <v>80.803864724022091</v>
      </c>
      <c r="R22" s="499">
        <f t="shared" si="9"/>
        <v>81.448474231240709</v>
      </c>
      <c r="S22" s="499">
        <f t="shared" si="9"/>
        <v>81.4222650788317</v>
      </c>
      <c r="T22" s="499">
        <f t="shared" si="9"/>
        <v>81.781667122588971</v>
      </c>
      <c r="U22" s="499">
        <f t="shared" si="9"/>
        <v>82.36968362624097</v>
      </c>
      <c r="V22" s="499">
        <f t="shared" si="9"/>
        <v>82.357436033247382</v>
      </c>
      <c r="W22" s="499">
        <f t="shared" si="9"/>
        <v>82.257777798469803</v>
      </c>
      <c r="X22" s="499">
        <f t="shared" si="9"/>
        <v>81.758334130597902</v>
      </c>
      <c r="Y22" s="499">
        <f t="shared" si="9"/>
        <v>81.128262885210091</v>
      </c>
      <c r="Z22" s="499">
        <f t="shared" si="9"/>
        <v>81.139598810475434</v>
      </c>
      <c r="AA22" s="4">
        <f t="shared" si="10"/>
        <v>14</v>
      </c>
      <c r="AB22" s="4">
        <f t="shared" si="10"/>
        <v>12</v>
      </c>
      <c r="AC22" s="4">
        <f t="shared" si="10"/>
        <v>12</v>
      </c>
      <c r="AD22" s="4">
        <f t="shared" si="10"/>
        <v>12</v>
      </c>
      <c r="AE22" s="4">
        <f t="shared" si="10"/>
        <v>13</v>
      </c>
      <c r="AF22" s="4">
        <f t="shared" si="10"/>
        <v>14</v>
      </c>
      <c r="AG22" s="4">
        <f t="shared" si="10"/>
        <v>14</v>
      </c>
      <c r="AH22" s="4">
        <f t="shared" si="10"/>
        <v>14</v>
      </c>
      <c r="AI22" s="4">
        <f t="shared" si="10"/>
        <v>16</v>
      </c>
      <c r="AJ22" s="4">
        <f t="shared" si="10"/>
        <v>16</v>
      </c>
      <c r="AK22" s="4">
        <f t="shared" si="10"/>
        <v>16</v>
      </c>
      <c r="AL22" s="499">
        <f t="shared" si="11"/>
        <v>-20.117463879075359</v>
      </c>
      <c r="AM22" s="499">
        <f t="shared" si="12"/>
        <v>-19.196135275977898</v>
      </c>
      <c r="AN22" s="499">
        <f t="shared" si="13"/>
        <v>-18.551525768759291</v>
      </c>
      <c r="AO22" s="499">
        <f t="shared" si="14"/>
        <v>-18.5777349211683</v>
      </c>
      <c r="AP22" s="499">
        <f t="shared" si="15"/>
        <v>-18.218332877411026</v>
      </c>
      <c r="AQ22" s="499">
        <f t="shared" si="16"/>
        <v>-17.630316373759026</v>
      </c>
      <c r="AR22" s="499">
        <f t="shared" si="17"/>
        <v>-17.642563966752622</v>
      </c>
      <c r="AS22" s="499">
        <f t="shared" si="18"/>
        <v>-17.7422222015302</v>
      </c>
      <c r="AT22" s="499">
        <f t="shared" si="19"/>
        <v>-18.241665869402102</v>
      </c>
      <c r="AU22" s="499">
        <f t="shared" si="20"/>
        <v>-18.871737114789923</v>
      </c>
      <c r="AV22" s="499">
        <f t="shared" si="21"/>
        <v>-18.860401189524566</v>
      </c>
    </row>
    <row r="23" spans="1:48" s="19" customFormat="1" ht="15" customHeight="1">
      <c r="A23" s="18" t="s">
        <v>31</v>
      </c>
      <c r="B23" s="275">
        <v>739.66164531367804</v>
      </c>
      <c r="C23" s="275">
        <v>733.97896127571005</v>
      </c>
      <c r="D23" s="275">
        <v>734.34031194133308</v>
      </c>
      <c r="E23" s="275">
        <v>737.11619943671906</v>
      </c>
      <c r="F23" s="275">
        <v>749.63475028658411</v>
      </c>
      <c r="G23" s="275">
        <v>768.56595194085003</v>
      </c>
      <c r="H23" s="275">
        <v>793.70238375478004</v>
      </c>
      <c r="I23" s="275">
        <v>822.96958036140711</v>
      </c>
      <c r="J23" s="275">
        <v>854.3654403891461</v>
      </c>
      <c r="K23" s="275">
        <v>902.63237598948604</v>
      </c>
      <c r="L23" s="275">
        <v>932.68407294832809</v>
      </c>
      <c r="N23" s="499">
        <f t="shared" si="8"/>
        <v>26.09604389488014</v>
      </c>
      <c r="O23" s="344">
        <f t="shared" si="22"/>
        <v>193.02242763465006</v>
      </c>
      <c r="P23" s="499">
        <f t="shared" si="9"/>
        <v>80.836236610471531</v>
      </c>
      <c r="Q23" s="499">
        <f t="shared" si="9"/>
        <v>80.464005139231517</v>
      </c>
      <c r="R23" s="499">
        <f t="shared" si="9"/>
        <v>80.741859928624308</v>
      </c>
      <c r="S23" s="499">
        <f t="shared" si="9"/>
        <v>80.653865270886257</v>
      </c>
      <c r="T23" s="499">
        <f t="shared" si="9"/>
        <v>81.046920476399379</v>
      </c>
      <c r="U23" s="499">
        <f t="shared" si="9"/>
        <v>81.502128918017391</v>
      </c>
      <c r="V23" s="499">
        <f t="shared" si="9"/>
        <v>81.789835523471339</v>
      </c>
      <c r="W23" s="499">
        <f t="shared" si="9"/>
        <v>81.880246596070108</v>
      </c>
      <c r="X23" s="499">
        <f t="shared" si="9"/>
        <v>81.993247673395814</v>
      </c>
      <c r="Y23" s="499">
        <f t="shared" si="9"/>
        <v>83.363070377728405</v>
      </c>
      <c r="Z23" s="499">
        <f t="shared" si="9"/>
        <v>81.567858316267575</v>
      </c>
      <c r="AA23" s="4">
        <f t="shared" si="10"/>
        <v>12</v>
      </c>
      <c r="AB23" s="4">
        <f t="shared" si="10"/>
        <v>13</v>
      </c>
      <c r="AC23" s="4">
        <f t="shared" si="10"/>
        <v>14</v>
      </c>
      <c r="AD23" s="4">
        <f t="shared" si="10"/>
        <v>15</v>
      </c>
      <c r="AE23" s="4">
        <f t="shared" si="10"/>
        <v>14</v>
      </c>
      <c r="AF23" s="4">
        <f t="shared" si="10"/>
        <v>15</v>
      </c>
      <c r="AG23" s="4">
        <f t="shared" si="10"/>
        <v>15</v>
      </c>
      <c r="AH23" s="4">
        <f t="shared" si="10"/>
        <v>15</v>
      </c>
      <c r="AI23" s="4">
        <f t="shared" si="10"/>
        <v>15</v>
      </c>
      <c r="AJ23" s="4">
        <f t="shared" si="10"/>
        <v>13</v>
      </c>
      <c r="AK23" s="4">
        <f t="shared" si="10"/>
        <v>15</v>
      </c>
      <c r="AL23" s="499">
        <f t="shared" si="11"/>
        <v>-19.163763389528476</v>
      </c>
      <c r="AM23" s="499">
        <f t="shared" si="12"/>
        <v>-19.535994860768479</v>
      </c>
      <c r="AN23" s="499">
        <f t="shared" si="13"/>
        <v>-19.258140071375696</v>
      </c>
      <c r="AO23" s="499">
        <f t="shared" si="14"/>
        <v>-19.34613472911375</v>
      </c>
      <c r="AP23" s="499">
        <f t="shared" si="15"/>
        <v>-18.953079523600636</v>
      </c>
      <c r="AQ23" s="499">
        <f t="shared" si="16"/>
        <v>-18.497871081982609</v>
      </c>
      <c r="AR23" s="499">
        <f t="shared" si="17"/>
        <v>-18.210164476528657</v>
      </c>
      <c r="AS23" s="499">
        <f t="shared" si="18"/>
        <v>-18.119753403929884</v>
      </c>
      <c r="AT23" s="499">
        <f t="shared" si="19"/>
        <v>-18.006752326604179</v>
      </c>
      <c r="AU23" s="499">
        <f t="shared" si="20"/>
        <v>-16.636929622271602</v>
      </c>
      <c r="AV23" s="499">
        <f t="shared" si="21"/>
        <v>-18.432141683732418</v>
      </c>
    </row>
    <row r="24" spans="1:48" s="4" customFormat="1" ht="15" customHeight="1">
      <c r="A24" s="126" t="s">
        <v>138</v>
      </c>
      <c r="B24" s="209"/>
      <c r="C24" s="209"/>
      <c r="D24" s="209"/>
      <c r="E24" s="98"/>
      <c r="F24" s="98"/>
      <c r="G24" s="98"/>
      <c r="H24" s="98"/>
      <c r="I24" s="98"/>
      <c r="J24" s="98"/>
      <c r="K24" s="98"/>
      <c r="L24" s="98"/>
    </row>
    <row r="25" spans="1:48" s="4" customFormat="1" ht="25.5" customHeight="1">
      <c r="A25" s="621" t="s">
        <v>130</v>
      </c>
      <c r="B25" s="621"/>
      <c r="C25" s="621"/>
      <c r="D25" s="621"/>
      <c r="E25" s="621"/>
      <c r="F25" s="621"/>
      <c r="G25" s="621"/>
      <c r="H25" s="621"/>
      <c r="I25" s="621"/>
      <c r="J25" s="621"/>
      <c r="K25" s="621"/>
      <c r="L25" s="621"/>
    </row>
  </sheetData>
  <mergeCells count="2">
    <mergeCell ref="A25:L25"/>
    <mergeCell ref="A1:L1"/>
  </mergeCells>
  <conditionalFormatting sqref="A1 A25 I3 A5:A23 A2:E2 A26:E1048576 A4:D4 A3:C3 B5:E24 M24:XFD1048576 M1:XFD3 M4:M23 AL4:XFD23">
    <cfRule type="cellIs" dxfId="657" priority="38" operator="equal">
      <formula>0</formula>
    </cfRule>
  </conditionalFormatting>
  <conditionalFormatting sqref="A24">
    <cfRule type="cellIs" dxfId="656" priority="37" operator="equal">
      <formula>0</formula>
    </cfRule>
  </conditionalFormatting>
  <conditionalFormatting sqref="E4">
    <cfRule type="cellIs" dxfId="655" priority="36" operator="equal">
      <formula>0</formula>
    </cfRule>
  </conditionalFormatting>
  <conditionalFormatting sqref="H2 H24 H26:H1048576">
    <cfRule type="cellIs" dxfId="654" priority="35" operator="equal">
      <formula>0</formula>
    </cfRule>
  </conditionalFormatting>
  <conditionalFormatting sqref="F2 F24 F26:F1048576">
    <cfRule type="cellIs" dxfId="653" priority="32" operator="equal">
      <formula>0</formula>
    </cfRule>
  </conditionalFormatting>
  <conditionalFormatting sqref="F4:H4">
    <cfRule type="cellIs" dxfId="652" priority="31" operator="equal">
      <formula>0</formula>
    </cfRule>
  </conditionalFormatting>
  <conditionalFormatting sqref="F5:H23">
    <cfRule type="cellIs" dxfId="651" priority="30" operator="equal">
      <formula>0</formula>
    </cfRule>
  </conditionalFormatting>
  <conditionalFormatting sqref="G2 G24 G26:G1048576">
    <cfRule type="cellIs" dxfId="650" priority="26" operator="equal">
      <formula>0</formula>
    </cfRule>
  </conditionalFormatting>
  <conditionalFormatting sqref="I2 I24 I26:I1048576">
    <cfRule type="cellIs" dxfId="649" priority="23" operator="equal">
      <formula>0</formula>
    </cfRule>
  </conditionalFormatting>
  <conditionalFormatting sqref="I4">
    <cfRule type="cellIs" dxfId="648" priority="22" operator="equal">
      <formula>0</formula>
    </cfRule>
  </conditionalFormatting>
  <conditionalFormatting sqref="I5:I23">
    <cfRule type="cellIs" dxfId="647" priority="21" operator="equal">
      <formula>0</formula>
    </cfRule>
  </conditionalFormatting>
  <conditionalFormatting sqref="J3">
    <cfRule type="cellIs" dxfId="646" priority="20" operator="equal">
      <formula>0</formula>
    </cfRule>
  </conditionalFormatting>
  <conditionalFormatting sqref="J2 J24 J26:J1048576">
    <cfRule type="cellIs" dxfId="645" priority="19" operator="equal">
      <formula>0</formula>
    </cfRule>
  </conditionalFormatting>
  <conditionalFormatting sqref="J4">
    <cfRule type="cellIs" dxfId="644" priority="18" operator="equal">
      <formula>0</formula>
    </cfRule>
  </conditionalFormatting>
  <conditionalFormatting sqref="J5:J23">
    <cfRule type="cellIs" dxfId="643" priority="17" operator="equal">
      <formula>0</formula>
    </cfRule>
  </conditionalFormatting>
  <conditionalFormatting sqref="K3">
    <cfRule type="cellIs" dxfId="642" priority="14" operator="equal">
      <formula>0</formula>
    </cfRule>
  </conditionalFormatting>
  <conditionalFormatting sqref="K2 K24 K26:K1048576">
    <cfRule type="cellIs" dxfId="641" priority="13" operator="equal">
      <formula>0</formula>
    </cfRule>
  </conditionalFormatting>
  <conditionalFormatting sqref="K4">
    <cfRule type="cellIs" dxfId="640" priority="12" operator="equal">
      <formula>0</formula>
    </cfRule>
  </conditionalFormatting>
  <conditionalFormatting sqref="K5:K23">
    <cfRule type="cellIs" dxfId="639" priority="11" operator="equal">
      <formula>0</formula>
    </cfRule>
  </conditionalFormatting>
  <conditionalFormatting sqref="L3">
    <cfRule type="cellIs" dxfId="638" priority="4" operator="equal">
      <formula>0</formula>
    </cfRule>
  </conditionalFormatting>
  <conditionalFormatting sqref="L2 L24 L26:L1048576">
    <cfRule type="cellIs" dxfId="637" priority="3" operator="equal">
      <formula>0</formula>
    </cfRule>
  </conditionalFormatting>
  <conditionalFormatting sqref="L4">
    <cfRule type="cellIs" dxfId="636" priority="2" operator="equal">
      <formula>0</formula>
    </cfRule>
  </conditionalFormatting>
  <conditionalFormatting sqref="L5:L23">
    <cfRule type="cellIs" dxfId="635"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FA27-1AFD-4A93-A38A-AACE63DB8FCA}">
  <sheetPr>
    <tabColor indexed="26"/>
    <pageSetUpPr fitToPage="1"/>
  </sheetPr>
  <dimension ref="A1:GG42"/>
  <sheetViews>
    <sheetView showGridLines="0" workbookViewId="0">
      <selection activeCell="P8" sqref="P8"/>
    </sheetView>
  </sheetViews>
  <sheetFormatPr defaultColWidth="9.140625" defaultRowHeight="15.75" customHeight="1"/>
  <cols>
    <col min="1" max="1" width="25.5703125" style="521" customWidth="1"/>
    <col min="2" max="3" width="6.42578125" style="522" customWidth="1"/>
    <col min="4" max="12" width="6.42578125" style="521" customWidth="1"/>
    <col min="13" max="189" width="9.140625" style="521"/>
    <col min="190" max="16384" width="9.140625" style="523"/>
  </cols>
  <sheetData>
    <row r="1" spans="1:14" s="516" customFormat="1" ht="28.5" customHeight="1">
      <c r="A1" s="622" t="s">
        <v>660</v>
      </c>
      <c r="B1" s="622"/>
      <c r="C1" s="622"/>
      <c r="D1" s="622"/>
      <c r="E1" s="622"/>
      <c r="F1" s="622"/>
      <c r="G1" s="622"/>
      <c r="H1" s="622"/>
      <c r="I1" s="622"/>
      <c r="J1" s="622"/>
      <c r="K1" s="622"/>
      <c r="L1" s="622"/>
    </row>
    <row r="2" spans="1:14" s="4" customFormat="1" ht="15" customHeight="1">
      <c r="A2" s="129"/>
      <c r="B2" s="130"/>
      <c r="C2" s="130"/>
      <c r="D2" s="98"/>
      <c r="E2" s="98"/>
      <c r="F2" s="98"/>
      <c r="G2" s="98"/>
      <c r="H2" s="98"/>
      <c r="I2" s="98"/>
      <c r="J2" s="98"/>
      <c r="K2" s="98"/>
      <c r="L2" s="98"/>
    </row>
    <row r="3" spans="1:14" s="4" customFormat="1" ht="15" customHeight="1">
      <c r="A3" s="13" t="s">
        <v>14</v>
      </c>
      <c r="B3" s="517"/>
      <c r="D3" s="518"/>
      <c r="E3" s="518"/>
      <c r="F3" s="518"/>
      <c r="G3" s="518"/>
      <c r="H3" s="518"/>
      <c r="I3" s="518"/>
      <c r="J3" s="518"/>
      <c r="K3" s="518"/>
      <c r="L3" s="518" t="s">
        <v>68</v>
      </c>
    </row>
    <row r="4" spans="1:14" s="4" customFormat="1" ht="28.5" customHeight="1" thickBot="1">
      <c r="A4" s="14"/>
      <c r="B4" s="15">
        <v>2012</v>
      </c>
      <c r="C4" s="15">
        <v>2013</v>
      </c>
      <c r="D4" s="15">
        <v>2014</v>
      </c>
      <c r="E4" s="15">
        <v>2015</v>
      </c>
      <c r="F4" s="15">
        <v>2016</v>
      </c>
      <c r="G4" s="15">
        <v>2017</v>
      </c>
      <c r="H4" s="15">
        <v>2018</v>
      </c>
      <c r="I4" s="15">
        <v>2019</v>
      </c>
      <c r="J4" s="15">
        <v>2020</v>
      </c>
      <c r="K4" s="15">
        <v>2021</v>
      </c>
      <c r="L4" s="15">
        <v>2022</v>
      </c>
    </row>
    <row r="5" spans="1:14" s="4" customFormat="1" ht="20.25" customHeight="1" thickTop="1">
      <c r="A5" s="92" t="s">
        <v>12</v>
      </c>
      <c r="B5" s="271">
        <v>915.01247006081269</v>
      </c>
      <c r="C5" s="271">
        <v>912.18298170177184</v>
      </c>
      <c r="D5" s="271">
        <v>909.49144915721502</v>
      </c>
      <c r="E5" s="271">
        <v>913.92544791377316</v>
      </c>
      <c r="F5" s="271">
        <v>924.93921530908142</v>
      </c>
      <c r="G5" s="271">
        <v>943.00107511786268</v>
      </c>
      <c r="H5" s="271">
        <v>970.41689676342446</v>
      </c>
      <c r="I5" s="271">
        <v>1005.0892792510299</v>
      </c>
      <c r="J5" s="271">
        <v>1041.9948771786007</v>
      </c>
      <c r="K5" s="271">
        <v>1082.7724697513497</v>
      </c>
      <c r="L5" s="271">
        <v>1143.445582856891</v>
      </c>
    </row>
    <row r="6" spans="1:14" s="4" customFormat="1" ht="20.25" customHeight="1">
      <c r="A6" s="16" t="s">
        <v>629</v>
      </c>
      <c r="B6" s="519">
        <v>808.48296880327041</v>
      </c>
      <c r="C6" s="519">
        <v>809.49634301852325</v>
      </c>
      <c r="D6" s="519">
        <v>812.0063787626824</v>
      </c>
      <c r="E6" s="519">
        <v>820.0743276851656</v>
      </c>
      <c r="F6" s="519">
        <v>834.00621706960692</v>
      </c>
      <c r="G6" s="519">
        <v>854.75729368721454</v>
      </c>
      <c r="H6" s="519">
        <v>887.43558069809126</v>
      </c>
      <c r="I6" s="519">
        <v>924.50443883369405</v>
      </c>
      <c r="J6" s="519">
        <v>965.76444774252479</v>
      </c>
      <c r="K6" s="519">
        <v>1006.7509032237157</v>
      </c>
      <c r="L6" s="519">
        <v>1063.2116885853982</v>
      </c>
      <c r="N6" s="200"/>
    </row>
    <row r="7" spans="1:14" s="4" customFormat="1" ht="15" customHeight="1">
      <c r="A7" s="514" t="s">
        <v>630</v>
      </c>
      <c r="B7" s="273">
        <v>722.48055520348294</v>
      </c>
      <c r="C7" s="273">
        <v>726.57026737386104</v>
      </c>
      <c r="D7" s="273">
        <v>729.8866524967857</v>
      </c>
      <c r="E7" s="273">
        <v>741.65304225916282</v>
      </c>
      <c r="F7" s="273">
        <v>746.71799608418974</v>
      </c>
      <c r="G7" s="273">
        <v>782.27367877575716</v>
      </c>
      <c r="H7" s="273">
        <v>802.92211141340704</v>
      </c>
      <c r="I7" s="273">
        <v>834.96549839156432</v>
      </c>
      <c r="J7" s="273">
        <v>865.75743811257041</v>
      </c>
      <c r="K7" s="273">
        <v>907.38138718916832</v>
      </c>
      <c r="L7" s="273">
        <v>955.66561814916668</v>
      </c>
    </row>
    <row r="8" spans="1:14" s="4" customFormat="1" ht="15" customHeight="1">
      <c r="A8" s="514" t="s">
        <v>631</v>
      </c>
      <c r="B8" s="273">
        <v>756.29505385491086</v>
      </c>
      <c r="C8" s="273">
        <v>755.27598255850421</v>
      </c>
      <c r="D8" s="273">
        <v>759.840272194053</v>
      </c>
      <c r="E8" s="273">
        <v>761.40994855979102</v>
      </c>
      <c r="F8" s="273">
        <v>779.13812347847374</v>
      </c>
      <c r="G8" s="273">
        <v>804.20321432369838</v>
      </c>
      <c r="H8" s="273">
        <v>837.41060177349868</v>
      </c>
      <c r="I8" s="273">
        <v>882.73069563586489</v>
      </c>
      <c r="J8" s="273">
        <v>926.11333786222576</v>
      </c>
      <c r="K8" s="273">
        <v>973.96706905264648</v>
      </c>
      <c r="L8" s="273">
        <v>1014.0747950947501</v>
      </c>
    </row>
    <row r="9" spans="1:14" s="4" customFormat="1" ht="15" customHeight="1">
      <c r="A9" s="514" t="s">
        <v>632</v>
      </c>
      <c r="B9" s="273">
        <v>713.66823668498489</v>
      </c>
      <c r="C9" s="273">
        <v>713.04616640381937</v>
      </c>
      <c r="D9" s="273">
        <v>721.62421935684335</v>
      </c>
      <c r="E9" s="273">
        <v>730.34139081064484</v>
      </c>
      <c r="F9" s="273">
        <v>747.36114073904912</v>
      </c>
      <c r="G9" s="273">
        <v>775.07998406738318</v>
      </c>
      <c r="H9" s="273">
        <v>802.77548636176732</v>
      </c>
      <c r="I9" s="273">
        <v>830.45472563946726</v>
      </c>
      <c r="J9" s="273">
        <v>871.56103946350265</v>
      </c>
      <c r="K9" s="273">
        <v>916.46064291745063</v>
      </c>
      <c r="L9" s="273">
        <v>964.06539448218007</v>
      </c>
      <c r="N9" s="140"/>
    </row>
    <row r="10" spans="1:14" s="4" customFormat="1" ht="15" customHeight="1">
      <c r="A10" s="514" t="s">
        <v>633</v>
      </c>
      <c r="B10" s="273">
        <v>896.67355393696243</v>
      </c>
      <c r="C10" s="273">
        <v>899.10126554317731</v>
      </c>
      <c r="D10" s="273">
        <v>899.59318159744919</v>
      </c>
      <c r="E10" s="273">
        <v>909.43849137782047</v>
      </c>
      <c r="F10" s="273">
        <v>922.09170684657408</v>
      </c>
      <c r="G10" s="273">
        <v>937.69458637559512</v>
      </c>
      <c r="H10" s="273">
        <v>975.29349834006211</v>
      </c>
      <c r="I10" s="273">
        <v>1012.5599185930314</v>
      </c>
      <c r="J10" s="273">
        <v>1057.6599517441064</v>
      </c>
      <c r="K10" s="273">
        <v>1099.9264312105734</v>
      </c>
      <c r="L10" s="273">
        <v>1165.4434957531817</v>
      </c>
      <c r="N10" s="140"/>
    </row>
    <row r="11" spans="1:14" s="4" customFormat="1" ht="15" customHeight="1">
      <c r="A11" s="514" t="s">
        <v>634</v>
      </c>
      <c r="B11" s="273">
        <v>688.41031679100422</v>
      </c>
      <c r="C11" s="273">
        <v>686.54733362714887</v>
      </c>
      <c r="D11" s="273">
        <v>689.68263163550398</v>
      </c>
      <c r="E11" s="273">
        <v>689.74903683012622</v>
      </c>
      <c r="F11" s="273">
        <v>723.25373250075552</v>
      </c>
      <c r="G11" s="273">
        <v>757.29139935809269</v>
      </c>
      <c r="H11" s="273">
        <v>779.46986636771317</v>
      </c>
      <c r="I11" s="273">
        <v>802.55268054823398</v>
      </c>
      <c r="J11" s="273">
        <v>831.22588891989938</v>
      </c>
      <c r="K11" s="273">
        <v>852.75797411061831</v>
      </c>
      <c r="L11" s="273">
        <v>892.27479129321375</v>
      </c>
      <c r="N11" s="140"/>
    </row>
    <row r="12" spans="1:14" s="4" customFormat="1" ht="15" customHeight="1">
      <c r="A12" s="514" t="s">
        <v>635</v>
      </c>
      <c r="B12" s="273">
        <v>649.54021825783957</v>
      </c>
      <c r="C12" s="273">
        <v>650.83165747616943</v>
      </c>
      <c r="D12" s="273">
        <v>661.45652817309713</v>
      </c>
      <c r="E12" s="273">
        <v>668.82930814418171</v>
      </c>
      <c r="F12" s="273">
        <v>685.64227373777305</v>
      </c>
      <c r="G12" s="273">
        <v>704.33111494570755</v>
      </c>
      <c r="H12" s="273">
        <v>733.18467309185905</v>
      </c>
      <c r="I12" s="273">
        <v>764.6459234953079</v>
      </c>
      <c r="J12" s="273">
        <v>802.58483419137019</v>
      </c>
      <c r="K12" s="273">
        <v>845.08885172224075</v>
      </c>
      <c r="L12" s="273">
        <v>885.57121879110116</v>
      </c>
      <c r="N12" s="140"/>
    </row>
    <row r="13" spans="1:14" s="4" customFormat="1" ht="15" customHeight="1">
      <c r="A13" s="514" t="s">
        <v>636</v>
      </c>
      <c r="B13" s="273">
        <v>741.03269851299581</v>
      </c>
      <c r="C13" s="273">
        <v>744.163931067004</v>
      </c>
      <c r="D13" s="273">
        <v>745.32746517626811</v>
      </c>
      <c r="E13" s="273">
        <v>747.61550153361532</v>
      </c>
      <c r="F13" s="273">
        <v>750.66208293829106</v>
      </c>
      <c r="G13" s="273">
        <v>766.74079062899068</v>
      </c>
      <c r="H13" s="273">
        <v>789.35911839580149</v>
      </c>
      <c r="I13" s="273">
        <v>816.21488291346782</v>
      </c>
      <c r="J13" s="273">
        <v>838.9388349252813</v>
      </c>
      <c r="K13" s="273">
        <v>872.94569460988703</v>
      </c>
      <c r="L13" s="273">
        <v>922.59328591096858</v>
      </c>
      <c r="N13" s="140"/>
    </row>
    <row r="14" spans="1:14" s="4" customFormat="1" ht="15" customHeight="1">
      <c r="A14" s="514" t="s">
        <v>637</v>
      </c>
      <c r="B14" s="273">
        <v>688.94842557473521</v>
      </c>
      <c r="C14" s="273">
        <v>705.27843877231464</v>
      </c>
      <c r="D14" s="273">
        <v>702.36247034671567</v>
      </c>
      <c r="E14" s="273">
        <v>711.03804301548837</v>
      </c>
      <c r="F14" s="273">
        <v>732.90442736631405</v>
      </c>
      <c r="G14" s="273">
        <v>751.28039239168766</v>
      </c>
      <c r="H14" s="273">
        <v>770.97765148378221</v>
      </c>
      <c r="I14" s="273">
        <v>799.1619993057966</v>
      </c>
      <c r="J14" s="273">
        <v>833.66388715818607</v>
      </c>
      <c r="K14" s="273">
        <v>864.25790937457623</v>
      </c>
      <c r="L14" s="273">
        <v>899.67616523875961</v>
      </c>
      <c r="N14" s="140"/>
    </row>
    <row r="15" spans="1:14" s="4" customFormat="1" ht="15" customHeight="1">
      <c r="A15" s="16" t="s">
        <v>638</v>
      </c>
      <c r="B15" s="519">
        <v>790.64444594885811</v>
      </c>
      <c r="C15" s="519">
        <v>790.29827742541056</v>
      </c>
      <c r="D15" s="519">
        <v>791.6892890170999</v>
      </c>
      <c r="E15" s="519">
        <v>797.26264077675955</v>
      </c>
      <c r="F15" s="519">
        <v>811.52229769515759</v>
      </c>
      <c r="G15" s="519">
        <v>830.13304476283747</v>
      </c>
      <c r="H15" s="519">
        <v>859.11378517236426</v>
      </c>
      <c r="I15" s="519">
        <v>891.46999365677982</v>
      </c>
      <c r="J15" s="519">
        <v>920.01077313561723</v>
      </c>
      <c r="K15" s="519">
        <v>961.01832308079781</v>
      </c>
      <c r="L15" s="519">
        <v>1007.642687752657</v>
      </c>
      <c r="N15" s="140"/>
    </row>
    <row r="16" spans="1:14" s="4" customFormat="1" ht="15" customHeight="1">
      <c r="A16" s="514" t="s">
        <v>639</v>
      </c>
      <c r="B16" s="273">
        <v>833.53336997422673</v>
      </c>
      <c r="C16" s="273">
        <v>833.28497962488893</v>
      </c>
      <c r="D16" s="273">
        <v>840.87256721672702</v>
      </c>
      <c r="E16" s="273">
        <v>850.11285006271987</v>
      </c>
      <c r="F16" s="273">
        <v>860.21977761540575</v>
      </c>
      <c r="G16" s="273">
        <v>876.70315741854199</v>
      </c>
      <c r="H16" s="273">
        <v>907.61897397342102</v>
      </c>
      <c r="I16" s="273">
        <v>947.58183786045458</v>
      </c>
      <c r="J16" s="273">
        <v>970.59008674169138</v>
      </c>
      <c r="K16" s="273">
        <v>1011.7037886603671</v>
      </c>
      <c r="L16" s="273">
        <v>1065.4112333260434</v>
      </c>
      <c r="N16" s="140"/>
    </row>
    <row r="17" spans="1:14" s="4" customFormat="1" ht="15" customHeight="1">
      <c r="A17" s="514" t="s">
        <v>640</v>
      </c>
      <c r="B17" s="273">
        <v>807.04843086707308</v>
      </c>
      <c r="C17" s="273">
        <v>811.27327953397662</v>
      </c>
      <c r="D17" s="273">
        <v>798.25449093958332</v>
      </c>
      <c r="E17" s="273">
        <v>798.2344526869781</v>
      </c>
      <c r="F17" s="273">
        <v>813.18747996748368</v>
      </c>
      <c r="G17" s="273">
        <v>831.44100384983176</v>
      </c>
      <c r="H17" s="273">
        <v>860.33579754714867</v>
      </c>
      <c r="I17" s="273">
        <v>892.76868435260644</v>
      </c>
      <c r="J17" s="273">
        <v>921.46101987657732</v>
      </c>
      <c r="K17" s="273">
        <v>964.5176872119473</v>
      </c>
      <c r="L17" s="273">
        <v>1011.4648886712012</v>
      </c>
      <c r="N17" s="140"/>
    </row>
    <row r="18" spans="1:14" s="4" customFormat="1" ht="15" customHeight="1">
      <c r="A18" s="514" t="s">
        <v>641</v>
      </c>
      <c r="B18" s="273">
        <v>813.10960144870228</v>
      </c>
      <c r="C18" s="273">
        <v>809.51425840846696</v>
      </c>
      <c r="D18" s="273">
        <v>816.83764824348862</v>
      </c>
      <c r="E18" s="273">
        <v>825.06870954918884</v>
      </c>
      <c r="F18" s="273">
        <v>839.80751787889653</v>
      </c>
      <c r="G18" s="273">
        <v>859.07449976338307</v>
      </c>
      <c r="H18" s="273">
        <v>893.9983210583556</v>
      </c>
      <c r="I18" s="273">
        <v>921.38592851700446</v>
      </c>
      <c r="J18" s="273">
        <v>947.75260367696387</v>
      </c>
      <c r="K18" s="273">
        <v>986.60634767774559</v>
      </c>
      <c r="L18" s="273">
        <v>1034.0919589902462</v>
      </c>
      <c r="N18" s="140"/>
    </row>
    <row r="19" spans="1:14" s="4" customFormat="1" ht="15" customHeight="1">
      <c r="A19" s="514" t="s">
        <v>642</v>
      </c>
      <c r="B19" s="273">
        <v>750.55931231831414</v>
      </c>
      <c r="C19" s="273">
        <v>744.87469149960998</v>
      </c>
      <c r="D19" s="273">
        <v>742.83078510328494</v>
      </c>
      <c r="E19" s="273">
        <v>745.1612162903474</v>
      </c>
      <c r="F19" s="273">
        <v>757.72027807049619</v>
      </c>
      <c r="G19" s="273">
        <v>777.16516225430405</v>
      </c>
      <c r="H19" s="273">
        <v>802.21658599948069</v>
      </c>
      <c r="I19" s="273">
        <v>830.19999369483003</v>
      </c>
      <c r="J19" s="273">
        <v>862.86804942094068</v>
      </c>
      <c r="K19" s="273">
        <v>906.8341511254655</v>
      </c>
      <c r="L19" s="273">
        <v>944.06911928341015</v>
      </c>
      <c r="N19" s="140"/>
    </row>
    <row r="20" spans="1:14" s="4" customFormat="1" ht="15" customHeight="1">
      <c r="A20" s="514" t="s">
        <v>643</v>
      </c>
      <c r="B20" s="273">
        <v>716.46207137023282</v>
      </c>
      <c r="C20" s="273">
        <v>723.64288247611546</v>
      </c>
      <c r="D20" s="273">
        <v>726.56578200844729</v>
      </c>
      <c r="E20" s="273">
        <v>730.63225510788618</v>
      </c>
      <c r="F20" s="273">
        <v>750.325851424912</v>
      </c>
      <c r="G20" s="273">
        <v>767.59307208637642</v>
      </c>
      <c r="H20" s="273">
        <v>786.67981629825965</v>
      </c>
      <c r="I20" s="273">
        <v>812.51200315648907</v>
      </c>
      <c r="J20" s="273">
        <v>851.67621977756312</v>
      </c>
      <c r="K20" s="273">
        <v>894.92776427855711</v>
      </c>
      <c r="L20" s="273">
        <v>926.52302131603278</v>
      </c>
      <c r="N20" s="140"/>
    </row>
    <row r="21" spans="1:14" s="4" customFormat="1" ht="15" customHeight="1">
      <c r="A21" s="514" t="s">
        <v>644</v>
      </c>
      <c r="B21" s="273">
        <v>700.06028778044526</v>
      </c>
      <c r="C21" s="273">
        <v>696.01683929280284</v>
      </c>
      <c r="D21" s="273">
        <v>706.70277973594591</v>
      </c>
      <c r="E21" s="273">
        <v>713.67112796348124</v>
      </c>
      <c r="F21" s="273">
        <v>731.12120220002896</v>
      </c>
      <c r="G21" s="273">
        <v>752.07102352139077</v>
      </c>
      <c r="H21" s="273">
        <v>776.49594403649326</v>
      </c>
      <c r="I21" s="273">
        <v>807.38198307547634</v>
      </c>
      <c r="J21" s="273">
        <v>841.01786549365784</v>
      </c>
      <c r="K21" s="273">
        <v>877.51232438820534</v>
      </c>
      <c r="L21" s="273">
        <v>921.31669641634949</v>
      </c>
      <c r="N21" s="140"/>
    </row>
    <row r="22" spans="1:14" s="4" customFormat="1" ht="15" customHeight="1">
      <c r="A22" s="16" t="s">
        <v>645</v>
      </c>
      <c r="B22" s="519">
        <v>782.08861419973505</v>
      </c>
      <c r="C22" s="519">
        <v>783.15208150699243</v>
      </c>
      <c r="D22" s="519">
        <v>784.38562005968402</v>
      </c>
      <c r="E22" s="519">
        <v>787.4203476577236</v>
      </c>
      <c r="F22" s="519">
        <v>795.81357354056377</v>
      </c>
      <c r="G22" s="519">
        <v>813.34053861835901</v>
      </c>
      <c r="H22" s="519">
        <v>833.08270710807074</v>
      </c>
      <c r="I22" s="519">
        <v>857.96173213910583</v>
      </c>
      <c r="J22" s="519">
        <v>892.05777670136501</v>
      </c>
      <c r="K22" s="519">
        <v>929.27204362095836</v>
      </c>
      <c r="L22" s="519">
        <v>969.16885384892851</v>
      </c>
      <c r="N22" s="140"/>
    </row>
    <row r="23" spans="1:14" s="4" customFormat="1" ht="15" customHeight="1">
      <c r="A23" s="514" t="s">
        <v>646</v>
      </c>
      <c r="B23" s="273">
        <v>769.39505820334603</v>
      </c>
      <c r="C23" s="273">
        <v>770.77276389830536</v>
      </c>
      <c r="D23" s="273">
        <v>771.78467523525364</v>
      </c>
      <c r="E23" s="273">
        <v>770.07024559003628</v>
      </c>
      <c r="F23" s="273">
        <v>785.59181093834593</v>
      </c>
      <c r="G23" s="273">
        <v>801.29420568772343</v>
      </c>
      <c r="H23" s="273">
        <v>821.94993171750252</v>
      </c>
      <c r="I23" s="273">
        <v>848.69853535423965</v>
      </c>
      <c r="J23" s="273">
        <v>884.54583130035167</v>
      </c>
      <c r="K23" s="273">
        <v>926.95886245961594</v>
      </c>
      <c r="L23" s="273">
        <v>966.3983311076089</v>
      </c>
      <c r="N23" s="140"/>
    </row>
    <row r="24" spans="1:14" s="4" customFormat="1" ht="15" customHeight="1">
      <c r="A24" s="514" t="s">
        <v>647</v>
      </c>
      <c r="B24" s="273">
        <v>779.12128685471032</v>
      </c>
      <c r="C24" s="273">
        <v>783.58698637587349</v>
      </c>
      <c r="D24" s="273">
        <v>785.86463250531506</v>
      </c>
      <c r="E24" s="273">
        <v>791.65178251002749</v>
      </c>
      <c r="F24" s="273">
        <v>795.8850830503078</v>
      </c>
      <c r="G24" s="273">
        <v>823.16589585509394</v>
      </c>
      <c r="H24" s="273">
        <v>843.09182578899038</v>
      </c>
      <c r="I24" s="273">
        <v>873.50591969681977</v>
      </c>
      <c r="J24" s="273">
        <v>905.27112218415891</v>
      </c>
      <c r="K24" s="273">
        <v>935.3750264396383</v>
      </c>
      <c r="L24" s="273">
        <v>969.04632391741143</v>
      </c>
      <c r="N24" s="140"/>
    </row>
    <row r="25" spans="1:14" s="4" customFormat="1" ht="15" customHeight="1">
      <c r="A25" s="514" t="s">
        <v>648</v>
      </c>
      <c r="B25" s="273">
        <v>804.22043108682465</v>
      </c>
      <c r="C25" s="273">
        <v>801.76802892508147</v>
      </c>
      <c r="D25" s="273">
        <v>802.57541914107287</v>
      </c>
      <c r="E25" s="273">
        <v>810.84622790674268</v>
      </c>
      <c r="F25" s="273">
        <v>811.70164461293325</v>
      </c>
      <c r="G25" s="273">
        <v>823.11611117454959</v>
      </c>
      <c r="H25" s="273">
        <v>841.64106442887567</v>
      </c>
      <c r="I25" s="273">
        <v>858.77903755555576</v>
      </c>
      <c r="J25" s="273">
        <v>892.51538097259129</v>
      </c>
      <c r="K25" s="273">
        <v>927.76097218141967</v>
      </c>
      <c r="L25" s="273">
        <v>973.65286859650712</v>
      </c>
      <c r="N25" s="140"/>
    </row>
    <row r="26" spans="1:14" s="4" customFormat="1" ht="15" customHeight="1">
      <c r="A26" s="16" t="s">
        <v>649</v>
      </c>
      <c r="B26" s="519">
        <v>1192.6909840284645</v>
      </c>
      <c r="C26" s="519">
        <v>1184.3394968190814</v>
      </c>
      <c r="D26" s="519">
        <v>1174.2335426887817</v>
      </c>
      <c r="E26" s="519">
        <v>1175.5703698145885</v>
      </c>
      <c r="F26" s="519">
        <v>1179.7804523135078</v>
      </c>
      <c r="G26" s="519">
        <v>1197.3980544344977</v>
      </c>
      <c r="H26" s="519">
        <v>1219.74446356669</v>
      </c>
      <c r="I26" s="519">
        <v>1255.7750738574869</v>
      </c>
      <c r="J26" s="519">
        <v>1293.0735258916031</v>
      </c>
      <c r="K26" s="519">
        <v>1339.8023759541529</v>
      </c>
      <c r="L26" s="519">
        <v>1418.3948630060115</v>
      </c>
      <c r="N26" s="140"/>
    </row>
    <row r="27" spans="1:14" s="4" customFormat="1" ht="15" customHeight="1">
      <c r="A27" s="16" t="s">
        <v>650</v>
      </c>
      <c r="B27" s="519">
        <v>963.30623380883878</v>
      </c>
      <c r="C27" s="519">
        <v>947.18917694577124</v>
      </c>
      <c r="D27" s="519">
        <v>942.28750371942351</v>
      </c>
      <c r="E27" s="519">
        <v>958.82369081004344</v>
      </c>
      <c r="F27" s="519">
        <v>981.54859148707874</v>
      </c>
      <c r="G27" s="519">
        <v>991.48604567331813</v>
      </c>
      <c r="H27" s="519">
        <v>1000.7045679390471</v>
      </c>
      <c r="I27" s="519">
        <v>1025.8739888658235</v>
      </c>
      <c r="J27" s="519">
        <v>1059.858077899368</v>
      </c>
      <c r="K27" s="519">
        <v>1079.4921273042953</v>
      </c>
      <c r="L27" s="519">
        <v>1126.7122247908299</v>
      </c>
      <c r="N27" s="140"/>
    </row>
    <row r="28" spans="1:14" s="4" customFormat="1" ht="15" customHeight="1">
      <c r="A28" s="16" t="s">
        <v>651</v>
      </c>
      <c r="B28" s="519">
        <v>801.09517255914477</v>
      </c>
      <c r="C28" s="519">
        <v>806.9189823704196</v>
      </c>
      <c r="D28" s="519">
        <v>805.21391687541802</v>
      </c>
      <c r="E28" s="519">
        <v>807.43997542073134</v>
      </c>
      <c r="F28" s="519">
        <v>813.39251193207588</v>
      </c>
      <c r="G28" s="519">
        <v>830.8279853671911</v>
      </c>
      <c r="H28" s="519">
        <v>854.15335620089502</v>
      </c>
      <c r="I28" s="519">
        <v>874.14502147108601</v>
      </c>
      <c r="J28" s="519">
        <v>908.52646115820846</v>
      </c>
      <c r="K28" s="519">
        <v>942.07571101416465</v>
      </c>
      <c r="L28" s="519">
        <v>988.91355750707601</v>
      </c>
      <c r="N28" s="140"/>
    </row>
    <row r="29" spans="1:14" s="4" customFormat="1" ht="15" customHeight="1">
      <c r="A29" s="514" t="s">
        <v>652</v>
      </c>
      <c r="B29" s="273">
        <v>902.7306122956436</v>
      </c>
      <c r="C29" s="273">
        <v>908.99045037430665</v>
      </c>
      <c r="D29" s="273">
        <v>893.32492957746479</v>
      </c>
      <c r="E29" s="273">
        <v>884.28436009161419</v>
      </c>
      <c r="F29" s="273">
        <v>882.80563734386544</v>
      </c>
      <c r="G29" s="273">
        <v>894.33934899260942</v>
      </c>
      <c r="H29" s="273">
        <v>914.73852746828675</v>
      </c>
      <c r="I29" s="273">
        <v>916.54397757009406</v>
      </c>
      <c r="J29" s="273">
        <v>951.99695080802769</v>
      </c>
      <c r="K29" s="273">
        <v>976.16859133324851</v>
      </c>
      <c r="L29" s="273">
        <v>1023.1760810005951</v>
      </c>
      <c r="N29" s="140"/>
    </row>
    <row r="30" spans="1:14" s="4" customFormat="1" ht="15" customHeight="1">
      <c r="A30" s="514" t="s">
        <v>653</v>
      </c>
      <c r="B30" s="273">
        <v>777.29864061640103</v>
      </c>
      <c r="C30" s="273">
        <v>786.71979352338769</v>
      </c>
      <c r="D30" s="273">
        <v>786.13311106252729</v>
      </c>
      <c r="E30" s="273">
        <v>793.31665381975643</v>
      </c>
      <c r="F30" s="273">
        <v>797.4417046951578</v>
      </c>
      <c r="G30" s="273">
        <v>822.88986962123249</v>
      </c>
      <c r="H30" s="273">
        <v>852.58507311250355</v>
      </c>
      <c r="I30" s="273">
        <v>885.25185657209329</v>
      </c>
      <c r="J30" s="273">
        <v>911.62645213403471</v>
      </c>
      <c r="K30" s="273">
        <v>950.67734741661957</v>
      </c>
      <c r="L30" s="273">
        <v>994.19767032643961</v>
      </c>
      <c r="N30" s="140"/>
    </row>
    <row r="31" spans="1:14" s="4" customFormat="1" ht="15" customHeight="1">
      <c r="A31" s="514" t="s">
        <v>654</v>
      </c>
      <c r="B31" s="273">
        <v>755.41836974031901</v>
      </c>
      <c r="C31" s="273">
        <v>750.15320355950985</v>
      </c>
      <c r="D31" s="273">
        <v>754.22184279021337</v>
      </c>
      <c r="E31" s="273">
        <v>755.70994773741234</v>
      </c>
      <c r="F31" s="273">
        <v>767.83196906199862</v>
      </c>
      <c r="G31" s="273">
        <v>783.58564020717915</v>
      </c>
      <c r="H31" s="273">
        <v>805.96255195598974</v>
      </c>
      <c r="I31" s="273">
        <v>828.76150024324954</v>
      </c>
      <c r="J31" s="273">
        <v>863.38273371624132</v>
      </c>
      <c r="K31" s="273">
        <v>899.36013867586962</v>
      </c>
      <c r="L31" s="273">
        <v>939.13431501875846</v>
      </c>
      <c r="N31" s="140"/>
    </row>
    <row r="32" spans="1:14" s="4" customFormat="1" ht="15" customHeight="1">
      <c r="A32" s="514" t="s">
        <v>655</v>
      </c>
      <c r="B32" s="273">
        <v>782.20580642693199</v>
      </c>
      <c r="C32" s="273">
        <v>789.16583271994762</v>
      </c>
      <c r="D32" s="273">
        <v>791.90848027258312</v>
      </c>
      <c r="E32" s="273">
        <v>796.54554832782071</v>
      </c>
      <c r="F32" s="273">
        <v>804.01786004498342</v>
      </c>
      <c r="G32" s="273">
        <v>819.60018360678987</v>
      </c>
      <c r="H32" s="273">
        <v>839.16181474480175</v>
      </c>
      <c r="I32" s="273">
        <v>861.12811243331953</v>
      </c>
      <c r="J32" s="273">
        <v>898.00852296249514</v>
      </c>
      <c r="K32" s="273">
        <v>931.83232782701657</v>
      </c>
      <c r="L32" s="273">
        <v>984.10746899954529</v>
      </c>
      <c r="N32" s="140"/>
    </row>
    <row r="33" spans="1:14" s="19" customFormat="1" ht="15" customHeight="1">
      <c r="A33" s="18" t="s">
        <v>656</v>
      </c>
      <c r="B33" s="520">
        <v>790.60025776836153</v>
      </c>
      <c r="C33" s="520">
        <v>785.86960122626215</v>
      </c>
      <c r="D33" s="520">
        <v>780.52258650459282</v>
      </c>
      <c r="E33" s="520">
        <v>781.12469577959507</v>
      </c>
      <c r="F33" s="520">
        <v>793.75555532098826</v>
      </c>
      <c r="G33" s="520">
        <v>810.98580678129701</v>
      </c>
      <c r="H33" s="520">
        <v>836.08858210028575</v>
      </c>
      <c r="I33" s="520">
        <v>861.14538818491644</v>
      </c>
      <c r="J33" s="520">
        <v>897.18211642109191</v>
      </c>
      <c r="K33" s="520">
        <v>928.4403955392919</v>
      </c>
      <c r="L33" s="520">
        <v>965.82601351644075</v>
      </c>
      <c r="N33" s="140"/>
    </row>
    <row r="34" spans="1:14" s="4" customFormat="1" ht="15" customHeight="1">
      <c r="A34" s="126" t="s">
        <v>138</v>
      </c>
      <c r="B34" s="209"/>
      <c r="C34" s="209"/>
      <c r="D34" s="98"/>
      <c r="E34" s="98"/>
      <c r="F34" s="98"/>
      <c r="G34" s="98"/>
      <c r="H34" s="98"/>
      <c r="I34" s="98"/>
      <c r="J34" s="98"/>
      <c r="K34" s="98"/>
      <c r="L34" s="98"/>
    </row>
    <row r="35" spans="1:14" s="4" customFormat="1" ht="25.5" customHeight="1">
      <c r="A35" s="621" t="s">
        <v>130</v>
      </c>
      <c r="B35" s="621"/>
      <c r="C35" s="621"/>
      <c r="D35" s="621"/>
      <c r="E35" s="621"/>
      <c r="F35" s="621"/>
      <c r="G35" s="621"/>
      <c r="H35" s="621"/>
      <c r="I35" s="621"/>
      <c r="J35" s="621"/>
      <c r="K35" s="621"/>
      <c r="L35" s="621"/>
    </row>
    <row r="36" spans="1:14" s="521" customFormat="1" ht="15.75" customHeight="1">
      <c r="B36" s="522"/>
      <c r="C36" s="522"/>
    </row>
    <row r="37" spans="1:14" s="521" customFormat="1" ht="15.75" customHeight="1">
      <c r="B37" s="522"/>
      <c r="C37" s="522"/>
    </row>
    <row r="38" spans="1:14" s="521" customFormat="1" ht="15.75" customHeight="1">
      <c r="B38" s="522"/>
      <c r="C38" s="522"/>
    </row>
    <row r="39" spans="1:14" s="521" customFormat="1" ht="15.75" customHeight="1">
      <c r="B39" s="522"/>
      <c r="C39" s="522"/>
    </row>
    <row r="40" spans="1:14" s="521" customFormat="1" ht="15.75" customHeight="1">
      <c r="B40" s="522"/>
      <c r="C40" s="522"/>
    </row>
    <row r="41" spans="1:14" s="521" customFormat="1" ht="15.75" customHeight="1">
      <c r="B41" s="522"/>
      <c r="C41" s="522"/>
    </row>
    <row r="42" spans="1:14" s="521" customFormat="1" ht="15.75" customHeight="1">
      <c r="B42" s="522"/>
      <c r="C42" s="522"/>
    </row>
  </sheetData>
  <mergeCells count="2">
    <mergeCell ref="A1:L1"/>
    <mergeCell ref="A35:L35"/>
  </mergeCells>
  <conditionalFormatting sqref="A1 A35 H3 M6:M7 M1:N5 A2:D2 A36:D1048576 A4:C4 A3:B3 B34:D34 M8:N61 B5:L33 O1:XFD61 M62:XFD1048576">
    <cfRule type="cellIs" dxfId="634" priority="22" operator="equal">
      <formula>0</formula>
    </cfRule>
  </conditionalFormatting>
  <conditionalFormatting sqref="A34">
    <cfRule type="cellIs" dxfId="633" priority="21" operator="equal">
      <formula>0</formula>
    </cfRule>
  </conditionalFormatting>
  <conditionalFormatting sqref="D4">
    <cfRule type="cellIs" dxfId="632" priority="20" operator="equal">
      <formula>0</formula>
    </cfRule>
  </conditionalFormatting>
  <conditionalFormatting sqref="G2 G34 G36:G1048576">
    <cfRule type="cellIs" dxfId="631" priority="19" operator="equal">
      <formula>0</formula>
    </cfRule>
  </conditionalFormatting>
  <conditionalFormatting sqref="E2 E34 E36:E1048576">
    <cfRule type="cellIs" dxfId="630" priority="18" operator="equal">
      <formula>0</formula>
    </cfRule>
  </conditionalFormatting>
  <conditionalFormatting sqref="E4:G4">
    <cfRule type="cellIs" dxfId="629" priority="17" operator="equal">
      <formula>0</formula>
    </cfRule>
  </conditionalFormatting>
  <conditionalFormatting sqref="F2 F34 F36:F1048576">
    <cfRule type="cellIs" dxfId="628" priority="16" operator="equal">
      <formula>0</formula>
    </cfRule>
  </conditionalFormatting>
  <conditionalFormatting sqref="H2 H34 H36:H1048576">
    <cfRule type="cellIs" dxfId="627" priority="15" operator="equal">
      <formula>0</formula>
    </cfRule>
  </conditionalFormatting>
  <conditionalFormatting sqref="H4">
    <cfRule type="cellIs" dxfId="626" priority="14" operator="equal">
      <formula>0</formula>
    </cfRule>
  </conditionalFormatting>
  <conditionalFormatting sqref="I3">
    <cfRule type="cellIs" dxfId="625" priority="13" operator="equal">
      <formula>0</formula>
    </cfRule>
  </conditionalFormatting>
  <conditionalFormatting sqref="I2 I34 I36:I1048576">
    <cfRule type="cellIs" dxfId="624" priority="12" operator="equal">
      <formula>0</formula>
    </cfRule>
  </conditionalFormatting>
  <conditionalFormatting sqref="I4">
    <cfRule type="cellIs" dxfId="623" priority="11" operator="equal">
      <formula>0</formula>
    </cfRule>
  </conditionalFormatting>
  <conditionalFormatting sqref="N6">
    <cfRule type="cellIs" dxfId="622" priority="10" operator="equal">
      <formula>0</formula>
    </cfRule>
  </conditionalFormatting>
  <conditionalFormatting sqref="J3">
    <cfRule type="cellIs" dxfId="621" priority="9" operator="equal">
      <formula>0</formula>
    </cfRule>
  </conditionalFormatting>
  <conditionalFormatting sqref="J2 J34 J36:J1048576">
    <cfRule type="cellIs" dxfId="620" priority="8" operator="equal">
      <formula>0</formula>
    </cfRule>
  </conditionalFormatting>
  <conditionalFormatting sqref="J4">
    <cfRule type="cellIs" dxfId="619" priority="7" operator="equal">
      <formula>0</formula>
    </cfRule>
  </conditionalFormatting>
  <conditionalFormatting sqref="K3">
    <cfRule type="cellIs" dxfId="618" priority="6" operator="equal">
      <formula>0</formula>
    </cfRule>
  </conditionalFormatting>
  <conditionalFormatting sqref="K2 K34 K36:K1048576">
    <cfRule type="cellIs" dxfId="617" priority="5" operator="equal">
      <formula>0</formula>
    </cfRule>
  </conditionalFormatting>
  <conditionalFormatting sqref="K4">
    <cfRule type="cellIs" dxfId="616" priority="4" operator="equal">
      <formula>0</formula>
    </cfRule>
  </conditionalFormatting>
  <conditionalFormatting sqref="L3">
    <cfRule type="cellIs" dxfId="615" priority="3" operator="equal">
      <formula>0</formula>
    </cfRule>
  </conditionalFormatting>
  <conditionalFormatting sqref="L2 L34 L36:L1048576">
    <cfRule type="cellIs" dxfId="614" priority="2" operator="equal">
      <formula>0</formula>
    </cfRule>
  </conditionalFormatting>
  <conditionalFormatting sqref="L4">
    <cfRule type="cellIs" dxfId="613"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35"/>
  <dimension ref="I1:J55"/>
  <sheetViews>
    <sheetView showGridLines="0" topLeftCell="A31" workbookViewId="0">
      <selection activeCell="N47" sqref="N47"/>
    </sheetView>
  </sheetViews>
  <sheetFormatPr defaultColWidth="9.140625" defaultRowHeight="12.75"/>
  <cols>
    <col min="1" max="12" width="9.140625" style="142"/>
    <col min="13" max="13" width="4.85546875" style="142" customWidth="1"/>
    <col min="14" max="16384" width="9.140625" style="142"/>
  </cols>
  <sheetData>
    <row r="1" spans="9:10" ht="7.5" customHeight="1"/>
    <row r="2" spans="9:10">
      <c r="I2" s="143"/>
      <c r="J2" s="144"/>
    </row>
    <row r="3" spans="9:10" ht="10.5" customHeight="1"/>
    <row r="4" spans="9:10" ht="9" customHeight="1"/>
    <row r="49" ht="42.75" customHeight="1"/>
    <row r="50" ht="53.25" customHeight="1"/>
    <row r="52" ht="14.25" customHeight="1"/>
    <row r="53" ht="11.25" customHeight="1"/>
    <row r="54" ht="7.5" customHeight="1"/>
    <row r="55" ht="5.25" customHeight="1"/>
  </sheetData>
  <printOptions horizontalCentered="1" verticalCentered="1"/>
  <pageMargins left="0.27559055118110237" right="0.27559055118110237" top="1.0236220472440944" bottom="0.47244094488188981" header="0.19685039370078741" footer="0.19685039370078741"/>
  <pageSetup paperSize="9" orientation="portrait" horizontalDpi="300" verticalDpi="3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3">
    <tabColor indexed="26"/>
    <pageSetUpPr fitToPage="1"/>
  </sheetPr>
  <dimension ref="A1:O45"/>
  <sheetViews>
    <sheetView showGridLines="0" workbookViewId="0">
      <selection activeCell="C4" sqref="C4:M43"/>
    </sheetView>
  </sheetViews>
  <sheetFormatPr defaultColWidth="9.140625" defaultRowHeight="15" customHeight="1"/>
  <cols>
    <col min="1" max="1" width="17.140625" style="62" customWidth="1"/>
    <col min="2" max="2" width="2.42578125" style="97" customWidth="1"/>
    <col min="3" max="13" width="6.42578125" style="62" customWidth="1"/>
    <col min="14" max="14" width="9.140625" style="159"/>
    <col min="15" max="16384" width="9.140625" style="62"/>
  </cols>
  <sheetData>
    <row r="1" spans="1:15" s="78" customFormat="1" ht="28.5" customHeight="1">
      <c r="A1" s="587" t="s">
        <v>210</v>
      </c>
      <c r="B1" s="587"/>
      <c r="C1" s="587"/>
      <c r="D1" s="587"/>
      <c r="E1" s="587"/>
      <c r="F1" s="587"/>
      <c r="G1" s="587"/>
      <c r="H1" s="587"/>
      <c r="I1" s="587"/>
      <c r="J1" s="587"/>
      <c r="K1" s="587"/>
      <c r="L1" s="587"/>
      <c r="M1" s="587"/>
      <c r="N1" s="157"/>
    </row>
    <row r="2" spans="1:15" s="165" customFormat="1" ht="15" customHeight="1">
      <c r="A2" s="164"/>
      <c r="B2" s="176"/>
      <c r="C2" s="164"/>
      <c r="D2" s="164"/>
      <c r="E2" s="164"/>
      <c r="F2" s="164"/>
      <c r="G2" s="164"/>
      <c r="H2" s="164"/>
      <c r="I2" s="164"/>
      <c r="J2" s="164"/>
      <c r="K2" s="164"/>
      <c r="L2" s="164"/>
      <c r="M2" s="164"/>
      <c r="N2" s="163"/>
    </row>
    <row r="3" spans="1:15" s="165" customFormat="1" ht="15" customHeight="1">
      <c r="A3" s="164" t="s">
        <v>14</v>
      </c>
      <c r="B3" s="176"/>
      <c r="C3" s="99"/>
      <c r="E3" s="99"/>
      <c r="G3" s="225"/>
      <c r="H3" s="225"/>
      <c r="I3" s="225"/>
      <c r="J3" s="225"/>
      <c r="K3" s="225"/>
      <c r="L3" s="225"/>
      <c r="M3" s="225" t="s">
        <v>68</v>
      </c>
      <c r="N3" s="163"/>
    </row>
    <row r="4" spans="1:15" s="179" customFormat="1" ht="28.5" customHeight="1" thickBot="1">
      <c r="A4" s="178"/>
      <c r="B4" s="178"/>
      <c r="C4" s="178">
        <v>2012</v>
      </c>
      <c r="D4" s="178">
        <v>2013</v>
      </c>
      <c r="E4" s="178">
        <v>2014</v>
      </c>
      <c r="F4" s="178">
        <v>2015</v>
      </c>
      <c r="G4" s="178">
        <v>2016</v>
      </c>
      <c r="H4" s="178">
        <v>2017</v>
      </c>
      <c r="I4" s="178">
        <v>2018</v>
      </c>
      <c r="J4" s="178">
        <v>2019</v>
      </c>
      <c r="K4" s="178">
        <v>2020</v>
      </c>
      <c r="L4" s="178">
        <v>2021</v>
      </c>
      <c r="M4" s="178">
        <v>2022</v>
      </c>
      <c r="N4" s="186"/>
    </row>
    <row r="5" spans="1:15" s="170" customFormat="1" ht="16.5" customHeight="1" thickTop="1">
      <c r="A5" s="174" t="s">
        <v>12</v>
      </c>
      <c r="B5" s="176" t="s">
        <v>45</v>
      </c>
      <c r="C5" s="267">
        <v>915.01247006081212</v>
      </c>
      <c r="D5" s="267">
        <v>912.18298170177309</v>
      </c>
      <c r="E5" s="267">
        <v>909.49144915721399</v>
      </c>
      <c r="F5" s="267">
        <v>913.92544791377406</v>
      </c>
      <c r="G5" s="267">
        <v>924.9392153090821</v>
      </c>
      <c r="H5" s="267">
        <v>943.00107511786211</v>
      </c>
      <c r="I5" s="267">
        <v>970.41689676342503</v>
      </c>
      <c r="J5" s="267">
        <v>1005.08927925103</v>
      </c>
      <c r="K5" s="267">
        <v>1041.9948771786001</v>
      </c>
      <c r="L5" s="267">
        <v>1082.7724697513502</v>
      </c>
      <c r="M5" s="267">
        <v>1143.44558285689</v>
      </c>
      <c r="N5" s="187"/>
      <c r="O5" s="179"/>
    </row>
    <row r="6" spans="1:15" s="170" customFormat="1" ht="12.75" customHeight="1">
      <c r="A6" s="164"/>
      <c r="B6" s="176" t="s">
        <v>53</v>
      </c>
      <c r="C6" s="268">
        <v>999.85354294571812</v>
      </c>
      <c r="D6" s="268">
        <v>993.79266174939096</v>
      </c>
      <c r="E6" s="268">
        <v>985.0215081163841</v>
      </c>
      <c r="F6" s="268">
        <v>990.04668016967901</v>
      </c>
      <c r="G6" s="268">
        <v>997.37861815735698</v>
      </c>
      <c r="H6" s="268">
        <v>1012.2476626665</v>
      </c>
      <c r="I6" s="268">
        <v>1039.08171517903</v>
      </c>
      <c r="J6" s="268">
        <v>1073.8189900697198</v>
      </c>
      <c r="K6" s="268">
        <v>1109.2123384778902</v>
      </c>
      <c r="L6" s="268">
        <v>1152.2390834169501</v>
      </c>
      <c r="M6" s="268">
        <v>1217.3282728682302</v>
      </c>
      <c r="N6" s="187"/>
      <c r="O6" s="179"/>
    </row>
    <row r="7" spans="1:15" s="170" customFormat="1" ht="12.75" customHeight="1">
      <c r="A7" s="164"/>
      <c r="B7" s="176" t="s">
        <v>54</v>
      </c>
      <c r="C7" s="268">
        <v>814.53727639534998</v>
      </c>
      <c r="D7" s="268">
        <v>816.21122210111105</v>
      </c>
      <c r="E7" s="268">
        <v>820.25300466774809</v>
      </c>
      <c r="F7" s="268">
        <v>824.99170229471508</v>
      </c>
      <c r="G7" s="268">
        <v>840.26183463405107</v>
      </c>
      <c r="H7" s="268">
        <v>861.16674363485106</v>
      </c>
      <c r="I7" s="268">
        <v>888.55773746998204</v>
      </c>
      <c r="J7" s="268">
        <v>922.62610151052809</v>
      </c>
      <c r="K7" s="268">
        <v>960.26781704583709</v>
      </c>
      <c r="L7" s="268">
        <v>999.32524311817906</v>
      </c>
      <c r="M7" s="268">
        <v>1054.3618671065601</v>
      </c>
      <c r="N7" s="187"/>
      <c r="O7" s="179"/>
    </row>
    <row r="8" spans="1:15" s="8" customFormat="1" ht="16.5" customHeight="1">
      <c r="A8" s="46" t="s">
        <v>55</v>
      </c>
      <c r="B8" s="44" t="s">
        <v>45</v>
      </c>
      <c r="C8" s="277">
        <v>509.44050420168105</v>
      </c>
      <c r="D8" s="277">
        <v>553.21526829268305</v>
      </c>
      <c r="E8" s="277">
        <v>673.38821292775697</v>
      </c>
      <c r="F8" s="277">
        <v>645.96770833333301</v>
      </c>
      <c r="G8" s="277">
        <v>688.28591760299605</v>
      </c>
      <c r="H8" s="277">
        <v>682.81965789473702</v>
      </c>
      <c r="I8" s="277">
        <v>693.22013440860201</v>
      </c>
      <c r="J8" s="277">
        <v>939.87865329512908</v>
      </c>
      <c r="K8" s="277">
        <v>1150.3329870129901</v>
      </c>
      <c r="L8" s="277">
        <v>1101.01081560284</v>
      </c>
      <c r="M8" s="277">
        <v>1066.29938992042</v>
      </c>
      <c r="N8" s="110"/>
      <c r="O8" s="179"/>
    </row>
    <row r="9" spans="1:15" s="8" customFormat="1" ht="12.75" customHeight="1">
      <c r="A9" s="47"/>
      <c r="B9" s="48" t="s">
        <v>53</v>
      </c>
      <c r="C9" s="279">
        <v>517.07122969837599</v>
      </c>
      <c r="D9" s="279">
        <v>573.76116788321212</v>
      </c>
      <c r="E9" s="279">
        <v>751.18306358381494</v>
      </c>
      <c r="F9" s="279">
        <v>701.72158536585403</v>
      </c>
      <c r="G9" s="279">
        <v>744.59073298429303</v>
      </c>
      <c r="H9" s="279">
        <v>727.95527272727304</v>
      </c>
      <c r="I9" s="279">
        <v>733.3014682539681</v>
      </c>
      <c r="J9" s="279">
        <v>1031.6593675889301</v>
      </c>
      <c r="K9" s="279">
        <v>1255.6044736842102</v>
      </c>
      <c r="L9" s="279">
        <v>1222.7093119266101</v>
      </c>
      <c r="M9" s="279">
        <v>1184.3662318840602</v>
      </c>
      <c r="N9" s="110"/>
      <c r="O9" s="200"/>
    </row>
    <row r="10" spans="1:15" s="8" customFormat="1" ht="12.75" customHeight="1">
      <c r="A10" s="46"/>
      <c r="B10" s="48" t="s">
        <v>54</v>
      </c>
      <c r="C10" s="279">
        <v>489.38658536585405</v>
      </c>
      <c r="D10" s="279">
        <v>511.82132352941204</v>
      </c>
      <c r="E10" s="279">
        <v>523.84922222222201</v>
      </c>
      <c r="F10" s="279">
        <v>525.65671052631603</v>
      </c>
      <c r="G10" s="279">
        <v>546.78302631578902</v>
      </c>
      <c r="H10" s="279">
        <v>564.60733333333303</v>
      </c>
      <c r="I10" s="279">
        <v>609.04933333333304</v>
      </c>
      <c r="J10" s="279">
        <v>697.99822916666699</v>
      </c>
      <c r="K10" s="279">
        <v>662.48951219512207</v>
      </c>
      <c r="L10" s="279">
        <v>686.47531249999997</v>
      </c>
      <c r="M10" s="279">
        <v>743.66128712871307</v>
      </c>
      <c r="N10" s="110"/>
      <c r="O10" s="200"/>
    </row>
    <row r="11" spans="1:15" s="8" customFormat="1" ht="16.5" customHeight="1">
      <c r="A11" s="46" t="s">
        <v>56</v>
      </c>
      <c r="B11" s="44" t="s">
        <v>45</v>
      </c>
      <c r="C11" s="277">
        <v>611.69090254473713</v>
      </c>
      <c r="D11" s="277">
        <v>602.54614960826098</v>
      </c>
      <c r="E11" s="277">
        <v>607.61617454050611</v>
      </c>
      <c r="F11" s="277">
        <v>621.0474565376071</v>
      </c>
      <c r="G11" s="277">
        <v>639.49061483464607</v>
      </c>
      <c r="H11" s="277">
        <v>664.29416466900204</v>
      </c>
      <c r="I11" s="277">
        <v>693.67039977396098</v>
      </c>
      <c r="J11" s="277">
        <v>727.91599861875011</v>
      </c>
      <c r="K11" s="277">
        <v>762.01679742184899</v>
      </c>
      <c r="L11" s="277">
        <v>799.27713211577907</v>
      </c>
      <c r="M11" s="277">
        <v>857.94673854563302</v>
      </c>
      <c r="N11" s="110"/>
      <c r="O11" s="200"/>
    </row>
    <row r="12" spans="1:15" s="8" customFormat="1" ht="12.75" customHeight="1">
      <c r="A12" s="47"/>
      <c r="B12" s="48" t="s">
        <v>53</v>
      </c>
      <c r="C12" s="279">
        <v>642.96294998157703</v>
      </c>
      <c r="D12" s="279">
        <v>629.21193599529306</v>
      </c>
      <c r="E12" s="279">
        <v>629.14229378923096</v>
      </c>
      <c r="F12" s="279">
        <v>644.55126872143103</v>
      </c>
      <c r="G12" s="279">
        <v>660.61299372052213</v>
      </c>
      <c r="H12" s="279">
        <v>682.80784777397002</v>
      </c>
      <c r="I12" s="279">
        <v>713.12969075958802</v>
      </c>
      <c r="J12" s="279">
        <v>749.73658464271807</v>
      </c>
      <c r="K12" s="279">
        <v>781.77852721621196</v>
      </c>
      <c r="L12" s="279">
        <v>817.961168766112</v>
      </c>
      <c r="M12" s="279">
        <v>881.21667037140912</v>
      </c>
      <c r="N12" s="110"/>
      <c r="O12" s="200"/>
    </row>
    <row r="13" spans="1:15" s="8" customFormat="1" ht="12.75" customHeight="1">
      <c r="A13" s="46"/>
      <c r="B13" s="48" t="s">
        <v>54</v>
      </c>
      <c r="C13" s="279">
        <v>572.04559839623209</v>
      </c>
      <c r="D13" s="279">
        <v>567.96597138618108</v>
      </c>
      <c r="E13" s="279">
        <v>579.35358747644602</v>
      </c>
      <c r="F13" s="279">
        <v>590.60351590610503</v>
      </c>
      <c r="G13" s="279">
        <v>612.12778888849402</v>
      </c>
      <c r="H13" s="279">
        <v>640.242708594909</v>
      </c>
      <c r="I13" s="279">
        <v>667.73054529288197</v>
      </c>
      <c r="J13" s="279">
        <v>698.92137134257007</v>
      </c>
      <c r="K13" s="279">
        <v>734.64878603508214</v>
      </c>
      <c r="L13" s="279">
        <v>774.36741655943115</v>
      </c>
      <c r="M13" s="279">
        <v>827.20346505859197</v>
      </c>
      <c r="N13" s="110"/>
      <c r="O13" s="200"/>
    </row>
    <row r="14" spans="1:15" s="8" customFormat="1" ht="16.5" customHeight="1">
      <c r="A14" s="46" t="s">
        <v>57</v>
      </c>
      <c r="B14" s="44" t="s">
        <v>45</v>
      </c>
      <c r="C14" s="277">
        <v>735.1380102899991</v>
      </c>
      <c r="D14" s="277">
        <v>727.85881381592412</v>
      </c>
      <c r="E14" s="277">
        <v>726.42566128350802</v>
      </c>
      <c r="F14" s="277">
        <v>735.23260957624109</v>
      </c>
      <c r="G14" s="277">
        <v>756.47195589581406</v>
      </c>
      <c r="H14" s="277">
        <v>788.46230547587209</v>
      </c>
      <c r="I14" s="277">
        <v>822.42678971007615</v>
      </c>
      <c r="J14" s="277">
        <v>863.94401535796806</v>
      </c>
      <c r="K14" s="277">
        <v>902.09509779645407</v>
      </c>
      <c r="L14" s="277">
        <v>951.349256505276</v>
      </c>
      <c r="M14" s="277">
        <v>1019.3075937905199</v>
      </c>
      <c r="N14" s="110"/>
      <c r="O14" s="200"/>
    </row>
    <row r="15" spans="1:15" s="8" customFormat="1" ht="12.75" customHeight="1">
      <c r="A15" s="47"/>
      <c r="B15" s="48" t="s">
        <v>53</v>
      </c>
      <c r="C15" s="279">
        <v>755.74132371100302</v>
      </c>
      <c r="D15" s="279">
        <v>752.13240502346605</v>
      </c>
      <c r="E15" s="279">
        <v>749.17645126379603</v>
      </c>
      <c r="F15" s="279">
        <v>763.38942191696401</v>
      </c>
      <c r="G15" s="279">
        <v>785.22978517323816</v>
      </c>
      <c r="H15" s="279">
        <v>819.21955167319709</v>
      </c>
      <c r="I15" s="279">
        <v>854.04491538286402</v>
      </c>
      <c r="J15" s="279">
        <v>896.08785870511406</v>
      </c>
      <c r="K15" s="279">
        <v>930.38717934325007</v>
      </c>
      <c r="L15" s="279">
        <v>984.61962080335695</v>
      </c>
      <c r="M15" s="279">
        <v>1055.5524542164001</v>
      </c>
      <c r="N15" s="110"/>
      <c r="O15" s="200"/>
    </row>
    <row r="16" spans="1:15" s="8" customFormat="1" ht="12.75" customHeight="1">
      <c r="A16" s="46"/>
      <c r="B16" s="48" t="s">
        <v>54</v>
      </c>
      <c r="C16" s="279">
        <v>713.04916150130214</v>
      </c>
      <c r="D16" s="279">
        <v>701.70376327783606</v>
      </c>
      <c r="E16" s="279">
        <v>701.29152800284612</v>
      </c>
      <c r="F16" s="279">
        <v>704.39158380031108</v>
      </c>
      <c r="G16" s="279">
        <v>724.53622157412497</v>
      </c>
      <c r="H16" s="279">
        <v>753.87293518008505</v>
      </c>
      <c r="I16" s="279">
        <v>786.451930283563</v>
      </c>
      <c r="J16" s="279">
        <v>827.03459128477414</v>
      </c>
      <c r="K16" s="279">
        <v>868.82147563651904</v>
      </c>
      <c r="L16" s="279">
        <v>912.50151659928906</v>
      </c>
      <c r="M16" s="279">
        <v>975.99083558471602</v>
      </c>
      <c r="N16" s="110"/>
      <c r="O16" s="200"/>
    </row>
    <row r="17" spans="1:15" s="8" customFormat="1" ht="16.5" customHeight="1">
      <c r="A17" s="46" t="s">
        <v>58</v>
      </c>
      <c r="B17" s="44" t="s">
        <v>45</v>
      </c>
      <c r="C17" s="277">
        <v>852.77524895631802</v>
      </c>
      <c r="D17" s="277">
        <v>837.54944076815502</v>
      </c>
      <c r="E17" s="277">
        <v>829.86798946087015</v>
      </c>
      <c r="F17" s="277">
        <v>834.19469236995508</v>
      </c>
      <c r="G17" s="277">
        <v>845.28875314703112</v>
      </c>
      <c r="H17" s="277">
        <v>867.49853014274299</v>
      </c>
      <c r="I17" s="277">
        <v>902.9347997266691</v>
      </c>
      <c r="J17" s="277">
        <v>948.00951485441306</v>
      </c>
      <c r="K17" s="277">
        <v>986.97880220577304</v>
      </c>
      <c r="L17" s="277">
        <v>1040.01288365244</v>
      </c>
      <c r="M17" s="277">
        <v>1112.69809668893</v>
      </c>
      <c r="N17" s="110"/>
      <c r="O17" s="200"/>
    </row>
    <row r="18" spans="1:15" s="8" customFormat="1" ht="12.75" customHeight="1">
      <c r="A18" s="47"/>
      <c r="B18" s="48" t="s">
        <v>53</v>
      </c>
      <c r="C18" s="279">
        <v>890.96357190790707</v>
      </c>
      <c r="D18" s="279">
        <v>870.42257176986607</v>
      </c>
      <c r="E18" s="279">
        <v>857.082091950071</v>
      </c>
      <c r="F18" s="279">
        <v>864.50910915165593</v>
      </c>
      <c r="G18" s="279">
        <v>873.34799613331916</v>
      </c>
      <c r="H18" s="279">
        <v>898.32755977118597</v>
      </c>
      <c r="I18" s="279">
        <v>942.24881774096707</v>
      </c>
      <c r="J18" s="279">
        <v>988.77267833750898</v>
      </c>
      <c r="K18" s="279">
        <v>1026.54050301394</v>
      </c>
      <c r="L18" s="279">
        <v>1081.75903798488</v>
      </c>
      <c r="M18" s="279">
        <v>1155.0327783496798</v>
      </c>
      <c r="N18" s="110"/>
      <c r="O18" s="200"/>
    </row>
    <row r="19" spans="1:15" s="8" customFormat="1" ht="12.75" customHeight="1">
      <c r="A19" s="46"/>
      <c r="B19" s="48" t="s">
        <v>54</v>
      </c>
      <c r="C19" s="279">
        <v>810.78321060108715</v>
      </c>
      <c r="D19" s="279">
        <v>801.57011688051909</v>
      </c>
      <c r="E19" s="279">
        <v>799.65531010539905</v>
      </c>
      <c r="F19" s="279">
        <v>800.72702796968815</v>
      </c>
      <c r="G19" s="279">
        <v>813.95410799674607</v>
      </c>
      <c r="H19" s="279">
        <v>832.36350710459601</v>
      </c>
      <c r="I19" s="279">
        <v>856.98564824960408</v>
      </c>
      <c r="J19" s="279">
        <v>899.50318158563709</v>
      </c>
      <c r="K19" s="279">
        <v>938.62038115494306</v>
      </c>
      <c r="L19" s="279">
        <v>988.96118321949314</v>
      </c>
      <c r="M19" s="279">
        <v>1059.5981390302002</v>
      </c>
      <c r="N19" s="110"/>
      <c r="O19" s="200"/>
    </row>
    <row r="20" spans="1:15" s="8" customFormat="1" ht="16.5" customHeight="1">
      <c r="A20" s="46" t="s">
        <v>59</v>
      </c>
      <c r="B20" s="44" t="s">
        <v>45</v>
      </c>
      <c r="C20" s="277">
        <v>962.64735882218406</v>
      </c>
      <c r="D20" s="277">
        <v>951.11430619383202</v>
      </c>
      <c r="E20" s="277">
        <v>940.30128029609602</v>
      </c>
      <c r="F20" s="277">
        <v>935.92378616510007</v>
      </c>
      <c r="G20" s="277">
        <v>943.38839742194602</v>
      </c>
      <c r="H20" s="277">
        <v>956.28265711415099</v>
      </c>
      <c r="I20" s="277">
        <v>979.27003303384311</v>
      </c>
      <c r="J20" s="277">
        <v>1016.5148496624599</v>
      </c>
      <c r="K20" s="277">
        <v>1049.2229734638299</v>
      </c>
      <c r="L20" s="277">
        <v>1092.9328605440401</v>
      </c>
      <c r="M20" s="277">
        <v>1163.12796737754</v>
      </c>
      <c r="N20" s="158"/>
      <c r="O20" s="200"/>
    </row>
    <row r="21" spans="1:15" s="8" customFormat="1" ht="12.75" customHeight="1">
      <c r="A21" s="47"/>
      <c r="B21" s="48" t="s">
        <v>53</v>
      </c>
      <c r="C21" s="279">
        <v>1029.21657006288</v>
      </c>
      <c r="D21" s="279">
        <v>1010.1658468108801</v>
      </c>
      <c r="E21" s="279">
        <v>993.53723208171311</v>
      </c>
      <c r="F21" s="279">
        <v>987.57056445114006</v>
      </c>
      <c r="G21" s="279">
        <v>992.66329244153712</v>
      </c>
      <c r="H21" s="279">
        <v>1003.7602139460201</v>
      </c>
      <c r="I21" s="279">
        <v>1027.1818406526802</v>
      </c>
      <c r="J21" s="279">
        <v>1066.0221173000002</v>
      </c>
      <c r="K21" s="279">
        <v>1097.28837884585</v>
      </c>
      <c r="L21" s="279">
        <v>1149.92509696416</v>
      </c>
      <c r="M21" s="279">
        <v>1230.6062884499602</v>
      </c>
      <c r="N21" s="110"/>
      <c r="O21" s="200"/>
    </row>
    <row r="22" spans="1:15" s="8" customFormat="1" ht="12.75" customHeight="1">
      <c r="A22" s="46"/>
      <c r="B22" s="48" t="s">
        <v>54</v>
      </c>
      <c r="C22" s="279">
        <v>887.91588056802993</v>
      </c>
      <c r="D22" s="279">
        <v>885.51757479787807</v>
      </c>
      <c r="E22" s="279">
        <v>880.86738488152901</v>
      </c>
      <c r="F22" s="279">
        <v>879.09218547387013</v>
      </c>
      <c r="G22" s="279">
        <v>889.00940961412709</v>
      </c>
      <c r="H22" s="279">
        <v>903.48762144939406</v>
      </c>
      <c r="I22" s="279">
        <v>925.18594489004113</v>
      </c>
      <c r="J22" s="279">
        <v>959.67881962521301</v>
      </c>
      <c r="K22" s="279">
        <v>992.67078079133307</v>
      </c>
      <c r="L22" s="279">
        <v>1025.2283985797301</v>
      </c>
      <c r="M22" s="279">
        <v>1081.4722557349803</v>
      </c>
      <c r="N22" s="110"/>
      <c r="O22" s="200"/>
    </row>
    <row r="23" spans="1:15" s="8" customFormat="1" ht="16.5" customHeight="1">
      <c r="A23" s="46" t="s">
        <v>60</v>
      </c>
      <c r="B23" s="44" t="s">
        <v>45</v>
      </c>
      <c r="C23" s="277">
        <v>984.08133011689404</v>
      </c>
      <c r="D23" s="277">
        <v>988.37179366184603</v>
      </c>
      <c r="E23" s="277">
        <v>994.63033609369802</v>
      </c>
      <c r="F23" s="277">
        <v>999.48992851012508</v>
      </c>
      <c r="G23" s="277">
        <v>1009.31175486649</v>
      </c>
      <c r="H23" s="277">
        <v>1025.8404098645899</v>
      </c>
      <c r="I23" s="277">
        <v>1053.2729401455001</v>
      </c>
      <c r="J23" s="277">
        <v>1087.6084274813602</v>
      </c>
      <c r="K23" s="277">
        <v>1112.61103472476</v>
      </c>
      <c r="L23" s="277">
        <v>1153.3091482570999</v>
      </c>
      <c r="M23" s="277">
        <v>1212.3462573582799</v>
      </c>
      <c r="N23" s="110"/>
      <c r="O23" s="200"/>
    </row>
    <row r="24" spans="1:15" s="8" customFormat="1" ht="12.75" customHeight="1">
      <c r="A24" s="47"/>
      <c r="B24" s="48" t="s">
        <v>53</v>
      </c>
      <c r="C24" s="279">
        <v>1082.39173693883</v>
      </c>
      <c r="D24" s="279">
        <v>1081.28682508003</v>
      </c>
      <c r="E24" s="279">
        <v>1080.4799012563401</v>
      </c>
      <c r="F24" s="279">
        <v>1083.3750122460699</v>
      </c>
      <c r="G24" s="279">
        <v>1087.2766598651601</v>
      </c>
      <c r="H24" s="279">
        <v>1097.3347641645701</v>
      </c>
      <c r="I24" s="279">
        <v>1124.7541832499901</v>
      </c>
      <c r="J24" s="279">
        <v>1160.18554359975</v>
      </c>
      <c r="K24" s="279">
        <v>1180.13503644398</v>
      </c>
      <c r="L24" s="279">
        <v>1224.7996830045201</v>
      </c>
      <c r="M24" s="279">
        <v>1290.66920986782</v>
      </c>
      <c r="N24" s="110"/>
      <c r="O24" s="200"/>
    </row>
    <row r="25" spans="1:15" s="8" customFormat="1" ht="12.75" customHeight="1">
      <c r="A25" s="46"/>
      <c r="B25" s="48" t="s">
        <v>54</v>
      </c>
      <c r="C25" s="279">
        <v>870.97317556087501</v>
      </c>
      <c r="D25" s="279">
        <v>882.77925291250006</v>
      </c>
      <c r="E25" s="279">
        <v>897.33271205050812</v>
      </c>
      <c r="F25" s="279">
        <v>905.81905175741008</v>
      </c>
      <c r="G25" s="279">
        <v>923.00273331169899</v>
      </c>
      <c r="H25" s="279">
        <v>946.438811306199</v>
      </c>
      <c r="I25" s="279">
        <v>973.67894034989695</v>
      </c>
      <c r="J25" s="279">
        <v>1005.9100473647201</v>
      </c>
      <c r="K25" s="279">
        <v>1036.0874059590001</v>
      </c>
      <c r="L25" s="279">
        <v>1072.97397432956</v>
      </c>
      <c r="M25" s="279">
        <v>1124.0590719074098</v>
      </c>
      <c r="N25" s="110"/>
      <c r="O25" s="200"/>
    </row>
    <row r="26" spans="1:15" s="8" customFormat="1" ht="16.5" customHeight="1">
      <c r="A26" s="46" t="s">
        <v>61</v>
      </c>
      <c r="B26" s="44" t="s">
        <v>45</v>
      </c>
      <c r="C26" s="277">
        <v>977.91799456743502</v>
      </c>
      <c r="D26" s="277">
        <v>977.00673164543502</v>
      </c>
      <c r="E26" s="277">
        <v>972.13637276042198</v>
      </c>
      <c r="F26" s="277">
        <v>978.89392169572102</v>
      </c>
      <c r="G26" s="277">
        <v>995.05402532705716</v>
      </c>
      <c r="H26" s="277">
        <v>1021.8318725832801</v>
      </c>
      <c r="I26" s="277">
        <v>1057.7018081782201</v>
      </c>
      <c r="J26" s="277">
        <v>1104.3530690867501</v>
      </c>
      <c r="K26" s="277">
        <v>1141.78247005256</v>
      </c>
      <c r="L26" s="277">
        <v>1180.9174414301001</v>
      </c>
      <c r="M26" s="277">
        <v>1242.5375369189003</v>
      </c>
      <c r="N26" s="110"/>
      <c r="O26" s="200"/>
    </row>
    <row r="27" spans="1:15" s="8" customFormat="1" ht="12.75" customHeight="1">
      <c r="A27" s="47"/>
      <c r="B27" s="48" t="s">
        <v>53</v>
      </c>
      <c r="C27" s="279">
        <v>1098.2202324963</v>
      </c>
      <c r="D27" s="279">
        <v>1091.1220279418801</v>
      </c>
      <c r="E27" s="279">
        <v>1076.2258139279302</v>
      </c>
      <c r="F27" s="279">
        <v>1082.2685395658402</v>
      </c>
      <c r="G27" s="279">
        <v>1093.8333766339301</v>
      </c>
      <c r="H27" s="279">
        <v>1116.7256301805999</v>
      </c>
      <c r="I27" s="279">
        <v>1150.4481744135301</v>
      </c>
      <c r="J27" s="279">
        <v>1199.7662344893001</v>
      </c>
      <c r="K27" s="279">
        <v>1236.25509516444</v>
      </c>
      <c r="L27" s="279">
        <v>1275.5707171156198</v>
      </c>
      <c r="M27" s="279">
        <v>1340.5116103430901</v>
      </c>
      <c r="N27" s="110"/>
      <c r="O27" s="200"/>
    </row>
    <row r="28" spans="1:15" s="8" customFormat="1" ht="12.75" customHeight="1">
      <c r="A28" s="46"/>
      <c r="B28" s="48" t="s">
        <v>54</v>
      </c>
      <c r="C28" s="279">
        <v>835.2679977656851</v>
      </c>
      <c r="D28" s="279">
        <v>843.44453361545402</v>
      </c>
      <c r="E28" s="279">
        <v>850.93004863439705</v>
      </c>
      <c r="F28" s="279">
        <v>860.36470260374313</v>
      </c>
      <c r="G28" s="279">
        <v>882.31365134579403</v>
      </c>
      <c r="H28" s="279">
        <v>912.79330854688203</v>
      </c>
      <c r="I28" s="279">
        <v>951.03247915901306</v>
      </c>
      <c r="J28" s="279">
        <v>994.54839372114202</v>
      </c>
      <c r="K28" s="279">
        <v>1033.07318558529</v>
      </c>
      <c r="L28" s="279">
        <v>1074.3163941816599</v>
      </c>
      <c r="M28" s="279">
        <v>1133.0555500198902</v>
      </c>
      <c r="N28" s="110"/>
      <c r="O28" s="200"/>
    </row>
    <row r="29" spans="1:15" s="8" customFormat="1" ht="16.5" customHeight="1">
      <c r="A29" s="46" t="s">
        <v>62</v>
      </c>
      <c r="B29" s="44" t="s">
        <v>45</v>
      </c>
      <c r="C29" s="277">
        <v>996.46286896650906</v>
      </c>
      <c r="D29" s="277">
        <v>988.10204662975616</v>
      </c>
      <c r="E29" s="277">
        <v>978.40448726893101</v>
      </c>
      <c r="F29" s="277">
        <v>979.79165825231905</v>
      </c>
      <c r="G29" s="277">
        <v>986.95585469730804</v>
      </c>
      <c r="H29" s="277">
        <v>999.99563900164412</v>
      </c>
      <c r="I29" s="277">
        <v>1025.4965974996599</v>
      </c>
      <c r="J29" s="277">
        <v>1054.3567919294601</v>
      </c>
      <c r="K29" s="277">
        <v>1089.8512218171702</v>
      </c>
      <c r="L29" s="277">
        <v>1131.56070495924</v>
      </c>
      <c r="M29" s="277">
        <v>1202.09956775824</v>
      </c>
      <c r="N29" s="110"/>
      <c r="O29" s="200"/>
    </row>
    <row r="30" spans="1:15" s="8" customFormat="1" ht="12.75" customHeight="1">
      <c r="A30" s="47"/>
      <c r="B30" s="48" t="s">
        <v>53</v>
      </c>
      <c r="C30" s="279">
        <v>1125.9384932656901</v>
      </c>
      <c r="D30" s="279">
        <v>1114.0680934373299</v>
      </c>
      <c r="E30" s="279">
        <v>1098.4847190132698</v>
      </c>
      <c r="F30" s="279">
        <v>1097.5380897725499</v>
      </c>
      <c r="G30" s="279">
        <v>1097.4691329333</v>
      </c>
      <c r="H30" s="279">
        <v>1104.90239192844</v>
      </c>
      <c r="I30" s="279">
        <v>1126.5087623951599</v>
      </c>
      <c r="J30" s="279">
        <v>1153.1724448986902</v>
      </c>
      <c r="K30" s="279">
        <v>1187.7416359543399</v>
      </c>
      <c r="L30" s="279">
        <v>1230.9016071842702</v>
      </c>
      <c r="M30" s="279">
        <v>1309.6837672623801</v>
      </c>
      <c r="N30" s="110"/>
      <c r="O30" s="200"/>
    </row>
    <row r="31" spans="1:15" s="8" customFormat="1" ht="12.75" customHeight="1">
      <c r="A31" s="46"/>
      <c r="B31" s="48" t="s">
        <v>54</v>
      </c>
      <c r="C31" s="279">
        <v>829.884549008558</v>
      </c>
      <c r="D31" s="279">
        <v>829.441617046185</v>
      </c>
      <c r="E31" s="279">
        <v>828.428045973228</v>
      </c>
      <c r="F31" s="279">
        <v>834.62160234777707</v>
      </c>
      <c r="G31" s="279">
        <v>851.700252960434</v>
      </c>
      <c r="H31" s="279">
        <v>871.21685724619499</v>
      </c>
      <c r="I31" s="279">
        <v>901.70060640074905</v>
      </c>
      <c r="J31" s="279">
        <v>934.27580098314399</v>
      </c>
      <c r="K31" s="279">
        <v>970.6003022712091</v>
      </c>
      <c r="L31" s="279">
        <v>1013.97423965932</v>
      </c>
      <c r="M31" s="279">
        <v>1076.2305827979501</v>
      </c>
      <c r="N31" s="110"/>
      <c r="O31" s="200"/>
    </row>
    <row r="32" spans="1:15" s="8" customFormat="1" ht="16.5" customHeight="1">
      <c r="A32" s="46" t="s">
        <v>63</v>
      </c>
      <c r="B32" s="44" t="s">
        <v>45</v>
      </c>
      <c r="C32" s="277">
        <v>1052.71298171688</v>
      </c>
      <c r="D32" s="277">
        <v>1043.6559770662</v>
      </c>
      <c r="E32" s="277">
        <v>1018.8392607818399</v>
      </c>
      <c r="F32" s="277">
        <v>1012.15983471554</v>
      </c>
      <c r="G32" s="277">
        <v>1007.4025915254201</v>
      </c>
      <c r="H32" s="277">
        <v>1005.95456443911</v>
      </c>
      <c r="I32" s="277">
        <v>1021.52725284321</v>
      </c>
      <c r="J32" s="277">
        <v>1037.1257051358002</v>
      </c>
      <c r="K32" s="277">
        <v>1071.1831305563799</v>
      </c>
      <c r="L32" s="277">
        <v>1100.1356998494202</v>
      </c>
      <c r="M32" s="277">
        <v>1152.2431545377201</v>
      </c>
      <c r="N32" s="110"/>
      <c r="O32" s="200"/>
    </row>
    <row r="33" spans="1:15" s="8" customFormat="1" ht="12.75" customHeight="1">
      <c r="A33" s="47"/>
      <c r="B33" s="48" t="s">
        <v>53</v>
      </c>
      <c r="C33" s="279">
        <v>1194.9671100697101</v>
      </c>
      <c r="D33" s="279">
        <v>1184.6907110274301</v>
      </c>
      <c r="E33" s="279">
        <v>1145.0215935849101</v>
      </c>
      <c r="F33" s="279">
        <v>1133.4722459767302</v>
      </c>
      <c r="G33" s="279">
        <v>1123.4438666327799</v>
      </c>
      <c r="H33" s="279">
        <v>1112.03247814728</v>
      </c>
      <c r="I33" s="279">
        <v>1125.80433827405</v>
      </c>
      <c r="J33" s="279">
        <v>1142.6523000703901</v>
      </c>
      <c r="K33" s="279">
        <v>1177.13904406032</v>
      </c>
      <c r="L33" s="279">
        <v>1202.8666437290901</v>
      </c>
      <c r="M33" s="279">
        <v>1262.47511215912</v>
      </c>
      <c r="N33" s="110"/>
      <c r="O33" s="200"/>
    </row>
    <row r="34" spans="1:15" s="8" customFormat="1" ht="12.75" customHeight="1">
      <c r="A34" s="46"/>
      <c r="B34" s="48" t="s">
        <v>54</v>
      </c>
      <c r="C34" s="279">
        <v>841.28188581682116</v>
      </c>
      <c r="D34" s="279">
        <v>841.95094750158103</v>
      </c>
      <c r="E34" s="279">
        <v>843.60988946459406</v>
      </c>
      <c r="F34" s="279">
        <v>847.76931146993707</v>
      </c>
      <c r="G34" s="279">
        <v>852.56228504006015</v>
      </c>
      <c r="H34" s="279">
        <v>862.99628436420403</v>
      </c>
      <c r="I34" s="279">
        <v>881.97196869199399</v>
      </c>
      <c r="J34" s="279">
        <v>896.93047799450903</v>
      </c>
      <c r="K34" s="279">
        <v>930.99934557611812</v>
      </c>
      <c r="L34" s="279">
        <v>967.95067837538704</v>
      </c>
      <c r="M34" s="279">
        <v>1014.3330141034501</v>
      </c>
      <c r="N34" s="110"/>
      <c r="O34" s="200"/>
    </row>
    <row r="35" spans="1:15" s="8" customFormat="1" ht="16.5" customHeight="1">
      <c r="A35" s="46" t="s">
        <v>64</v>
      </c>
      <c r="B35" s="44" t="s">
        <v>45</v>
      </c>
      <c r="C35" s="277">
        <v>1061.5141745451899</v>
      </c>
      <c r="D35" s="277">
        <v>1051.7088265357302</v>
      </c>
      <c r="E35" s="277">
        <v>1050.3920436053502</v>
      </c>
      <c r="F35" s="277">
        <v>1059.0642469207198</v>
      </c>
      <c r="G35" s="277">
        <v>1057.9931437252403</v>
      </c>
      <c r="H35" s="277">
        <v>1062.2563450008602</v>
      </c>
      <c r="I35" s="277">
        <v>1075.2958885221101</v>
      </c>
      <c r="J35" s="277">
        <v>1087.13065963902</v>
      </c>
      <c r="K35" s="277">
        <v>1112.2083395116399</v>
      </c>
      <c r="L35" s="277">
        <v>1124.0855872945801</v>
      </c>
      <c r="M35" s="277">
        <v>1158.8746805641401</v>
      </c>
      <c r="N35" s="110"/>
      <c r="O35" s="200"/>
    </row>
    <row r="36" spans="1:15" s="8" customFormat="1" ht="12.75" customHeight="1">
      <c r="A36" s="47"/>
      <c r="B36" s="48" t="s">
        <v>53</v>
      </c>
      <c r="C36" s="279">
        <v>1223.6730748646999</v>
      </c>
      <c r="D36" s="279">
        <v>1211.8686267645101</v>
      </c>
      <c r="E36" s="279">
        <v>1205.13236584381</v>
      </c>
      <c r="F36" s="279">
        <v>1214.8526596361103</v>
      </c>
      <c r="G36" s="279">
        <v>1207.74159017748</v>
      </c>
      <c r="H36" s="279">
        <v>1195.3999072553402</v>
      </c>
      <c r="I36" s="279">
        <v>1199.9234508685502</v>
      </c>
      <c r="J36" s="279">
        <v>1200.59869000975</v>
      </c>
      <c r="K36" s="279">
        <v>1222.1895151051399</v>
      </c>
      <c r="L36" s="279">
        <v>1227.85681150394</v>
      </c>
      <c r="M36" s="279">
        <v>1264.9647824441399</v>
      </c>
      <c r="N36" s="110"/>
      <c r="O36" s="200"/>
    </row>
    <row r="37" spans="1:15" s="8" customFormat="1" ht="12.75" customHeight="1">
      <c r="A37" s="46"/>
      <c r="B37" s="48" t="s">
        <v>54</v>
      </c>
      <c r="C37" s="279">
        <v>822.74115238179604</v>
      </c>
      <c r="D37" s="279">
        <v>815.12026603227105</v>
      </c>
      <c r="E37" s="279">
        <v>821.21439551401909</v>
      </c>
      <c r="F37" s="279">
        <v>830.72946190168807</v>
      </c>
      <c r="G37" s="279">
        <v>843.023443969151</v>
      </c>
      <c r="H37" s="279">
        <v>869.828390114493</v>
      </c>
      <c r="I37" s="279">
        <v>900.03117743573705</v>
      </c>
      <c r="J37" s="279">
        <v>930.37914719568903</v>
      </c>
      <c r="K37" s="279">
        <v>960.83580442848609</v>
      </c>
      <c r="L37" s="279">
        <v>983.37358689532698</v>
      </c>
      <c r="M37" s="279">
        <v>1016.72378768243</v>
      </c>
      <c r="N37" s="110"/>
      <c r="O37" s="200"/>
    </row>
    <row r="38" spans="1:15" s="8" customFormat="1" ht="16.5" customHeight="1">
      <c r="A38" s="46" t="s">
        <v>65</v>
      </c>
      <c r="B38" s="44" t="s">
        <v>45</v>
      </c>
      <c r="C38" s="277">
        <v>1228.0240006460501</v>
      </c>
      <c r="D38" s="277">
        <v>1220.4288603242203</v>
      </c>
      <c r="E38" s="277">
        <v>1170.0147182075898</v>
      </c>
      <c r="F38" s="277">
        <v>1185.02429247286</v>
      </c>
      <c r="G38" s="277">
        <v>1181.9358861067499</v>
      </c>
      <c r="H38" s="277">
        <v>1181.46910780847</v>
      </c>
      <c r="I38" s="277">
        <v>1177.6918516831602</v>
      </c>
      <c r="J38" s="277">
        <v>1219.7258250373802</v>
      </c>
      <c r="K38" s="277">
        <v>1280.7867853076202</v>
      </c>
      <c r="L38" s="277">
        <v>1291.35140024618</v>
      </c>
      <c r="M38" s="277">
        <v>1297.99535680387</v>
      </c>
      <c r="N38" s="110"/>
      <c r="O38" s="200"/>
    </row>
    <row r="39" spans="1:15" s="8" customFormat="1" ht="12.75" customHeight="1">
      <c r="A39" s="47"/>
      <c r="B39" s="48" t="s">
        <v>53</v>
      </c>
      <c r="C39" s="279">
        <v>1387.1417493599902</v>
      </c>
      <c r="D39" s="279">
        <v>1379.78553602593</v>
      </c>
      <c r="E39" s="279">
        <v>1342.7108091218101</v>
      </c>
      <c r="F39" s="279">
        <v>1365.2170270270301</v>
      </c>
      <c r="G39" s="279">
        <v>1356.00896940133</v>
      </c>
      <c r="H39" s="279">
        <v>1353.7296364756601</v>
      </c>
      <c r="I39" s="279">
        <v>1329.7835700922099</v>
      </c>
      <c r="J39" s="279">
        <v>1356.3880227677801</v>
      </c>
      <c r="K39" s="279">
        <v>1428.2856375838901</v>
      </c>
      <c r="L39" s="279">
        <v>1426.2362800701001</v>
      </c>
      <c r="M39" s="279">
        <v>1419.42393265128</v>
      </c>
      <c r="N39" s="110"/>
      <c r="O39" s="200"/>
    </row>
    <row r="40" spans="1:15" s="8" customFormat="1" ht="12.75" customHeight="1">
      <c r="A40" s="46"/>
      <c r="B40" s="48" t="s">
        <v>54</v>
      </c>
      <c r="C40" s="279">
        <v>915.76493540669901</v>
      </c>
      <c r="D40" s="279">
        <v>915.47674856870208</v>
      </c>
      <c r="E40" s="279">
        <v>875.04073970037507</v>
      </c>
      <c r="F40" s="279">
        <v>894.55200570342197</v>
      </c>
      <c r="G40" s="279">
        <v>909.94669345898001</v>
      </c>
      <c r="H40" s="279">
        <v>899.84852052379813</v>
      </c>
      <c r="I40" s="279">
        <v>929.87425149700607</v>
      </c>
      <c r="J40" s="279">
        <v>982.74022133599203</v>
      </c>
      <c r="K40" s="279">
        <v>1024.3367136103</v>
      </c>
      <c r="L40" s="279">
        <v>1065.12970698254</v>
      </c>
      <c r="M40" s="279">
        <v>1093.9260686198902</v>
      </c>
      <c r="N40" s="110"/>
      <c r="O40" s="200"/>
    </row>
    <row r="41" spans="1:15" s="8" customFormat="1" ht="16.5" customHeight="1">
      <c r="A41" s="46" t="s">
        <v>13</v>
      </c>
      <c r="B41" s="44" t="s">
        <v>45</v>
      </c>
      <c r="C41" s="277">
        <v>1322.7584630606902</v>
      </c>
      <c r="D41" s="277">
        <v>1469.5464905660401</v>
      </c>
      <c r="E41" s="277">
        <v>1473.7920821325602</v>
      </c>
      <c r="F41" s="277">
        <v>1438.4632142857101</v>
      </c>
      <c r="G41" s="277">
        <v>1460.64371313673</v>
      </c>
      <c r="H41" s="277">
        <v>1507.0881841933401</v>
      </c>
      <c r="I41" s="277">
        <v>1538.69214410227</v>
      </c>
      <c r="J41" s="277">
        <v>919.633503836317</v>
      </c>
      <c r="K41" s="277">
        <v>1018.57675889328</v>
      </c>
      <c r="L41" s="277">
        <v>961.42434554973806</v>
      </c>
      <c r="M41" s="277">
        <v>1084.8565968586402</v>
      </c>
      <c r="N41" s="110"/>
      <c r="O41" s="200"/>
    </row>
    <row r="42" spans="1:15" s="8" customFormat="1" ht="12.75" customHeight="1">
      <c r="A42" s="47"/>
      <c r="B42" s="48" t="s">
        <v>53</v>
      </c>
      <c r="C42" s="279">
        <v>1520.0148993963801</v>
      </c>
      <c r="D42" s="279">
        <v>1631.23810400867</v>
      </c>
      <c r="E42" s="279">
        <v>1670.2502162162202</v>
      </c>
      <c r="F42" s="279">
        <v>1597.7619978746</v>
      </c>
      <c r="G42" s="279">
        <v>1632.8887524950098</v>
      </c>
      <c r="H42" s="279">
        <v>1681.04612304688</v>
      </c>
      <c r="I42" s="279">
        <v>1715.2067376490602</v>
      </c>
      <c r="J42" s="279">
        <v>937.32677777777815</v>
      </c>
      <c r="K42" s="279">
        <v>1041.0855862069002</v>
      </c>
      <c r="L42" s="279">
        <v>988.08886010362698</v>
      </c>
      <c r="M42" s="279">
        <v>1133.5212962963003</v>
      </c>
      <c r="N42" s="110"/>
      <c r="O42" s="200"/>
    </row>
    <row r="43" spans="1:15" s="8" customFormat="1" ht="12.75" customHeight="1">
      <c r="A43" s="18"/>
      <c r="B43" s="49" t="s">
        <v>54</v>
      </c>
      <c r="C43" s="275">
        <v>947.13988505747102</v>
      </c>
      <c r="D43" s="275">
        <v>1098.2993283582102</v>
      </c>
      <c r="E43" s="275">
        <v>1081.3001295896302</v>
      </c>
      <c r="F43" s="275">
        <v>1130.66002053388</v>
      </c>
      <c r="G43" s="275">
        <v>1108.4201836734699</v>
      </c>
      <c r="H43" s="275">
        <v>1155.7411834319498</v>
      </c>
      <c r="I43" s="275">
        <v>1159.8472943327201</v>
      </c>
      <c r="J43" s="275">
        <v>904.53971563981008</v>
      </c>
      <c r="K43" s="275">
        <v>988.35657407407405</v>
      </c>
      <c r="L43" s="275">
        <v>934.1955026455031</v>
      </c>
      <c r="M43" s="275">
        <v>1021.5338554216901</v>
      </c>
      <c r="N43" s="110"/>
      <c r="O43" s="200"/>
    </row>
    <row r="44" spans="1:15" s="165" customFormat="1" ht="15" customHeight="1">
      <c r="A44" s="20" t="s">
        <v>138</v>
      </c>
      <c r="B44" s="176"/>
      <c r="C44" s="164"/>
      <c r="D44" s="68"/>
      <c r="E44" s="68"/>
      <c r="F44" s="68"/>
      <c r="G44" s="160"/>
      <c r="H44" s="160"/>
      <c r="I44" s="160"/>
      <c r="J44" s="160"/>
      <c r="K44" s="160"/>
      <c r="L44" s="160"/>
      <c r="M44" s="160"/>
      <c r="N44" s="163"/>
    </row>
    <row r="45" spans="1:15" s="170" customFormat="1" ht="21.75" customHeight="1">
      <c r="A45" s="599" t="s">
        <v>100</v>
      </c>
      <c r="B45" s="599"/>
      <c r="C45" s="599"/>
      <c r="D45" s="599"/>
      <c r="E45" s="599"/>
      <c r="F45" s="599"/>
      <c r="G45" s="599"/>
      <c r="H45" s="599"/>
      <c r="I45" s="599"/>
      <c r="J45" s="599"/>
      <c r="K45" s="599"/>
      <c r="L45" s="599"/>
      <c r="M45" s="599"/>
      <c r="N45" s="187"/>
    </row>
  </sheetData>
  <mergeCells count="2">
    <mergeCell ref="A1:M1"/>
    <mergeCell ref="A45:M45"/>
  </mergeCells>
  <conditionalFormatting sqref="A45 E3 A1 I44 A5:B42 A46:D1048576 A2:D2 A4:D4 A3:C3 B44:D44 C5:F43 N1:XFD1048576">
    <cfRule type="cellIs" dxfId="612" priority="173" operator="equal">
      <formula>0</formula>
    </cfRule>
  </conditionalFormatting>
  <conditionalFormatting sqref="E2 E46:E1048576 E4 E44">
    <cfRule type="cellIs" dxfId="611" priority="172" operator="equal">
      <formula>0</formula>
    </cfRule>
  </conditionalFormatting>
  <conditionalFormatting sqref="A43">
    <cfRule type="cellIs" dxfId="610" priority="160" operator="equal">
      <formula>0</formula>
    </cfRule>
  </conditionalFormatting>
  <conditionalFormatting sqref="B43">
    <cfRule type="cellIs" dxfId="609" priority="159" operator="equal">
      <formula>0</formula>
    </cfRule>
  </conditionalFormatting>
  <conditionalFormatting sqref="A44">
    <cfRule type="cellIs" dxfId="608" priority="157" operator="equal">
      <formula>0</formula>
    </cfRule>
  </conditionalFormatting>
  <conditionalFormatting sqref="J3">
    <cfRule type="cellIs" dxfId="607" priority="156" operator="equal">
      <formula>0</formula>
    </cfRule>
  </conditionalFormatting>
  <conditionalFormatting sqref="F2 F46:F1048576 F4 F44">
    <cfRule type="cellIs" dxfId="606" priority="155" operator="equal">
      <formula>0</formula>
    </cfRule>
  </conditionalFormatting>
  <conditionalFormatting sqref="I2 I46:I1048576">
    <cfRule type="cellIs" dxfId="605" priority="154" operator="equal">
      <formula>0</formula>
    </cfRule>
  </conditionalFormatting>
  <conditionalFormatting sqref="G44">
    <cfRule type="cellIs" dxfId="604" priority="139" operator="equal">
      <formula>0</formula>
    </cfRule>
  </conditionalFormatting>
  <conditionalFormatting sqref="G2 G46:G1048576 G4:I4">
    <cfRule type="cellIs" dxfId="603" priority="138" operator="equal">
      <formula>0</formula>
    </cfRule>
  </conditionalFormatting>
  <conditionalFormatting sqref="G8:I10">
    <cfRule type="cellIs" dxfId="602" priority="137" operator="equal">
      <formula>0</formula>
    </cfRule>
  </conditionalFormatting>
  <conditionalFormatting sqref="G5:I7">
    <cfRule type="cellIs" dxfId="601" priority="136" operator="equal">
      <formula>0</formula>
    </cfRule>
  </conditionalFormatting>
  <conditionalFormatting sqref="G11:I13">
    <cfRule type="cellIs" dxfId="600" priority="135" operator="equal">
      <formula>0</formula>
    </cfRule>
  </conditionalFormatting>
  <conditionalFormatting sqref="G14:I16">
    <cfRule type="cellIs" dxfId="599" priority="134" operator="equal">
      <formula>0</formula>
    </cfRule>
  </conditionalFormatting>
  <conditionalFormatting sqref="G17:I19">
    <cfRule type="cellIs" dxfId="598" priority="133" operator="equal">
      <formula>0</formula>
    </cfRule>
  </conditionalFormatting>
  <conditionalFormatting sqref="G20:I22">
    <cfRule type="cellIs" dxfId="597" priority="132" operator="equal">
      <formula>0</formula>
    </cfRule>
  </conditionalFormatting>
  <conditionalFormatting sqref="G23:I25">
    <cfRule type="cellIs" dxfId="596" priority="131" operator="equal">
      <formula>0</formula>
    </cfRule>
  </conditionalFormatting>
  <conditionalFormatting sqref="G26:I28">
    <cfRule type="cellIs" dxfId="595" priority="130" operator="equal">
      <formula>0</formula>
    </cfRule>
  </conditionalFormatting>
  <conditionalFormatting sqref="G29:I31">
    <cfRule type="cellIs" dxfId="594" priority="129" operator="equal">
      <formula>0</formula>
    </cfRule>
  </conditionalFormatting>
  <conditionalFormatting sqref="G32:I34">
    <cfRule type="cellIs" dxfId="593" priority="128" operator="equal">
      <formula>0</formula>
    </cfRule>
  </conditionalFormatting>
  <conditionalFormatting sqref="G35:I37">
    <cfRule type="cellIs" dxfId="592" priority="127" operator="equal">
      <formula>0</formula>
    </cfRule>
  </conditionalFormatting>
  <conditionalFormatting sqref="G38:I40">
    <cfRule type="cellIs" dxfId="591" priority="126" operator="equal">
      <formula>0</formula>
    </cfRule>
  </conditionalFormatting>
  <conditionalFormatting sqref="G41:I42">
    <cfRule type="cellIs" dxfId="590" priority="125" operator="equal">
      <formula>0</formula>
    </cfRule>
  </conditionalFormatting>
  <conditionalFormatting sqref="G43:I43">
    <cfRule type="cellIs" dxfId="589" priority="124" operator="equal">
      <formula>0</formula>
    </cfRule>
  </conditionalFormatting>
  <conditionalFormatting sqref="H44">
    <cfRule type="cellIs" dxfId="588" priority="107" operator="equal">
      <formula>0</formula>
    </cfRule>
  </conditionalFormatting>
  <conditionalFormatting sqref="H2 H46:H1048576">
    <cfRule type="cellIs" dxfId="587" priority="106" operator="equal">
      <formula>0</formula>
    </cfRule>
  </conditionalFormatting>
  <conditionalFormatting sqref="J44">
    <cfRule type="cellIs" dxfId="586" priority="91" operator="equal">
      <formula>0</formula>
    </cfRule>
  </conditionalFormatting>
  <conditionalFormatting sqref="J2 J46:J1048576">
    <cfRule type="cellIs" dxfId="585" priority="90" operator="equal">
      <formula>0</formula>
    </cfRule>
  </conditionalFormatting>
  <conditionalFormatting sqref="J4">
    <cfRule type="cellIs" dxfId="584" priority="89" operator="equal">
      <formula>0</formula>
    </cfRule>
  </conditionalFormatting>
  <conditionalFormatting sqref="J8:J10">
    <cfRule type="cellIs" dxfId="583" priority="88" operator="equal">
      <formula>0</formula>
    </cfRule>
  </conditionalFormatting>
  <conditionalFormatting sqref="J5:J7">
    <cfRule type="cellIs" dxfId="582" priority="87" operator="equal">
      <formula>0</formula>
    </cfRule>
  </conditionalFormatting>
  <conditionalFormatting sqref="J11:J13">
    <cfRule type="cellIs" dxfId="581" priority="86" operator="equal">
      <formula>0</formula>
    </cfRule>
  </conditionalFormatting>
  <conditionalFormatting sqref="J14:J16">
    <cfRule type="cellIs" dxfId="580" priority="85" operator="equal">
      <formula>0</formula>
    </cfRule>
  </conditionalFormatting>
  <conditionalFormatting sqref="J17:J19">
    <cfRule type="cellIs" dxfId="579" priority="84" operator="equal">
      <formula>0</formula>
    </cfRule>
  </conditionalFormatting>
  <conditionalFormatting sqref="J20:J22">
    <cfRule type="cellIs" dxfId="578" priority="83" operator="equal">
      <formula>0</formula>
    </cfRule>
  </conditionalFormatting>
  <conditionalFormatting sqref="J23:J25">
    <cfRule type="cellIs" dxfId="577" priority="82" operator="equal">
      <formula>0</formula>
    </cfRule>
  </conditionalFormatting>
  <conditionalFormatting sqref="J26:J28">
    <cfRule type="cellIs" dxfId="576" priority="81" operator="equal">
      <formula>0</formula>
    </cfRule>
  </conditionalFormatting>
  <conditionalFormatting sqref="J29:J31">
    <cfRule type="cellIs" dxfId="575" priority="80" operator="equal">
      <formula>0</formula>
    </cfRule>
  </conditionalFormatting>
  <conditionalFormatting sqref="J32:J34">
    <cfRule type="cellIs" dxfId="574" priority="79" operator="equal">
      <formula>0</formula>
    </cfRule>
  </conditionalFormatting>
  <conditionalFormatting sqref="J35:J37">
    <cfRule type="cellIs" dxfId="573" priority="78" operator="equal">
      <formula>0</formula>
    </cfRule>
  </conditionalFormatting>
  <conditionalFormatting sqref="J38:J40">
    <cfRule type="cellIs" dxfId="572" priority="77" operator="equal">
      <formula>0</formula>
    </cfRule>
  </conditionalFormatting>
  <conditionalFormatting sqref="J41:J42">
    <cfRule type="cellIs" dxfId="571" priority="76" operator="equal">
      <formula>0</formula>
    </cfRule>
  </conditionalFormatting>
  <conditionalFormatting sqref="J43">
    <cfRule type="cellIs" dxfId="570" priority="75" operator="equal">
      <formula>0</formula>
    </cfRule>
  </conditionalFormatting>
  <conditionalFormatting sqref="K3">
    <cfRule type="cellIs" dxfId="569" priority="74" operator="equal">
      <formula>0</formula>
    </cfRule>
  </conditionalFormatting>
  <conditionalFormatting sqref="K44">
    <cfRule type="cellIs" dxfId="568" priority="73" operator="equal">
      <formula>0</formula>
    </cfRule>
  </conditionalFormatting>
  <conditionalFormatting sqref="K2 K46:K1048576">
    <cfRule type="cellIs" dxfId="567" priority="72" operator="equal">
      <formula>0</formula>
    </cfRule>
  </conditionalFormatting>
  <conditionalFormatting sqref="K4">
    <cfRule type="cellIs" dxfId="566" priority="71" operator="equal">
      <formula>0</formula>
    </cfRule>
  </conditionalFormatting>
  <conditionalFormatting sqref="K8:K10">
    <cfRule type="cellIs" dxfId="565" priority="70" operator="equal">
      <formula>0</formula>
    </cfRule>
  </conditionalFormatting>
  <conditionalFormatting sqref="K5:K7">
    <cfRule type="cellIs" dxfId="564" priority="69" operator="equal">
      <formula>0</formula>
    </cfRule>
  </conditionalFormatting>
  <conditionalFormatting sqref="K11:K13">
    <cfRule type="cellIs" dxfId="563" priority="68" operator="equal">
      <formula>0</formula>
    </cfRule>
  </conditionalFormatting>
  <conditionalFormatting sqref="K14:K16">
    <cfRule type="cellIs" dxfId="562" priority="67" operator="equal">
      <formula>0</formula>
    </cfRule>
  </conditionalFormatting>
  <conditionalFormatting sqref="K17:K19">
    <cfRule type="cellIs" dxfId="561" priority="66" operator="equal">
      <formula>0</formula>
    </cfRule>
  </conditionalFormatting>
  <conditionalFormatting sqref="K20:K22">
    <cfRule type="cellIs" dxfId="560" priority="65" operator="equal">
      <formula>0</formula>
    </cfRule>
  </conditionalFormatting>
  <conditionalFormatting sqref="K23:K25">
    <cfRule type="cellIs" dxfId="559" priority="64" operator="equal">
      <formula>0</formula>
    </cfRule>
  </conditionalFormatting>
  <conditionalFormatting sqref="K26:K28">
    <cfRule type="cellIs" dxfId="558" priority="63" operator="equal">
      <formula>0</formula>
    </cfRule>
  </conditionalFormatting>
  <conditionalFormatting sqref="K29:K31">
    <cfRule type="cellIs" dxfId="557" priority="62" operator="equal">
      <formula>0</formula>
    </cfRule>
  </conditionalFormatting>
  <conditionalFormatting sqref="K32:K34">
    <cfRule type="cellIs" dxfId="556" priority="61" operator="equal">
      <formula>0</formula>
    </cfRule>
  </conditionalFormatting>
  <conditionalFormatting sqref="K35:K37">
    <cfRule type="cellIs" dxfId="555" priority="60" operator="equal">
      <formula>0</formula>
    </cfRule>
  </conditionalFormatting>
  <conditionalFormatting sqref="K38:K40">
    <cfRule type="cellIs" dxfId="554" priority="59" operator="equal">
      <formula>0</formula>
    </cfRule>
  </conditionalFormatting>
  <conditionalFormatting sqref="K41:K42">
    <cfRule type="cellIs" dxfId="553" priority="58" operator="equal">
      <formula>0</formula>
    </cfRule>
  </conditionalFormatting>
  <conditionalFormatting sqref="K43">
    <cfRule type="cellIs" dxfId="552" priority="57" operator="equal">
      <formula>0</formula>
    </cfRule>
  </conditionalFormatting>
  <conditionalFormatting sqref="L3">
    <cfRule type="cellIs" dxfId="551" priority="54" operator="equal">
      <formula>0</formula>
    </cfRule>
  </conditionalFormatting>
  <conditionalFormatting sqref="L44">
    <cfRule type="cellIs" dxfId="550" priority="53" operator="equal">
      <formula>0</formula>
    </cfRule>
  </conditionalFormatting>
  <conditionalFormatting sqref="L2 L46:L1048576">
    <cfRule type="cellIs" dxfId="549" priority="52" operator="equal">
      <formula>0</formula>
    </cfRule>
  </conditionalFormatting>
  <conditionalFormatting sqref="L4">
    <cfRule type="cellIs" dxfId="548" priority="51" operator="equal">
      <formula>0</formula>
    </cfRule>
  </conditionalFormatting>
  <conditionalFormatting sqref="L8:L10">
    <cfRule type="cellIs" dxfId="547" priority="50" operator="equal">
      <formula>0</formula>
    </cfRule>
  </conditionalFormatting>
  <conditionalFormatting sqref="L5:L7">
    <cfRule type="cellIs" dxfId="546" priority="49" operator="equal">
      <formula>0</formula>
    </cfRule>
  </conditionalFormatting>
  <conditionalFormatting sqref="L11:L13">
    <cfRule type="cellIs" dxfId="545" priority="48" operator="equal">
      <formula>0</formula>
    </cfRule>
  </conditionalFormatting>
  <conditionalFormatting sqref="L14:L16">
    <cfRule type="cellIs" dxfId="544" priority="47" operator="equal">
      <formula>0</formula>
    </cfRule>
  </conditionalFormatting>
  <conditionalFormatting sqref="L17:L19">
    <cfRule type="cellIs" dxfId="543" priority="46" operator="equal">
      <formula>0</formula>
    </cfRule>
  </conditionalFormatting>
  <conditionalFormatting sqref="L20:L22">
    <cfRule type="cellIs" dxfId="542" priority="45" operator="equal">
      <formula>0</formula>
    </cfRule>
  </conditionalFormatting>
  <conditionalFormatting sqref="L23:L25">
    <cfRule type="cellIs" dxfId="541" priority="44" operator="equal">
      <formula>0</formula>
    </cfRule>
  </conditionalFormatting>
  <conditionalFormatting sqref="L26:L28">
    <cfRule type="cellIs" dxfId="540" priority="43" operator="equal">
      <formula>0</formula>
    </cfRule>
  </conditionalFormatting>
  <conditionalFormatting sqref="L29:L31">
    <cfRule type="cellIs" dxfId="539" priority="42" operator="equal">
      <formula>0</formula>
    </cfRule>
  </conditionalFormatting>
  <conditionalFormatting sqref="L32:L34">
    <cfRule type="cellIs" dxfId="538" priority="41" operator="equal">
      <formula>0</formula>
    </cfRule>
  </conditionalFormatting>
  <conditionalFormatting sqref="L35:L37">
    <cfRule type="cellIs" dxfId="537" priority="40" operator="equal">
      <formula>0</formula>
    </cfRule>
  </conditionalFormatting>
  <conditionalFormatting sqref="L38:L40">
    <cfRule type="cellIs" dxfId="536" priority="39" operator="equal">
      <formula>0</formula>
    </cfRule>
  </conditionalFormatting>
  <conditionalFormatting sqref="L41:L42">
    <cfRule type="cellIs" dxfId="535" priority="38" operator="equal">
      <formula>0</formula>
    </cfRule>
  </conditionalFormatting>
  <conditionalFormatting sqref="L43">
    <cfRule type="cellIs" dxfId="534" priority="37" operator="equal">
      <formula>0</formula>
    </cfRule>
  </conditionalFormatting>
  <conditionalFormatting sqref="M3">
    <cfRule type="cellIs" dxfId="533" priority="31" operator="equal">
      <formula>0</formula>
    </cfRule>
  </conditionalFormatting>
  <conditionalFormatting sqref="M44">
    <cfRule type="cellIs" dxfId="532" priority="30" operator="equal">
      <formula>0</formula>
    </cfRule>
  </conditionalFormatting>
  <conditionalFormatting sqref="M2 M46:M1048576">
    <cfRule type="cellIs" dxfId="531" priority="29" operator="equal">
      <formula>0</formula>
    </cfRule>
  </conditionalFormatting>
  <conditionalFormatting sqref="M4">
    <cfRule type="cellIs" dxfId="530" priority="28" operator="equal">
      <formula>0</formula>
    </cfRule>
  </conditionalFormatting>
  <conditionalFormatting sqref="M8:M10">
    <cfRule type="cellIs" dxfId="529" priority="27" operator="equal">
      <formula>0</formula>
    </cfRule>
  </conditionalFormatting>
  <conditionalFormatting sqref="M5:M7">
    <cfRule type="cellIs" dxfId="528" priority="26" operator="equal">
      <formula>0</formula>
    </cfRule>
  </conditionalFormatting>
  <conditionalFormatting sqref="M11:M13">
    <cfRule type="cellIs" dxfId="527" priority="25" operator="equal">
      <formula>0</formula>
    </cfRule>
  </conditionalFormatting>
  <conditionalFormatting sqref="M14:M16">
    <cfRule type="cellIs" dxfId="526" priority="24" operator="equal">
      <formula>0</formula>
    </cfRule>
  </conditionalFormatting>
  <conditionalFormatting sqref="M17:M19">
    <cfRule type="cellIs" dxfId="525" priority="23" operator="equal">
      <formula>0</formula>
    </cfRule>
  </conditionalFormatting>
  <conditionalFormatting sqref="M20:M22">
    <cfRule type="cellIs" dxfId="524" priority="22" operator="equal">
      <formula>0</formula>
    </cfRule>
  </conditionalFormatting>
  <conditionalFormatting sqref="M23:M25">
    <cfRule type="cellIs" dxfId="523" priority="21" operator="equal">
      <formula>0</formula>
    </cfRule>
  </conditionalFormatting>
  <conditionalFormatting sqref="M26:M28">
    <cfRule type="cellIs" dxfId="522" priority="20" operator="equal">
      <formula>0</formula>
    </cfRule>
  </conditionalFormatting>
  <conditionalFormatting sqref="M29:M31">
    <cfRule type="cellIs" dxfId="521" priority="19" operator="equal">
      <formula>0</formula>
    </cfRule>
  </conditionalFormatting>
  <conditionalFormatting sqref="M32:M34">
    <cfRule type="cellIs" dxfId="520" priority="18" operator="equal">
      <formula>0</formula>
    </cfRule>
  </conditionalFormatting>
  <conditionalFormatting sqref="M35:M37">
    <cfRule type="cellIs" dxfId="519" priority="17" operator="equal">
      <formula>0</formula>
    </cfRule>
  </conditionalFormatting>
  <conditionalFormatting sqref="M38:M40">
    <cfRule type="cellIs" dxfId="518" priority="16" operator="equal">
      <formula>0</formula>
    </cfRule>
  </conditionalFormatting>
  <conditionalFormatting sqref="M41:M42">
    <cfRule type="cellIs" dxfId="517" priority="15" operator="equal">
      <formula>0</formula>
    </cfRule>
  </conditionalFormatting>
  <conditionalFormatting sqref="M43">
    <cfRule type="cellIs" dxfId="516" priority="14"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4">
    <tabColor indexed="26"/>
    <pageSetUpPr fitToPage="1"/>
  </sheetPr>
  <dimension ref="A1:O33"/>
  <sheetViews>
    <sheetView showGridLines="0" zoomScaleNormal="100" workbookViewId="0">
      <selection activeCell="C4" sqref="C4:M43"/>
    </sheetView>
  </sheetViews>
  <sheetFormatPr defaultColWidth="9.140625" defaultRowHeight="11.25"/>
  <cols>
    <col min="1" max="1" width="24.28515625" style="62" customWidth="1"/>
    <col min="2" max="2" width="2.140625" style="97" customWidth="1"/>
    <col min="3" max="13" width="6.42578125" style="67" customWidth="1"/>
    <col min="14" max="16384" width="9.140625" style="62"/>
  </cols>
  <sheetData>
    <row r="1" spans="1:15" s="162" customFormat="1" ht="28.5" customHeight="1">
      <c r="A1" s="623" t="s">
        <v>211</v>
      </c>
      <c r="B1" s="623"/>
      <c r="C1" s="623"/>
      <c r="D1" s="623"/>
      <c r="E1" s="623"/>
      <c r="F1" s="623"/>
      <c r="G1" s="623"/>
      <c r="H1" s="623"/>
      <c r="I1" s="623"/>
      <c r="J1" s="623"/>
      <c r="K1" s="623"/>
      <c r="L1" s="623"/>
      <c r="M1" s="623"/>
    </row>
    <row r="2" spans="1:15" s="165" customFormat="1" ht="15" customHeight="1">
      <c r="A2" s="164"/>
      <c r="B2" s="188"/>
      <c r="C2" s="164"/>
      <c r="D2" s="164"/>
      <c r="E2" s="164"/>
      <c r="F2" s="164"/>
      <c r="G2" s="164"/>
      <c r="H2" s="164"/>
      <c r="I2" s="164"/>
      <c r="J2" s="164"/>
      <c r="K2" s="164"/>
      <c r="L2" s="164"/>
      <c r="M2" s="164"/>
    </row>
    <row r="3" spans="1:15" s="165" customFormat="1" ht="15" customHeight="1">
      <c r="A3" s="164" t="s">
        <v>14</v>
      </c>
      <c r="B3" s="188"/>
      <c r="C3" s="99"/>
      <c r="E3" s="99"/>
      <c r="F3" s="99"/>
      <c r="G3" s="99"/>
      <c r="H3" s="99"/>
      <c r="I3" s="99"/>
      <c r="J3" s="99"/>
      <c r="K3" s="99"/>
      <c r="L3" s="99"/>
      <c r="M3" s="99" t="s">
        <v>68</v>
      </c>
    </row>
    <row r="4" spans="1:15" s="165" customFormat="1" ht="28.5" customHeight="1" thickBot="1">
      <c r="A4" s="84"/>
      <c r="B4" s="189"/>
      <c r="C4" s="178">
        <v>2012</v>
      </c>
      <c r="D4" s="178">
        <v>2013</v>
      </c>
      <c r="E4" s="178">
        <v>2014</v>
      </c>
      <c r="F4" s="178">
        <v>2015</v>
      </c>
      <c r="G4" s="178">
        <v>2016</v>
      </c>
      <c r="H4" s="178">
        <v>2017</v>
      </c>
      <c r="I4" s="178">
        <v>2018</v>
      </c>
      <c r="J4" s="178">
        <v>2019</v>
      </c>
      <c r="K4" s="178">
        <v>2020</v>
      </c>
      <c r="L4" s="178">
        <v>2021</v>
      </c>
      <c r="M4" s="178">
        <v>2022</v>
      </c>
    </row>
    <row r="5" spans="1:15" s="165" customFormat="1" ht="20.25" customHeight="1" thickTop="1">
      <c r="A5" s="174" t="s">
        <v>12</v>
      </c>
      <c r="B5" s="174" t="s">
        <v>45</v>
      </c>
      <c r="C5" s="280">
        <v>915.01247006081212</v>
      </c>
      <c r="D5" s="280">
        <v>912.18298170177309</v>
      </c>
      <c r="E5" s="280">
        <v>909.49144915721399</v>
      </c>
      <c r="F5" s="280">
        <v>913.92544791377406</v>
      </c>
      <c r="G5" s="280">
        <v>924.9392153090821</v>
      </c>
      <c r="H5" s="280">
        <v>943.00107511786211</v>
      </c>
      <c r="I5" s="280">
        <v>970.41689676342503</v>
      </c>
      <c r="J5" s="280">
        <v>1005.08927925103</v>
      </c>
      <c r="K5" s="280">
        <v>1041.9948771786001</v>
      </c>
      <c r="L5" s="280">
        <v>1082.7724697513502</v>
      </c>
      <c r="M5" s="280">
        <v>1143.44558285689</v>
      </c>
    </row>
    <row r="6" spans="1:15" s="165" customFormat="1" ht="15" customHeight="1">
      <c r="A6" s="164"/>
      <c r="B6" s="174" t="s">
        <v>53</v>
      </c>
      <c r="C6" s="281">
        <v>999.85354294571812</v>
      </c>
      <c r="D6" s="281">
        <v>993.79266174939096</v>
      </c>
      <c r="E6" s="281">
        <v>985.0215081163841</v>
      </c>
      <c r="F6" s="281">
        <v>990.04668016967901</v>
      </c>
      <c r="G6" s="281">
        <v>997.37861815735698</v>
      </c>
      <c r="H6" s="281">
        <v>1012.2476626665</v>
      </c>
      <c r="I6" s="281">
        <v>1039.08171517903</v>
      </c>
      <c r="J6" s="281">
        <v>1073.8189900697198</v>
      </c>
      <c r="K6" s="281">
        <v>1109.2123384778902</v>
      </c>
      <c r="L6" s="281">
        <v>1152.2390834169501</v>
      </c>
      <c r="M6" s="281">
        <v>1217.3282728682302</v>
      </c>
    </row>
    <row r="7" spans="1:15" s="165" customFormat="1" ht="15" customHeight="1">
      <c r="A7" s="164"/>
      <c r="B7" s="174" t="s">
        <v>54</v>
      </c>
      <c r="C7" s="281">
        <v>814.53727639534998</v>
      </c>
      <c r="D7" s="281">
        <v>816.21122210111105</v>
      </c>
      <c r="E7" s="281">
        <v>820.25300466774809</v>
      </c>
      <c r="F7" s="281">
        <v>824.99170229471508</v>
      </c>
      <c r="G7" s="281">
        <v>840.26183463405107</v>
      </c>
      <c r="H7" s="281">
        <v>861.16674363485106</v>
      </c>
      <c r="I7" s="281">
        <v>888.55773746998204</v>
      </c>
      <c r="J7" s="281">
        <v>922.62610151052809</v>
      </c>
      <c r="K7" s="281">
        <v>960.26781704583709</v>
      </c>
      <c r="L7" s="281">
        <v>999.32524311817906</v>
      </c>
      <c r="M7" s="281">
        <v>1054.3618671065601</v>
      </c>
    </row>
    <row r="8" spans="1:15" s="165" customFormat="1" ht="20.25" customHeight="1">
      <c r="A8" s="164" t="s">
        <v>48</v>
      </c>
      <c r="B8" s="174" t="s">
        <v>45</v>
      </c>
      <c r="C8" s="282">
        <v>2093.4454369113</v>
      </c>
      <c r="D8" s="282">
        <v>2060.3236281652103</v>
      </c>
      <c r="E8" s="282">
        <v>2040.5926728110601</v>
      </c>
      <c r="F8" s="282">
        <v>2042.6334027235202</v>
      </c>
      <c r="G8" s="282">
        <v>2042.1119751481101</v>
      </c>
      <c r="H8" s="282">
        <v>2057.3257135888102</v>
      </c>
      <c r="I8" s="282">
        <v>2079.7273046894097</v>
      </c>
      <c r="J8" s="282">
        <v>2104.3370050103404</v>
      </c>
      <c r="K8" s="282">
        <v>2116.6560431504299</v>
      </c>
      <c r="L8" s="282">
        <v>2148.9574445069002</v>
      </c>
      <c r="M8" s="282">
        <v>2260.2689075153398</v>
      </c>
      <c r="O8" s="201"/>
    </row>
    <row r="9" spans="1:15" s="170" customFormat="1" ht="15" customHeight="1">
      <c r="A9" s="177"/>
      <c r="B9" s="188" t="s">
        <v>53</v>
      </c>
      <c r="C9" s="283">
        <v>2376.5488642496698</v>
      </c>
      <c r="D9" s="283">
        <v>2330.21969061558</v>
      </c>
      <c r="E9" s="283">
        <v>2309.1839596691798</v>
      </c>
      <c r="F9" s="283">
        <v>2316.8696520682497</v>
      </c>
      <c r="G9" s="283">
        <v>2318.8136546288097</v>
      </c>
      <c r="H9" s="283">
        <v>2339.4653139699403</v>
      </c>
      <c r="I9" s="283">
        <v>2364.1104858192998</v>
      </c>
      <c r="J9" s="283">
        <v>2384.6844069344602</v>
      </c>
      <c r="K9" s="283">
        <v>2391.2112801752005</v>
      </c>
      <c r="L9" s="283">
        <v>2428.3118750641802</v>
      </c>
      <c r="M9" s="283">
        <v>2558.3044295494901</v>
      </c>
      <c r="O9" s="201"/>
    </row>
    <row r="10" spans="1:15" s="170" customFormat="1" ht="15" customHeight="1">
      <c r="A10" s="177"/>
      <c r="B10" s="188" t="s">
        <v>54</v>
      </c>
      <c r="C10" s="283">
        <v>1724.8996710958602</v>
      </c>
      <c r="D10" s="283">
        <v>1714.7108745718101</v>
      </c>
      <c r="E10" s="283">
        <v>1702.6236786716602</v>
      </c>
      <c r="F10" s="283">
        <v>1705.8948164128101</v>
      </c>
      <c r="G10" s="283">
        <v>1710.8382201752202</v>
      </c>
      <c r="H10" s="283">
        <v>1722.3273750170301</v>
      </c>
      <c r="I10" s="283">
        <v>1746.2972014429101</v>
      </c>
      <c r="J10" s="283">
        <v>1777.1942948922301</v>
      </c>
      <c r="K10" s="283">
        <v>1799.1802342468502</v>
      </c>
      <c r="L10" s="283">
        <v>1832.6822092742502</v>
      </c>
      <c r="M10" s="283">
        <v>1914.18888481977</v>
      </c>
      <c r="O10" s="201"/>
    </row>
    <row r="11" spans="1:15" s="165" customFormat="1" ht="20.25" customHeight="1">
      <c r="A11" s="164" t="s">
        <v>49</v>
      </c>
      <c r="B11" s="174" t="s">
        <v>45</v>
      </c>
      <c r="C11" s="282">
        <v>1427.5761183898799</v>
      </c>
      <c r="D11" s="282">
        <v>1425.22475977672</v>
      </c>
      <c r="E11" s="282">
        <v>1411.8961559495201</v>
      </c>
      <c r="F11" s="282">
        <v>1422.3541159304</v>
      </c>
      <c r="G11" s="282">
        <v>1428.8710103005401</v>
      </c>
      <c r="H11" s="282">
        <v>1439.3272218380901</v>
      </c>
      <c r="I11" s="282">
        <v>1460.73086040927</v>
      </c>
      <c r="J11" s="282">
        <v>1484.5953488244002</v>
      </c>
      <c r="K11" s="282">
        <v>1490.61933447191</v>
      </c>
      <c r="L11" s="282">
        <v>1519.5621593343901</v>
      </c>
      <c r="M11" s="282">
        <v>1620.2626426847301</v>
      </c>
      <c r="O11" s="201"/>
    </row>
    <row r="12" spans="1:15" s="170" customFormat="1" ht="15" customHeight="1">
      <c r="A12" s="177"/>
      <c r="B12" s="188" t="s">
        <v>53</v>
      </c>
      <c r="C12" s="283">
        <v>1532.7127895367701</v>
      </c>
      <c r="D12" s="283">
        <v>1531.9799670064601</v>
      </c>
      <c r="E12" s="283">
        <v>1510.7694857345202</v>
      </c>
      <c r="F12" s="283">
        <v>1523.32058552543</v>
      </c>
      <c r="G12" s="283">
        <v>1525.48376330829</v>
      </c>
      <c r="H12" s="283">
        <v>1538.7028741895401</v>
      </c>
      <c r="I12" s="283">
        <v>1560.47871794872</v>
      </c>
      <c r="J12" s="283">
        <v>1591.6132456668699</v>
      </c>
      <c r="K12" s="283">
        <v>1597.2039248769399</v>
      </c>
      <c r="L12" s="283">
        <v>1632.0694383789303</v>
      </c>
      <c r="M12" s="283">
        <v>1748.1077816131601</v>
      </c>
      <c r="O12" s="201"/>
    </row>
    <row r="13" spans="1:15" s="170" customFormat="1" ht="15" customHeight="1">
      <c r="A13" s="177"/>
      <c r="B13" s="188" t="s">
        <v>54</v>
      </c>
      <c r="C13" s="283">
        <v>1304.9758851005902</v>
      </c>
      <c r="D13" s="283">
        <v>1304.9407617310801</v>
      </c>
      <c r="E13" s="283">
        <v>1300.3474188337102</v>
      </c>
      <c r="F13" s="283">
        <v>1311.11522988411</v>
      </c>
      <c r="G13" s="283">
        <v>1323.4588777754902</v>
      </c>
      <c r="H13" s="283">
        <v>1330.75539005275</v>
      </c>
      <c r="I13" s="283">
        <v>1351.69395112695</v>
      </c>
      <c r="J13" s="283">
        <v>1371.1582304538401</v>
      </c>
      <c r="K13" s="283">
        <v>1377.4642366913502</v>
      </c>
      <c r="L13" s="283">
        <v>1399.7663579314199</v>
      </c>
      <c r="M13" s="283">
        <v>1481.45989656335</v>
      </c>
      <c r="O13" s="201"/>
    </row>
    <row r="14" spans="1:15" s="165" customFormat="1" ht="20.25" customHeight="1">
      <c r="A14" s="164" t="s">
        <v>70</v>
      </c>
      <c r="B14" s="174" t="s">
        <v>45</v>
      </c>
      <c r="C14" s="282">
        <v>1276.52207930297</v>
      </c>
      <c r="D14" s="282">
        <v>1278.8099236775099</v>
      </c>
      <c r="E14" s="282">
        <v>1286.7222810585101</v>
      </c>
      <c r="F14" s="282">
        <v>1298.5355121320399</v>
      </c>
      <c r="G14" s="282">
        <v>1318.36565971298</v>
      </c>
      <c r="H14" s="282">
        <v>1335.5332297842101</v>
      </c>
      <c r="I14" s="282">
        <v>1356.0543687791799</v>
      </c>
      <c r="J14" s="282">
        <v>1405.3328803576401</v>
      </c>
      <c r="K14" s="282">
        <v>1444.5441020669102</v>
      </c>
      <c r="L14" s="282">
        <v>1489.2076994839501</v>
      </c>
      <c r="M14" s="282">
        <v>1561.37126441444</v>
      </c>
      <c r="O14" s="201"/>
    </row>
    <row r="15" spans="1:15" s="170" customFormat="1" ht="15" customHeight="1">
      <c r="A15" s="177"/>
      <c r="B15" s="188" t="s">
        <v>53</v>
      </c>
      <c r="C15" s="283">
        <v>1315.8492857242702</v>
      </c>
      <c r="D15" s="283">
        <v>1316.5218547786699</v>
      </c>
      <c r="E15" s="283">
        <v>1324.4938512793599</v>
      </c>
      <c r="F15" s="283">
        <v>1337.2057988040499</v>
      </c>
      <c r="G15" s="283">
        <v>1360.1973381580401</v>
      </c>
      <c r="H15" s="283">
        <v>1373.7439533997401</v>
      </c>
      <c r="I15" s="283">
        <v>1400.54781625994</v>
      </c>
      <c r="J15" s="283">
        <v>1449.6406837684601</v>
      </c>
      <c r="K15" s="283">
        <v>1490.4106505018501</v>
      </c>
      <c r="L15" s="283">
        <v>1535.8747333497199</v>
      </c>
      <c r="M15" s="283">
        <v>1609.6946180740101</v>
      </c>
      <c r="O15" s="201"/>
    </row>
    <row r="16" spans="1:15" s="170" customFormat="1" ht="15" customHeight="1">
      <c r="A16" s="177"/>
      <c r="B16" s="188" t="s">
        <v>54</v>
      </c>
      <c r="C16" s="283">
        <v>1204.06091934197</v>
      </c>
      <c r="D16" s="283">
        <v>1210.39485482028</v>
      </c>
      <c r="E16" s="283">
        <v>1219.0331114901901</v>
      </c>
      <c r="F16" s="283">
        <v>1230.7525756452101</v>
      </c>
      <c r="G16" s="283">
        <v>1247.8151793913401</v>
      </c>
      <c r="H16" s="283">
        <v>1272.59665533886</v>
      </c>
      <c r="I16" s="283">
        <v>1283.87233045824</v>
      </c>
      <c r="J16" s="283">
        <v>1330.7149303700501</v>
      </c>
      <c r="K16" s="283">
        <v>1366.73131110751</v>
      </c>
      <c r="L16" s="283">
        <v>1411.9661602689002</v>
      </c>
      <c r="M16" s="283">
        <v>1484.7469861217801</v>
      </c>
      <c r="O16" s="201"/>
    </row>
    <row r="17" spans="1:15" s="165" customFormat="1" ht="20.25" customHeight="1">
      <c r="A17" s="164" t="s">
        <v>69</v>
      </c>
      <c r="B17" s="174" t="s">
        <v>45</v>
      </c>
      <c r="C17" s="282">
        <v>1172.0499019326701</v>
      </c>
      <c r="D17" s="282">
        <v>1156.99337615319</v>
      </c>
      <c r="E17" s="282">
        <v>1139.35000784011</v>
      </c>
      <c r="F17" s="282">
        <v>1149.4181207024601</v>
      </c>
      <c r="G17" s="282">
        <v>1144.2253419773701</v>
      </c>
      <c r="H17" s="282">
        <v>1150.4644905842902</v>
      </c>
      <c r="I17" s="282">
        <v>1170.1240945838599</v>
      </c>
      <c r="J17" s="282">
        <v>1165.3726951334402</v>
      </c>
      <c r="K17" s="282">
        <v>1182.19389340826</v>
      </c>
      <c r="L17" s="282">
        <v>1197.5594362751801</v>
      </c>
      <c r="M17" s="282">
        <v>1245.69055776859</v>
      </c>
      <c r="O17" s="201"/>
    </row>
    <row r="18" spans="1:15" s="170" customFormat="1" ht="15" customHeight="1">
      <c r="A18" s="177"/>
      <c r="B18" s="188" t="s">
        <v>53</v>
      </c>
      <c r="C18" s="283">
        <v>1277.5053641771201</v>
      </c>
      <c r="D18" s="283">
        <v>1255.1974414525</v>
      </c>
      <c r="E18" s="283">
        <v>1228.07974660074</v>
      </c>
      <c r="F18" s="283">
        <v>1255.1850255685604</v>
      </c>
      <c r="G18" s="283">
        <v>1253.5163180489799</v>
      </c>
      <c r="H18" s="283">
        <v>1259.6028087850302</v>
      </c>
      <c r="I18" s="283">
        <v>1281.41834564953</v>
      </c>
      <c r="J18" s="283">
        <v>1260.4351455952803</v>
      </c>
      <c r="K18" s="283">
        <v>1284.7204841212802</v>
      </c>
      <c r="L18" s="283">
        <v>1304.5341069462302</v>
      </c>
      <c r="M18" s="283">
        <v>1348.4080862850801</v>
      </c>
      <c r="O18" s="201"/>
    </row>
    <row r="19" spans="1:15" s="170" customFormat="1" ht="15" customHeight="1">
      <c r="A19" s="177"/>
      <c r="B19" s="188" t="s">
        <v>54</v>
      </c>
      <c r="C19" s="283">
        <v>1059.4655220616301</v>
      </c>
      <c r="D19" s="283">
        <v>1052.3164363179801</v>
      </c>
      <c r="E19" s="283">
        <v>1046.44109045961</v>
      </c>
      <c r="F19" s="283">
        <v>1041.9065885131402</v>
      </c>
      <c r="G19" s="283">
        <v>1033.3519312357801</v>
      </c>
      <c r="H19" s="283">
        <v>1038.49830665933</v>
      </c>
      <c r="I19" s="283">
        <v>1056.8087290027099</v>
      </c>
      <c r="J19" s="283">
        <v>1066.00032365785</v>
      </c>
      <c r="K19" s="283">
        <v>1075.79081364288</v>
      </c>
      <c r="L19" s="283">
        <v>1089.9383752185802</v>
      </c>
      <c r="M19" s="283">
        <v>1138.7999413300199</v>
      </c>
      <c r="O19" s="201"/>
    </row>
    <row r="20" spans="1:15" s="165" customFormat="1" ht="20.25" customHeight="1">
      <c r="A20" s="164" t="s">
        <v>50</v>
      </c>
      <c r="B20" s="174" t="s">
        <v>45</v>
      </c>
      <c r="C20" s="282">
        <v>725.11355837792303</v>
      </c>
      <c r="D20" s="282">
        <v>723.83207195427303</v>
      </c>
      <c r="E20" s="282">
        <v>725.05635997722015</v>
      </c>
      <c r="F20" s="282">
        <v>729.84119683013398</v>
      </c>
      <c r="G20" s="282">
        <v>737.73717877276908</v>
      </c>
      <c r="H20" s="282">
        <v>742.75300667286706</v>
      </c>
      <c r="I20" s="282">
        <v>765.75580268906106</v>
      </c>
      <c r="J20" s="282">
        <v>809.49491210190206</v>
      </c>
      <c r="K20" s="282">
        <v>837.7308796094361</v>
      </c>
      <c r="L20" s="282">
        <v>867.55135627621007</v>
      </c>
      <c r="M20" s="282">
        <v>914.25632748807504</v>
      </c>
      <c r="O20" s="201"/>
    </row>
    <row r="21" spans="1:15" s="170" customFormat="1" ht="15" customHeight="1">
      <c r="A21" s="177"/>
      <c r="B21" s="188" t="s">
        <v>53</v>
      </c>
      <c r="C21" s="283">
        <v>757.343258467802</v>
      </c>
      <c r="D21" s="283">
        <v>756.73616444919207</v>
      </c>
      <c r="E21" s="283">
        <v>755.75043475530003</v>
      </c>
      <c r="F21" s="283">
        <v>762.138223865908</v>
      </c>
      <c r="G21" s="283">
        <v>768.86201614405206</v>
      </c>
      <c r="H21" s="283">
        <v>774.33160060062505</v>
      </c>
      <c r="I21" s="283">
        <v>798.21129816848111</v>
      </c>
      <c r="J21" s="283">
        <v>840.48303644650105</v>
      </c>
      <c r="K21" s="283">
        <v>866.46222350796108</v>
      </c>
      <c r="L21" s="283">
        <v>897.90319290913999</v>
      </c>
      <c r="M21" s="283">
        <v>944.16646430287312</v>
      </c>
      <c r="O21" s="201"/>
    </row>
    <row r="22" spans="1:15" s="170" customFormat="1" ht="15" customHeight="1">
      <c r="A22" s="177"/>
      <c r="B22" s="188" t="s">
        <v>54</v>
      </c>
      <c r="C22" s="283">
        <v>677.464263213761</v>
      </c>
      <c r="D22" s="283">
        <v>676.1471866092611</v>
      </c>
      <c r="E22" s="283">
        <v>680.55688913460608</v>
      </c>
      <c r="F22" s="283">
        <v>682.69816179681402</v>
      </c>
      <c r="G22" s="283">
        <v>692.63698569684914</v>
      </c>
      <c r="H22" s="283">
        <v>698.747812336528</v>
      </c>
      <c r="I22" s="283">
        <v>720.02015521135911</v>
      </c>
      <c r="J22" s="283">
        <v>764.1876969880301</v>
      </c>
      <c r="K22" s="283">
        <v>794.98269963959501</v>
      </c>
      <c r="L22" s="283">
        <v>823.41309801673503</v>
      </c>
      <c r="M22" s="283">
        <v>871.09469414185605</v>
      </c>
      <c r="O22" s="201"/>
    </row>
    <row r="23" spans="1:15" s="165" customFormat="1" ht="20.25" customHeight="1">
      <c r="A23" s="164" t="s">
        <v>71</v>
      </c>
      <c r="B23" s="174" t="s">
        <v>45</v>
      </c>
      <c r="C23" s="282">
        <v>588.40982122483001</v>
      </c>
      <c r="D23" s="282">
        <v>588.34762708394908</v>
      </c>
      <c r="E23" s="282">
        <v>599.25092787212202</v>
      </c>
      <c r="F23" s="282">
        <v>599.56323944871303</v>
      </c>
      <c r="G23" s="282">
        <v>613.83081819202107</v>
      </c>
      <c r="H23" s="282">
        <v>645.87571609597705</v>
      </c>
      <c r="I23" s="282">
        <v>669.70289583904798</v>
      </c>
      <c r="J23" s="282">
        <v>697.764988499737</v>
      </c>
      <c r="K23" s="282">
        <v>724.70415040131104</v>
      </c>
      <c r="L23" s="282">
        <v>762.49301471830006</v>
      </c>
      <c r="M23" s="282">
        <v>805.43842040386505</v>
      </c>
      <c r="O23" s="201"/>
    </row>
    <row r="24" spans="1:15" s="170" customFormat="1" ht="15" customHeight="1">
      <c r="A24" s="177"/>
      <c r="B24" s="188" t="s">
        <v>53</v>
      </c>
      <c r="C24" s="283">
        <v>632.56737030718807</v>
      </c>
      <c r="D24" s="283">
        <v>629.9641747687931</v>
      </c>
      <c r="E24" s="283">
        <v>640.07214912305699</v>
      </c>
      <c r="F24" s="283">
        <v>635.40249502241306</v>
      </c>
      <c r="G24" s="283">
        <v>647.94929359211505</v>
      </c>
      <c r="H24" s="283">
        <v>682.15737936848507</v>
      </c>
      <c r="I24" s="283">
        <v>706.70128676606009</v>
      </c>
      <c r="J24" s="283">
        <v>739.94005706628809</v>
      </c>
      <c r="K24" s="283">
        <v>766.70883855256704</v>
      </c>
      <c r="L24" s="283">
        <v>807.21852978010406</v>
      </c>
      <c r="M24" s="283">
        <v>851.02952182043202</v>
      </c>
      <c r="O24" s="201"/>
    </row>
    <row r="25" spans="1:15" s="170" customFormat="1" ht="15" customHeight="1">
      <c r="A25" s="177"/>
      <c r="B25" s="188" t="s">
        <v>54</v>
      </c>
      <c r="C25" s="283">
        <v>555.44584743860514</v>
      </c>
      <c r="D25" s="283">
        <v>556.03458443423597</v>
      </c>
      <c r="E25" s="283">
        <v>566.27752392675404</v>
      </c>
      <c r="F25" s="283">
        <v>571.27750239221803</v>
      </c>
      <c r="G25" s="283">
        <v>586.14449744787601</v>
      </c>
      <c r="H25" s="283">
        <v>614.77049587197996</v>
      </c>
      <c r="I25" s="283">
        <v>637.49075100915013</v>
      </c>
      <c r="J25" s="283">
        <v>662.35175342610808</v>
      </c>
      <c r="K25" s="283">
        <v>688.80104522134002</v>
      </c>
      <c r="L25" s="283">
        <v>724.30801573961196</v>
      </c>
      <c r="M25" s="283">
        <v>766.49872620606197</v>
      </c>
      <c r="O25" s="201"/>
    </row>
    <row r="26" spans="1:15" s="165" customFormat="1" ht="20.25" customHeight="1">
      <c r="A26" s="164" t="s">
        <v>51</v>
      </c>
      <c r="B26" s="174" t="s">
        <v>45</v>
      </c>
      <c r="C26" s="282">
        <v>557.13952895520197</v>
      </c>
      <c r="D26" s="282">
        <v>557.40187102208301</v>
      </c>
      <c r="E26" s="282">
        <v>566.1107744746821</v>
      </c>
      <c r="F26" s="282">
        <v>567.03853987372997</v>
      </c>
      <c r="G26" s="282">
        <v>583.68028415846697</v>
      </c>
      <c r="H26" s="282">
        <v>606.53428784910705</v>
      </c>
      <c r="I26" s="282">
        <v>627.78184839544497</v>
      </c>
      <c r="J26" s="282">
        <v>646.64756387100408</v>
      </c>
      <c r="K26" s="282">
        <v>680.49009131961407</v>
      </c>
      <c r="L26" s="282">
        <v>710.22133293132799</v>
      </c>
      <c r="M26" s="282">
        <v>746.19213529626995</v>
      </c>
      <c r="O26" s="201"/>
    </row>
    <row r="27" spans="1:15" s="170" customFormat="1" ht="15" customHeight="1">
      <c r="A27" s="177"/>
      <c r="B27" s="188" t="s">
        <v>53</v>
      </c>
      <c r="C27" s="283">
        <v>592.41668176063899</v>
      </c>
      <c r="D27" s="283">
        <v>592.19581959470509</v>
      </c>
      <c r="E27" s="283">
        <v>597.67849544533806</v>
      </c>
      <c r="F27" s="283">
        <v>598.43000679121212</v>
      </c>
      <c r="G27" s="283">
        <v>610.31674935589012</v>
      </c>
      <c r="H27" s="283">
        <v>629.10986216821209</v>
      </c>
      <c r="I27" s="283">
        <v>648.83945583899504</v>
      </c>
      <c r="J27" s="283">
        <v>667.64989157130208</v>
      </c>
      <c r="K27" s="283">
        <v>702.95972574786003</v>
      </c>
      <c r="L27" s="283">
        <v>730.654407220292</v>
      </c>
      <c r="M27" s="283">
        <v>762.66479251544411</v>
      </c>
      <c r="O27" s="201"/>
    </row>
    <row r="28" spans="1:15" s="170" customFormat="1" ht="15" customHeight="1">
      <c r="A28" s="177"/>
      <c r="B28" s="188" t="s">
        <v>54</v>
      </c>
      <c r="C28" s="283">
        <v>521.11336594401098</v>
      </c>
      <c r="D28" s="283">
        <v>522.21124732497708</v>
      </c>
      <c r="E28" s="283">
        <v>534.14249514801611</v>
      </c>
      <c r="F28" s="283">
        <v>535.83481874059999</v>
      </c>
      <c r="G28" s="283">
        <v>556.62966240231503</v>
      </c>
      <c r="H28" s="283">
        <v>581.57771670987506</v>
      </c>
      <c r="I28" s="283">
        <v>604.02590113161204</v>
      </c>
      <c r="J28" s="283">
        <v>622.26158681363108</v>
      </c>
      <c r="K28" s="283">
        <v>653.69972681034005</v>
      </c>
      <c r="L28" s="283">
        <v>685.45695506963307</v>
      </c>
      <c r="M28" s="283">
        <v>725.84642090172599</v>
      </c>
      <c r="O28" s="201"/>
    </row>
    <row r="29" spans="1:15" s="165" customFormat="1" ht="20.25" customHeight="1">
      <c r="A29" s="164" t="s">
        <v>52</v>
      </c>
      <c r="B29" s="174" t="s">
        <v>45</v>
      </c>
      <c r="C29" s="282">
        <v>546.63494563904305</v>
      </c>
      <c r="D29" s="282">
        <v>552.87166554541113</v>
      </c>
      <c r="E29" s="282">
        <v>562.79259208656708</v>
      </c>
      <c r="F29" s="282">
        <v>563.92704115520803</v>
      </c>
      <c r="G29" s="282">
        <v>580.29929444290804</v>
      </c>
      <c r="H29" s="282">
        <v>605.46738827818604</v>
      </c>
      <c r="I29" s="282">
        <v>632.38302193913705</v>
      </c>
      <c r="J29" s="282">
        <v>656.07456333552511</v>
      </c>
      <c r="K29" s="282">
        <v>688.77496774049996</v>
      </c>
      <c r="L29" s="282">
        <v>722.49175268581507</v>
      </c>
      <c r="M29" s="282">
        <v>764.33553617723305</v>
      </c>
      <c r="O29" s="201"/>
    </row>
    <row r="30" spans="1:15" s="170" customFormat="1" ht="15" customHeight="1">
      <c r="A30" s="177"/>
      <c r="B30" s="188" t="s">
        <v>53</v>
      </c>
      <c r="C30" s="283">
        <v>560.63482776579099</v>
      </c>
      <c r="D30" s="283">
        <v>567.36104123868199</v>
      </c>
      <c r="E30" s="283">
        <v>576.71033799073302</v>
      </c>
      <c r="F30" s="283">
        <v>577.57474189633001</v>
      </c>
      <c r="G30" s="283">
        <v>591.55621426305197</v>
      </c>
      <c r="H30" s="283">
        <v>616.50092785299103</v>
      </c>
      <c r="I30" s="283">
        <v>643.96784202147501</v>
      </c>
      <c r="J30" s="283">
        <v>668.25706287257503</v>
      </c>
      <c r="K30" s="283">
        <v>700.41433188835708</v>
      </c>
      <c r="L30" s="283">
        <v>734.00261142192005</v>
      </c>
      <c r="M30" s="283">
        <v>775.21150174921695</v>
      </c>
      <c r="O30" s="201"/>
    </row>
    <row r="31" spans="1:15" s="170" customFormat="1" ht="15" customHeight="1">
      <c r="A31" s="191"/>
      <c r="B31" s="192" t="s">
        <v>54</v>
      </c>
      <c r="C31" s="284">
        <v>532.65742172701903</v>
      </c>
      <c r="D31" s="284">
        <v>538.07436458292898</v>
      </c>
      <c r="E31" s="284">
        <v>548.46944996858008</v>
      </c>
      <c r="F31" s="284">
        <v>549.49465815999099</v>
      </c>
      <c r="G31" s="284">
        <v>567.96442714771308</v>
      </c>
      <c r="H31" s="284">
        <v>593.07191233969297</v>
      </c>
      <c r="I31" s="284">
        <v>619.01456339899903</v>
      </c>
      <c r="J31" s="284">
        <v>640.91049030459601</v>
      </c>
      <c r="K31" s="284">
        <v>672.36252815013404</v>
      </c>
      <c r="L31" s="284">
        <v>706.33700216051</v>
      </c>
      <c r="M31" s="284">
        <v>749.20402449021401</v>
      </c>
      <c r="O31" s="201"/>
    </row>
    <row r="32" spans="1:15" s="165" customFormat="1" ht="15" customHeight="1">
      <c r="A32" s="20" t="s">
        <v>138</v>
      </c>
      <c r="B32" s="188"/>
      <c r="C32" s="190"/>
      <c r="D32" s="190"/>
      <c r="E32" s="190"/>
      <c r="F32" s="190"/>
      <c r="G32" s="190"/>
      <c r="H32" s="190"/>
      <c r="I32" s="190"/>
      <c r="J32" s="190"/>
      <c r="K32" s="190"/>
      <c r="L32" s="190"/>
      <c r="M32" s="190"/>
    </row>
    <row r="33" spans="1:13" s="165" customFormat="1" ht="15.75" customHeight="1">
      <c r="A33" s="588" t="s">
        <v>3</v>
      </c>
      <c r="B33" s="588"/>
      <c r="C33" s="588"/>
      <c r="D33" s="588"/>
      <c r="E33" s="588"/>
      <c r="F33" s="588"/>
      <c r="G33" s="588"/>
      <c r="H33" s="588"/>
      <c r="I33" s="588"/>
      <c r="J33" s="588"/>
      <c r="K33" s="588"/>
      <c r="L33" s="588"/>
      <c r="M33" s="588"/>
    </row>
  </sheetData>
  <mergeCells count="2">
    <mergeCell ref="A1:M1"/>
    <mergeCell ref="A33:M33"/>
  </mergeCells>
  <conditionalFormatting sqref="E3 A1 A33 A2:E2 A3:C3 B32:E32 A4:E4 A34:E1048576 A5:F31 N1:XFD1048576">
    <cfRule type="cellIs" dxfId="515" priority="50" operator="equal">
      <formula>0</formula>
    </cfRule>
  </conditionalFormatting>
  <conditionalFormatting sqref="A32">
    <cfRule type="cellIs" dxfId="514" priority="49" operator="equal">
      <formula>0</formula>
    </cfRule>
  </conditionalFormatting>
  <conditionalFormatting sqref="F32 F2:F4 F34:F1048576">
    <cfRule type="cellIs" dxfId="513" priority="48" operator="equal">
      <formula>0</formula>
    </cfRule>
  </conditionalFormatting>
  <conditionalFormatting sqref="I32 I2:I3 I34:I1048576">
    <cfRule type="cellIs" dxfId="512" priority="47" operator="equal">
      <formula>0</formula>
    </cfRule>
  </conditionalFormatting>
  <conditionalFormatting sqref="G5:I31">
    <cfRule type="cellIs" dxfId="511" priority="46" operator="equal">
      <formula>0</formula>
    </cfRule>
  </conditionalFormatting>
  <conditionalFormatting sqref="G32 G2:G4 G34:G1048576 H4:I4">
    <cfRule type="cellIs" dxfId="510" priority="45" operator="equal">
      <formula>0</formula>
    </cfRule>
  </conditionalFormatting>
  <conditionalFormatting sqref="H32 H2:H3 H34:H1048576">
    <cfRule type="cellIs" dxfId="509" priority="40" operator="equal">
      <formula>0</formula>
    </cfRule>
  </conditionalFormatting>
  <conditionalFormatting sqref="J32 J2:J3 J34:J1048576">
    <cfRule type="cellIs" dxfId="508" priority="36" operator="equal">
      <formula>0</formula>
    </cfRule>
  </conditionalFormatting>
  <conditionalFormatting sqref="J5:J31">
    <cfRule type="cellIs" dxfId="507" priority="35" operator="equal">
      <formula>0</formula>
    </cfRule>
  </conditionalFormatting>
  <conditionalFormatting sqref="J4">
    <cfRule type="cellIs" dxfId="506" priority="34" operator="equal">
      <formula>0</formula>
    </cfRule>
  </conditionalFormatting>
  <conditionalFormatting sqref="K32 K2:K3 K34:K1048576">
    <cfRule type="cellIs" dxfId="505" priority="33" operator="equal">
      <formula>0</formula>
    </cfRule>
  </conditionalFormatting>
  <conditionalFormatting sqref="K5:K31">
    <cfRule type="cellIs" dxfId="504" priority="32" operator="equal">
      <formula>0</formula>
    </cfRule>
  </conditionalFormatting>
  <conditionalFormatting sqref="K4">
    <cfRule type="cellIs" dxfId="503" priority="31" operator="equal">
      <formula>0</formula>
    </cfRule>
  </conditionalFormatting>
  <conditionalFormatting sqref="L32 L2:L3 L34:L1048576">
    <cfRule type="cellIs" dxfId="502" priority="16" operator="equal">
      <formula>0</formula>
    </cfRule>
  </conditionalFormatting>
  <conditionalFormatting sqref="L5:L31">
    <cfRule type="cellIs" dxfId="501" priority="15" operator="equal">
      <formula>0</formula>
    </cfRule>
  </conditionalFormatting>
  <conditionalFormatting sqref="L4">
    <cfRule type="cellIs" dxfId="500" priority="14" operator="equal">
      <formula>0</formula>
    </cfRule>
  </conditionalFormatting>
  <conditionalFormatting sqref="M32 M2:M3 M34:M1048576">
    <cfRule type="cellIs" dxfId="499" priority="3" operator="equal">
      <formula>0</formula>
    </cfRule>
  </conditionalFormatting>
  <conditionalFormatting sqref="M5:M31">
    <cfRule type="cellIs" dxfId="498" priority="2" operator="equal">
      <formula>0</formula>
    </cfRule>
  </conditionalFormatting>
  <conditionalFormatting sqref="M4">
    <cfRule type="cellIs" dxfId="497"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25">
    <tabColor indexed="26"/>
    <pageSetUpPr fitToPage="1"/>
  </sheetPr>
  <dimension ref="A1:P19"/>
  <sheetViews>
    <sheetView showGridLines="0" workbookViewId="0">
      <selection activeCell="C4" sqref="C4:M43"/>
    </sheetView>
  </sheetViews>
  <sheetFormatPr defaultColWidth="9.140625" defaultRowHeight="15" customHeight="1"/>
  <cols>
    <col min="1" max="1" width="30.7109375" style="8" customWidth="1"/>
    <col min="2" max="12" width="6.28515625" style="8" customWidth="1"/>
    <col min="13" max="13" width="9.140625" style="8"/>
    <col min="14" max="14" width="9.140625" style="8" customWidth="1"/>
    <col min="15" max="16384" width="9.140625" style="8"/>
  </cols>
  <sheetData>
    <row r="1" spans="1:16" s="162" customFormat="1" ht="28.5" customHeight="1">
      <c r="A1" s="623" t="s">
        <v>249</v>
      </c>
      <c r="B1" s="623"/>
      <c r="C1" s="623"/>
      <c r="D1" s="623"/>
      <c r="E1" s="623"/>
      <c r="F1" s="623"/>
      <c r="G1" s="623"/>
      <c r="H1" s="623"/>
      <c r="I1" s="623"/>
      <c r="J1" s="623"/>
      <c r="K1" s="623"/>
      <c r="L1" s="623"/>
    </row>
    <row r="2" spans="1:16" s="165" customFormat="1" ht="15" customHeight="1">
      <c r="A2" s="164"/>
      <c r="B2" s="164"/>
      <c r="C2" s="164"/>
      <c r="D2" s="164"/>
      <c r="E2" s="164"/>
      <c r="F2" s="164"/>
      <c r="G2" s="164"/>
      <c r="H2" s="164"/>
      <c r="I2" s="164"/>
      <c r="J2" s="164"/>
      <c r="K2" s="164"/>
      <c r="L2" s="164"/>
    </row>
    <row r="3" spans="1:16" s="165" customFormat="1" ht="15" customHeight="1">
      <c r="A3" s="164" t="s">
        <v>14</v>
      </c>
      <c r="B3" s="99"/>
      <c r="D3" s="99"/>
      <c r="E3" s="99"/>
      <c r="F3" s="99"/>
      <c r="G3" s="99"/>
      <c r="H3" s="99"/>
      <c r="I3" s="99"/>
      <c r="J3" s="99"/>
      <c r="K3" s="99"/>
      <c r="L3" s="99" t="s">
        <v>68</v>
      </c>
    </row>
    <row r="4" spans="1:16" s="168" customFormat="1" ht="28.5" customHeight="1" thickBot="1">
      <c r="A4" s="84"/>
      <c r="B4" s="167">
        <v>2012</v>
      </c>
      <c r="C4" s="167">
        <v>2013</v>
      </c>
      <c r="D4" s="167">
        <v>2014</v>
      </c>
      <c r="E4" s="167">
        <v>2015</v>
      </c>
      <c r="F4" s="167">
        <v>2016</v>
      </c>
      <c r="G4" s="167">
        <v>2017</v>
      </c>
      <c r="H4" s="167">
        <v>2018</v>
      </c>
      <c r="I4" s="167">
        <v>2019</v>
      </c>
      <c r="J4" s="167">
        <v>2020</v>
      </c>
      <c r="K4" s="167">
        <v>2021</v>
      </c>
      <c r="L4" s="167">
        <v>2022</v>
      </c>
    </row>
    <row r="5" spans="1:16" s="168" customFormat="1" ht="15" customHeight="1" thickTop="1">
      <c r="A5" s="323" t="s">
        <v>12</v>
      </c>
      <c r="B5" s="324">
        <v>915.01247006081212</v>
      </c>
      <c r="C5" s="324">
        <v>912.18298170177309</v>
      </c>
      <c r="D5" s="324">
        <v>909.49144915721399</v>
      </c>
      <c r="E5" s="324">
        <v>913.92544791377406</v>
      </c>
      <c r="F5" s="324">
        <v>924.9392153090821</v>
      </c>
      <c r="G5" s="324">
        <v>943.00107511786211</v>
      </c>
      <c r="H5" s="324">
        <v>970.41689676342503</v>
      </c>
      <c r="I5" s="324">
        <v>1005.08927925103</v>
      </c>
      <c r="J5" s="324">
        <v>1041.9948771786001</v>
      </c>
      <c r="K5" s="324">
        <v>1082.7724697513502</v>
      </c>
      <c r="L5" s="324">
        <v>1143.44558285689</v>
      </c>
    </row>
    <row r="6" spans="1:16" s="165" customFormat="1" ht="15" customHeight="1">
      <c r="A6" s="164" t="s">
        <v>126</v>
      </c>
      <c r="B6" s="269">
        <v>815.73128304117904</v>
      </c>
      <c r="C6" s="269">
        <v>813.4881747481711</v>
      </c>
      <c r="D6" s="269">
        <v>814.02083717980508</v>
      </c>
      <c r="E6" s="269">
        <v>822.04129906714195</v>
      </c>
      <c r="F6" s="269">
        <v>834.10363666816204</v>
      </c>
      <c r="G6" s="269">
        <v>851.63060290086014</v>
      </c>
      <c r="H6" s="269">
        <v>878.73251009240107</v>
      </c>
      <c r="I6" s="269">
        <v>910.69524433091101</v>
      </c>
      <c r="J6" s="269">
        <v>946.92533128891898</v>
      </c>
      <c r="K6" s="269">
        <v>985.25969996655317</v>
      </c>
      <c r="L6" s="269">
        <v>1034.9080896734201</v>
      </c>
      <c r="N6" s="502">
        <f>+L6/$L$5*100</f>
        <v>90.507856708642848</v>
      </c>
      <c r="O6" s="502">
        <f>+B6/$B$5*100</f>
        <v>89.149744919538108</v>
      </c>
      <c r="P6" s="502">
        <f>+N6-O6</f>
        <v>1.3581117891047398</v>
      </c>
    </row>
    <row r="7" spans="1:16" s="165" customFormat="1" ht="15" customHeight="1">
      <c r="A7" s="164" t="s">
        <v>127</v>
      </c>
      <c r="B7" s="269">
        <v>1376.0270876395</v>
      </c>
      <c r="C7" s="269">
        <v>1378.6244393776801</v>
      </c>
      <c r="D7" s="269">
        <v>1355.4958168956603</v>
      </c>
      <c r="E7" s="269">
        <v>1369.2197336380902</v>
      </c>
      <c r="F7" s="269">
        <v>1380.3391355302501</v>
      </c>
      <c r="G7" s="269">
        <v>1384.8914383662</v>
      </c>
      <c r="H7" s="269">
        <v>1383.0974336944701</v>
      </c>
      <c r="I7" s="269">
        <v>1377.83383152794</v>
      </c>
      <c r="J7" s="269">
        <v>1398.0384962477801</v>
      </c>
      <c r="K7" s="269">
        <v>1401.2704292384501</v>
      </c>
      <c r="L7" s="269">
        <v>1434.7019205004801</v>
      </c>
      <c r="N7" s="502">
        <f t="shared" ref="N7:N10" si="0">+L7/$L$5*100</f>
        <v>125.4718144886168</v>
      </c>
      <c r="O7" s="502">
        <f t="shared" ref="O7:O10" si="1">+B7/$B$5*100</f>
        <v>150.38342456120282</v>
      </c>
      <c r="P7" s="502">
        <f t="shared" ref="P7:P10" si="2">+N7-O7</f>
        <v>-24.911610072586015</v>
      </c>
    </row>
    <row r="8" spans="1:16" s="165" customFormat="1" ht="15" customHeight="1">
      <c r="A8" s="164" t="s">
        <v>145</v>
      </c>
      <c r="B8" s="269">
        <v>1003.3186551071301</v>
      </c>
      <c r="C8" s="269">
        <v>977.849031240415</v>
      </c>
      <c r="D8" s="269">
        <v>972.19149983404202</v>
      </c>
      <c r="E8" s="269">
        <v>967.53260618618606</v>
      </c>
      <c r="F8" s="269">
        <v>971.00655059601308</v>
      </c>
      <c r="G8" s="269">
        <v>992.05088961973115</v>
      </c>
      <c r="H8" s="269">
        <v>1032.1050968847201</v>
      </c>
      <c r="I8" s="269">
        <v>1074.6061146719401</v>
      </c>
      <c r="J8" s="269">
        <v>1119.85925536184</v>
      </c>
      <c r="K8" s="269">
        <v>1179.74805091185</v>
      </c>
      <c r="L8" s="269">
        <v>1261.6534208195703</v>
      </c>
      <c r="N8" s="502">
        <f t="shared" si="0"/>
        <v>110.33786301114033</v>
      </c>
      <c r="O8" s="502">
        <f t="shared" si="1"/>
        <v>109.65081765939748</v>
      </c>
      <c r="P8" s="502">
        <f t="shared" si="2"/>
        <v>0.68704535174285297</v>
      </c>
    </row>
    <row r="9" spans="1:16" s="165" customFormat="1" ht="15" customHeight="1">
      <c r="A9" s="164" t="s">
        <v>44</v>
      </c>
      <c r="B9" s="269">
        <v>1435.5730436060301</v>
      </c>
      <c r="C9" s="269">
        <v>1450.62996858208</v>
      </c>
      <c r="D9" s="269">
        <v>1444.7042007547402</v>
      </c>
      <c r="E9" s="269">
        <v>1449.0004375586902</v>
      </c>
      <c r="F9" s="269">
        <v>1443.0238781438302</v>
      </c>
      <c r="G9" s="269">
        <v>1460.9444853935702</v>
      </c>
      <c r="H9" s="269">
        <v>1499.23372940582</v>
      </c>
      <c r="I9" s="269">
        <v>1520.6541635813298</v>
      </c>
      <c r="J9" s="269">
        <v>1451.8981710683702</v>
      </c>
      <c r="K9" s="269">
        <v>1476.8648039653601</v>
      </c>
      <c r="L9" s="269">
        <v>1594.67102138462</v>
      </c>
      <c r="N9" s="502">
        <f t="shared" si="0"/>
        <v>139.46190752692809</v>
      </c>
      <c r="O9" s="502">
        <f t="shared" si="1"/>
        <v>156.89109062203505</v>
      </c>
      <c r="P9" s="502">
        <f t="shared" si="2"/>
        <v>-17.429183095106964</v>
      </c>
    </row>
    <row r="10" spans="1:16" s="165" customFormat="1" ht="15" customHeight="1">
      <c r="A10" s="193" t="s">
        <v>248</v>
      </c>
      <c r="B10" s="270">
        <v>1145.50271467018</v>
      </c>
      <c r="C10" s="270">
        <v>1130.79594059595</v>
      </c>
      <c r="D10" s="270">
        <v>1121.3991062045302</v>
      </c>
      <c r="E10" s="270">
        <v>1104.3485605287301</v>
      </c>
      <c r="F10" s="270">
        <v>1107.4664177878999</v>
      </c>
      <c r="G10" s="270">
        <v>1109.8148570103201</v>
      </c>
      <c r="H10" s="270">
        <v>1145.6190469043202</v>
      </c>
      <c r="I10" s="270">
        <v>1184.11156501853</v>
      </c>
      <c r="J10" s="270">
        <v>1211.96760098903</v>
      </c>
      <c r="K10" s="270">
        <v>1273.5616838785299</v>
      </c>
      <c r="L10" s="270">
        <v>1356.6058294637401</v>
      </c>
      <c r="N10" s="502">
        <f t="shared" si="0"/>
        <v>118.64192313151194</v>
      </c>
      <c r="O10" s="502">
        <f t="shared" si="1"/>
        <v>125.18984736831504</v>
      </c>
      <c r="P10" s="502">
        <f t="shared" si="2"/>
        <v>-6.5479242368030981</v>
      </c>
    </row>
    <row r="11" spans="1:16" s="170" customFormat="1" ht="15" customHeight="1">
      <c r="A11" s="126" t="s">
        <v>138</v>
      </c>
      <c r="B11" s="197"/>
      <c r="C11" s="198"/>
      <c r="D11" s="198"/>
      <c r="E11" s="198"/>
      <c r="F11" s="198"/>
      <c r="G11" s="198"/>
      <c r="H11" s="198"/>
      <c r="I11" s="198"/>
      <c r="J11" s="198"/>
      <c r="K11" s="198"/>
      <c r="L11" s="198"/>
    </row>
    <row r="12" spans="1:16" s="170" customFormat="1" ht="15" customHeight="1">
      <c r="A12" s="624" t="s">
        <v>133</v>
      </c>
      <c r="B12" s="624"/>
      <c r="C12" s="624"/>
      <c r="D12" s="624"/>
      <c r="E12" s="624"/>
      <c r="F12" s="624"/>
      <c r="G12" s="624"/>
      <c r="H12" s="624"/>
      <c r="I12" s="624"/>
      <c r="J12" s="624"/>
      <c r="K12" s="624"/>
      <c r="L12" s="624"/>
    </row>
    <row r="13" spans="1:16" s="170" customFormat="1" ht="15" customHeight="1">
      <c r="A13" s="624" t="s">
        <v>134</v>
      </c>
      <c r="B13" s="624"/>
      <c r="C13" s="624"/>
      <c r="D13" s="624"/>
      <c r="E13" s="624"/>
      <c r="F13" s="624"/>
      <c r="G13" s="624"/>
      <c r="H13" s="624"/>
      <c r="I13" s="624"/>
      <c r="J13" s="624"/>
      <c r="K13" s="624"/>
      <c r="L13" s="624"/>
    </row>
    <row r="14" spans="1:16" s="170" customFormat="1" ht="24" customHeight="1">
      <c r="A14" s="624" t="s">
        <v>258</v>
      </c>
      <c r="B14" s="624"/>
      <c r="C14" s="624"/>
      <c r="D14" s="624"/>
      <c r="E14" s="624"/>
      <c r="F14" s="624"/>
      <c r="G14" s="624"/>
      <c r="H14" s="624"/>
      <c r="I14" s="624"/>
      <c r="J14" s="624"/>
      <c r="K14" s="624"/>
      <c r="L14" s="624"/>
    </row>
    <row r="15" spans="1:16" ht="15" customHeight="1">
      <c r="N15" s="161"/>
    </row>
    <row r="16" spans="1:16" ht="15" customHeight="1">
      <c r="N16" s="161"/>
    </row>
    <row r="17" spans="14:14" ht="15" customHeight="1">
      <c r="N17" s="161"/>
    </row>
    <row r="18" spans="14:14" ht="15" customHeight="1">
      <c r="N18" s="161"/>
    </row>
    <row r="19" spans="14:14" ht="15" customHeight="1">
      <c r="N19" s="161"/>
    </row>
  </sheetData>
  <mergeCells count="4">
    <mergeCell ref="A1:L1"/>
    <mergeCell ref="A12:L12"/>
    <mergeCell ref="A13:L13"/>
    <mergeCell ref="A14:L14"/>
  </mergeCells>
  <conditionalFormatting sqref="D3 A1 A4:A10 F15 F21:F1048576 H21:H1048576 H15 A2:C2 A3:B3 B4:C4 B11:C11 B5:K5 A12:A1048576 B6:E9 B10:K10 B15:E1048576 M1:XFD5 M11:XFD1048576 M6:M10 Q6:XFD10">
    <cfRule type="cellIs" dxfId="496" priority="59" operator="equal">
      <formula>0</formula>
    </cfRule>
  </conditionalFormatting>
  <conditionalFormatting sqref="D2 D4 D11">
    <cfRule type="cellIs" dxfId="495" priority="58" operator="equal">
      <formula>0</formula>
    </cfRule>
  </conditionalFormatting>
  <conditionalFormatting sqref="A11">
    <cfRule type="cellIs" dxfId="494" priority="57" operator="equal">
      <formula>0</formula>
    </cfRule>
  </conditionalFormatting>
  <conditionalFormatting sqref="E3">
    <cfRule type="cellIs" dxfId="493" priority="56" operator="equal">
      <formula>0</formula>
    </cfRule>
  </conditionalFormatting>
  <conditionalFormatting sqref="E2 E4 E11">
    <cfRule type="cellIs" dxfId="492" priority="55" operator="equal">
      <formula>0</formula>
    </cfRule>
  </conditionalFormatting>
  <conditionalFormatting sqref="H3">
    <cfRule type="cellIs" dxfId="491" priority="54" operator="equal">
      <formula>0</formula>
    </cfRule>
  </conditionalFormatting>
  <conditionalFormatting sqref="H2 H11">
    <cfRule type="cellIs" dxfId="490" priority="53" operator="equal">
      <formula>0</formula>
    </cfRule>
  </conditionalFormatting>
  <conditionalFormatting sqref="F7:H7">
    <cfRule type="cellIs" dxfId="489" priority="52" operator="equal">
      <formula>0</formula>
    </cfRule>
  </conditionalFormatting>
  <conditionalFormatting sqref="F3">
    <cfRule type="cellIs" dxfId="488" priority="51" operator="equal">
      <formula>0</formula>
    </cfRule>
  </conditionalFormatting>
  <conditionalFormatting sqref="F2 F11 F4:H4">
    <cfRule type="cellIs" dxfId="487" priority="50" operator="equal">
      <formula>0</formula>
    </cfRule>
  </conditionalFormatting>
  <conditionalFormatting sqref="F6:H6 F8:H9">
    <cfRule type="cellIs" dxfId="486" priority="49" operator="equal">
      <formula>0</formula>
    </cfRule>
  </conditionalFormatting>
  <conditionalFormatting sqref="G21:G1048576 G15">
    <cfRule type="cellIs" dxfId="485" priority="47" operator="equal">
      <formula>0</formula>
    </cfRule>
  </conditionalFormatting>
  <conditionalFormatting sqref="G3">
    <cfRule type="cellIs" dxfId="484" priority="46" operator="equal">
      <formula>0</formula>
    </cfRule>
  </conditionalFormatting>
  <conditionalFormatting sqref="G2 G11">
    <cfRule type="cellIs" dxfId="483" priority="45" operator="equal">
      <formula>0</formula>
    </cfRule>
  </conditionalFormatting>
  <conditionalFormatting sqref="I21:I1048576 I15">
    <cfRule type="cellIs" dxfId="482" priority="43" operator="equal">
      <formula>0</formula>
    </cfRule>
  </conditionalFormatting>
  <conditionalFormatting sqref="I3">
    <cfRule type="cellIs" dxfId="481" priority="42" operator="equal">
      <formula>0</formula>
    </cfRule>
  </conditionalFormatting>
  <conditionalFormatting sqref="I2 I11">
    <cfRule type="cellIs" dxfId="480" priority="41" operator="equal">
      <formula>0</formula>
    </cfRule>
  </conditionalFormatting>
  <conditionalFormatting sqref="I7">
    <cfRule type="cellIs" dxfId="479" priority="40" operator="equal">
      <formula>0</formula>
    </cfRule>
  </conditionalFormatting>
  <conditionalFormatting sqref="I4">
    <cfRule type="cellIs" dxfId="478" priority="39" operator="equal">
      <formula>0</formula>
    </cfRule>
  </conditionalFormatting>
  <conditionalFormatting sqref="I6 I8:I9">
    <cfRule type="cellIs" dxfId="477" priority="38" operator="equal">
      <formula>0</formula>
    </cfRule>
  </conditionalFormatting>
  <conditionalFormatting sqref="J21:J1048576 J15">
    <cfRule type="cellIs" dxfId="476" priority="37" operator="equal">
      <formula>0</formula>
    </cfRule>
  </conditionalFormatting>
  <conditionalFormatting sqref="J3">
    <cfRule type="cellIs" dxfId="475" priority="36" operator="equal">
      <formula>0</formula>
    </cfRule>
  </conditionalFormatting>
  <conditionalFormatting sqref="J2 J11">
    <cfRule type="cellIs" dxfId="474" priority="35" operator="equal">
      <formula>0</formula>
    </cfRule>
  </conditionalFormatting>
  <conditionalFormatting sqref="J7">
    <cfRule type="cellIs" dxfId="473" priority="34" operator="equal">
      <formula>0</formula>
    </cfRule>
  </conditionalFormatting>
  <conditionalFormatting sqref="J4">
    <cfRule type="cellIs" dxfId="472" priority="33" operator="equal">
      <formula>0</formula>
    </cfRule>
  </conditionalFormatting>
  <conditionalFormatting sqref="J6 J8:J9">
    <cfRule type="cellIs" dxfId="471" priority="32" operator="equal">
      <formula>0</formula>
    </cfRule>
  </conditionalFormatting>
  <conditionalFormatting sqref="K21:K1048576 K15">
    <cfRule type="cellIs" dxfId="470" priority="30" operator="equal">
      <formula>0</formula>
    </cfRule>
  </conditionalFormatting>
  <conditionalFormatting sqref="K3">
    <cfRule type="cellIs" dxfId="469" priority="29" operator="equal">
      <formula>0</formula>
    </cfRule>
  </conditionalFormatting>
  <conditionalFormatting sqref="K2 K11">
    <cfRule type="cellIs" dxfId="468" priority="28" operator="equal">
      <formula>0</formula>
    </cfRule>
  </conditionalFormatting>
  <conditionalFormatting sqref="K7">
    <cfRule type="cellIs" dxfId="467" priority="27" operator="equal">
      <formula>0</formula>
    </cfRule>
  </conditionalFormatting>
  <conditionalFormatting sqref="K4">
    <cfRule type="cellIs" dxfId="466" priority="26" operator="equal">
      <formula>0</formula>
    </cfRule>
  </conditionalFormatting>
  <conditionalFormatting sqref="K6 K8:K9">
    <cfRule type="cellIs" dxfId="465" priority="25" operator="equal">
      <formula>0</formula>
    </cfRule>
  </conditionalFormatting>
  <conditionalFormatting sqref="L5 L10">
    <cfRule type="cellIs" dxfId="464" priority="8" operator="equal">
      <formula>0</formula>
    </cfRule>
  </conditionalFormatting>
  <conditionalFormatting sqref="L21:L1048576 L15">
    <cfRule type="cellIs" dxfId="463" priority="7" operator="equal">
      <formula>0</formula>
    </cfRule>
  </conditionalFormatting>
  <conditionalFormatting sqref="L3">
    <cfRule type="cellIs" dxfId="462" priority="6" operator="equal">
      <formula>0</formula>
    </cfRule>
  </conditionalFormatting>
  <conditionalFormatting sqref="L2 L11">
    <cfRule type="cellIs" dxfId="461" priority="5" operator="equal">
      <formula>0</formula>
    </cfRule>
  </conditionalFormatting>
  <conditionalFormatting sqref="L7">
    <cfRule type="cellIs" dxfId="460" priority="4" operator="equal">
      <formula>0</formula>
    </cfRule>
  </conditionalFormatting>
  <conditionalFormatting sqref="L4">
    <cfRule type="cellIs" dxfId="459" priority="3" operator="equal">
      <formula>0</formula>
    </cfRule>
  </conditionalFormatting>
  <conditionalFormatting sqref="L6 L8:L9">
    <cfRule type="cellIs" dxfId="458" priority="2" operator="equal">
      <formula>0</formula>
    </cfRule>
  </conditionalFormatting>
  <conditionalFormatting sqref="N6:P10">
    <cfRule type="cellIs" dxfId="457"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37">
    <tabColor rgb="FFA50021"/>
    <pageSetUpPr fitToPage="1"/>
  </sheetPr>
  <dimension ref="A1:P29"/>
  <sheetViews>
    <sheetView showGridLines="0" zoomScaleNormal="100" workbookViewId="0">
      <selection activeCell="C4" sqref="C4:M43"/>
    </sheetView>
  </sheetViews>
  <sheetFormatPr defaultColWidth="9.140625" defaultRowHeight="11.25"/>
  <cols>
    <col min="1" max="1" width="17.140625" style="8" customWidth="1"/>
    <col min="2" max="12" width="7.5703125" style="8" customWidth="1"/>
    <col min="13" max="16384" width="9.140625" style="8"/>
  </cols>
  <sheetData>
    <row r="1" spans="1:14" s="34" customFormat="1" ht="28.5" customHeight="1">
      <c r="A1" s="580" t="s">
        <v>212</v>
      </c>
      <c r="B1" s="580"/>
      <c r="C1" s="580"/>
      <c r="D1" s="580"/>
      <c r="E1" s="580"/>
      <c r="F1" s="580"/>
      <c r="G1" s="580"/>
      <c r="H1" s="580"/>
      <c r="I1" s="580"/>
      <c r="J1" s="580"/>
      <c r="K1" s="580"/>
      <c r="L1" s="580"/>
    </row>
    <row r="2" spans="1:14" s="36" customFormat="1" ht="15" customHeight="1">
      <c r="A2" s="103"/>
      <c r="B2" s="35"/>
      <c r="C2" s="35"/>
      <c r="D2" s="35"/>
      <c r="E2" s="35"/>
      <c r="F2" s="35"/>
      <c r="G2" s="35"/>
      <c r="H2" s="35"/>
      <c r="I2" s="35"/>
      <c r="J2" s="35"/>
      <c r="K2" s="35"/>
      <c r="L2" s="35"/>
    </row>
    <row r="3" spans="1:14" s="36" customFormat="1" ht="14.25" customHeight="1">
      <c r="A3" s="207" t="s">
        <v>14</v>
      </c>
      <c r="B3" s="212"/>
      <c r="C3" s="34"/>
      <c r="D3" s="35"/>
      <c r="E3" s="35"/>
      <c r="F3" s="35"/>
      <c r="G3" s="35"/>
      <c r="H3" s="35"/>
      <c r="I3" s="35"/>
      <c r="J3" s="35"/>
      <c r="K3" s="35"/>
      <c r="L3" s="35"/>
    </row>
    <row r="4" spans="1:14" s="39" customFormat="1" ht="28.5" customHeight="1" thickBot="1">
      <c r="A4" s="104"/>
      <c r="B4" s="113">
        <v>2012</v>
      </c>
      <c r="C4" s="113">
        <v>2013</v>
      </c>
      <c r="D4" s="113">
        <v>2014</v>
      </c>
      <c r="E4" s="113">
        <v>2015</v>
      </c>
      <c r="F4" s="113">
        <v>2016</v>
      </c>
      <c r="G4" s="113">
        <v>2017</v>
      </c>
      <c r="H4" s="113">
        <v>2018</v>
      </c>
      <c r="I4" s="113">
        <v>2019</v>
      </c>
      <c r="J4" s="113">
        <v>2020</v>
      </c>
      <c r="K4" s="113">
        <v>2021</v>
      </c>
      <c r="L4" s="113">
        <v>2022</v>
      </c>
    </row>
    <row r="5" spans="1:14" s="228" customFormat="1" ht="20.25" customHeight="1" thickTop="1">
      <c r="A5" s="11" t="s">
        <v>12</v>
      </c>
      <c r="B5" s="258">
        <v>1910957</v>
      </c>
      <c r="C5" s="258">
        <v>1890511</v>
      </c>
      <c r="D5" s="258">
        <v>1928307</v>
      </c>
      <c r="E5" s="258">
        <v>1991131</v>
      </c>
      <c r="F5" s="258">
        <v>2054911</v>
      </c>
      <c r="G5" s="258">
        <v>2131943</v>
      </c>
      <c r="H5" s="258">
        <v>2205449</v>
      </c>
      <c r="I5" s="258">
        <v>2232400</v>
      </c>
      <c r="J5" s="258">
        <v>2164118</v>
      </c>
      <c r="K5" s="258">
        <v>2200594</v>
      </c>
      <c r="L5" s="258">
        <v>2376115</v>
      </c>
      <c r="N5" s="39"/>
    </row>
    <row r="6" spans="1:14" ht="20.25" customHeight="1">
      <c r="A6" s="30" t="s">
        <v>118</v>
      </c>
      <c r="B6" s="259">
        <v>4937</v>
      </c>
      <c r="C6" s="259">
        <v>4602</v>
      </c>
      <c r="D6" s="259">
        <v>5299</v>
      </c>
      <c r="E6" s="259">
        <v>4830</v>
      </c>
      <c r="F6" s="259">
        <v>5114</v>
      </c>
      <c r="G6" s="259">
        <v>4504</v>
      </c>
      <c r="H6" s="259">
        <v>3892</v>
      </c>
      <c r="I6" s="259">
        <v>4213</v>
      </c>
      <c r="J6" s="259">
        <v>3675</v>
      </c>
      <c r="K6" s="259">
        <v>3820</v>
      </c>
      <c r="L6" s="259">
        <v>4185</v>
      </c>
      <c r="N6" s="39"/>
    </row>
    <row r="7" spans="1:14" ht="15" customHeight="1">
      <c r="A7" s="30" t="s">
        <v>119</v>
      </c>
      <c r="B7" s="259">
        <v>77732</v>
      </c>
      <c r="C7" s="259">
        <v>76522</v>
      </c>
      <c r="D7" s="259">
        <v>96190</v>
      </c>
      <c r="E7" s="259">
        <v>94391</v>
      </c>
      <c r="F7" s="259">
        <v>111160</v>
      </c>
      <c r="G7" s="259">
        <v>113811</v>
      </c>
      <c r="H7" s="259">
        <v>115227</v>
      </c>
      <c r="I7" s="259">
        <v>107826</v>
      </c>
      <c r="J7" s="259">
        <v>106652</v>
      </c>
      <c r="K7" s="259">
        <v>101440</v>
      </c>
      <c r="L7" s="259">
        <v>106931</v>
      </c>
      <c r="N7" s="39"/>
    </row>
    <row r="8" spans="1:14" ht="15" customHeight="1">
      <c r="A8" s="136" t="s">
        <v>236</v>
      </c>
      <c r="B8" s="260">
        <v>788576</v>
      </c>
      <c r="C8" s="260">
        <v>785389</v>
      </c>
      <c r="D8" s="260">
        <v>778124</v>
      </c>
      <c r="E8" s="260">
        <v>798443</v>
      </c>
      <c r="F8" s="260">
        <v>783804</v>
      </c>
      <c r="G8" s="260">
        <v>745621</v>
      </c>
      <c r="H8" s="260">
        <v>672064</v>
      </c>
      <c r="I8" s="260">
        <v>565100</v>
      </c>
      <c r="J8" s="260">
        <v>390619</v>
      </c>
      <c r="K8" s="260">
        <v>188870</v>
      </c>
      <c r="L8" s="260">
        <v>50712</v>
      </c>
    </row>
    <row r="9" spans="1:14" ht="15" customHeight="1">
      <c r="A9" s="111" t="s">
        <v>176</v>
      </c>
      <c r="B9" s="259">
        <v>397995</v>
      </c>
      <c r="C9" s="259">
        <v>390072</v>
      </c>
      <c r="D9" s="259">
        <v>406739</v>
      </c>
      <c r="E9" s="259">
        <v>424999</v>
      </c>
      <c r="F9" s="259">
        <v>457078</v>
      </c>
      <c r="G9" s="259">
        <v>515604</v>
      </c>
      <c r="H9" s="259">
        <v>583098</v>
      </c>
      <c r="I9" s="259">
        <v>647291</v>
      </c>
      <c r="J9" s="259">
        <v>720260</v>
      </c>
      <c r="K9" s="259">
        <v>880922</v>
      </c>
      <c r="L9" s="259">
        <v>978379</v>
      </c>
    </row>
    <row r="10" spans="1:14" ht="15" customHeight="1">
      <c r="A10" s="111" t="s">
        <v>177</v>
      </c>
      <c r="B10" s="259">
        <v>321675</v>
      </c>
      <c r="C10" s="259">
        <v>318747</v>
      </c>
      <c r="D10" s="259">
        <v>324052</v>
      </c>
      <c r="E10" s="259">
        <v>340648</v>
      </c>
      <c r="F10" s="259">
        <v>358090</v>
      </c>
      <c r="G10" s="259">
        <v>390355</v>
      </c>
      <c r="H10" s="259">
        <v>433973</v>
      </c>
      <c r="I10" s="259">
        <v>476979</v>
      </c>
      <c r="J10" s="259">
        <v>496154</v>
      </c>
      <c r="K10" s="259">
        <v>542243</v>
      </c>
      <c r="L10" s="259">
        <v>657005</v>
      </c>
    </row>
    <row r="11" spans="1:14" ht="15" customHeight="1">
      <c r="A11" s="30" t="s">
        <v>178</v>
      </c>
      <c r="B11" s="259">
        <v>208076</v>
      </c>
      <c r="C11" s="259">
        <v>203125</v>
      </c>
      <c r="D11" s="259">
        <v>205599</v>
      </c>
      <c r="E11" s="259">
        <v>211987</v>
      </c>
      <c r="F11" s="259">
        <v>219147</v>
      </c>
      <c r="G11" s="259">
        <v>235210</v>
      </c>
      <c r="H11" s="259">
        <v>259576</v>
      </c>
      <c r="I11" s="259">
        <v>284340</v>
      </c>
      <c r="J11" s="259">
        <v>295953</v>
      </c>
      <c r="K11" s="259">
        <v>319188</v>
      </c>
      <c r="L11" s="259">
        <v>377436</v>
      </c>
    </row>
    <row r="12" spans="1:14" ht="15" customHeight="1">
      <c r="A12" s="30" t="s">
        <v>179</v>
      </c>
      <c r="B12" s="259">
        <v>72825</v>
      </c>
      <c r="C12" s="259">
        <v>73599</v>
      </c>
      <c r="D12" s="259">
        <v>73982</v>
      </c>
      <c r="E12" s="259">
        <v>76280</v>
      </c>
      <c r="F12" s="259">
        <v>79072</v>
      </c>
      <c r="G12" s="259">
        <v>83250</v>
      </c>
      <c r="H12" s="259">
        <v>90232</v>
      </c>
      <c r="I12" s="259">
        <v>96145</v>
      </c>
      <c r="J12" s="259">
        <v>99786</v>
      </c>
      <c r="K12" s="259">
        <v>107743</v>
      </c>
      <c r="L12" s="259">
        <v>131037</v>
      </c>
    </row>
    <row r="13" spans="1:14" ht="15" customHeight="1">
      <c r="A13" s="30" t="s">
        <v>180</v>
      </c>
      <c r="B13" s="259">
        <v>21571</v>
      </c>
      <c r="C13" s="259">
        <v>21344</v>
      </c>
      <c r="D13" s="259">
        <v>21232</v>
      </c>
      <c r="E13" s="259">
        <v>21937</v>
      </c>
      <c r="F13" s="259">
        <v>23194</v>
      </c>
      <c r="G13" s="259">
        <v>24313</v>
      </c>
      <c r="H13" s="259">
        <v>26441</v>
      </c>
      <c r="I13" s="259">
        <v>28479</v>
      </c>
      <c r="J13" s="259">
        <v>28950</v>
      </c>
      <c r="K13" s="259">
        <v>32106</v>
      </c>
      <c r="L13" s="259">
        <v>39500</v>
      </c>
    </row>
    <row r="14" spans="1:14" ht="15" customHeight="1">
      <c r="A14" s="30" t="s">
        <v>181</v>
      </c>
      <c r="B14" s="259">
        <v>17570</v>
      </c>
      <c r="C14" s="259">
        <v>17111</v>
      </c>
      <c r="D14" s="259">
        <v>17090</v>
      </c>
      <c r="E14" s="259">
        <v>17616</v>
      </c>
      <c r="F14" s="259">
        <v>18252</v>
      </c>
      <c r="G14" s="259">
        <v>19275</v>
      </c>
      <c r="H14" s="259">
        <v>20946</v>
      </c>
      <c r="I14" s="259">
        <v>22027</v>
      </c>
      <c r="J14" s="259">
        <v>22069</v>
      </c>
      <c r="K14" s="259">
        <v>24262</v>
      </c>
      <c r="L14" s="259">
        <v>30930</v>
      </c>
    </row>
    <row r="15" spans="1:14" s="41" customFormat="1" ht="11.25" customHeight="1">
      <c r="A15" s="106"/>
      <c r="B15" s="107"/>
      <c r="C15" s="107"/>
      <c r="D15" s="107"/>
      <c r="E15" s="107"/>
      <c r="F15" s="107"/>
      <c r="G15" s="107"/>
      <c r="H15" s="107"/>
      <c r="I15" s="107"/>
      <c r="J15" s="107"/>
      <c r="K15" s="107"/>
      <c r="L15" s="107"/>
    </row>
    <row r="16" spans="1:14" s="39" customFormat="1" ht="11.25" customHeight="1">
      <c r="A16" s="109" t="s">
        <v>120</v>
      </c>
      <c r="B16" s="108"/>
      <c r="C16" s="108"/>
      <c r="D16" s="108"/>
      <c r="E16" s="108"/>
      <c r="F16" s="108"/>
      <c r="G16" s="108"/>
      <c r="H16" s="108"/>
      <c r="I16" s="108"/>
      <c r="J16" s="108"/>
      <c r="K16" s="108"/>
      <c r="L16" s="108"/>
    </row>
    <row r="17" spans="1:16" s="222" customFormat="1" ht="20.25" customHeight="1">
      <c r="A17" s="11" t="s">
        <v>12</v>
      </c>
      <c r="B17" s="229">
        <v>100</v>
      </c>
      <c r="C17" s="229">
        <v>100</v>
      </c>
      <c r="D17" s="229">
        <v>100</v>
      </c>
      <c r="E17" s="229">
        <v>100</v>
      </c>
      <c r="F17" s="229">
        <v>100</v>
      </c>
      <c r="G17" s="229">
        <v>100</v>
      </c>
      <c r="H17" s="229">
        <v>100</v>
      </c>
      <c r="I17" s="229">
        <v>100</v>
      </c>
      <c r="J17" s="229">
        <v>100</v>
      </c>
      <c r="K17" s="229">
        <v>100</v>
      </c>
      <c r="L17" s="229">
        <v>100</v>
      </c>
    </row>
    <row r="18" spans="1:16" s="222" customFormat="1" ht="20.25" customHeight="1">
      <c r="A18" s="30" t="s">
        <v>118</v>
      </c>
      <c r="B18" s="105">
        <v>0.25835222875239999</v>
      </c>
      <c r="C18" s="105">
        <v>0.24342624824716702</v>
      </c>
      <c r="D18" s="105">
        <v>0.27480064118420977</v>
      </c>
      <c r="E18" s="105">
        <v>0.24257570195029862</v>
      </c>
      <c r="F18" s="105">
        <v>0.24886722587985563</v>
      </c>
      <c r="G18" s="105">
        <v>0.21126268385224184</v>
      </c>
      <c r="H18" s="105">
        <v>0.17647200184633607</v>
      </c>
      <c r="I18" s="105">
        <v>0.18872065938003943</v>
      </c>
      <c r="J18" s="105">
        <v>0.16981513947021373</v>
      </c>
      <c r="K18" s="105">
        <v>0.17358949447285596</v>
      </c>
      <c r="L18" s="105">
        <v>0.1761278389303548</v>
      </c>
      <c r="N18" s="317"/>
    </row>
    <row r="19" spans="1:16" s="223" customFormat="1" ht="15" customHeight="1">
      <c r="A19" s="30" t="s">
        <v>119</v>
      </c>
      <c r="B19" s="105">
        <v>4.0677001104682109</v>
      </c>
      <c r="C19" s="105">
        <v>4.0476886936918115</v>
      </c>
      <c r="D19" s="105">
        <v>4.9883135828475442</v>
      </c>
      <c r="E19" s="105">
        <v>4.7405720668303593</v>
      </c>
      <c r="F19" s="105">
        <v>5.4094800212758605</v>
      </c>
      <c r="G19" s="105">
        <v>5.3383697406544171</v>
      </c>
      <c r="H19" s="105">
        <v>5.2246503999865785</v>
      </c>
      <c r="I19" s="105">
        <v>4.8300483784268051</v>
      </c>
      <c r="J19" s="105">
        <v>4.9281970761298597</v>
      </c>
      <c r="K19" s="105">
        <v>4.6096644814990855</v>
      </c>
      <c r="L19" s="105">
        <v>4.5002451480673287</v>
      </c>
      <c r="M19" s="505"/>
      <c r="N19" s="505">
        <f>+L19+L20</f>
        <v>6.6344852837509976</v>
      </c>
      <c r="O19" s="505">
        <f>+B19+B20</f>
        <v>45.333725457977337</v>
      </c>
    </row>
    <row r="20" spans="1:16" s="224" customFormat="1" ht="15" customHeight="1">
      <c r="A20" s="136" t="s">
        <v>236</v>
      </c>
      <c r="B20" s="105">
        <v>41.266025347509128</v>
      </c>
      <c r="C20" s="105">
        <v>41.543741348238648</v>
      </c>
      <c r="D20" s="105">
        <v>40.352703174338941</v>
      </c>
      <c r="E20" s="105">
        <v>40.099973331739598</v>
      </c>
      <c r="F20" s="105">
        <v>38.142965802411879</v>
      </c>
      <c r="G20" s="105">
        <v>34.973777441516965</v>
      </c>
      <c r="H20" s="105">
        <v>30.47288783372456</v>
      </c>
      <c r="I20" s="105">
        <v>25.313563877441318</v>
      </c>
      <c r="J20" s="105">
        <v>18.049801350942971</v>
      </c>
      <c r="K20" s="105">
        <v>8.5826826756775674</v>
      </c>
      <c r="L20" s="105">
        <v>2.1342401356836684</v>
      </c>
      <c r="M20" s="505"/>
      <c r="N20" s="505">
        <f>+L19-B19</f>
        <v>0.43254503759911778</v>
      </c>
      <c r="O20" s="505"/>
      <c r="P20" s="507">
        <f>+N19-O19</f>
        <v>-38.69924017422634</v>
      </c>
    </row>
    <row r="21" spans="1:16" s="224" customFormat="1" ht="15" customHeight="1">
      <c r="A21" s="111" t="s">
        <v>176</v>
      </c>
      <c r="B21" s="105">
        <v>20.826999246974161</v>
      </c>
      <c r="C21" s="105">
        <v>20.633151565899379</v>
      </c>
      <c r="D21" s="105">
        <v>21.093062463601491</v>
      </c>
      <c r="E21" s="105">
        <v>21.344602640408894</v>
      </c>
      <c r="F21" s="105">
        <v>22.243201773702122</v>
      </c>
      <c r="G21" s="105">
        <v>24.184699121880836</v>
      </c>
      <c r="H21" s="105">
        <v>26.438970023791075</v>
      </c>
      <c r="I21" s="105">
        <v>28.995296541838378</v>
      </c>
      <c r="J21" s="105">
        <v>33.281919008113235</v>
      </c>
      <c r="K21" s="105">
        <v>40.03110069372179</v>
      </c>
      <c r="L21" s="105">
        <v>41.175574414538019</v>
      </c>
      <c r="M21" s="505"/>
      <c r="N21" s="506">
        <f>+L20-B20</f>
        <v>-39.131785211825459</v>
      </c>
      <c r="O21" s="223"/>
    </row>
    <row r="22" spans="1:16" s="224" customFormat="1" ht="15" customHeight="1">
      <c r="A22" s="111" t="s">
        <v>177</v>
      </c>
      <c r="B22" s="105">
        <v>16.833188815865558</v>
      </c>
      <c r="C22" s="105">
        <v>16.860362092577084</v>
      </c>
      <c r="D22" s="105">
        <v>16.805000448580024</v>
      </c>
      <c r="E22" s="105">
        <v>17.108266608274391</v>
      </c>
      <c r="F22" s="105">
        <v>17.426058841477808</v>
      </c>
      <c r="G22" s="105">
        <v>18.309823480271284</v>
      </c>
      <c r="H22" s="105">
        <v>19.677308339480987</v>
      </c>
      <c r="I22" s="105">
        <v>21.366197814011826</v>
      </c>
      <c r="J22" s="105">
        <v>22.926383866314129</v>
      </c>
      <c r="K22" s="105">
        <v>24.640756086765663</v>
      </c>
      <c r="L22" s="105">
        <v>27.650387291860874</v>
      </c>
    </row>
    <row r="23" spans="1:16" s="224" customFormat="1" ht="15" customHeight="1">
      <c r="A23" s="30" t="s">
        <v>178</v>
      </c>
      <c r="B23" s="105">
        <v>10.888575724100543</v>
      </c>
      <c r="C23" s="105">
        <v>10.744449516559278</v>
      </c>
      <c r="D23" s="105">
        <v>10.662150788230297</v>
      </c>
      <c r="E23" s="105">
        <v>10.646562179987153</v>
      </c>
      <c r="F23" s="105">
        <v>10.664549462239483</v>
      </c>
      <c r="G23" s="105">
        <v>11.032658940694006</v>
      </c>
      <c r="H23" s="105">
        <v>11.769757541434874</v>
      </c>
      <c r="I23" s="105">
        <v>12.736964701666368</v>
      </c>
      <c r="J23" s="105">
        <v>13.675455774592699</v>
      </c>
      <c r="K23" s="105">
        <v>14.504629204660196</v>
      </c>
      <c r="L23" s="105">
        <v>15.884584710756844</v>
      </c>
      <c r="N23" s="223"/>
    </row>
    <row r="24" spans="1:16" s="223" customFormat="1" ht="15" customHeight="1">
      <c r="A24" s="30" t="s">
        <v>179</v>
      </c>
      <c r="B24" s="105">
        <v>3.8109177757531962</v>
      </c>
      <c r="C24" s="105">
        <v>3.8930744121562904</v>
      </c>
      <c r="D24" s="105">
        <v>3.8366297482714113</v>
      </c>
      <c r="E24" s="105">
        <v>3.8309885185856678</v>
      </c>
      <c r="F24" s="105">
        <v>3.8479525390637357</v>
      </c>
      <c r="G24" s="105">
        <v>3.9048886391427917</v>
      </c>
      <c r="H24" s="105">
        <v>4.0913210869986107</v>
      </c>
      <c r="I24" s="105">
        <v>4.3067998566565135</v>
      </c>
      <c r="J24" s="105">
        <v>4.6109315665781621</v>
      </c>
      <c r="K24" s="105">
        <v>4.8960871473792986</v>
      </c>
      <c r="L24" s="105">
        <v>5.5147583345082207</v>
      </c>
    </row>
    <row r="25" spans="1:16" s="223" customFormat="1" ht="15" customHeight="1">
      <c r="A25" s="30" t="s">
        <v>180</v>
      </c>
      <c r="B25" s="105">
        <v>1.1288061426813896</v>
      </c>
      <c r="C25" s="105">
        <v>1.1290069192932493</v>
      </c>
      <c r="D25" s="105">
        <v>1.1010694873793436</v>
      </c>
      <c r="E25" s="105">
        <v>1.1017356467254038</v>
      </c>
      <c r="F25" s="105">
        <v>1.12871068382037</v>
      </c>
      <c r="G25" s="105">
        <v>1.1404151049066509</v>
      </c>
      <c r="H25" s="105">
        <v>1.1988941934272794</v>
      </c>
      <c r="I25" s="105">
        <v>1.275712237950188</v>
      </c>
      <c r="J25" s="105">
        <v>1.3377274252143367</v>
      </c>
      <c r="K25" s="105">
        <v>1.4589697145407103</v>
      </c>
      <c r="L25" s="105">
        <v>1.6623774522697765</v>
      </c>
    </row>
    <row r="26" spans="1:16" ht="15" customHeight="1">
      <c r="A26" s="33" t="s">
        <v>181</v>
      </c>
      <c r="B26" s="105">
        <v>0.91943460789541587</v>
      </c>
      <c r="C26" s="105">
        <v>0.90509920333708715</v>
      </c>
      <c r="D26" s="105">
        <v>0.88626966556673814</v>
      </c>
      <c r="E26" s="105">
        <v>0.88472330549823186</v>
      </c>
      <c r="F26" s="155">
        <v>0.88821365012888631</v>
      </c>
      <c r="G26" s="155">
        <v>0.90410484708080852</v>
      </c>
      <c r="H26" s="155">
        <v>0.94973857930970074</v>
      </c>
      <c r="I26" s="155">
        <v>0.98669593262856115</v>
      </c>
      <c r="J26" s="155">
        <v>1.0197687926443937</v>
      </c>
      <c r="K26" s="155">
        <v>1.1025205012828354</v>
      </c>
      <c r="L26" s="155">
        <v>1.301704673384916</v>
      </c>
    </row>
    <row r="27" spans="1:16" ht="39.75" customHeight="1">
      <c r="A27" s="625" t="s">
        <v>256</v>
      </c>
      <c r="B27" s="625"/>
      <c r="C27" s="625"/>
      <c r="D27" s="625"/>
      <c r="E27" s="625"/>
      <c r="F27" s="625"/>
      <c r="G27" s="625"/>
      <c r="H27" s="625"/>
      <c r="I27" s="625"/>
      <c r="J27" s="625"/>
      <c r="K27" s="625"/>
      <c r="L27" s="625"/>
    </row>
    <row r="28" spans="1:16" ht="15" customHeight="1">
      <c r="A28" s="126" t="s">
        <v>138</v>
      </c>
      <c r="B28" s="110"/>
      <c r="C28" s="110"/>
      <c r="D28" s="110"/>
      <c r="E28" s="110"/>
      <c r="F28" s="110"/>
      <c r="G28" s="110"/>
      <c r="H28" s="110"/>
      <c r="I28" s="110"/>
      <c r="J28" s="110"/>
      <c r="K28" s="110"/>
      <c r="L28" s="110"/>
    </row>
    <row r="29" spans="1:16" ht="25.5" customHeight="1">
      <c r="A29" s="626" t="s">
        <v>129</v>
      </c>
      <c r="B29" s="626"/>
      <c r="C29" s="626"/>
      <c r="D29" s="626"/>
      <c r="E29" s="626"/>
      <c r="F29" s="626"/>
      <c r="G29" s="626"/>
      <c r="H29" s="626"/>
      <c r="I29" s="626"/>
      <c r="J29" s="626"/>
      <c r="K29" s="626"/>
      <c r="L29" s="626"/>
    </row>
  </sheetData>
  <mergeCells count="3">
    <mergeCell ref="A27:L27"/>
    <mergeCell ref="A29:L29"/>
    <mergeCell ref="A1:L1"/>
  </mergeCells>
  <conditionalFormatting sqref="A1 A29 M18 M1:N4 B28:D28 A30:D1048576 A2:D4 A17:J26 A10:J13 A6:K6 A15:D16 A8:J8 A5:L5 A7:L7 A9:L9 A14:L14 O1:XFD14 N5:N14 O18:XFD19 M15:XFD17 M27:XFD1048576 O23:XFD26 P20:XFD22 M23:M26">
    <cfRule type="cellIs" dxfId="456" priority="45" operator="equal">
      <formula>0</formula>
    </cfRule>
  </conditionalFormatting>
  <conditionalFormatting sqref="A28">
    <cfRule type="cellIs" dxfId="455" priority="44" operator="equal">
      <formula>0</formula>
    </cfRule>
  </conditionalFormatting>
  <conditionalFormatting sqref="E28 E30:E1048576 E2:E4 E15:E16">
    <cfRule type="cellIs" dxfId="454" priority="43" operator="equal">
      <formula>0</formula>
    </cfRule>
  </conditionalFormatting>
  <conditionalFormatting sqref="F28 F30:F1048576 F2:F4 F15:F16 G4:H4">
    <cfRule type="cellIs" dxfId="453" priority="40" operator="equal">
      <formula>0</formula>
    </cfRule>
  </conditionalFormatting>
  <conditionalFormatting sqref="H28 H30:H1048576 H2:H3 H15:H16">
    <cfRule type="cellIs" dxfId="452" priority="34" operator="equal">
      <formula>0</formula>
    </cfRule>
  </conditionalFormatting>
  <conditionalFormatting sqref="A27">
    <cfRule type="cellIs" dxfId="451" priority="29" operator="equal">
      <formula>0</formula>
    </cfRule>
    <cfRule type="cellIs" priority="30" operator="equal">
      <formula>0</formula>
    </cfRule>
  </conditionalFormatting>
  <conditionalFormatting sqref="G28 G30:G1048576 G2:G3 G15:G16">
    <cfRule type="cellIs" dxfId="450" priority="27" operator="equal">
      <formula>0</formula>
    </cfRule>
  </conditionalFormatting>
  <conditionalFormatting sqref="I4">
    <cfRule type="cellIs" dxfId="449" priority="25" operator="equal">
      <formula>0</formula>
    </cfRule>
  </conditionalFormatting>
  <conditionalFormatting sqref="I28 I30:I1048576 I2:I3 I15:I16">
    <cfRule type="cellIs" dxfId="448" priority="23" operator="equal">
      <formula>0</formula>
    </cfRule>
  </conditionalFormatting>
  <conditionalFormatting sqref="J4">
    <cfRule type="cellIs" dxfId="447" priority="21" operator="equal">
      <formula>0</formula>
    </cfRule>
  </conditionalFormatting>
  <conditionalFormatting sqref="J28 J30:J1048576 J2:J3 J15:J16">
    <cfRule type="cellIs" dxfId="446" priority="19" operator="equal">
      <formula>0</formula>
    </cfRule>
  </conditionalFormatting>
  <conditionalFormatting sqref="N23:N26">
    <cfRule type="cellIs" dxfId="445" priority="16" operator="equal">
      <formula>0</formula>
    </cfRule>
    <cfRule type="cellIs" priority="17" operator="equal">
      <formula>0</formula>
    </cfRule>
  </conditionalFormatting>
  <conditionalFormatting sqref="K10:K13 K17:K26">
    <cfRule type="cellIs" dxfId="444" priority="14" operator="equal">
      <formula>0</formula>
    </cfRule>
  </conditionalFormatting>
  <conditionalFormatting sqref="K4">
    <cfRule type="cellIs" dxfId="443" priority="13" operator="equal">
      <formula>0</formula>
    </cfRule>
  </conditionalFormatting>
  <conditionalFormatting sqref="K28 K30:K1048576 K2:K3 K15:K16">
    <cfRule type="cellIs" dxfId="442" priority="11" operator="equal">
      <formula>0</formula>
    </cfRule>
  </conditionalFormatting>
  <conditionalFormatting sqref="K8">
    <cfRule type="cellIs" dxfId="441" priority="10" operator="equal">
      <formula>0</formula>
    </cfRule>
  </conditionalFormatting>
  <conditionalFormatting sqref="L6">
    <cfRule type="cellIs" dxfId="440" priority="7" operator="equal">
      <formula>0</formula>
    </cfRule>
  </conditionalFormatting>
  <conditionalFormatting sqref="L10:L13 L17:L26">
    <cfRule type="cellIs" dxfId="439" priority="6" operator="equal">
      <formula>0</formula>
    </cfRule>
  </conditionalFormatting>
  <conditionalFormatting sqref="L4">
    <cfRule type="cellIs" dxfId="438" priority="5" operator="equal">
      <formula>0</formula>
    </cfRule>
  </conditionalFormatting>
  <conditionalFormatting sqref="L28 L30:L1048576 L2:L3 L15:L16">
    <cfRule type="cellIs" dxfId="437" priority="4" operator="equal">
      <formula>0</formula>
    </cfRule>
  </conditionalFormatting>
  <conditionalFormatting sqref="L8">
    <cfRule type="cellIs" dxfId="436" priority="3" operator="equal">
      <formula>0</formula>
    </cfRule>
  </conditionalFormatting>
  <conditionalFormatting sqref="O19:O21">
    <cfRule type="cellIs" dxfId="435" priority="1" operator="equal">
      <formula>0</formula>
    </cfRule>
    <cfRule type="cellIs" priority="2"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38">
    <tabColor rgb="FFA50021"/>
    <pageSetUpPr fitToPage="1"/>
  </sheetPr>
  <dimension ref="A1:X31"/>
  <sheetViews>
    <sheetView showGridLines="0" workbookViewId="0">
      <selection activeCell="C4" sqref="C4:M43"/>
    </sheetView>
  </sheetViews>
  <sheetFormatPr defaultColWidth="9.140625" defaultRowHeight="11.25"/>
  <cols>
    <col min="1" max="1" width="17.140625" style="8" customWidth="1"/>
    <col min="2" max="12" width="7.5703125" style="8" customWidth="1"/>
    <col min="13" max="13" width="10" style="8" bestFit="1" customWidth="1"/>
    <col min="14" max="16384" width="9.140625" style="8"/>
  </cols>
  <sheetData>
    <row r="1" spans="1:13" s="34" customFormat="1" ht="28.5" customHeight="1">
      <c r="A1" s="598" t="s">
        <v>261</v>
      </c>
      <c r="B1" s="598"/>
      <c r="C1" s="598"/>
      <c r="D1" s="598"/>
      <c r="E1" s="598"/>
      <c r="F1" s="598"/>
      <c r="G1" s="598"/>
      <c r="H1" s="598"/>
      <c r="I1" s="598"/>
      <c r="J1" s="598"/>
      <c r="K1" s="598"/>
      <c r="L1" s="598"/>
    </row>
    <row r="2" spans="1:13" s="36" customFormat="1" ht="15" customHeight="1">
      <c r="A2" s="103"/>
      <c r="B2" s="103"/>
      <c r="C2" s="103"/>
      <c r="D2" s="103"/>
      <c r="E2" s="103"/>
      <c r="F2" s="103"/>
      <c r="G2" s="103"/>
      <c r="H2" s="103"/>
      <c r="I2" s="103"/>
      <c r="J2" s="103"/>
      <c r="K2" s="103"/>
      <c r="L2" s="103"/>
      <c r="M2" s="34"/>
    </row>
    <row r="3" spans="1:13" s="36" customFormat="1" ht="14.25" customHeight="1">
      <c r="A3" s="103" t="s">
        <v>14</v>
      </c>
      <c r="B3" s="212"/>
      <c r="C3" s="212"/>
      <c r="D3" s="212"/>
      <c r="E3" s="212"/>
      <c r="F3" s="212"/>
      <c r="G3" s="212"/>
      <c r="H3" s="103"/>
      <c r="I3" s="103"/>
      <c r="J3" s="103"/>
      <c r="K3" s="103"/>
      <c r="L3" s="103"/>
      <c r="M3" s="34"/>
    </row>
    <row r="4" spans="1:13" s="39" customFormat="1" ht="28.5" customHeight="1" thickBot="1">
      <c r="A4" s="84"/>
      <c r="B4" s="116">
        <v>2012</v>
      </c>
      <c r="C4" s="116">
        <v>2013</v>
      </c>
      <c r="D4" s="116">
        <v>2014</v>
      </c>
      <c r="E4" s="116">
        <v>2015</v>
      </c>
      <c r="F4" s="116">
        <v>2016</v>
      </c>
      <c r="G4" s="116">
        <v>2017</v>
      </c>
      <c r="H4" s="116">
        <v>2018</v>
      </c>
      <c r="I4" s="116">
        <v>2019</v>
      </c>
      <c r="J4" s="116">
        <v>2020</v>
      </c>
      <c r="K4" s="116">
        <v>2021</v>
      </c>
      <c r="L4" s="116">
        <v>2022</v>
      </c>
      <c r="M4" s="34"/>
    </row>
    <row r="5" spans="1:13" s="62" customFormat="1" ht="29.25" customHeight="1" thickTop="1">
      <c r="A5" s="202" t="s">
        <v>124</v>
      </c>
      <c r="B5" s="285">
        <v>1910957</v>
      </c>
      <c r="C5" s="285">
        <v>1890511</v>
      </c>
      <c r="D5" s="285">
        <v>1928307</v>
      </c>
      <c r="E5" s="285">
        <v>1991131</v>
      </c>
      <c r="F5" s="286">
        <v>2054911</v>
      </c>
      <c r="G5" s="286">
        <v>2131943</v>
      </c>
      <c r="H5" s="286">
        <v>2205449</v>
      </c>
      <c r="I5" s="286">
        <v>2232400</v>
      </c>
      <c r="J5" s="286">
        <v>2164118</v>
      </c>
      <c r="K5" s="286">
        <v>2200594</v>
      </c>
      <c r="L5" s="286">
        <v>2376115</v>
      </c>
      <c r="M5" s="34"/>
    </row>
    <row r="6" spans="1:13" s="102" customFormat="1" ht="29.25" customHeight="1">
      <c r="A6" s="208" t="s">
        <v>121</v>
      </c>
      <c r="B6" s="285">
        <v>783.62</v>
      </c>
      <c r="C6" s="285">
        <v>785.45</v>
      </c>
      <c r="D6" s="285">
        <v>786.99</v>
      </c>
      <c r="E6" s="285">
        <v>790.03</v>
      </c>
      <c r="F6" s="286">
        <v>800</v>
      </c>
      <c r="G6" s="286">
        <v>822.95</v>
      </c>
      <c r="H6" s="286">
        <v>854.8</v>
      </c>
      <c r="I6" s="286">
        <v>892.01</v>
      </c>
      <c r="J6" s="286">
        <v>926.14</v>
      </c>
      <c r="K6" s="286">
        <v>962.2</v>
      </c>
      <c r="L6" s="286">
        <v>1017.5</v>
      </c>
      <c r="M6" s="508">
        <f>+(L6/B6-1)*100</f>
        <v>29.846098874454462</v>
      </c>
    </row>
    <row r="7" spans="1:13" s="102" customFormat="1" ht="20.25" customHeight="1">
      <c r="A7" s="46" t="s">
        <v>122</v>
      </c>
      <c r="B7" s="259"/>
      <c r="C7" s="259"/>
      <c r="D7" s="259"/>
      <c r="E7" s="259"/>
      <c r="F7" s="260"/>
      <c r="G7" s="260"/>
      <c r="H7" s="260"/>
      <c r="I7" s="260"/>
      <c r="J7" s="260"/>
      <c r="K7" s="260"/>
      <c r="L7" s="260"/>
      <c r="M7" s="34"/>
    </row>
    <row r="8" spans="1:13" s="102" customFormat="1" ht="19.5" customHeight="1">
      <c r="A8" s="48" t="s">
        <v>106</v>
      </c>
      <c r="B8" s="259">
        <v>502.07716596457396</v>
      </c>
      <c r="C8" s="259">
        <v>502.40683714977052</v>
      </c>
      <c r="D8" s="259">
        <v>517.55081553700325</v>
      </c>
      <c r="E8" s="259">
        <v>518.95086292709823</v>
      </c>
      <c r="F8" s="260">
        <v>541.0921528923551</v>
      </c>
      <c r="G8" s="260">
        <v>568.88173063030297</v>
      </c>
      <c r="H8" s="260">
        <v>593.05121495030642</v>
      </c>
      <c r="I8" s="260">
        <v>615.49473382906092</v>
      </c>
      <c r="J8" s="260">
        <v>651.89250749731025</v>
      </c>
      <c r="K8" s="260">
        <v>684.62343435169566</v>
      </c>
      <c r="L8" s="260">
        <v>726.78693402241106</v>
      </c>
      <c r="M8" s="330"/>
    </row>
    <row r="9" spans="1:13" s="102" customFormat="1" ht="14.25" customHeight="1">
      <c r="A9" s="48" t="s">
        <v>107</v>
      </c>
      <c r="B9" s="259">
        <v>565.5751362665934</v>
      </c>
      <c r="C9" s="259">
        <v>565.7498561763756</v>
      </c>
      <c r="D9" s="259">
        <v>580.52165849888434</v>
      </c>
      <c r="E9" s="259">
        <v>581.94133065143672</v>
      </c>
      <c r="F9" s="260">
        <v>600.67778729967426</v>
      </c>
      <c r="G9" s="260">
        <v>630.59844048145249</v>
      </c>
      <c r="H9" s="260">
        <v>660.07862068964494</v>
      </c>
      <c r="I9" s="260">
        <v>687.03886328615431</v>
      </c>
      <c r="J9" s="260">
        <v>720.80295843114152</v>
      </c>
      <c r="K9" s="260">
        <v>751.72831558808321</v>
      </c>
      <c r="L9" s="260">
        <v>795.5286698062497</v>
      </c>
      <c r="M9" s="34"/>
    </row>
    <row r="10" spans="1:13" s="102" customFormat="1" ht="14.25" customHeight="1">
      <c r="A10" s="48" t="s">
        <v>108</v>
      </c>
      <c r="B10" s="259">
        <v>613.51493469250943</v>
      </c>
      <c r="C10" s="259">
        <v>612.33317147223192</v>
      </c>
      <c r="D10" s="259">
        <v>622.01014468627716</v>
      </c>
      <c r="E10" s="259">
        <v>622.58742794293528</v>
      </c>
      <c r="F10" s="260">
        <v>637.88615389480708</v>
      </c>
      <c r="G10" s="260">
        <v>666.63327129280469</v>
      </c>
      <c r="H10" s="260">
        <v>697.54806048651801</v>
      </c>
      <c r="I10" s="260">
        <v>726.1534825300223</v>
      </c>
      <c r="J10" s="260">
        <v>756.501572509835</v>
      </c>
      <c r="K10" s="260">
        <v>787.93228328638781</v>
      </c>
      <c r="L10" s="260">
        <v>832.19218908214884</v>
      </c>
      <c r="M10" s="34"/>
    </row>
    <row r="11" spans="1:13" s="102" customFormat="1" ht="14.25" customHeight="1">
      <c r="A11" s="48" t="s">
        <v>109</v>
      </c>
      <c r="B11" s="259">
        <v>671.12213380779281</v>
      </c>
      <c r="C11" s="259">
        <v>668.73936525064596</v>
      </c>
      <c r="D11" s="259">
        <v>673.50818264791474</v>
      </c>
      <c r="E11" s="259">
        <v>675.89974572228186</v>
      </c>
      <c r="F11" s="260">
        <v>687.11138312627475</v>
      </c>
      <c r="G11" s="260">
        <v>713.33585998732872</v>
      </c>
      <c r="H11" s="260">
        <v>744.93226588678726</v>
      </c>
      <c r="I11" s="260">
        <v>776.90617357999565</v>
      </c>
      <c r="J11" s="260">
        <v>809.55486234588795</v>
      </c>
      <c r="K11" s="260">
        <v>843.68254668066811</v>
      </c>
      <c r="L11" s="260">
        <v>892.08218406475885</v>
      </c>
    </row>
    <row r="12" spans="1:13" s="102" customFormat="1" ht="14.25" customHeight="1">
      <c r="A12" s="48" t="s">
        <v>110</v>
      </c>
      <c r="B12" s="259">
        <v>743.86513124293003</v>
      </c>
      <c r="C12" s="259">
        <v>742.51328868929033</v>
      </c>
      <c r="D12" s="259">
        <v>744.94285374240394</v>
      </c>
      <c r="E12" s="259">
        <v>748.81502242445231</v>
      </c>
      <c r="F12" s="260">
        <v>758.29326067808086</v>
      </c>
      <c r="G12" s="260">
        <v>782.49168771165557</v>
      </c>
      <c r="H12" s="260">
        <v>814.41363286402702</v>
      </c>
      <c r="I12" s="260">
        <v>849.91984268052602</v>
      </c>
      <c r="J12" s="260">
        <v>884.64735596917114</v>
      </c>
      <c r="K12" s="260">
        <v>918.7463113528612</v>
      </c>
      <c r="L12" s="260">
        <v>971.89205958477703</v>
      </c>
    </row>
    <row r="13" spans="1:13" s="102" customFormat="1" ht="14.25" customHeight="1">
      <c r="A13" s="48" t="s">
        <v>111</v>
      </c>
      <c r="B13" s="259">
        <v>836.4893676476803</v>
      </c>
      <c r="C13" s="259">
        <v>837.13654532374778</v>
      </c>
      <c r="D13" s="259">
        <v>836.57347739729801</v>
      </c>
      <c r="E13" s="259">
        <v>841.1823984370709</v>
      </c>
      <c r="F13" s="260">
        <v>849.5100298796724</v>
      </c>
      <c r="G13" s="260">
        <v>872.86998367682884</v>
      </c>
      <c r="H13" s="260">
        <v>905.45956163141398</v>
      </c>
      <c r="I13" s="260">
        <v>945.29606172729177</v>
      </c>
      <c r="J13" s="260">
        <v>982.04350097730719</v>
      </c>
      <c r="K13" s="260">
        <v>1019.553943106434</v>
      </c>
      <c r="L13" s="260">
        <v>1077.810409028147</v>
      </c>
    </row>
    <row r="14" spans="1:13" s="102" customFormat="1" ht="14.25" customHeight="1">
      <c r="A14" s="48" t="s">
        <v>112</v>
      </c>
      <c r="B14" s="259">
        <v>975.82479599151748</v>
      </c>
      <c r="C14" s="259">
        <v>975.8054842873039</v>
      </c>
      <c r="D14" s="259">
        <v>971.93927246797557</v>
      </c>
      <c r="E14" s="259">
        <v>976.81670207370189</v>
      </c>
      <c r="F14" s="260">
        <v>983.8021989770748</v>
      </c>
      <c r="G14" s="260">
        <v>1007.140569994583</v>
      </c>
      <c r="H14" s="260">
        <v>1044.1394651885271</v>
      </c>
      <c r="I14" s="260">
        <v>1088.517636893034</v>
      </c>
      <c r="J14" s="260">
        <v>1132.4828899968802</v>
      </c>
      <c r="K14" s="260">
        <v>1173.7457060606921</v>
      </c>
      <c r="L14" s="260">
        <v>1239.4099067804125</v>
      </c>
    </row>
    <row r="15" spans="1:13" s="102" customFormat="1" ht="14.25" customHeight="1">
      <c r="A15" s="48" t="s">
        <v>113</v>
      </c>
      <c r="B15" s="259">
        <v>1202.7005390484267</v>
      </c>
      <c r="C15" s="259">
        <v>1201.6263415691892</v>
      </c>
      <c r="D15" s="259">
        <v>1195.0777668009587</v>
      </c>
      <c r="E15" s="259">
        <v>1199.4912913772368</v>
      </c>
      <c r="F15" s="260">
        <v>1202.9892980227676</v>
      </c>
      <c r="G15" s="260">
        <v>1225.676024606707</v>
      </c>
      <c r="H15" s="260">
        <v>1266.6447372645009</v>
      </c>
      <c r="I15" s="260">
        <v>1314.5922285432748</v>
      </c>
      <c r="J15" s="260">
        <v>1363.3365835073832</v>
      </c>
      <c r="K15" s="260">
        <v>1407.6698597200987</v>
      </c>
      <c r="L15" s="260">
        <v>1484.4414834267652</v>
      </c>
    </row>
    <row r="16" spans="1:13" s="102" customFormat="1" ht="14.25" customHeight="1">
      <c r="A16" s="48" t="s">
        <v>114</v>
      </c>
      <c r="B16" s="259">
        <v>1607.4547352116317</v>
      </c>
      <c r="C16" s="259">
        <v>1606.653907940198</v>
      </c>
      <c r="D16" s="259">
        <v>1596.1907082886196</v>
      </c>
      <c r="E16" s="259">
        <v>1593.9948363994288</v>
      </c>
      <c r="F16" s="260">
        <v>1597.2320548345199</v>
      </c>
      <c r="G16" s="260">
        <v>1617.012724232394</v>
      </c>
      <c r="H16" s="260">
        <v>1663.9378675553935</v>
      </c>
      <c r="I16" s="260">
        <v>1717.1863239114855</v>
      </c>
      <c r="J16" s="260">
        <v>1773.488763007615</v>
      </c>
      <c r="K16" s="260">
        <v>1827.6018119231919</v>
      </c>
      <c r="L16" s="260">
        <v>1929.9838421200914</v>
      </c>
    </row>
    <row r="17" spans="1:24" s="102" customFormat="1" ht="14.25" customHeight="1">
      <c r="A17" s="48" t="s">
        <v>115</v>
      </c>
      <c r="B17" s="259">
        <v>3237.2320345794701</v>
      </c>
      <c r="C17" s="259">
        <v>3225.2026519687684</v>
      </c>
      <c r="D17" s="259">
        <v>3193.7647381385727</v>
      </c>
      <c r="E17" s="259">
        <v>3206.8831967113601</v>
      </c>
      <c r="F17" s="260">
        <v>3219.9590582602186</v>
      </c>
      <c r="G17" s="260">
        <v>3248.7812157883491</v>
      </c>
      <c r="H17" s="260">
        <v>3312.3170080029313</v>
      </c>
      <c r="I17" s="260">
        <v>3378.2847015767798</v>
      </c>
      <c r="J17" s="260">
        <v>3432.7647053305991</v>
      </c>
      <c r="K17" s="260">
        <v>3525.7980851130819</v>
      </c>
      <c r="L17" s="260">
        <v>3729.8200154454453</v>
      </c>
    </row>
    <row r="18" spans="1:24" s="102" customFormat="1" ht="29.25" customHeight="1">
      <c r="A18" s="205" t="s">
        <v>125</v>
      </c>
      <c r="B18" s="80">
        <v>522.41333333333353</v>
      </c>
      <c r="C18" s="80">
        <v>523.63333333333355</v>
      </c>
      <c r="D18" s="80">
        <v>524.6600000000002</v>
      </c>
      <c r="E18" s="80">
        <v>526.68666666666684</v>
      </c>
      <c r="F18" s="204">
        <v>533.3333333333336</v>
      </c>
      <c r="G18" s="204">
        <v>548.63333333333355</v>
      </c>
      <c r="H18" s="204">
        <v>569.8666666666669</v>
      </c>
      <c r="I18" s="204">
        <v>594.67333333333363</v>
      </c>
      <c r="J18" s="204">
        <v>617.42666666666696</v>
      </c>
      <c r="K18" s="204">
        <v>641.46666666666704</v>
      </c>
      <c r="L18" s="204">
        <v>678.3333333333336</v>
      </c>
    </row>
    <row r="19" spans="1:24" s="102" customFormat="1" ht="29.25" customHeight="1">
      <c r="A19" s="203" t="s">
        <v>123</v>
      </c>
      <c r="B19" s="206">
        <v>7.5149780973616878</v>
      </c>
      <c r="C19" s="206">
        <v>7.5899584821246746</v>
      </c>
      <c r="D19" s="206">
        <v>6.7784331021979378</v>
      </c>
      <c r="E19" s="206">
        <v>6.7010658766299152</v>
      </c>
      <c r="F19" s="206">
        <v>5.8595725070331515</v>
      </c>
      <c r="G19" s="206">
        <v>0.18870110504830601</v>
      </c>
      <c r="H19" s="206">
        <v>0.15593196668796241</v>
      </c>
      <c r="I19" s="206">
        <v>0.17702920623544169</v>
      </c>
      <c r="J19" s="206">
        <v>0.13543623776522351</v>
      </c>
      <c r="K19" s="206">
        <v>0.10733465600651461</v>
      </c>
      <c r="L19" s="206">
        <v>0.1091277147781147</v>
      </c>
    </row>
    <row r="20" spans="1:24" s="102" customFormat="1" ht="18.75" customHeight="1">
      <c r="A20" s="48" t="s">
        <v>116</v>
      </c>
      <c r="B20" s="114">
        <v>5.3068902514943241</v>
      </c>
      <c r="C20" s="114">
        <v>5.4625410099206819</v>
      </c>
      <c r="D20" s="114">
        <v>5.0116386066610552</v>
      </c>
      <c r="E20" s="114">
        <v>4.9913920624282868</v>
      </c>
      <c r="F20" s="114">
        <v>4.3825424272112032</v>
      </c>
      <c r="G20" s="114">
        <v>9.97587431783898E-2</v>
      </c>
      <c r="H20" s="114">
        <v>8.4876832710097258E-2</v>
      </c>
      <c r="I20" s="114">
        <v>9.2477839402294204E-2</v>
      </c>
      <c r="J20" s="114">
        <v>7.2591368700993461E-2</v>
      </c>
      <c r="K20" s="114">
        <v>6.9531474441978686E-2</v>
      </c>
      <c r="L20" s="114">
        <v>7.5603829772818959E-2</v>
      </c>
    </row>
    <row r="21" spans="1:24" s="102" customFormat="1" ht="14.25" customHeight="1">
      <c r="A21" s="49" t="s">
        <v>117</v>
      </c>
      <c r="B21" s="115">
        <v>10.129962165807491</v>
      </c>
      <c r="C21" s="115">
        <v>10.091769518431597</v>
      </c>
      <c r="D21" s="115">
        <v>8.8658933092592473</v>
      </c>
      <c r="E21" s="115">
        <v>8.6985072156326364</v>
      </c>
      <c r="F21" s="115">
        <v>7.5861333761159182</v>
      </c>
      <c r="G21" s="115">
        <v>0.29381153693828099</v>
      </c>
      <c r="H21" s="115">
        <v>0.24064075446492469</v>
      </c>
      <c r="I21" s="115">
        <v>0.27847549937870203</v>
      </c>
      <c r="J21" s="115">
        <v>0.21184683545470276</v>
      </c>
      <c r="K21" s="115">
        <v>0.15274597653893823</v>
      </c>
      <c r="L21" s="115">
        <v>0.1495489858796423</v>
      </c>
    </row>
    <row r="22" spans="1:24" s="41" customFormat="1" ht="15" customHeight="1">
      <c r="A22" s="126" t="s">
        <v>138</v>
      </c>
      <c r="B22" s="197"/>
      <c r="C22" s="197"/>
      <c r="D22" s="100"/>
      <c r="E22" s="100"/>
      <c r="F22" s="100"/>
      <c r="G22" s="100"/>
      <c r="H22" s="227"/>
      <c r="I22" s="227"/>
      <c r="J22" s="227"/>
      <c r="K22" s="227"/>
      <c r="L22" s="227"/>
    </row>
    <row r="23" spans="1:24" ht="11.25" customHeight="1">
      <c r="A23" s="624" t="s">
        <v>244</v>
      </c>
      <c r="B23" s="624"/>
      <c r="C23" s="624"/>
      <c r="D23" s="624"/>
      <c r="E23" s="624"/>
      <c r="F23" s="624"/>
      <c r="G23" s="624"/>
      <c r="H23" s="624"/>
      <c r="I23" s="624"/>
      <c r="J23" s="624"/>
      <c r="K23" s="624"/>
      <c r="L23" s="624"/>
    </row>
    <row r="24" spans="1:24" ht="11.25" customHeight="1">
      <c r="A24" s="624" t="s">
        <v>143</v>
      </c>
      <c r="B24" s="624"/>
      <c r="C24" s="624"/>
      <c r="D24" s="624"/>
      <c r="E24" s="624"/>
      <c r="F24" s="624"/>
      <c r="G24" s="624"/>
      <c r="H24" s="624"/>
      <c r="I24" s="624"/>
      <c r="J24" s="624"/>
      <c r="K24" s="624"/>
      <c r="L24" s="624"/>
    </row>
    <row r="25" spans="1:24">
      <c r="D25" s="215"/>
      <c r="E25" s="215"/>
      <c r="F25" s="215"/>
      <c r="G25" s="215"/>
      <c r="H25" s="102"/>
      <c r="I25" s="102"/>
      <c r="J25" s="102"/>
      <c r="K25" s="102"/>
      <c r="L25" s="102"/>
    </row>
    <row r="26" spans="1:24">
      <c r="D26" s="215"/>
      <c r="E26" s="215"/>
      <c r="F26" s="215"/>
      <c r="G26" s="215"/>
    </row>
    <row r="28" spans="1:24">
      <c r="N28" s="432"/>
      <c r="O28" s="432"/>
      <c r="P28" s="432"/>
      <c r="Q28" s="432"/>
      <c r="R28" s="432"/>
      <c r="S28" s="432"/>
      <c r="T28" s="432"/>
      <c r="U28" s="432"/>
      <c r="V28" s="432"/>
      <c r="W28" s="432"/>
      <c r="X28" s="432"/>
    </row>
    <row r="29" spans="1:24">
      <c r="M29" s="203"/>
      <c r="N29" s="206"/>
      <c r="O29" s="206"/>
      <c r="P29" s="206"/>
      <c r="Q29" s="206"/>
      <c r="R29" s="206"/>
      <c r="S29" s="206"/>
      <c r="T29" s="206"/>
      <c r="U29" s="206"/>
      <c r="V29" s="206"/>
      <c r="W29" s="206"/>
      <c r="X29" s="206"/>
    </row>
    <row r="30" spans="1:24">
      <c r="M30" s="48"/>
      <c r="N30" s="114"/>
      <c r="O30" s="114"/>
      <c r="P30" s="114"/>
      <c r="Q30" s="114"/>
      <c r="R30" s="114"/>
      <c r="S30" s="114"/>
      <c r="T30" s="114"/>
      <c r="U30" s="114"/>
      <c r="V30" s="114"/>
      <c r="W30" s="114"/>
      <c r="X30" s="114"/>
    </row>
    <row r="31" spans="1:24">
      <c r="M31" s="48"/>
      <c r="N31" s="114"/>
      <c r="O31" s="114"/>
      <c r="P31" s="114"/>
      <c r="Q31" s="114"/>
      <c r="R31" s="114"/>
      <c r="S31" s="114"/>
      <c r="T31" s="114"/>
      <c r="U31" s="114"/>
      <c r="V31" s="114"/>
      <c r="W31" s="114"/>
      <c r="X31" s="114"/>
    </row>
  </sheetData>
  <mergeCells count="3">
    <mergeCell ref="A23:L23"/>
    <mergeCell ref="A24:L24"/>
    <mergeCell ref="A1:L1"/>
  </mergeCells>
  <conditionalFormatting sqref="A23:A24 A1:A21 H22 H2:H3 H25:H1048576 A25:D1048576 B2:C22 M1:XFD27 M32:XFD1048576 M28 Y28:XFD31">
    <cfRule type="cellIs" dxfId="434" priority="54" operator="equal">
      <formula>0</formula>
    </cfRule>
  </conditionalFormatting>
  <conditionalFormatting sqref="D2:D4">
    <cfRule type="cellIs" dxfId="433" priority="53" operator="equal">
      <formula>0</formula>
    </cfRule>
  </conditionalFormatting>
  <conditionalFormatting sqref="D5:D21">
    <cfRule type="cellIs" dxfId="432" priority="52" operator="equal">
      <formula>0</formula>
    </cfRule>
  </conditionalFormatting>
  <conditionalFormatting sqref="A22">
    <cfRule type="cellIs" dxfId="431" priority="51" operator="equal">
      <formula>0</formula>
    </cfRule>
  </conditionalFormatting>
  <conditionalFormatting sqref="F25:F1048576">
    <cfRule type="cellIs" dxfId="430" priority="50" operator="equal">
      <formula>0</formula>
    </cfRule>
  </conditionalFormatting>
  <conditionalFormatting sqref="F2:F4">
    <cfRule type="cellIs" dxfId="429" priority="49" operator="equal">
      <formula>0</formula>
    </cfRule>
  </conditionalFormatting>
  <conditionalFormatting sqref="F5">
    <cfRule type="cellIs" dxfId="428" priority="47" operator="equal">
      <formula>0</formula>
    </cfRule>
  </conditionalFormatting>
  <conditionalFormatting sqref="F6:F21">
    <cfRule type="cellIs" dxfId="427" priority="45" operator="equal">
      <formula>0</formula>
    </cfRule>
  </conditionalFormatting>
  <conditionalFormatting sqref="E25:E1048576">
    <cfRule type="cellIs" dxfId="426" priority="44" operator="equal">
      <formula>0</formula>
    </cfRule>
  </conditionalFormatting>
  <conditionalFormatting sqref="E2:E4">
    <cfRule type="cellIs" dxfId="425" priority="43" operator="equal">
      <formula>0</formula>
    </cfRule>
  </conditionalFormatting>
  <conditionalFormatting sqref="E5">
    <cfRule type="cellIs" dxfId="424" priority="42" operator="equal">
      <formula>0</formula>
    </cfRule>
  </conditionalFormatting>
  <conditionalFormatting sqref="E6:E21">
    <cfRule type="cellIs" dxfId="423" priority="41" operator="equal">
      <formula>0</formula>
    </cfRule>
  </conditionalFormatting>
  <conditionalFormatting sqref="G6:H17 G19:H21 G18">
    <cfRule type="cellIs" dxfId="422" priority="37" operator="equal">
      <formula>0</formula>
    </cfRule>
  </conditionalFormatting>
  <conditionalFormatting sqref="G25:G1048576">
    <cfRule type="cellIs" dxfId="421" priority="40" operator="equal">
      <formula>0</formula>
    </cfRule>
  </conditionalFormatting>
  <conditionalFormatting sqref="G2:G4 H4">
    <cfRule type="cellIs" dxfId="420" priority="39" operator="equal">
      <formula>0</formula>
    </cfRule>
  </conditionalFormatting>
  <conditionalFormatting sqref="G5:H5">
    <cfRule type="cellIs" dxfId="419" priority="38" operator="equal">
      <formula>0</formula>
    </cfRule>
  </conditionalFormatting>
  <conditionalFormatting sqref="I22 I2:I3 I25:I1048576">
    <cfRule type="cellIs" dxfId="418" priority="36" operator="equal">
      <formula>0</formula>
    </cfRule>
  </conditionalFormatting>
  <conditionalFormatting sqref="I6:I21 H18">
    <cfRule type="cellIs" dxfId="417" priority="33" operator="equal">
      <formula>0</formula>
    </cfRule>
  </conditionalFormatting>
  <conditionalFormatting sqref="I4">
    <cfRule type="cellIs" dxfId="416" priority="35" operator="equal">
      <formula>0</formula>
    </cfRule>
  </conditionalFormatting>
  <conditionalFormatting sqref="I5">
    <cfRule type="cellIs" dxfId="415" priority="34" operator="equal">
      <formula>0</formula>
    </cfRule>
  </conditionalFormatting>
  <conditionalFormatting sqref="J22 J2:J3 J25:J1048576">
    <cfRule type="cellIs" dxfId="414" priority="32" operator="equal">
      <formula>0</formula>
    </cfRule>
  </conditionalFormatting>
  <conditionalFormatting sqref="J6:J21">
    <cfRule type="cellIs" dxfId="413" priority="29" operator="equal">
      <formula>0</formula>
    </cfRule>
  </conditionalFormatting>
  <conditionalFormatting sqref="J4">
    <cfRule type="cellIs" dxfId="412" priority="31" operator="equal">
      <formula>0</formula>
    </cfRule>
  </conditionalFormatting>
  <conditionalFormatting sqref="J5">
    <cfRule type="cellIs" dxfId="411" priority="30" operator="equal">
      <formula>0</formula>
    </cfRule>
  </conditionalFormatting>
  <conditionalFormatting sqref="K22 K2:K3 K25:K1048576">
    <cfRule type="cellIs" dxfId="410" priority="28" operator="equal">
      <formula>0</formula>
    </cfRule>
  </conditionalFormatting>
  <conditionalFormatting sqref="K6:K21">
    <cfRule type="cellIs" dxfId="409" priority="25" operator="equal">
      <formula>0</formula>
    </cfRule>
  </conditionalFormatting>
  <conditionalFormatting sqref="K4">
    <cfRule type="cellIs" dxfId="408" priority="27" operator="equal">
      <formula>0</formula>
    </cfRule>
  </conditionalFormatting>
  <conditionalFormatting sqref="K5">
    <cfRule type="cellIs" dxfId="407" priority="26" operator="equal">
      <formula>0</formula>
    </cfRule>
  </conditionalFormatting>
  <conditionalFormatting sqref="L22 L2:L3 L25:L1048576">
    <cfRule type="cellIs" dxfId="406" priority="22" operator="equal">
      <formula>0</formula>
    </cfRule>
  </conditionalFormatting>
  <conditionalFormatting sqref="L6:L21">
    <cfRule type="cellIs" dxfId="405" priority="19" operator="equal">
      <formula>0</formula>
    </cfRule>
  </conditionalFormatting>
  <conditionalFormatting sqref="L4">
    <cfRule type="cellIs" dxfId="404" priority="21" operator="equal">
      <formula>0</formula>
    </cfRule>
  </conditionalFormatting>
  <conditionalFormatting sqref="L5">
    <cfRule type="cellIs" dxfId="403" priority="20" operator="equal">
      <formula>0</formula>
    </cfRule>
  </conditionalFormatting>
  <conditionalFormatting sqref="N28:O28">
    <cfRule type="cellIs" dxfId="402" priority="18" operator="equal">
      <formula>0</formula>
    </cfRule>
  </conditionalFormatting>
  <conditionalFormatting sqref="P28">
    <cfRule type="cellIs" dxfId="401" priority="17" operator="equal">
      <formula>0</formula>
    </cfRule>
  </conditionalFormatting>
  <conditionalFormatting sqref="R28">
    <cfRule type="cellIs" dxfId="400" priority="16" operator="equal">
      <formula>0</formula>
    </cfRule>
  </conditionalFormatting>
  <conditionalFormatting sqref="Q28">
    <cfRule type="cellIs" dxfId="399" priority="15" operator="equal">
      <formula>0</formula>
    </cfRule>
  </conditionalFormatting>
  <conditionalFormatting sqref="S28:T28">
    <cfRule type="cellIs" dxfId="398" priority="14" operator="equal">
      <formula>0</formula>
    </cfRule>
  </conditionalFormatting>
  <conditionalFormatting sqref="U28">
    <cfRule type="cellIs" dxfId="397" priority="13" operator="equal">
      <formula>0</formula>
    </cfRule>
  </conditionalFormatting>
  <conditionalFormatting sqref="V28">
    <cfRule type="cellIs" dxfId="396" priority="12" operator="equal">
      <formula>0</formula>
    </cfRule>
  </conditionalFormatting>
  <conditionalFormatting sqref="W28">
    <cfRule type="cellIs" dxfId="395" priority="11" operator="equal">
      <formula>0</formula>
    </cfRule>
  </conditionalFormatting>
  <conditionalFormatting sqref="X28">
    <cfRule type="cellIs" dxfId="394" priority="10" operator="equal">
      <formula>0</formula>
    </cfRule>
  </conditionalFormatting>
  <conditionalFormatting sqref="M29:O31">
    <cfRule type="cellIs" dxfId="393" priority="9" operator="equal">
      <formula>0</formula>
    </cfRule>
  </conditionalFormatting>
  <conditionalFormatting sqref="P29:P31">
    <cfRule type="cellIs" dxfId="392" priority="8" operator="equal">
      <formula>0</formula>
    </cfRule>
  </conditionalFormatting>
  <conditionalFormatting sqref="R29:R31">
    <cfRule type="cellIs" dxfId="391" priority="7" operator="equal">
      <formula>0</formula>
    </cfRule>
  </conditionalFormatting>
  <conditionalFormatting sqref="Q29:Q31">
    <cfRule type="cellIs" dxfId="390" priority="6" operator="equal">
      <formula>0</formula>
    </cfRule>
  </conditionalFormatting>
  <conditionalFormatting sqref="S29:T31">
    <cfRule type="cellIs" dxfId="389" priority="5" operator="equal">
      <formula>0</formula>
    </cfRule>
  </conditionalFormatting>
  <conditionalFormatting sqref="U29:U31">
    <cfRule type="cellIs" dxfId="388" priority="4" operator="equal">
      <formula>0</formula>
    </cfRule>
  </conditionalFormatting>
  <conditionalFormatting sqref="V29:V31">
    <cfRule type="cellIs" dxfId="387" priority="3" operator="equal">
      <formula>0</formula>
    </cfRule>
  </conditionalFormatting>
  <conditionalFormatting sqref="W29:W31">
    <cfRule type="cellIs" dxfId="386" priority="2" operator="equal">
      <formula>0</formula>
    </cfRule>
  </conditionalFormatting>
  <conditionalFormatting sqref="X29:X31">
    <cfRule type="cellIs" dxfId="385"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29">
    <tabColor rgb="FFA50021"/>
    <pageSetUpPr fitToPage="1"/>
  </sheetPr>
  <dimension ref="A1:AB52"/>
  <sheetViews>
    <sheetView showGridLines="0" workbookViewId="0">
      <selection activeCell="C4" sqref="C4:M43"/>
    </sheetView>
  </sheetViews>
  <sheetFormatPr defaultColWidth="9.140625" defaultRowHeight="12.75"/>
  <cols>
    <col min="1" max="1" width="2.42578125" style="62" customWidth="1"/>
    <col min="2" max="2" width="29" style="62" customWidth="1"/>
    <col min="3" max="13" width="6.28515625" style="62" customWidth="1"/>
    <col min="14" max="15" width="9.140625" style="62"/>
    <col min="29" max="16384" width="9.140625" style="62"/>
  </cols>
  <sheetData>
    <row r="1" spans="1:15" s="69" customFormat="1" ht="28.5" customHeight="1">
      <c r="A1" s="587" t="s">
        <v>254</v>
      </c>
      <c r="B1" s="587"/>
      <c r="C1" s="587"/>
      <c r="D1" s="587"/>
      <c r="E1" s="587"/>
      <c r="F1" s="587"/>
      <c r="G1" s="587"/>
      <c r="H1" s="587"/>
      <c r="I1" s="587"/>
      <c r="J1" s="587"/>
      <c r="K1" s="587"/>
      <c r="L1" s="587"/>
      <c r="M1" s="587"/>
    </row>
    <row r="2" spans="1:15" ht="15" customHeight="1">
      <c r="A2" s="81"/>
      <c r="B2" s="81"/>
      <c r="C2" s="81"/>
      <c r="D2" s="81"/>
      <c r="E2" s="81"/>
      <c r="F2" s="81"/>
      <c r="G2" s="81"/>
      <c r="H2" s="81"/>
      <c r="I2" s="81"/>
      <c r="J2" s="81"/>
      <c r="K2" s="81"/>
      <c r="L2" s="81"/>
      <c r="M2" s="81"/>
    </row>
    <row r="3" spans="1:15" s="4" customFormat="1" ht="15" customHeight="1">
      <c r="A3" s="27" t="s">
        <v>42</v>
      </c>
      <c r="B3" s="20"/>
      <c r="C3" s="28"/>
      <c r="E3" s="28"/>
      <c r="F3" s="28"/>
      <c r="G3" s="28"/>
      <c r="H3" s="28"/>
      <c r="I3" s="28"/>
      <c r="J3" s="28"/>
      <c r="K3" s="28"/>
      <c r="L3" s="28"/>
      <c r="M3" s="28" t="s">
        <v>68</v>
      </c>
    </row>
    <row r="4" spans="1:15" s="4" customFormat="1" ht="28.5" customHeight="1" thickBot="1">
      <c r="A4" s="84" t="s">
        <v>2</v>
      </c>
      <c r="B4" s="6"/>
      <c r="C4" s="6">
        <v>2012</v>
      </c>
      <c r="D4" s="6">
        <v>2013</v>
      </c>
      <c r="E4" s="141">
        <v>2014</v>
      </c>
      <c r="F4" s="141">
        <v>2015</v>
      </c>
      <c r="G4" s="141">
        <v>2016</v>
      </c>
      <c r="H4" s="141">
        <v>2017</v>
      </c>
      <c r="I4" s="141">
        <v>2018</v>
      </c>
      <c r="J4" s="141">
        <v>2019</v>
      </c>
      <c r="K4" s="141">
        <v>2020</v>
      </c>
      <c r="L4" s="141">
        <v>2021</v>
      </c>
      <c r="M4" s="141">
        <v>2022</v>
      </c>
    </row>
    <row r="5" spans="1:15" s="4" customFormat="1" ht="16.5" customHeight="1" thickTop="1">
      <c r="A5" s="30" t="s">
        <v>43</v>
      </c>
      <c r="B5" s="11"/>
      <c r="C5" s="287">
        <v>1095.58619281857</v>
      </c>
      <c r="D5" s="287">
        <v>1093.8178723953499</v>
      </c>
      <c r="E5" s="287">
        <v>1093.20854089105</v>
      </c>
      <c r="F5" s="287">
        <v>1096.65734127991</v>
      </c>
      <c r="G5" s="287">
        <v>1107.85636561875</v>
      </c>
      <c r="H5" s="287">
        <v>1133.34288689707</v>
      </c>
      <c r="I5" s="287">
        <v>1170.2525051678801</v>
      </c>
      <c r="J5" s="287">
        <v>1209.93900485576</v>
      </c>
      <c r="K5" s="287">
        <v>1250.75197084447</v>
      </c>
      <c r="L5" s="287">
        <v>1294.10894067238</v>
      </c>
      <c r="M5" s="287">
        <v>1367.9952489883699</v>
      </c>
      <c r="N5" s="501">
        <f>+M5-43</f>
        <v>1324.9952489883699</v>
      </c>
      <c r="O5" s="4">
        <f>+(M5/C5-1)*100</f>
        <v>24.864228661825692</v>
      </c>
    </row>
    <row r="6" spans="1:15" s="4" customFormat="1" ht="16.5" customHeight="1">
      <c r="A6" s="11" t="s">
        <v>73</v>
      </c>
      <c r="B6" s="30" t="s">
        <v>172</v>
      </c>
      <c r="C6" s="261">
        <v>812.90857049472606</v>
      </c>
      <c r="D6" s="261">
        <v>789.23093644102801</v>
      </c>
      <c r="E6" s="261">
        <v>794.63238825377903</v>
      </c>
      <c r="F6" s="261">
        <v>802.67954439521611</v>
      </c>
      <c r="G6" s="261">
        <v>832.79572922663601</v>
      </c>
      <c r="H6" s="261">
        <v>850.3978954524141</v>
      </c>
      <c r="I6" s="261">
        <v>896.43205381769303</v>
      </c>
      <c r="J6" s="261">
        <v>945.56245115689808</v>
      </c>
      <c r="K6" s="261">
        <v>949.68727184380202</v>
      </c>
      <c r="L6" s="261">
        <v>1011.4266887095</v>
      </c>
      <c r="M6" s="261">
        <v>1058.36697089669</v>
      </c>
    </row>
    <row r="7" spans="1:15" s="4" customFormat="1" ht="12.75" customHeight="1">
      <c r="A7" s="11" t="s">
        <v>74</v>
      </c>
      <c r="B7" s="30" t="s">
        <v>102</v>
      </c>
      <c r="C7" s="261">
        <v>1189.99472764645</v>
      </c>
      <c r="D7" s="261">
        <v>1216.8668800708101</v>
      </c>
      <c r="E7" s="261">
        <v>1253.1919576078699</v>
      </c>
      <c r="F7" s="261">
        <v>1254.1148516050901</v>
      </c>
      <c r="G7" s="261">
        <v>1286.7811704913001</v>
      </c>
      <c r="H7" s="261">
        <v>1296.0436664613501</v>
      </c>
      <c r="I7" s="261">
        <v>1403.2348597856401</v>
      </c>
      <c r="J7" s="261">
        <v>1459.1081470854701</v>
      </c>
      <c r="K7" s="261">
        <v>1500.0902219807501</v>
      </c>
      <c r="L7" s="261">
        <v>1596.0346130638102</v>
      </c>
      <c r="M7" s="261">
        <v>1702.2394534560904</v>
      </c>
    </row>
    <row r="8" spans="1:15" s="4" customFormat="1" ht="12.75" customHeight="1">
      <c r="A8" s="11" t="s">
        <v>75</v>
      </c>
      <c r="B8" s="30" t="s">
        <v>101</v>
      </c>
      <c r="C8" s="261">
        <v>988.75687182708407</v>
      </c>
      <c r="D8" s="261">
        <v>996.63412584612513</v>
      </c>
      <c r="E8" s="261">
        <v>1003.09180358052</v>
      </c>
      <c r="F8" s="261">
        <v>1015.8172835393801</v>
      </c>
      <c r="G8" s="261">
        <v>1031.59799499223</v>
      </c>
      <c r="H8" s="261">
        <v>1068.4328290201402</v>
      </c>
      <c r="I8" s="261">
        <v>1110.54337234992</v>
      </c>
      <c r="J8" s="261">
        <v>1154.9381361412102</v>
      </c>
      <c r="K8" s="261">
        <v>1198.0430402166501</v>
      </c>
      <c r="L8" s="261">
        <v>1224.7920291855</v>
      </c>
      <c r="M8" s="261">
        <v>1302.5883482423701</v>
      </c>
    </row>
    <row r="9" spans="1:15" s="4" customFormat="1" ht="16.5" customHeight="1">
      <c r="A9" s="83"/>
      <c r="B9" s="10" t="s">
        <v>88</v>
      </c>
      <c r="C9" s="263">
        <v>901.52343922556611</v>
      </c>
      <c r="D9" s="263">
        <v>899.15402889471602</v>
      </c>
      <c r="E9" s="263">
        <v>901.74060590851707</v>
      </c>
      <c r="F9" s="263">
        <v>913.71112656014304</v>
      </c>
      <c r="G9" s="263">
        <v>932.4260994228581</v>
      </c>
      <c r="H9" s="263">
        <v>962.07702243360598</v>
      </c>
      <c r="I9" s="263">
        <v>994.86778024918499</v>
      </c>
      <c r="J9" s="263">
        <v>1026.1268992390999</v>
      </c>
      <c r="K9" s="263">
        <v>1065.83591055034</v>
      </c>
      <c r="L9" s="263">
        <v>1115.4086280536299</v>
      </c>
      <c r="M9" s="263">
        <v>1159.7263109016801</v>
      </c>
    </row>
    <row r="10" spans="1:15" s="4" customFormat="1" ht="12.75" customHeight="1">
      <c r="A10" s="83"/>
      <c r="B10" s="10" t="s">
        <v>89</v>
      </c>
      <c r="C10" s="263">
        <v>1289.0611147407101</v>
      </c>
      <c r="D10" s="263">
        <v>1312.27397100857</v>
      </c>
      <c r="E10" s="263">
        <v>1296.99641449719</v>
      </c>
      <c r="F10" s="263">
        <v>1298.2484737110801</v>
      </c>
      <c r="G10" s="263">
        <v>1316.86899790607</v>
      </c>
      <c r="H10" s="263">
        <v>1312.0735828055999</v>
      </c>
      <c r="I10" s="263">
        <v>1340.7952523040399</v>
      </c>
      <c r="J10" s="263">
        <v>1374.5562869796299</v>
      </c>
      <c r="K10" s="263">
        <v>1405.7335559216901</v>
      </c>
      <c r="L10" s="263">
        <v>1441.9805308964303</v>
      </c>
      <c r="M10" s="263">
        <v>1497.3437110711102</v>
      </c>
    </row>
    <row r="11" spans="1:15" s="4" customFormat="1" ht="12.75" customHeight="1">
      <c r="A11" s="83"/>
      <c r="B11" s="10" t="s">
        <v>90</v>
      </c>
      <c r="C11" s="263">
        <v>1964.1809068627501</v>
      </c>
      <c r="D11" s="263">
        <v>2084.2106712963</v>
      </c>
      <c r="E11" s="263">
        <v>2496.13148325359</v>
      </c>
      <c r="F11" s="263">
        <v>2358.4850627615101</v>
      </c>
      <c r="G11" s="263">
        <v>2254.2296543778803</v>
      </c>
      <c r="H11" s="263">
        <v>2289.1978070175396</v>
      </c>
      <c r="I11" s="263">
        <v>2626.4424833702897</v>
      </c>
      <c r="J11" s="263">
        <v>2299.75995594714</v>
      </c>
      <c r="K11" s="263">
        <v>2306.1260364464702</v>
      </c>
      <c r="L11" s="263">
        <v>2376.2376303317496</v>
      </c>
      <c r="M11" s="263">
        <v>2774.9540930232602</v>
      </c>
    </row>
    <row r="12" spans="1:15" s="4" customFormat="1" ht="12.75" customHeight="1">
      <c r="A12" s="83"/>
      <c r="B12" s="10" t="s">
        <v>0</v>
      </c>
      <c r="C12" s="263">
        <v>799.23532655979102</v>
      </c>
      <c r="D12" s="263">
        <v>810.69469754671911</v>
      </c>
      <c r="E12" s="263">
        <v>828.74912290808504</v>
      </c>
      <c r="F12" s="263">
        <v>839.15411053443711</v>
      </c>
      <c r="G12" s="263">
        <v>867.67310999912706</v>
      </c>
      <c r="H12" s="263">
        <v>904.55432643691506</v>
      </c>
      <c r="I12" s="263">
        <v>946.28679000466502</v>
      </c>
      <c r="J12" s="263">
        <v>979.48085805860808</v>
      </c>
      <c r="K12" s="263">
        <v>1016.0656629769601</v>
      </c>
      <c r="L12" s="263">
        <v>1055.8167975488</v>
      </c>
      <c r="M12" s="263">
        <v>1124.1728589655802</v>
      </c>
    </row>
    <row r="13" spans="1:15" s="4" customFormat="1" ht="12.75" customHeight="1">
      <c r="A13" s="83"/>
      <c r="B13" s="10" t="s">
        <v>91</v>
      </c>
      <c r="C13" s="263">
        <v>658.9703690627241</v>
      </c>
      <c r="D13" s="263">
        <v>660.16098688399313</v>
      </c>
      <c r="E13" s="263">
        <v>677.28232677561505</v>
      </c>
      <c r="F13" s="263">
        <v>684.55557902614112</v>
      </c>
      <c r="G13" s="263">
        <v>709.30763451415794</v>
      </c>
      <c r="H13" s="263">
        <v>742.31690169142303</v>
      </c>
      <c r="I13" s="263">
        <v>781.47665926946706</v>
      </c>
      <c r="J13" s="263">
        <v>818.69498386779514</v>
      </c>
      <c r="K13" s="263">
        <v>848.83786582087896</v>
      </c>
      <c r="L13" s="263">
        <v>886.18232329744512</v>
      </c>
      <c r="M13" s="263">
        <v>942.56971353675203</v>
      </c>
    </row>
    <row r="14" spans="1:15" s="4" customFormat="1" ht="12.75" customHeight="1">
      <c r="A14" s="83"/>
      <c r="B14" s="10" t="s">
        <v>146</v>
      </c>
      <c r="C14" s="263">
        <v>694.04093712135705</v>
      </c>
      <c r="D14" s="263">
        <v>710.43610370012698</v>
      </c>
      <c r="E14" s="263">
        <v>729.64442460031705</v>
      </c>
      <c r="F14" s="263">
        <v>748.79733290823708</v>
      </c>
      <c r="G14" s="263">
        <v>773.92565664266601</v>
      </c>
      <c r="H14" s="263">
        <v>798.72984320998114</v>
      </c>
      <c r="I14" s="263">
        <v>837.8212091767881</v>
      </c>
      <c r="J14" s="263">
        <v>886.32303026227305</v>
      </c>
      <c r="K14" s="263">
        <v>908.07024151460905</v>
      </c>
      <c r="L14" s="263">
        <v>956.47649369062799</v>
      </c>
      <c r="M14" s="263">
        <v>1023.6776596311302</v>
      </c>
    </row>
    <row r="15" spans="1:15" s="4" customFormat="1" ht="12.75" customHeight="1">
      <c r="A15" s="83"/>
      <c r="B15" s="10" t="s">
        <v>147</v>
      </c>
      <c r="C15" s="263">
        <v>934.00460232836508</v>
      </c>
      <c r="D15" s="263">
        <v>956.74652507079816</v>
      </c>
      <c r="E15" s="263">
        <v>968.273139862069</v>
      </c>
      <c r="F15" s="263">
        <v>977.13917571436309</v>
      </c>
      <c r="G15" s="263">
        <v>997.00883863611705</v>
      </c>
      <c r="H15" s="263">
        <v>1024.8345707743101</v>
      </c>
      <c r="I15" s="263">
        <v>1054.6083147828801</v>
      </c>
      <c r="J15" s="263">
        <v>1096.6553998838601</v>
      </c>
      <c r="K15" s="263">
        <v>1126.1635729021502</v>
      </c>
      <c r="L15" s="263">
        <v>1168.8515372644902</v>
      </c>
      <c r="M15" s="263">
        <v>1222.6411040975702</v>
      </c>
    </row>
    <row r="16" spans="1:15" s="4" customFormat="1" ht="12.75" customHeight="1">
      <c r="A16" s="83"/>
      <c r="B16" s="10" t="s">
        <v>148</v>
      </c>
      <c r="C16" s="263">
        <v>1419.7715681178302</v>
      </c>
      <c r="D16" s="263">
        <v>1430.77799415458</v>
      </c>
      <c r="E16" s="263">
        <v>1435.9188852953901</v>
      </c>
      <c r="F16" s="263">
        <v>1428.7843813117299</v>
      </c>
      <c r="G16" s="263">
        <v>1439.4119369806799</v>
      </c>
      <c r="H16" s="263">
        <v>1454.25790462277</v>
      </c>
      <c r="I16" s="263">
        <v>1459.3860608365001</v>
      </c>
      <c r="J16" s="263">
        <v>1499.5908395415502</v>
      </c>
      <c r="K16" s="263">
        <v>1537.9229999055399</v>
      </c>
      <c r="L16" s="263">
        <v>1575.6354664301102</v>
      </c>
      <c r="M16" s="263">
        <v>1618.7830295677202</v>
      </c>
    </row>
    <row r="17" spans="1:13" s="4" customFormat="1" ht="12.75" customHeight="1">
      <c r="A17" s="83"/>
      <c r="B17" s="10" t="s">
        <v>149</v>
      </c>
      <c r="C17" s="263">
        <v>1029.3714682577602</v>
      </c>
      <c r="D17" s="263">
        <v>1030.9037552618699</v>
      </c>
      <c r="E17" s="263">
        <v>1044.0699358024699</v>
      </c>
      <c r="F17" s="263">
        <v>1042.8923333661501</v>
      </c>
      <c r="G17" s="263">
        <v>1051.16307609756</v>
      </c>
      <c r="H17" s="263">
        <v>1075.6363986321401</v>
      </c>
      <c r="I17" s="263">
        <v>1119.1518345758602</v>
      </c>
      <c r="J17" s="263">
        <v>1155.6744737395002</v>
      </c>
      <c r="K17" s="263">
        <v>1187.4181669733202</v>
      </c>
      <c r="L17" s="263">
        <v>1226.8137580336002</v>
      </c>
      <c r="M17" s="263">
        <v>1263.2257227616001</v>
      </c>
    </row>
    <row r="18" spans="1:13" s="4" customFormat="1" ht="12.75" customHeight="1">
      <c r="A18" s="83"/>
      <c r="B18" s="10" t="s">
        <v>150</v>
      </c>
      <c r="C18" s="263">
        <v>3331.6201123595501</v>
      </c>
      <c r="D18" s="263">
        <v>3237.4992989484203</v>
      </c>
      <c r="E18" s="263">
        <v>3199.8013431269701</v>
      </c>
      <c r="F18" s="263">
        <v>3252.2398760563401</v>
      </c>
      <c r="G18" s="263">
        <v>3248.7261031518606</v>
      </c>
      <c r="H18" s="263">
        <v>3297.7532482598599</v>
      </c>
      <c r="I18" s="263">
        <v>3620.9710005851402</v>
      </c>
      <c r="J18" s="263">
        <v>3459.6505596556003</v>
      </c>
      <c r="K18" s="263">
        <v>3496.1420507812504</v>
      </c>
      <c r="L18" s="263">
        <v>3690.7268117088602</v>
      </c>
      <c r="M18" s="263">
        <v>3735.6192809977997</v>
      </c>
    </row>
    <row r="19" spans="1:13" s="4" customFormat="1" ht="12.75" customHeight="1">
      <c r="A19" s="83"/>
      <c r="B19" s="10" t="s">
        <v>151</v>
      </c>
      <c r="C19" s="263">
        <v>1565.6234916983401</v>
      </c>
      <c r="D19" s="263">
        <v>1593.7292296675198</v>
      </c>
      <c r="E19" s="263">
        <v>1577.2820823962402</v>
      </c>
      <c r="F19" s="263">
        <v>1583.0460921742601</v>
      </c>
      <c r="G19" s="263">
        <v>1587.9209986033502</v>
      </c>
      <c r="H19" s="263">
        <v>1589.1330087440401</v>
      </c>
      <c r="I19" s="263">
        <v>1632.09400841461</v>
      </c>
      <c r="J19" s="263">
        <v>1709.43022283302</v>
      </c>
      <c r="K19" s="263">
        <v>1748.4849522872601</v>
      </c>
      <c r="L19" s="263">
        <v>1769.7039483994301</v>
      </c>
      <c r="M19" s="263">
        <v>1836.4282908186801</v>
      </c>
    </row>
    <row r="20" spans="1:13" s="4" customFormat="1" ht="12.75" customHeight="1">
      <c r="A20" s="83"/>
      <c r="B20" s="10" t="s">
        <v>160</v>
      </c>
      <c r="C20" s="263">
        <v>1743.6771262427303</v>
      </c>
      <c r="D20" s="263">
        <v>1714.4313713460801</v>
      </c>
      <c r="E20" s="263">
        <v>1713.0184812136201</v>
      </c>
      <c r="F20" s="263">
        <v>1766.5639598953801</v>
      </c>
      <c r="G20" s="263">
        <v>1724.1844403989201</v>
      </c>
      <c r="H20" s="263">
        <v>1777.0906770755098</v>
      </c>
      <c r="I20" s="263">
        <v>1812.54101848049</v>
      </c>
      <c r="J20" s="263">
        <v>1950.0361802403199</v>
      </c>
      <c r="K20" s="263">
        <v>1901.68547440776</v>
      </c>
      <c r="L20" s="263">
        <v>1962.6272697763902</v>
      </c>
      <c r="M20" s="263">
        <v>2042.9912345539101</v>
      </c>
    </row>
    <row r="21" spans="1:13" s="4" customFormat="1" ht="12.75" customHeight="1">
      <c r="A21" s="83"/>
      <c r="B21" s="10" t="s">
        <v>152</v>
      </c>
      <c r="C21" s="263">
        <v>1144.1888506302</v>
      </c>
      <c r="D21" s="263">
        <v>1139.6528555952802</v>
      </c>
      <c r="E21" s="263">
        <v>1158.1157470784599</v>
      </c>
      <c r="F21" s="263">
        <v>1178.4372034614801</v>
      </c>
      <c r="G21" s="263">
        <v>1195.9925415482401</v>
      </c>
      <c r="H21" s="263">
        <v>1223.4004596622901</v>
      </c>
      <c r="I21" s="263">
        <v>1274.2930679457099</v>
      </c>
      <c r="J21" s="263">
        <v>1313.38102863021</v>
      </c>
      <c r="K21" s="263">
        <v>1348.7128335959799</v>
      </c>
      <c r="L21" s="263">
        <v>1387.55006927559</v>
      </c>
      <c r="M21" s="263">
        <v>1450.6914936091403</v>
      </c>
    </row>
    <row r="22" spans="1:13" s="4" customFormat="1" ht="12.75" customHeight="1">
      <c r="A22" s="83"/>
      <c r="B22" s="10" t="s">
        <v>159</v>
      </c>
      <c r="C22" s="263">
        <v>1077.5266110953503</v>
      </c>
      <c r="D22" s="263">
        <v>1067.3363315768102</v>
      </c>
      <c r="E22" s="263">
        <v>1070.3871526369203</v>
      </c>
      <c r="F22" s="263">
        <v>1078.6227939908001</v>
      </c>
      <c r="G22" s="263">
        <v>1084.5195642538001</v>
      </c>
      <c r="H22" s="263">
        <v>1122.9580040860101</v>
      </c>
      <c r="I22" s="263">
        <v>1149.1399086618501</v>
      </c>
      <c r="J22" s="263">
        <v>1191.2929545689001</v>
      </c>
      <c r="K22" s="263">
        <v>1208.4560489860801</v>
      </c>
      <c r="L22" s="263">
        <v>1258.26652818502</v>
      </c>
      <c r="M22" s="263">
        <v>1324.1057145178602</v>
      </c>
    </row>
    <row r="23" spans="1:13" s="4" customFormat="1" ht="12.75" customHeight="1">
      <c r="A23" s="83"/>
      <c r="B23" s="10" t="s">
        <v>92</v>
      </c>
      <c r="C23" s="263">
        <v>1218.9758586484802</v>
      </c>
      <c r="D23" s="263">
        <v>1257.2895902150201</v>
      </c>
      <c r="E23" s="263">
        <v>1218.3117176397898</v>
      </c>
      <c r="F23" s="263">
        <v>1223.9753408921399</v>
      </c>
      <c r="G23" s="263">
        <v>1228.20074755265</v>
      </c>
      <c r="H23" s="263">
        <v>1264.7167190820201</v>
      </c>
      <c r="I23" s="263">
        <v>1332.5205526238601</v>
      </c>
      <c r="J23" s="263">
        <v>1358.4299076745501</v>
      </c>
      <c r="K23" s="263">
        <v>1415.49024268275</v>
      </c>
      <c r="L23" s="263">
        <v>1447.1230266934601</v>
      </c>
      <c r="M23" s="263">
        <v>1501.7253916735099</v>
      </c>
    </row>
    <row r="24" spans="1:13" s="4" customFormat="1" ht="12.75" customHeight="1">
      <c r="A24" s="83"/>
      <c r="B24" s="10" t="s">
        <v>157</v>
      </c>
      <c r="C24" s="263">
        <v>995.57262740770511</v>
      </c>
      <c r="D24" s="263">
        <v>1001.98056443496</v>
      </c>
      <c r="E24" s="263">
        <v>1012.6297062776301</v>
      </c>
      <c r="F24" s="263">
        <v>1028.08577757119</v>
      </c>
      <c r="G24" s="263">
        <v>1035.1189953537098</v>
      </c>
      <c r="H24" s="263">
        <v>1074.65108603618</v>
      </c>
      <c r="I24" s="263">
        <v>1115.11481350798</v>
      </c>
      <c r="J24" s="263">
        <v>1153.89628827558</v>
      </c>
      <c r="K24" s="263">
        <v>1174.8708352778101</v>
      </c>
      <c r="L24" s="263">
        <v>1198.6790714430299</v>
      </c>
      <c r="M24" s="263">
        <v>1278.2659505950801</v>
      </c>
    </row>
    <row r="25" spans="1:13" s="4" customFormat="1" ht="12.75" customHeight="1">
      <c r="A25" s="83"/>
      <c r="B25" s="10" t="s">
        <v>158</v>
      </c>
      <c r="C25" s="263">
        <v>1393.8362857468401</v>
      </c>
      <c r="D25" s="263">
        <v>1273.0062998078201</v>
      </c>
      <c r="E25" s="263">
        <v>1285.8411651205902</v>
      </c>
      <c r="F25" s="263">
        <v>1306.5023793239502</v>
      </c>
      <c r="G25" s="263">
        <v>1318.4024592813601</v>
      </c>
      <c r="H25" s="263">
        <v>1357.5431140642302</v>
      </c>
      <c r="I25" s="263">
        <v>1383.29554970446</v>
      </c>
      <c r="J25" s="263">
        <v>1440.4919260010101</v>
      </c>
      <c r="K25" s="263">
        <v>1484.9376090420201</v>
      </c>
      <c r="L25" s="263">
        <v>1503.8018479408702</v>
      </c>
      <c r="M25" s="263">
        <v>1676.9075729509002</v>
      </c>
    </row>
    <row r="26" spans="1:13" s="4" customFormat="1" ht="12.75" customHeight="1">
      <c r="A26" s="83"/>
      <c r="B26" s="10" t="s">
        <v>153</v>
      </c>
      <c r="C26" s="263">
        <v>1164.0178408095001</v>
      </c>
      <c r="D26" s="263">
        <v>1271.14230424743</v>
      </c>
      <c r="E26" s="263">
        <v>1299.4018915626</v>
      </c>
      <c r="F26" s="263">
        <v>1362.2821436793301</v>
      </c>
      <c r="G26" s="263">
        <v>1375.4654567473999</v>
      </c>
      <c r="H26" s="263">
        <v>1411.5521617500801</v>
      </c>
      <c r="I26" s="263">
        <v>1451.4682563116401</v>
      </c>
      <c r="J26" s="263">
        <v>1431.7966247582201</v>
      </c>
      <c r="K26" s="263">
        <v>1592.9496506905002</v>
      </c>
      <c r="L26" s="263">
        <v>1520.6966949096</v>
      </c>
      <c r="M26" s="263">
        <v>1705.1445541846101</v>
      </c>
    </row>
    <row r="27" spans="1:13" s="4" customFormat="1" ht="12.75" customHeight="1">
      <c r="A27" s="83"/>
      <c r="B27" s="10" t="s">
        <v>161</v>
      </c>
      <c r="C27" s="263">
        <v>1102.4016259736902</v>
      </c>
      <c r="D27" s="263">
        <v>1129.51824975673</v>
      </c>
      <c r="E27" s="263">
        <v>1135.7754577723399</v>
      </c>
      <c r="F27" s="263">
        <v>1152.9760947779</v>
      </c>
      <c r="G27" s="263">
        <v>1165.04859227872</v>
      </c>
      <c r="H27" s="263">
        <v>1201.4108843537401</v>
      </c>
      <c r="I27" s="263">
        <v>1228.7576568718302</v>
      </c>
      <c r="J27" s="263">
        <v>1289.4545572873899</v>
      </c>
      <c r="K27" s="263">
        <v>1305.0134231238201</v>
      </c>
      <c r="L27" s="263">
        <v>1363.4073032603401</v>
      </c>
      <c r="M27" s="263">
        <v>1430.3036356625</v>
      </c>
    </row>
    <row r="28" spans="1:13" s="4" customFormat="1" ht="12.75" customHeight="1">
      <c r="A28" s="83"/>
      <c r="B28" s="10" t="s">
        <v>154</v>
      </c>
      <c r="C28" s="263">
        <v>1200.4845260423499</v>
      </c>
      <c r="D28" s="263">
        <v>1214.3149077220901</v>
      </c>
      <c r="E28" s="263">
        <v>1249.36857611039</v>
      </c>
      <c r="F28" s="263">
        <v>1264.83101937936</v>
      </c>
      <c r="G28" s="263">
        <v>1253.0207366623101</v>
      </c>
      <c r="H28" s="263">
        <v>1302.5464489326803</v>
      </c>
      <c r="I28" s="263">
        <v>1258.6618215347701</v>
      </c>
      <c r="J28" s="263">
        <v>1309.1235540781702</v>
      </c>
      <c r="K28" s="263">
        <v>1396.0097403028299</v>
      </c>
      <c r="L28" s="263">
        <v>1351.6493215662802</v>
      </c>
      <c r="M28" s="263">
        <v>1524.6815622729703</v>
      </c>
    </row>
    <row r="29" spans="1:13" s="4" customFormat="1" ht="12.75" customHeight="1">
      <c r="A29" s="83"/>
      <c r="B29" s="10" t="s">
        <v>162</v>
      </c>
      <c r="C29" s="263">
        <v>1035.6252516703801</v>
      </c>
      <c r="D29" s="263">
        <v>1050.9930033984699</v>
      </c>
      <c r="E29" s="263">
        <v>1035.7929206349202</v>
      </c>
      <c r="F29" s="263">
        <v>1057.97769883351</v>
      </c>
      <c r="G29" s="263">
        <v>1049.1853763440902</v>
      </c>
      <c r="H29" s="263">
        <v>1089.7874754282502</v>
      </c>
      <c r="I29" s="263">
        <v>1134.89981383648</v>
      </c>
      <c r="J29" s="263">
        <v>1180.6807940161102</v>
      </c>
      <c r="K29" s="263">
        <v>1193.8890000000001</v>
      </c>
      <c r="L29" s="263">
        <v>1231.9689822329501</v>
      </c>
      <c r="M29" s="263">
        <v>1286.0853953738601</v>
      </c>
    </row>
    <row r="30" spans="1:13" s="4" customFormat="1" ht="12.75" customHeight="1">
      <c r="A30" s="83"/>
      <c r="B30" s="10" t="s">
        <v>155</v>
      </c>
      <c r="C30" s="263">
        <v>737.63777405719895</v>
      </c>
      <c r="D30" s="263">
        <v>748.38828860788499</v>
      </c>
      <c r="E30" s="263">
        <v>761.82498772972713</v>
      </c>
      <c r="F30" s="263">
        <v>771.93071387509804</v>
      </c>
      <c r="G30" s="263">
        <v>785.37829778791797</v>
      </c>
      <c r="H30" s="263">
        <v>818.22264235383705</v>
      </c>
      <c r="I30" s="263">
        <v>854.55017304790601</v>
      </c>
      <c r="J30" s="263">
        <v>890.24916829512404</v>
      </c>
      <c r="K30" s="263">
        <v>913.69446235492512</v>
      </c>
      <c r="L30" s="263">
        <v>950.15299201666107</v>
      </c>
      <c r="M30" s="263">
        <v>1012.6245396514799</v>
      </c>
    </row>
    <row r="31" spans="1:13" s="4" customFormat="1" ht="12.75" customHeight="1">
      <c r="A31" s="83"/>
      <c r="B31" s="10" t="s">
        <v>156</v>
      </c>
      <c r="C31" s="263">
        <v>925.61775912132305</v>
      </c>
      <c r="D31" s="263">
        <v>945.14673511558806</v>
      </c>
      <c r="E31" s="263">
        <v>948.48253605171612</v>
      </c>
      <c r="F31" s="263">
        <v>945.62026856609111</v>
      </c>
      <c r="G31" s="263">
        <v>981.49577785212409</v>
      </c>
      <c r="H31" s="263">
        <v>1019.2510251854901</v>
      </c>
      <c r="I31" s="263">
        <v>1055.5729025248299</v>
      </c>
      <c r="J31" s="263">
        <v>1098.76899776096</v>
      </c>
      <c r="K31" s="263">
        <v>1122.72650733354</v>
      </c>
      <c r="L31" s="263">
        <v>1144.11577096264</v>
      </c>
      <c r="M31" s="263">
        <v>1236.2222677925201</v>
      </c>
    </row>
    <row r="32" spans="1:13" s="4" customFormat="1" ht="12.75" customHeight="1">
      <c r="A32" s="83"/>
      <c r="B32" s="10" t="s">
        <v>163</v>
      </c>
      <c r="C32" s="263">
        <v>1236.0085481755802</v>
      </c>
      <c r="D32" s="263">
        <v>1242.5002885489198</v>
      </c>
      <c r="E32" s="263">
        <v>1227.13334064488</v>
      </c>
      <c r="F32" s="263">
        <v>1210.3493455217999</v>
      </c>
      <c r="G32" s="263">
        <v>1205.1306760464299</v>
      </c>
      <c r="H32" s="263">
        <v>1229.2899254802801</v>
      </c>
      <c r="I32" s="263">
        <v>1299.2904553160599</v>
      </c>
      <c r="J32" s="263">
        <v>1325.1345655776502</v>
      </c>
      <c r="K32" s="263">
        <v>1333.7725524943201</v>
      </c>
      <c r="L32" s="263">
        <v>1382.07695792047</v>
      </c>
      <c r="M32" s="263">
        <v>1443.3701107576301</v>
      </c>
    </row>
    <row r="33" spans="1:13" s="4" customFormat="1" ht="16.5" customHeight="1">
      <c r="A33" s="11" t="s">
        <v>76</v>
      </c>
      <c r="B33" s="30" t="s">
        <v>164</v>
      </c>
      <c r="C33" s="261">
        <v>2770.7704915514601</v>
      </c>
      <c r="D33" s="261">
        <v>2907.09623190711</v>
      </c>
      <c r="E33" s="261">
        <v>2899.0310958904101</v>
      </c>
      <c r="F33" s="261">
        <v>2923.7819224683499</v>
      </c>
      <c r="G33" s="261">
        <v>2941.59584334376</v>
      </c>
      <c r="H33" s="261">
        <v>2914.6664646792001</v>
      </c>
      <c r="I33" s="261">
        <v>2948.54863921077</v>
      </c>
      <c r="J33" s="261">
        <v>2904.2006536050203</v>
      </c>
      <c r="K33" s="261">
        <v>2956.0488095238097</v>
      </c>
      <c r="L33" s="261">
        <v>2965.8420086220704</v>
      </c>
      <c r="M33" s="261">
        <v>3040.8869773462798</v>
      </c>
    </row>
    <row r="34" spans="1:13" s="4" customFormat="1" ht="12.75" customHeight="1">
      <c r="A34" s="11" t="s">
        <v>77</v>
      </c>
      <c r="B34" s="30" t="s">
        <v>173</v>
      </c>
      <c r="C34" s="261">
        <v>1089.87289500568</v>
      </c>
      <c r="D34" s="261">
        <v>1084.1670131820501</v>
      </c>
      <c r="E34" s="261">
        <v>1091.92070723591</v>
      </c>
      <c r="F34" s="261">
        <v>1102.67372762646</v>
      </c>
      <c r="G34" s="261">
        <v>1092.50263491393</v>
      </c>
      <c r="H34" s="261">
        <v>1108.53806974232</v>
      </c>
      <c r="I34" s="261">
        <v>1150.6816799391302</v>
      </c>
      <c r="J34" s="261">
        <v>1174.8296254663701</v>
      </c>
      <c r="K34" s="261">
        <v>1204.9030087578901</v>
      </c>
      <c r="L34" s="261">
        <v>1227.2953897540301</v>
      </c>
      <c r="M34" s="261">
        <v>1275.5365974717802</v>
      </c>
    </row>
    <row r="35" spans="1:13" s="4" customFormat="1" ht="12.75" customHeight="1">
      <c r="A35" s="11" t="s">
        <v>78</v>
      </c>
      <c r="B35" s="30" t="s">
        <v>79</v>
      </c>
      <c r="C35" s="261">
        <v>967.12898726268406</v>
      </c>
      <c r="D35" s="261">
        <v>966.06312656998909</v>
      </c>
      <c r="E35" s="261">
        <v>962.22910860194497</v>
      </c>
      <c r="F35" s="261">
        <v>958.60538910976402</v>
      </c>
      <c r="G35" s="261">
        <v>955.52471109637509</v>
      </c>
      <c r="H35" s="261">
        <v>967.03463446110902</v>
      </c>
      <c r="I35" s="261">
        <v>993.17572592162708</v>
      </c>
      <c r="J35" s="261">
        <v>1024.99794319735</v>
      </c>
      <c r="K35" s="261">
        <v>1042.36946738392</v>
      </c>
      <c r="L35" s="261">
        <v>1103.16576996042</v>
      </c>
      <c r="M35" s="261">
        <v>1149.6124082756401</v>
      </c>
    </row>
    <row r="36" spans="1:13" s="4" customFormat="1" ht="12.75" customHeight="1">
      <c r="A36" s="11" t="s">
        <v>80</v>
      </c>
      <c r="B36" s="30" t="s">
        <v>174</v>
      </c>
      <c r="C36" s="261">
        <v>1015.3315462450399</v>
      </c>
      <c r="D36" s="261">
        <v>1013.45563816727</v>
      </c>
      <c r="E36" s="261">
        <v>1014.14490737853</v>
      </c>
      <c r="F36" s="261">
        <v>1022.0122794384901</v>
      </c>
      <c r="G36" s="261">
        <v>1039.55172346421</v>
      </c>
      <c r="H36" s="261">
        <v>1066.6365917294902</v>
      </c>
      <c r="I36" s="261">
        <v>1099.0321763469101</v>
      </c>
      <c r="J36" s="261">
        <v>1140.3182487568401</v>
      </c>
      <c r="K36" s="261">
        <v>1176.3256930358502</v>
      </c>
      <c r="L36" s="261">
        <v>1224.1700947597201</v>
      </c>
      <c r="M36" s="261">
        <v>1280.54261879503</v>
      </c>
    </row>
    <row r="37" spans="1:13" s="4" customFormat="1" ht="12.75" customHeight="1">
      <c r="A37" s="11" t="s">
        <v>53</v>
      </c>
      <c r="B37" s="30" t="s">
        <v>93</v>
      </c>
      <c r="C37" s="261">
        <v>1345.0375864594002</v>
      </c>
      <c r="D37" s="261">
        <v>1338.08136636621</v>
      </c>
      <c r="E37" s="261">
        <v>1335.4530394670901</v>
      </c>
      <c r="F37" s="261">
        <v>1342.5026202255901</v>
      </c>
      <c r="G37" s="261">
        <v>1359.02162036048</v>
      </c>
      <c r="H37" s="261">
        <v>1384.77090629181</v>
      </c>
      <c r="I37" s="261">
        <v>1425.9495335986801</v>
      </c>
      <c r="J37" s="261">
        <v>1489.52093930565</v>
      </c>
      <c r="K37" s="261">
        <v>1418.67501257139</v>
      </c>
      <c r="L37" s="261">
        <v>1463.6713251307001</v>
      </c>
      <c r="M37" s="261">
        <v>1651.3679565502002</v>
      </c>
    </row>
    <row r="38" spans="1:13" s="4" customFormat="1" ht="12.75" customHeight="1">
      <c r="A38" s="11" t="s">
        <v>10</v>
      </c>
      <c r="B38" s="30" t="s">
        <v>165</v>
      </c>
      <c r="C38" s="261">
        <v>728.49473895673304</v>
      </c>
      <c r="D38" s="261">
        <v>724.30541273132212</v>
      </c>
      <c r="E38" s="261">
        <v>734.04489110133898</v>
      </c>
      <c r="F38" s="261">
        <v>736.79858403781805</v>
      </c>
      <c r="G38" s="261">
        <v>758.99435527316302</v>
      </c>
      <c r="H38" s="261">
        <v>788.28719674680099</v>
      </c>
      <c r="I38" s="261">
        <v>820.22052121490003</v>
      </c>
      <c r="J38" s="261">
        <v>851.314164465261</v>
      </c>
      <c r="K38" s="261">
        <v>858.92963088100407</v>
      </c>
      <c r="L38" s="261">
        <v>913.66424029182906</v>
      </c>
      <c r="M38" s="261">
        <v>977.82250189513604</v>
      </c>
    </row>
    <row r="39" spans="1:13" s="4" customFormat="1" ht="12.75" customHeight="1">
      <c r="A39" s="11" t="s">
        <v>81</v>
      </c>
      <c r="B39" s="30" t="s">
        <v>171</v>
      </c>
      <c r="C39" s="261">
        <v>1825.52362045876</v>
      </c>
      <c r="D39" s="261">
        <v>1821.2660136136899</v>
      </c>
      <c r="E39" s="261">
        <v>1779.8789245002702</v>
      </c>
      <c r="F39" s="261">
        <v>1770.6816329198703</v>
      </c>
      <c r="G39" s="261">
        <v>1797.9399188126501</v>
      </c>
      <c r="H39" s="261">
        <v>1808.5689214937399</v>
      </c>
      <c r="I39" s="261">
        <v>1867.0555663795303</v>
      </c>
      <c r="J39" s="261">
        <v>1919.5712354874802</v>
      </c>
      <c r="K39" s="261">
        <v>1970.0643236907999</v>
      </c>
      <c r="L39" s="261">
        <v>2046.0881796504</v>
      </c>
      <c r="M39" s="261">
        <v>2222.2609296519304</v>
      </c>
    </row>
    <row r="40" spans="1:13" s="41" customFormat="1" ht="12.75" customHeight="1">
      <c r="A40" s="11" t="s">
        <v>82</v>
      </c>
      <c r="B40" s="30" t="s">
        <v>166</v>
      </c>
      <c r="C40" s="261">
        <v>2291.7364249070201</v>
      </c>
      <c r="D40" s="261">
        <v>2302.0398946055002</v>
      </c>
      <c r="E40" s="261">
        <v>2312.4883290162397</v>
      </c>
      <c r="F40" s="261">
        <v>2302.1329373065601</v>
      </c>
      <c r="G40" s="261">
        <v>2313.4637807378504</v>
      </c>
      <c r="H40" s="261">
        <v>2305.2142118672296</v>
      </c>
      <c r="I40" s="261">
        <v>2321.4127194346102</v>
      </c>
      <c r="J40" s="261">
        <v>2330.3591765705901</v>
      </c>
      <c r="K40" s="261">
        <v>2366.36621362714</v>
      </c>
      <c r="L40" s="261">
        <v>2374.4118925576204</v>
      </c>
      <c r="M40" s="261">
        <v>2429.0182829891</v>
      </c>
    </row>
    <row r="41" spans="1:13" s="41" customFormat="1" ht="12.75" customHeight="1">
      <c r="A41" s="11" t="s">
        <v>83</v>
      </c>
      <c r="B41" s="30" t="s">
        <v>103</v>
      </c>
      <c r="C41" s="261">
        <v>1107.4774400888698</v>
      </c>
      <c r="D41" s="261">
        <v>1093.47232089371</v>
      </c>
      <c r="E41" s="261">
        <v>1087.2775927305202</v>
      </c>
      <c r="F41" s="261">
        <v>1080.5267512513901</v>
      </c>
      <c r="G41" s="261">
        <v>1101.5687968699101</v>
      </c>
      <c r="H41" s="261">
        <v>1115.00294096896</v>
      </c>
      <c r="I41" s="261">
        <v>1148.1650423773699</v>
      </c>
      <c r="J41" s="261">
        <v>1193.9758254192802</v>
      </c>
      <c r="K41" s="261">
        <v>1237.4717715996101</v>
      </c>
      <c r="L41" s="261">
        <v>1277.4853188275799</v>
      </c>
      <c r="M41" s="261">
        <v>1343.2863293676198</v>
      </c>
    </row>
    <row r="42" spans="1:13" s="41" customFormat="1" ht="12.75" customHeight="1">
      <c r="A42" s="11" t="s">
        <v>54</v>
      </c>
      <c r="B42" s="30" t="s">
        <v>175</v>
      </c>
      <c r="C42" s="261">
        <v>1366.9932704897201</v>
      </c>
      <c r="D42" s="261">
        <v>1357.6907430869301</v>
      </c>
      <c r="E42" s="261">
        <v>1347.8540544699501</v>
      </c>
      <c r="F42" s="261">
        <v>1352.5572876735901</v>
      </c>
      <c r="G42" s="261">
        <v>1358.5760158632702</v>
      </c>
      <c r="H42" s="261">
        <v>1414.0863794018601</v>
      </c>
      <c r="I42" s="261">
        <v>1446.1765328945501</v>
      </c>
      <c r="J42" s="261">
        <v>1498.2458890136202</v>
      </c>
      <c r="K42" s="261">
        <v>1543.3495667438001</v>
      </c>
      <c r="L42" s="261">
        <v>1612.7733123589501</v>
      </c>
      <c r="M42" s="261">
        <v>1708.7518058268201</v>
      </c>
    </row>
    <row r="43" spans="1:13" s="41" customFormat="1" ht="12.75" customHeight="1">
      <c r="A43" s="11" t="s">
        <v>85</v>
      </c>
      <c r="B43" s="30" t="s">
        <v>169</v>
      </c>
      <c r="C43" s="261">
        <v>923.59082589062609</v>
      </c>
      <c r="D43" s="261">
        <v>910.68893609215604</v>
      </c>
      <c r="E43" s="261">
        <v>915.76944928420608</v>
      </c>
      <c r="F43" s="261">
        <v>909.36321231429008</v>
      </c>
      <c r="G43" s="261">
        <v>915.80640676465907</v>
      </c>
      <c r="H43" s="261">
        <v>940.16393722782607</v>
      </c>
      <c r="I43" s="261">
        <v>974.19436712806203</v>
      </c>
      <c r="J43" s="261">
        <v>1006.82436356175</v>
      </c>
      <c r="K43" s="261">
        <v>1032.8774176774102</v>
      </c>
      <c r="L43" s="261">
        <v>1086.1392998818501</v>
      </c>
      <c r="M43" s="261">
        <v>1156.5086238350702</v>
      </c>
    </row>
    <row r="44" spans="1:13" s="41" customFormat="1" ht="12.75" customHeight="1">
      <c r="A44" s="11" t="s">
        <v>86</v>
      </c>
      <c r="B44" s="30" t="s">
        <v>170</v>
      </c>
      <c r="C44" s="261">
        <v>1059.88956753302</v>
      </c>
      <c r="D44" s="261">
        <v>1035.19593200087</v>
      </c>
      <c r="E44" s="261">
        <v>1049.32293258192</v>
      </c>
      <c r="F44" s="261">
        <v>1055.0875042247601</v>
      </c>
      <c r="G44" s="261">
        <v>1031.67505197942</v>
      </c>
      <c r="H44" s="261">
        <v>1056.21944589702</v>
      </c>
      <c r="I44" s="261">
        <v>1099.6006488326798</v>
      </c>
      <c r="J44" s="261">
        <v>1161.4557663053802</v>
      </c>
      <c r="K44" s="261">
        <v>1222.7777967502102</v>
      </c>
      <c r="L44" s="261">
        <v>1269.2457733308402</v>
      </c>
      <c r="M44" s="261">
        <v>1293.63158607017</v>
      </c>
    </row>
    <row r="45" spans="1:13" s="41" customFormat="1" ht="12.75" customHeight="1">
      <c r="A45" s="11" t="s">
        <v>94</v>
      </c>
      <c r="B45" s="30" t="s">
        <v>84</v>
      </c>
      <c r="C45" s="261">
        <v>1223.50627841954</v>
      </c>
      <c r="D45" s="261">
        <v>1234.62490528838</v>
      </c>
      <c r="E45" s="261">
        <v>1224.4207155769802</v>
      </c>
      <c r="F45" s="261">
        <v>1215.92411337209</v>
      </c>
      <c r="G45" s="261">
        <v>1218.1817671058602</v>
      </c>
      <c r="H45" s="261">
        <v>1243.13067985879</v>
      </c>
      <c r="I45" s="261">
        <v>1272.38788658307</v>
      </c>
      <c r="J45" s="261">
        <v>1336.3514178534801</v>
      </c>
      <c r="K45" s="261">
        <v>1375.0805769564502</v>
      </c>
      <c r="L45" s="261">
        <v>1415.0812555304901</v>
      </c>
      <c r="M45" s="261">
        <v>1477.6246249844801</v>
      </c>
    </row>
    <row r="46" spans="1:13" s="41" customFormat="1" ht="12.75" customHeight="1">
      <c r="A46" s="11" t="s">
        <v>87</v>
      </c>
      <c r="B46" s="30" t="s">
        <v>141</v>
      </c>
      <c r="C46" s="261">
        <v>944.07356880845805</v>
      </c>
      <c r="D46" s="261">
        <v>943.7641772179461</v>
      </c>
      <c r="E46" s="261">
        <v>941.14137819980408</v>
      </c>
      <c r="F46" s="261">
        <v>957.94542332007711</v>
      </c>
      <c r="G46" s="261">
        <v>977.40702239840505</v>
      </c>
      <c r="H46" s="261">
        <v>1008.96832155377</v>
      </c>
      <c r="I46" s="261">
        <v>1045.1200221992101</v>
      </c>
      <c r="J46" s="261">
        <v>1088.3376098952101</v>
      </c>
      <c r="K46" s="261">
        <v>1112.4913787528703</v>
      </c>
      <c r="L46" s="261">
        <v>1148.8005320596101</v>
      </c>
      <c r="M46" s="261">
        <v>1186.79376339175</v>
      </c>
    </row>
    <row r="47" spans="1:13" s="41" customFormat="1" ht="12.75" customHeight="1">
      <c r="A47" s="11" t="s">
        <v>95</v>
      </c>
      <c r="B47" s="30" t="s">
        <v>167</v>
      </c>
      <c r="C47" s="261">
        <v>1684.0991619423203</v>
      </c>
      <c r="D47" s="261">
        <v>1635.4713886168902</v>
      </c>
      <c r="E47" s="261">
        <v>1556.90374676334</v>
      </c>
      <c r="F47" s="261">
        <v>1683.8955504211501</v>
      </c>
      <c r="G47" s="261">
        <v>1710.9559155008103</v>
      </c>
      <c r="H47" s="261">
        <v>1798.9739390826401</v>
      </c>
      <c r="I47" s="261">
        <v>1800.7592513977104</v>
      </c>
      <c r="J47" s="261">
        <v>1856.5493808146002</v>
      </c>
      <c r="K47" s="261">
        <v>2043.8203294056002</v>
      </c>
      <c r="L47" s="261">
        <v>1981.6714508229302</v>
      </c>
      <c r="M47" s="261">
        <v>2006.93050921396</v>
      </c>
    </row>
    <row r="48" spans="1:13" s="41" customFormat="1" ht="12.75" customHeight="1">
      <c r="A48" s="11" t="s">
        <v>96</v>
      </c>
      <c r="B48" s="30" t="s">
        <v>104</v>
      </c>
      <c r="C48" s="261">
        <v>951.27112535612503</v>
      </c>
      <c r="D48" s="261">
        <v>950.58962862016904</v>
      </c>
      <c r="E48" s="261">
        <v>957.11467633754501</v>
      </c>
      <c r="F48" s="261">
        <v>956.51286606523206</v>
      </c>
      <c r="G48" s="261">
        <v>964.6995149163231</v>
      </c>
      <c r="H48" s="261">
        <v>994.49167119738411</v>
      </c>
      <c r="I48" s="261">
        <v>1024.0020301716199</v>
      </c>
      <c r="J48" s="261">
        <v>1057.86755720325</v>
      </c>
      <c r="K48" s="261">
        <v>1115.8772046698602</v>
      </c>
      <c r="L48" s="261">
        <v>1140.1985733070298</v>
      </c>
      <c r="M48" s="261">
        <v>1185.85793238305</v>
      </c>
    </row>
    <row r="49" spans="1:13" s="41" customFormat="1" ht="12.75" customHeight="1">
      <c r="A49" s="32" t="s">
        <v>97</v>
      </c>
      <c r="B49" s="33" t="s">
        <v>168</v>
      </c>
      <c r="C49" s="265">
        <v>2095.20644444444</v>
      </c>
      <c r="D49" s="265">
        <v>1896.4293055555599</v>
      </c>
      <c r="E49" s="265">
        <v>1860.1865384615401</v>
      </c>
      <c r="F49" s="265">
        <v>2012.884</v>
      </c>
      <c r="G49" s="265">
        <v>2228.1706451612899</v>
      </c>
      <c r="H49" s="265">
        <v>2104.8762195122004</v>
      </c>
      <c r="I49" s="265">
        <v>2323.98544444444</v>
      </c>
      <c r="J49" s="265">
        <v>2299.36</v>
      </c>
      <c r="K49" s="265">
        <v>2045.6536363636401</v>
      </c>
      <c r="L49" s="265">
        <v>1997.503125</v>
      </c>
      <c r="M49" s="265">
        <v>3245.8867521367501</v>
      </c>
    </row>
    <row r="50" spans="1:13" s="41" customFormat="1" ht="15" customHeight="1">
      <c r="A50" s="20" t="s">
        <v>138</v>
      </c>
      <c r="B50" s="10"/>
      <c r="C50" s="76"/>
      <c r="D50" s="76"/>
      <c r="E50" s="76"/>
      <c r="F50" s="76"/>
      <c r="G50" s="77"/>
      <c r="H50" s="77"/>
      <c r="I50" s="77"/>
      <c r="J50" s="77"/>
      <c r="K50" s="77"/>
      <c r="L50" s="77"/>
      <c r="M50" s="77"/>
    </row>
    <row r="51" spans="1:13" ht="10.5" customHeight="1">
      <c r="B51" s="627" t="s">
        <v>4</v>
      </c>
      <c r="C51" s="627"/>
      <c r="D51" s="627"/>
      <c r="E51" s="627"/>
      <c r="F51" s="627"/>
      <c r="G51" s="627"/>
      <c r="H51" s="627"/>
      <c r="I51" s="627"/>
      <c r="J51" s="627"/>
      <c r="K51" s="627"/>
      <c r="L51" s="627"/>
      <c r="M51" s="145"/>
    </row>
    <row r="52" spans="1:13" ht="15" customHeight="1">
      <c r="B52" s="147"/>
    </row>
  </sheetData>
  <mergeCells count="2">
    <mergeCell ref="B51:L51"/>
    <mergeCell ref="A1:M1"/>
  </mergeCells>
  <phoneticPr fontId="25" type="noConversion"/>
  <conditionalFormatting sqref="E3 A1 A51:B51 G50 A5:B5 A2:E2 A3:C3 A4:E4 A52:E1048576 B50:D50 C5:I49 N1:O4 AC1:XFD1048576 N6:O1048576 N5">
    <cfRule type="cellIs" dxfId="384" priority="50" operator="equal">
      <formula>0</formula>
    </cfRule>
  </conditionalFormatting>
  <conditionalFormatting sqref="E50">
    <cfRule type="cellIs" dxfId="383" priority="49" operator="equal">
      <formula>0</formula>
    </cfRule>
  </conditionalFormatting>
  <conditionalFormatting sqref="A50">
    <cfRule type="cellIs" dxfId="382" priority="45" operator="equal">
      <formula>0</formula>
    </cfRule>
  </conditionalFormatting>
  <conditionalFormatting sqref="G2:G4 G52:G1048576 H4:I4">
    <cfRule type="cellIs" dxfId="381" priority="44" operator="equal">
      <formula>0</formula>
    </cfRule>
  </conditionalFormatting>
  <conditionalFormatting sqref="F2:F4 F52:F1048576">
    <cfRule type="cellIs" dxfId="380" priority="41" operator="equal">
      <formula>0</formula>
    </cfRule>
  </conditionalFormatting>
  <conditionalFormatting sqref="F50">
    <cfRule type="cellIs" dxfId="379" priority="40" operator="equal">
      <formula>0</formula>
    </cfRule>
  </conditionalFormatting>
  <conditionalFormatting sqref="I50">
    <cfRule type="cellIs" dxfId="378" priority="35" operator="equal">
      <formula>0</formula>
    </cfRule>
  </conditionalFormatting>
  <conditionalFormatting sqref="I2:I3 I52:I1048576">
    <cfRule type="cellIs" dxfId="377" priority="34" operator="equal">
      <formula>0</formula>
    </cfRule>
  </conditionalFormatting>
  <conditionalFormatting sqref="H50">
    <cfRule type="cellIs" dxfId="376" priority="32" operator="equal">
      <formula>0</formula>
    </cfRule>
  </conditionalFormatting>
  <conditionalFormatting sqref="H2:H3 H52:H1048576">
    <cfRule type="cellIs" dxfId="375" priority="31" operator="equal">
      <formula>0</formula>
    </cfRule>
  </conditionalFormatting>
  <conditionalFormatting sqref="J4">
    <cfRule type="cellIs" dxfId="374" priority="29" operator="equal">
      <formula>0</formula>
    </cfRule>
  </conditionalFormatting>
  <conditionalFormatting sqref="J5:J49">
    <cfRule type="cellIs" dxfId="373" priority="28" operator="equal">
      <formula>0</formula>
    </cfRule>
  </conditionalFormatting>
  <conditionalFormatting sqref="J50">
    <cfRule type="cellIs" dxfId="372" priority="27" operator="equal">
      <formula>0</formula>
    </cfRule>
  </conditionalFormatting>
  <conditionalFormatting sqref="J2:J3 J52:J1048576">
    <cfRule type="cellIs" dxfId="371" priority="26" operator="equal">
      <formula>0</formula>
    </cfRule>
  </conditionalFormatting>
  <conditionalFormatting sqref="K4">
    <cfRule type="cellIs" dxfId="370" priority="25" operator="equal">
      <formula>0</formula>
    </cfRule>
  </conditionalFormatting>
  <conditionalFormatting sqref="K5:K49">
    <cfRule type="cellIs" dxfId="369" priority="24" operator="equal">
      <formula>0</formula>
    </cfRule>
  </conditionalFormatting>
  <conditionalFormatting sqref="K50">
    <cfRule type="cellIs" dxfId="368" priority="23" operator="equal">
      <formula>0</formula>
    </cfRule>
  </conditionalFormatting>
  <conditionalFormatting sqref="K2:K3 K52:K1048576">
    <cfRule type="cellIs" dxfId="367" priority="22" operator="equal">
      <formula>0</formula>
    </cfRule>
  </conditionalFormatting>
  <conditionalFormatting sqref="L4">
    <cfRule type="cellIs" dxfId="366" priority="18" operator="equal">
      <formula>0</formula>
    </cfRule>
  </conditionalFormatting>
  <conditionalFormatting sqref="L5:L49">
    <cfRule type="cellIs" dxfId="365" priority="17" operator="equal">
      <formula>0</formula>
    </cfRule>
  </conditionalFormatting>
  <conditionalFormatting sqref="L50">
    <cfRule type="cellIs" dxfId="364" priority="16" operator="equal">
      <formula>0</formula>
    </cfRule>
  </conditionalFormatting>
  <conditionalFormatting sqref="L2:L3 L52:L1048576">
    <cfRule type="cellIs" dxfId="363" priority="15" operator="equal">
      <formula>0</formula>
    </cfRule>
  </conditionalFormatting>
  <conditionalFormatting sqref="M4">
    <cfRule type="cellIs" dxfId="362" priority="14" operator="equal">
      <formula>0</formula>
    </cfRule>
  </conditionalFormatting>
  <conditionalFormatting sqref="M5:M49">
    <cfRule type="cellIs" dxfId="361" priority="13" operator="equal">
      <formula>0</formula>
    </cfRule>
  </conditionalFormatting>
  <conditionalFormatting sqref="M50">
    <cfRule type="cellIs" dxfId="360" priority="12" operator="equal">
      <formula>0</formula>
    </cfRule>
  </conditionalFormatting>
  <conditionalFormatting sqref="M2:M3 M52:M1048576">
    <cfRule type="cellIs" dxfId="359" priority="11" operator="equal">
      <formula>0</formula>
    </cfRule>
  </conditionalFormatting>
  <conditionalFormatting sqref="O5">
    <cfRule type="cellIs" dxfId="358"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98" orientation="portrait" r:id="rId1"/>
  <headerFooter>
    <oddHeader>&amp;C&amp;G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lha30">
    <tabColor rgb="FFA50021"/>
    <pageSetUpPr fitToPage="1"/>
  </sheetPr>
  <dimension ref="A1:GC42"/>
  <sheetViews>
    <sheetView showGridLines="0" workbookViewId="0">
      <selection activeCell="C4" sqref="C4:M43"/>
    </sheetView>
  </sheetViews>
  <sheetFormatPr defaultColWidth="9.140625" defaultRowHeight="11.25"/>
  <cols>
    <col min="1" max="1" width="14.7109375" style="62" customWidth="1"/>
    <col min="2" max="2" width="2.42578125" style="62" customWidth="1"/>
    <col min="3" max="13" width="6.42578125" style="62" customWidth="1"/>
    <col min="14" max="185" width="9.140625" style="62"/>
    <col min="186" max="16384" width="9.140625" style="8"/>
  </cols>
  <sheetData>
    <row r="1" spans="1:15" s="78" customFormat="1" ht="28.5" customHeight="1">
      <c r="A1" s="587" t="s">
        <v>213</v>
      </c>
      <c r="B1" s="587"/>
      <c r="C1" s="587"/>
      <c r="D1" s="587"/>
      <c r="E1" s="587"/>
      <c r="F1" s="587"/>
      <c r="G1" s="587"/>
      <c r="H1" s="587"/>
      <c r="I1" s="587"/>
      <c r="J1" s="587"/>
      <c r="K1" s="587"/>
      <c r="L1" s="587"/>
      <c r="M1" s="587"/>
    </row>
    <row r="2" spans="1:15" s="61" customFormat="1" ht="15" customHeight="1">
      <c r="A2" s="71"/>
      <c r="B2" s="71"/>
      <c r="C2" s="72"/>
      <c r="D2" s="72"/>
      <c r="E2" s="72"/>
      <c r="F2" s="72"/>
      <c r="G2" s="72"/>
      <c r="H2" s="72"/>
      <c r="I2" s="72"/>
      <c r="J2" s="72"/>
      <c r="K2" s="72"/>
      <c r="L2" s="72"/>
      <c r="M2" s="72"/>
    </row>
    <row r="3" spans="1:15" s="41" customFormat="1" ht="15" customHeight="1">
      <c r="A3" s="35" t="s">
        <v>14</v>
      </c>
      <c r="B3" s="53"/>
      <c r="C3" s="99"/>
      <c r="E3" s="99"/>
      <c r="F3" s="99"/>
      <c r="G3" s="99"/>
      <c r="H3" s="99"/>
      <c r="I3" s="99"/>
      <c r="J3" s="99"/>
      <c r="K3" s="99"/>
      <c r="L3" s="99"/>
      <c r="M3" s="99" t="s">
        <v>68</v>
      </c>
    </row>
    <row r="4" spans="1:15" s="93" customFormat="1" ht="29.25" customHeight="1" thickBot="1">
      <c r="A4" s="54"/>
      <c r="B4" s="54"/>
      <c r="C4" s="38">
        <v>2012</v>
      </c>
      <c r="D4" s="38">
        <v>2013</v>
      </c>
      <c r="E4" s="38">
        <v>2014</v>
      </c>
      <c r="F4" s="38">
        <v>2015</v>
      </c>
      <c r="G4" s="38">
        <v>2016</v>
      </c>
      <c r="H4" s="38">
        <v>2017</v>
      </c>
      <c r="I4" s="38">
        <v>2018</v>
      </c>
      <c r="J4" s="38">
        <v>2019</v>
      </c>
      <c r="K4" s="38">
        <v>2020</v>
      </c>
      <c r="L4" s="38">
        <v>2021</v>
      </c>
      <c r="M4" s="38">
        <v>2022</v>
      </c>
    </row>
    <row r="5" spans="1:15" s="41" customFormat="1" ht="16.5" customHeight="1" thickTop="1">
      <c r="A5" s="52" t="s">
        <v>12</v>
      </c>
      <c r="B5" s="53" t="s">
        <v>45</v>
      </c>
      <c r="C5" s="289">
        <v>1095.58619281857</v>
      </c>
      <c r="D5" s="289">
        <v>1093.8178723953499</v>
      </c>
      <c r="E5" s="289">
        <v>1093.20854089105</v>
      </c>
      <c r="F5" s="289">
        <v>1096.65734127991</v>
      </c>
      <c r="G5" s="289">
        <v>1107.85636561875</v>
      </c>
      <c r="H5" s="289">
        <v>1133.34288689707</v>
      </c>
      <c r="I5" s="289">
        <v>1170.2525051678801</v>
      </c>
      <c r="J5" s="289">
        <v>1209.93900485576</v>
      </c>
      <c r="K5" s="289">
        <v>1250.75197084447</v>
      </c>
      <c r="L5" s="289">
        <v>1294.10894067238</v>
      </c>
      <c r="M5" s="289">
        <v>1367.9952489883699</v>
      </c>
      <c r="O5" s="316"/>
    </row>
    <row r="6" spans="1:15" s="41" customFormat="1" ht="12.75" customHeight="1">
      <c r="A6" s="35"/>
      <c r="B6" s="53" t="s">
        <v>53</v>
      </c>
      <c r="C6" s="288">
        <v>1213.0207353340002</v>
      </c>
      <c r="D6" s="288">
        <v>1209.2112926836</v>
      </c>
      <c r="E6" s="288">
        <v>1203.3163954215399</v>
      </c>
      <c r="F6" s="288">
        <v>1207.7620848918802</v>
      </c>
      <c r="G6" s="288">
        <v>1215.1073571470499</v>
      </c>
      <c r="H6" s="288">
        <v>1236.8510439336801</v>
      </c>
      <c r="I6" s="288">
        <v>1273.9856646448</v>
      </c>
      <c r="J6" s="288">
        <v>1312.4262476007902</v>
      </c>
      <c r="K6" s="288">
        <v>1349.3525335819299</v>
      </c>
      <c r="L6" s="288">
        <v>1395.6950744819503</v>
      </c>
      <c r="M6" s="288">
        <v>1476.20345437132</v>
      </c>
      <c r="O6" s="316"/>
    </row>
    <row r="7" spans="1:15" s="41" customFormat="1" ht="12.75" customHeight="1">
      <c r="A7" s="35"/>
      <c r="B7" s="53" t="s">
        <v>54</v>
      </c>
      <c r="C7" s="288">
        <v>956.51135558425801</v>
      </c>
      <c r="D7" s="288">
        <v>958.1169410237261</v>
      </c>
      <c r="E7" s="288">
        <v>963.11657750883012</v>
      </c>
      <c r="F7" s="288">
        <v>966.85175731037509</v>
      </c>
      <c r="G7" s="288">
        <v>982.48629518294808</v>
      </c>
      <c r="H7" s="288">
        <v>1011.0188687181301</v>
      </c>
      <c r="I7" s="288">
        <v>1046.5864208241201</v>
      </c>
      <c r="J7" s="288">
        <v>1086.9729161883299</v>
      </c>
      <c r="K7" s="288">
        <v>1130.8674354246</v>
      </c>
      <c r="L7" s="288">
        <v>1172.0779291766798</v>
      </c>
      <c r="M7" s="288">
        <v>1237.52369998673</v>
      </c>
      <c r="O7" s="316"/>
    </row>
    <row r="8" spans="1:15" s="41" customFormat="1" ht="16.5" customHeight="1">
      <c r="A8" s="56" t="s">
        <v>32</v>
      </c>
      <c r="B8" s="53" t="s">
        <v>45</v>
      </c>
      <c r="C8" s="288">
        <v>803.67702402495399</v>
      </c>
      <c r="D8" s="288">
        <v>799.84206277540193</v>
      </c>
      <c r="E8" s="288">
        <v>807.75256890603009</v>
      </c>
      <c r="F8" s="288">
        <v>801.27723607186999</v>
      </c>
      <c r="G8" s="288">
        <v>818.73814185853109</v>
      </c>
      <c r="H8" s="288">
        <v>843.6251575294591</v>
      </c>
      <c r="I8" s="288">
        <v>873.63291217675305</v>
      </c>
      <c r="J8" s="288">
        <v>909.38421475915311</v>
      </c>
      <c r="K8" s="288">
        <v>943.370512820513</v>
      </c>
      <c r="L8" s="288">
        <v>982.19631373143409</v>
      </c>
      <c r="M8" s="288">
        <v>1033.6639272763</v>
      </c>
    </row>
    <row r="9" spans="1:15" s="41" customFormat="1" ht="12.75" customHeight="1">
      <c r="A9" s="50"/>
      <c r="B9" s="57" t="s">
        <v>53</v>
      </c>
      <c r="C9" s="290">
        <v>857.87168255792005</v>
      </c>
      <c r="D9" s="290">
        <v>851.21094620719407</v>
      </c>
      <c r="E9" s="290">
        <v>855.98884436759613</v>
      </c>
      <c r="F9" s="290">
        <v>849.98972816938704</v>
      </c>
      <c r="G9" s="290">
        <v>864.71289395020801</v>
      </c>
      <c r="H9" s="290">
        <v>888.8023708156951</v>
      </c>
      <c r="I9" s="290">
        <v>919.23678361451903</v>
      </c>
      <c r="J9" s="290">
        <v>956.75304109247804</v>
      </c>
      <c r="K9" s="290">
        <v>990.38153933467913</v>
      </c>
      <c r="L9" s="290">
        <v>1031.61272126008</v>
      </c>
      <c r="M9" s="290">
        <v>1085.5413717949602</v>
      </c>
    </row>
    <row r="10" spans="1:15" s="41" customFormat="1" ht="12.75" customHeight="1">
      <c r="A10" s="50"/>
      <c r="B10" s="57" t="s">
        <v>54</v>
      </c>
      <c r="C10" s="290">
        <v>748.92851730751499</v>
      </c>
      <c r="D10" s="290">
        <v>747.77114155417507</v>
      </c>
      <c r="E10" s="290">
        <v>758.82941598486912</v>
      </c>
      <c r="F10" s="290">
        <v>753.06718737594304</v>
      </c>
      <c r="G10" s="290">
        <v>772.60593082126707</v>
      </c>
      <c r="H10" s="290">
        <v>798.21597960482609</v>
      </c>
      <c r="I10" s="290">
        <v>827.53841609668905</v>
      </c>
      <c r="J10" s="290">
        <v>861.24693838502708</v>
      </c>
      <c r="K10" s="290">
        <v>894.41305772098303</v>
      </c>
      <c r="L10" s="290">
        <v>931.25893336411207</v>
      </c>
      <c r="M10" s="290">
        <v>980.41700610156511</v>
      </c>
    </row>
    <row r="11" spans="1:15" s="36" customFormat="1" ht="16.5" customHeight="1">
      <c r="A11" s="56" t="s">
        <v>33</v>
      </c>
      <c r="B11" s="53" t="s">
        <v>45</v>
      </c>
      <c r="C11" s="288">
        <v>948.0501840434581</v>
      </c>
      <c r="D11" s="288">
        <v>945.40295345389006</v>
      </c>
      <c r="E11" s="288">
        <v>943.51593507773612</v>
      </c>
      <c r="F11" s="288">
        <v>938.6944916698601</v>
      </c>
      <c r="G11" s="288">
        <v>944.26457100554899</v>
      </c>
      <c r="H11" s="288">
        <v>962.82208556429498</v>
      </c>
      <c r="I11" s="288">
        <v>989.21400267856507</v>
      </c>
      <c r="J11" s="288">
        <v>1016.15395208083</v>
      </c>
      <c r="K11" s="288">
        <v>1055.5458432795401</v>
      </c>
      <c r="L11" s="288">
        <v>1090.06859460341</v>
      </c>
      <c r="M11" s="288">
        <v>1140.0500406969099</v>
      </c>
    </row>
    <row r="12" spans="1:15" s="41" customFormat="1" ht="12.75" customHeight="1">
      <c r="A12" s="50"/>
      <c r="B12" s="57" t="s">
        <v>53</v>
      </c>
      <c r="C12" s="290">
        <v>1001.4236594483</v>
      </c>
      <c r="D12" s="290">
        <v>998.87772260797101</v>
      </c>
      <c r="E12" s="290">
        <v>991.31936145207601</v>
      </c>
      <c r="F12" s="290">
        <v>983.18961422067309</v>
      </c>
      <c r="G12" s="290">
        <v>986.256372942751</v>
      </c>
      <c r="H12" s="290">
        <v>1001.68300667301</v>
      </c>
      <c r="I12" s="290">
        <v>1029.09967289867</v>
      </c>
      <c r="J12" s="290">
        <v>1054.9375572746201</v>
      </c>
      <c r="K12" s="290">
        <v>1093.7640626945802</v>
      </c>
      <c r="L12" s="290">
        <v>1129.1506907033702</v>
      </c>
      <c r="M12" s="290">
        <v>1182.8289574084699</v>
      </c>
    </row>
    <row r="13" spans="1:15" s="41" customFormat="1" ht="12.75" customHeight="1">
      <c r="A13" s="50"/>
      <c r="B13" s="57" t="s">
        <v>54</v>
      </c>
      <c r="C13" s="290">
        <v>884.06610904694696</v>
      </c>
      <c r="D13" s="290">
        <v>881.76997083343701</v>
      </c>
      <c r="E13" s="290">
        <v>886.65562619557602</v>
      </c>
      <c r="F13" s="290">
        <v>886.40326498209811</v>
      </c>
      <c r="G13" s="290">
        <v>894.7589527228281</v>
      </c>
      <c r="H13" s="290">
        <v>917.39888956136201</v>
      </c>
      <c r="I13" s="290">
        <v>942.39153959848204</v>
      </c>
      <c r="J13" s="290">
        <v>970.3707141896341</v>
      </c>
      <c r="K13" s="290">
        <v>1009.0279208639901</v>
      </c>
      <c r="L13" s="290">
        <v>1043.1272109968602</v>
      </c>
      <c r="M13" s="290">
        <v>1089.4497622779102</v>
      </c>
    </row>
    <row r="14" spans="1:15" s="36" customFormat="1" ht="16.5" customHeight="1">
      <c r="A14" s="56" t="s">
        <v>34</v>
      </c>
      <c r="B14" s="53" t="s">
        <v>45</v>
      </c>
      <c r="C14" s="288">
        <v>990.06584490736304</v>
      </c>
      <c r="D14" s="288">
        <v>991.34768878156103</v>
      </c>
      <c r="E14" s="288">
        <v>992.60047636725903</v>
      </c>
      <c r="F14" s="288">
        <v>990.45183750366903</v>
      </c>
      <c r="G14" s="288">
        <v>994.2129413822521</v>
      </c>
      <c r="H14" s="288">
        <v>1017.8720455152201</v>
      </c>
      <c r="I14" s="288">
        <v>1046.6739287159901</v>
      </c>
      <c r="J14" s="288">
        <v>1076.5283148486699</v>
      </c>
      <c r="K14" s="288">
        <v>1122.7911894484403</v>
      </c>
      <c r="L14" s="288">
        <v>1155.1997325263901</v>
      </c>
      <c r="M14" s="288">
        <v>1209.76479548917</v>
      </c>
    </row>
    <row r="15" spans="1:15" s="41" customFormat="1" ht="12.75" customHeight="1">
      <c r="A15" s="50"/>
      <c r="B15" s="57" t="s">
        <v>53</v>
      </c>
      <c r="C15" s="290">
        <v>1066.5266230493401</v>
      </c>
      <c r="D15" s="290">
        <v>1067.9659414281502</v>
      </c>
      <c r="E15" s="290">
        <v>1065.0847666546501</v>
      </c>
      <c r="F15" s="290">
        <v>1063.7422974256801</v>
      </c>
      <c r="G15" s="290">
        <v>1059.9167319189999</v>
      </c>
      <c r="H15" s="290">
        <v>1080.5739159199702</v>
      </c>
      <c r="I15" s="290">
        <v>1108.77333543856</v>
      </c>
      <c r="J15" s="290">
        <v>1139.4002543988199</v>
      </c>
      <c r="K15" s="290">
        <v>1183.01226187059</v>
      </c>
      <c r="L15" s="290">
        <v>1218.7807271453298</v>
      </c>
      <c r="M15" s="290">
        <v>1273.7743966666701</v>
      </c>
    </row>
    <row r="16" spans="1:15" s="41" customFormat="1" ht="12.75" customHeight="1">
      <c r="A16" s="50"/>
      <c r="B16" s="57" t="s">
        <v>54</v>
      </c>
      <c r="C16" s="290">
        <v>892.59605942680002</v>
      </c>
      <c r="D16" s="290">
        <v>894.61080448406699</v>
      </c>
      <c r="E16" s="290">
        <v>901.55310590909914</v>
      </c>
      <c r="F16" s="290">
        <v>900.05116163395701</v>
      </c>
      <c r="G16" s="290">
        <v>912.18010795668908</v>
      </c>
      <c r="H16" s="290">
        <v>938.81177309519808</v>
      </c>
      <c r="I16" s="290">
        <v>968.43023723998397</v>
      </c>
      <c r="J16" s="290">
        <v>996.32814204419503</v>
      </c>
      <c r="K16" s="290">
        <v>1042.0230812479901</v>
      </c>
      <c r="L16" s="290">
        <v>1072.4097925574301</v>
      </c>
      <c r="M16" s="290">
        <v>1126.4822177888602</v>
      </c>
    </row>
    <row r="17" spans="1:13" s="36" customFormat="1" ht="16.5" customHeight="1">
      <c r="A17" s="56" t="s">
        <v>35</v>
      </c>
      <c r="B17" s="53" t="s">
        <v>45</v>
      </c>
      <c r="C17" s="288">
        <v>1085.3852560206499</v>
      </c>
      <c r="D17" s="288">
        <v>1077.5847679434203</v>
      </c>
      <c r="E17" s="288">
        <v>1073.2276525198899</v>
      </c>
      <c r="F17" s="288">
        <v>1071.8828135377901</v>
      </c>
      <c r="G17" s="288">
        <v>1077.87750091462</v>
      </c>
      <c r="H17" s="288">
        <v>1097.35642562621</v>
      </c>
      <c r="I17" s="288">
        <v>1128.5714756341101</v>
      </c>
      <c r="J17" s="288">
        <v>1168.7236728640401</v>
      </c>
      <c r="K17" s="288">
        <v>1211.6995064422802</v>
      </c>
      <c r="L17" s="288">
        <v>1250.6399124690001</v>
      </c>
      <c r="M17" s="288">
        <v>1303.35298117039</v>
      </c>
    </row>
    <row r="18" spans="1:13" s="41" customFormat="1" ht="12.75" customHeight="1">
      <c r="A18" s="50"/>
      <c r="B18" s="57" t="s">
        <v>53</v>
      </c>
      <c r="C18" s="290">
        <v>1217.2261988259902</v>
      </c>
      <c r="D18" s="290">
        <v>1209.5119169811701</v>
      </c>
      <c r="E18" s="290">
        <v>1201.4461794515601</v>
      </c>
      <c r="F18" s="290">
        <v>1192.8040538428702</v>
      </c>
      <c r="G18" s="290">
        <v>1193.9529407391401</v>
      </c>
      <c r="H18" s="290">
        <v>1207.5573427935201</v>
      </c>
      <c r="I18" s="290">
        <v>1235.6555327533301</v>
      </c>
      <c r="J18" s="290">
        <v>1274.69551666301</v>
      </c>
      <c r="K18" s="290">
        <v>1318.4964491649</v>
      </c>
      <c r="L18" s="290">
        <v>1360.4732269962301</v>
      </c>
      <c r="M18" s="290">
        <v>1413.7425465378601</v>
      </c>
    </row>
    <row r="19" spans="1:13" s="41" customFormat="1" ht="12.75" customHeight="1">
      <c r="A19" s="50"/>
      <c r="B19" s="57" t="s">
        <v>54</v>
      </c>
      <c r="C19" s="290">
        <v>932.80785294669101</v>
      </c>
      <c r="D19" s="290">
        <v>927.58239336567408</v>
      </c>
      <c r="E19" s="290">
        <v>927.34523878054313</v>
      </c>
      <c r="F19" s="290">
        <v>932.85923555129716</v>
      </c>
      <c r="G19" s="290">
        <v>944.05640918278107</v>
      </c>
      <c r="H19" s="290">
        <v>968.84433501025808</v>
      </c>
      <c r="I19" s="290">
        <v>1002.5950586735</v>
      </c>
      <c r="J19" s="290">
        <v>1039.91646466723</v>
      </c>
      <c r="K19" s="290">
        <v>1079.0609012058001</v>
      </c>
      <c r="L19" s="290">
        <v>1115.7782550653098</v>
      </c>
      <c r="M19" s="290">
        <v>1168.2306794890601</v>
      </c>
    </row>
    <row r="20" spans="1:13" s="36" customFormat="1" ht="16.5" customHeight="1">
      <c r="A20" s="56" t="s">
        <v>36</v>
      </c>
      <c r="B20" s="53" t="s">
        <v>45</v>
      </c>
      <c r="C20" s="288">
        <v>1154.2580752932499</v>
      </c>
      <c r="D20" s="288">
        <v>1144.7507321879</v>
      </c>
      <c r="E20" s="288">
        <v>1150.3883815834699</v>
      </c>
      <c r="F20" s="288">
        <v>1152.6970783045701</v>
      </c>
      <c r="G20" s="288">
        <v>1157.8549277167801</v>
      </c>
      <c r="H20" s="288">
        <v>1193.6844893175501</v>
      </c>
      <c r="I20" s="288">
        <v>1225.6902500624701</v>
      </c>
      <c r="J20" s="288">
        <v>1259.0541087495001</v>
      </c>
      <c r="K20" s="288">
        <v>1298.2743023269202</v>
      </c>
      <c r="L20" s="288">
        <v>1354.7870776509601</v>
      </c>
      <c r="M20" s="288">
        <v>1418.2119665652901</v>
      </c>
    </row>
    <row r="21" spans="1:13" s="41" customFormat="1" ht="12.75" customHeight="1">
      <c r="A21" s="50"/>
      <c r="B21" s="57" t="s">
        <v>53</v>
      </c>
      <c r="C21" s="290">
        <v>1320.3072833449899</v>
      </c>
      <c r="D21" s="290">
        <v>1302.4802471635899</v>
      </c>
      <c r="E21" s="290">
        <v>1303.5312513766801</v>
      </c>
      <c r="F21" s="290">
        <v>1305.5972507701902</v>
      </c>
      <c r="G21" s="290">
        <v>1304.8093246440901</v>
      </c>
      <c r="H21" s="290">
        <v>1340.32806709491</v>
      </c>
      <c r="I21" s="290">
        <v>1371.6150297217</v>
      </c>
      <c r="J21" s="290">
        <v>1397.32850611966</v>
      </c>
      <c r="K21" s="290">
        <v>1431.5670031340301</v>
      </c>
      <c r="L21" s="290">
        <v>1497.8970357150301</v>
      </c>
      <c r="M21" s="290">
        <v>1563.1128990474201</v>
      </c>
    </row>
    <row r="22" spans="1:13" s="41" customFormat="1" ht="12.75" customHeight="1">
      <c r="A22" s="50"/>
      <c r="B22" s="57" t="s">
        <v>54</v>
      </c>
      <c r="C22" s="290">
        <v>968.20588364623609</v>
      </c>
      <c r="D22" s="290">
        <v>968.98885916525205</v>
      </c>
      <c r="E22" s="290">
        <v>979.46830646457602</v>
      </c>
      <c r="F22" s="290">
        <v>984.32240906460106</v>
      </c>
      <c r="G22" s="290">
        <v>995.59403997053209</v>
      </c>
      <c r="H22" s="290">
        <v>1027.6236593671501</v>
      </c>
      <c r="I22" s="290">
        <v>1059.5102186305598</v>
      </c>
      <c r="J22" s="290">
        <v>1099.85191040991</v>
      </c>
      <c r="K22" s="290">
        <v>1143.29676724819</v>
      </c>
      <c r="L22" s="290">
        <v>1190.6827835092802</v>
      </c>
      <c r="M22" s="290">
        <v>1249.2775757123102</v>
      </c>
    </row>
    <row r="23" spans="1:13" s="36" customFormat="1" ht="16.5" customHeight="1">
      <c r="A23" s="56" t="s">
        <v>37</v>
      </c>
      <c r="B23" s="53" t="s">
        <v>45</v>
      </c>
      <c r="C23" s="288">
        <v>1355.86361667091</v>
      </c>
      <c r="D23" s="288">
        <v>1323.2950946164801</v>
      </c>
      <c r="E23" s="288">
        <v>1313.5634630787799</v>
      </c>
      <c r="F23" s="288">
        <v>1327.5867928728501</v>
      </c>
      <c r="G23" s="288">
        <v>1303.4952444485903</v>
      </c>
      <c r="H23" s="288">
        <v>1300.1882690144002</v>
      </c>
      <c r="I23" s="288">
        <v>1352.9040719960001</v>
      </c>
      <c r="J23" s="288">
        <v>1389.8894796050902</v>
      </c>
      <c r="K23" s="288">
        <v>1425.8199824717999</v>
      </c>
      <c r="L23" s="288">
        <v>1467.4441438906401</v>
      </c>
      <c r="M23" s="288">
        <v>1552.23105497244</v>
      </c>
    </row>
    <row r="24" spans="1:13" s="41" customFormat="1" ht="12.75" customHeight="1">
      <c r="A24" s="50"/>
      <c r="B24" s="57" t="s">
        <v>53</v>
      </c>
      <c r="C24" s="290">
        <v>1542.92489609216</v>
      </c>
      <c r="D24" s="290">
        <v>1487.5629483074501</v>
      </c>
      <c r="E24" s="290">
        <v>1472.2033426418</v>
      </c>
      <c r="F24" s="290">
        <v>1490.16416854614</v>
      </c>
      <c r="G24" s="290">
        <v>1453.72197977317</v>
      </c>
      <c r="H24" s="290">
        <v>1430.1933267639502</v>
      </c>
      <c r="I24" s="290">
        <v>1475.8155332505603</v>
      </c>
      <c r="J24" s="290">
        <v>1514.5836805440401</v>
      </c>
      <c r="K24" s="290">
        <v>1550.11054067289</v>
      </c>
      <c r="L24" s="290">
        <v>1599.5403427301801</v>
      </c>
      <c r="M24" s="290">
        <v>1681.31223385309</v>
      </c>
    </row>
    <row r="25" spans="1:13" s="41" customFormat="1" ht="12.75" customHeight="1">
      <c r="A25" s="50"/>
      <c r="B25" s="57" t="s">
        <v>54</v>
      </c>
      <c r="C25" s="290">
        <v>1114.0161475238901</v>
      </c>
      <c r="D25" s="290">
        <v>1112.81349526453</v>
      </c>
      <c r="E25" s="290">
        <v>1105.3673758669602</v>
      </c>
      <c r="F25" s="290">
        <v>1113.8828047434101</v>
      </c>
      <c r="G25" s="290">
        <v>1112.7634528163901</v>
      </c>
      <c r="H25" s="290">
        <v>1130.1363503677301</v>
      </c>
      <c r="I25" s="290">
        <v>1190.71678318975</v>
      </c>
      <c r="J25" s="290">
        <v>1227.2777046757301</v>
      </c>
      <c r="K25" s="290">
        <v>1261.9340406783499</v>
      </c>
      <c r="L25" s="290">
        <v>1296.2774392240801</v>
      </c>
      <c r="M25" s="290">
        <v>1384.32570297657</v>
      </c>
    </row>
    <row r="26" spans="1:13" s="36" customFormat="1" ht="16.5" customHeight="1">
      <c r="A26" s="56" t="s">
        <v>38</v>
      </c>
      <c r="B26" s="53" t="s">
        <v>45</v>
      </c>
      <c r="C26" s="288">
        <v>1330.6379241824602</v>
      </c>
      <c r="D26" s="288">
        <v>1400.59204935563</v>
      </c>
      <c r="E26" s="288">
        <v>1384.81088318604</v>
      </c>
      <c r="F26" s="288">
        <v>1322.8371760863499</v>
      </c>
      <c r="G26" s="288">
        <v>1445.3933498080903</v>
      </c>
      <c r="H26" s="288">
        <v>1376.13837321613</v>
      </c>
      <c r="I26" s="288">
        <v>1396.0963163012402</v>
      </c>
      <c r="J26" s="288">
        <v>1402.3967330724502</v>
      </c>
      <c r="K26" s="288">
        <v>1472.48704151634</v>
      </c>
      <c r="L26" s="288">
        <v>1512.0010199931398</v>
      </c>
      <c r="M26" s="288">
        <v>1587.0819347728902</v>
      </c>
    </row>
    <row r="27" spans="1:13" s="41" customFormat="1" ht="12.75" customHeight="1">
      <c r="A27" s="50"/>
      <c r="B27" s="57" t="s">
        <v>53</v>
      </c>
      <c r="C27" s="290">
        <v>1452.8806282033199</v>
      </c>
      <c r="D27" s="290">
        <v>1541.4117995994802</v>
      </c>
      <c r="E27" s="290">
        <v>1526.41651324285</v>
      </c>
      <c r="F27" s="290">
        <v>1434.0392576389702</v>
      </c>
      <c r="G27" s="290">
        <v>1628.6850673683302</v>
      </c>
      <c r="H27" s="290">
        <v>1522.40039353779</v>
      </c>
      <c r="I27" s="290">
        <v>1534.0830565787801</v>
      </c>
      <c r="J27" s="290">
        <v>1506.4298860157203</v>
      </c>
      <c r="K27" s="290">
        <v>1558.4978323768801</v>
      </c>
      <c r="L27" s="290">
        <v>1624.7732752239601</v>
      </c>
      <c r="M27" s="290">
        <v>1706.0875767092202</v>
      </c>
    </row>
    <row r="28" spans="1:13" s="41" customFormat="1" ht="12.75" customHeight="1">
      <c r="A28" s="50"/>
      <c r="B28" s="57" t="s">
        <v>54</v>
      </c>
      <c r="C28" s="290">
        <v>1154.2710718767999</v>
      </c>
      <c r="D28" s="290">
        <v>1193.19358816151</v>
      </c>
      <c r="E28" s="290">
        <v>1188.2526708830799</v>
      </c>
      <c r="F28" s="290">
        <v>1163.6411434659099</v>
      </c>
      <c r="G28" s="290">
        <v>1192.7957049077802</v>
      </c>
      <c r="H28" s="290">
        <v>1183.9803098025302</v>
      </c>
      <c r="I28" s="290">
        <v>1210.9260737593402</v>
      </c>
      <c r="J28" s="290">
        <v>1262.6645126424</v>
      </c>
      <c r="K28" s="290">
        <v>1352.62847933834</v>
      </c>
      <c r="L28" s="290">
        <v>1367.1591070898</v>
      </c>
      <c r="M28" s="290">
        <v>1433.8947845627101</v>
      </c>
    </row>
    <row r="29" spans="1:13" s="36" customFormat="1" ht="16.5" customHeight="1">
      <c r="A29" s="56" t="s">
        <v>39</v>
      </c>
      <c r="B29" s="53" t="s">
        <v>45</v>
      </c>
      <c r="C29" s="288">
        <v>1445.6060275321802</v>
      </c>
      <c r="D29" s="288">
        <v>1439.84412212405</v>
      </c>
      <c r="E29" s="288">
        <v>1389.18314250241</v>
      </c>
      <c r="F29" s="288">
        <v>1550.4736885516302</v>
      </c>
      <c r="G29" s="288">
        <v>1457.9364476237999</v>
      </c>
      <c r="H29" s="288">
        <v>1565.5005851731601</v>
      </c>
      <c r="I29" s="288">
        <v>1614.6497674877201</v>
      </c>
      <c r="J29" s="288">
        <v>1633.3337905317803</v>
      </c>
      <c r="K29" s="288">
        <v>1753.6480236097502</v>
      </c>
      <c r="L29" s="288">
        <v>1653.7349287822001</v>
      </c>
      <c r="M29" s="288">
        <v>1727.9357602575599</v>
      </c>
    </row>
    <row r="30" spans="1:13" s="41" customFormat="1" ht="12.75" customHeight="1">
      <c r="A30" s="50"/>
      <c r="B30" s="57" t="s">
        <v>53</v>
      </c>
      <c r="C30" s="290">
        <v>1597.9792037997902</v>
      </c>
      <c r="D30" s="290">
        <v>1618.3479253236999</v>
      </c>
      <c r="E30" s="290">
        <v>1529.71148298866</v>
      </c>
      <c r="F30" s="290">
        <v>1747.4328782482501</v>
      </c>
      <c r="G30" s="290">
        <v>1590.9405836933502</v>
      </c>
      <c r="H30" s="290">
        <v>1803.77936278938</v>
      </c>
      <c r="I30" s="290">
        <v>1843.0790868468703</v>
      </c>
      <c r="J30" s="290">
        <v>1875.3228046599802</v>
      </c>
      <c r="K30" s="290">
        <v>2004.1117696901201</v>
      </c>
      <c r="L30" s="290">
        <v>1802.3362045107103</v>
      </c>
      <c r="M30" s="290">
        <v>1868.1417712265302</v>
      </c>
    </row>
    <row r="31" spans="1:13" s="41" customFormat="1" ht="12.75" customHeight="1">
      <c r="A31" s="50"/>
      <c r="B31" s="57" t="s">
        <v>54</v>
      </c>
      <c r="C31" s="290">
        <v>1229.28117803174</v>
      </c>
      <c r="D31" s="290">
        <v>1192.2721319691002</v>
      </c>
      <c r="E31" s="290">
        <v>1186.2722121080801</v>
      </c>
      <c r="F31" s="290">
        <v>1268.7875843041102</v>
      </c>
      <c r="G31" s="290">
        <v>1255.67869024322</v>
      </c>
      <c r="H31" s="290">
        <v>1218.51072770629</v>
      </c>
      <c r="I31" s="290">
        <v>1272.8537663562902</v>
      </c>
      <c r="J31" s="290">
        <v>1272.74378199435</v>
      </c>
      <c r="K31" s="290">
        <v>1379.9577629730702</v>
      </c>
      <c r="L31" s="290">
        <v>1435.6292462410502</v>
      </c>
      <c r="M31" s="290">
        <v>1513.8105702714502</v>
      </c>
    </row>
    <row r="32" spans="1:13" s="36" customFormat="1" ht="16.5" customHeight="1">
      <c r="A32" s="56" t="s">
        <v>40</v>
      </c>
      <c r="B32" s="53" t="s">
        <v>45</v>
      </c>
      <c r="C32" s="288">
        <v>1350.05243405488</v>
      </c>
      <c r="D32" s="288">
        <v>1331.73112902299</v>
      </c>
      <c r="E32" s="288">
        <v>1380.76556600918</v>
      </c>
      <c r="F32" s="288">
        <v>1377.5002039337703</v>
      </c>
      <c r="G32" s="288">
        <v>1431.9194051126501</v>
      </c>
      <c r="H32" s="288">
        <v>1464.3111441568701</v>
      </c>
      <c r="I32" s="288">
        <v>1486.22384669906</v>
      </c>
      <c r="J32" s="288">
        <v>1501.6884175034902</v>
      </c>
      <c r="K32" s="288">
        <v>1567.0818415384203</v>
      </c>
      <c r="L32" s="288">
        <v>1645.9818256118301</v>
      </c>
      <c r="M32" s="288">
        <v>1710.60056361237</v>
      </c>
    </row>
    <row r="33" spans="1:13" s="41" customFormat="1" ht="12.75" customHeight="1">
      <c r="A33" s="50"/>
      <c r="B33" s="57" t="s">
        <v>53</v>
      </c>
      <c r="C33" s="290">
        <v>1478.2781274249</v>
      </c>
      <c r="D33" s="290">
        <v>1440.5967258338701</v>
      </c>
      <c r="E33" s="290">
        <v>1496.8265813471201</v>
      </c>
      <c r="F33" s="290">
        <v>1498.3163956664202</v>
      </c>
      <c r="G33" s="290">
        <v>1550.3309697921402</v>
      </c>
      <c r="H33" s="290">
        <v>1569.7017801704001</v>
      </c>
      <c r="I33" s="290">
        <v>1588.9555480635902</v>
      </c>
      <c r="J33" s="290">
        <v>1606.9556804891602</v>
      </c>
      <c r="K33" s="290">
        <v>1674.0281141989501</v>
      </c>
      <c r="L33" s="290">
        <v>1781.2465525209202</v>
      </c>
      <c r="M33" s="290">
        <v>1854.4482327746</v>
      </c>
    </row>
    <row r="34" spans="1:13" s="41" customFormat="1" ht="12.75" customHeight="1">
      <c r="A34" s="50"/>
      <c r="B34" s="57" t="s">
        <v>54</v>
      </c>
      <c r="C34" s="290">
        <v>1172.4432858623502</v>
      </c>
      <c r="D34" s="290">
        <v>1175.4411131113102</v>
      </c>
      <c r="E34" s="290">
        <v>1212.41779112411</v>
      </c>
      <c r="F34" s="290">
        <v>1206.2149099256901</v>
      </c>
      <c r="G34" s="290">
        <v>1265.6844255038502</v>
      </c>
      <c r="H34" s="290">
        <v>1310.9853087976601</v>
      </c>
      <c r="I34" s="290">
        <v>1333.0829148973401</v>
      </c>
      <c r="J34" s="290">
        <v>1345.9225879900803</v>
      </c>
      <c r="K34" s="290">
        <v>1410.66586946797</v>
      </c>
      <c r="L34" s="290">
        <v>1445.1520616545301</v>
      </c>
      <c r="M34" s="290">
        <v>1503.1085311808499</v>
      </c>
    </row>
    <row r="35" spans="1:13" s="36" customFormat="1" ht="16.5" customHeight="1">
      <c r="A35" s="56" t="s">
        <v>41</v>
      </c>
      <c r="B35" s="53" t="s">
        <v>45</v>
      </c>
      <c r="C35" s="288">
        <v>1477.16956037766</v>
      </c>
      <c r="D35" s="288">
        <v>1485.52176284805</v>
      </c>
      <c r="E35" s="288">
        <v>1449.3986879582599</v>
      </c>
      <c r="F35" s="288">
        <v>1435.2919921521302</v>
      </c>
      <c r="G35" s="288">
        <v>1436.3914667570298</v>
      </c>
      <c r="H35" s="288">
        <v>1413.6745277566702</v>
      </c>
      <c r="I35" s="288">
        <v>1480.5491944217401</v>
      </c>
      <c r="J35" s="288">
        <v>1546.2711630349902</v>
      </c>
      <c r="K35" s="288">
        <v>1593.8169652680101</v>
      </c>
      <c r="L35" s="288">
        <v>1639.0664659625402</v>
      </c>
      <c r="M35" s="288">
        <v>1762.59821678653</v>
      </c>
    </row>
    <row r="36" spans="1:13" s="41" customFormat="1" ht="12.75" customHeight="1">
      <c r="A36" s="50"/>
      <c r="B36" s="57" t="s">
        <v>53</v>
      </c>
      <c r="C36" s="290">
        <v>1651.8940737374201</v>
      </c>
      <c r="D36" s="290">
        <v>1654.2405252914002</v>
      </c>
      <c r="E36" s="290">
        <v>1578.3269082074601</v>
      </c>
      <c r="F36" s="290">
        <v>1569.60504806126</v>
      </c>
      <c r="G36" s="290">
        <v>1561.9542755599603</v>
      </c>
      <c r="H36" s="290">
        <v>1527.73665522237</v>
      </c>
      <c r="I36" s="290">
        <v>1622.2185746153002</v>
      </c>
      <c r="J36" s="290">
        <v>1694.0735741330702</v>
      </c>
      <c r="K36" s="290">
        <v>1734.1126673402002</v>
      </c>
      <c r="L36" s="290">
        <v>1782.4455703905999</v>
      </c>
      <c r="M36" s="290">
        <v>1884.3572820592701</v>
      </c>
    </row>
    <row r="37" spans="1:13" s="41" customFormat="1" ht="12.75" customHeight="1">
      <c r="A37" s="58"/>
      <c r="B37" s="57" t="s">
        <v>54</v>
      </c>
      <c r="C37" s="290">
        <v>1261.5732288332599</v>
      </c>
      <c r="D37" s="290">
        <v>1276.5110657780701</v>
      </c>
      <c r="E37" s="290">
        <v>1287.8159797717701</v>
      </c>
      <c r="F37" s="290">
        <v>1271.8273405705502</v>
      </c>
      <c r="G37" s="290">
        <v>1279.20735669943</v>
      </c>
      <c r="H37" s="290">
        <v>1280.1613206188399</v>
      </c>
      <c r="I37" s="290">
        <v>1313.9486236716903</v>
      </c>
      <c r="J37" s="290">
        <v>1373.96817725753</v>
      </c>
      <c r="K37" s="290">
        <v>1418.8037743058303</v>
      </c>
      <c r="L37" s="290">
        <v>1465.1379364008201</v>
      </c>
      <c r="M37" s="290">
        <v>1608.7696654920101</v>
      </c>
    </row>
    <row r="38" spans="1:13" s="36" customFormat="1" ht="16.5" customHeight="1">
      <c r="A38" s="56" t="s">
        <v>72</v>
      </c>
      <c r="B38" s="53" t="s">
        <v>45</v>
      </c>
      <c r="C38" s="288">
        <v>1280.9206108466301</v>
      </c>
      <c r="D38" s="288">
        <v>1255.66568744507</v>
      </c>
      <c r="E38" s="288">
        <v>1228.8137283898602</v>
      </c>
      <c r="F38" s="288">
        <v>1254.7110846253199</v>
      </c>
      <c r="G38" s="288">
        <v>1252.4902639367301</v>
      </c>
      <c r="H38" s="288">
        <v>1299.7550748196099</v>
      </c>
      <c r="I38" s="288">
        <v>1358.68525101774</v>
      </c>
      <c r="J38" s="288">
        <v>1430.3556594421202</v>
      </c>
      <c r="K38" s="288">
        <v>1373.1289094202202</v>
      </c>
      <c r="L38" s="288">
        <v>1471.9395520576502</v>
      </c>
      <c r="M38" s="288">
        <v>1625.2925218512401</v>
      </c>
    </row>
    <row r="39" spans="1:13" s="41" customFormat="1" ht="12.75" customHeight="1">
      <c r="A39" s="58"/>
      <c r="B39" s="57" t="s">
        <v>53</v>
      </c>
      <c r="C39" s="290">
        <v>1434.5102006654001</v>
      </c>
      <c r="D39" s="290">
        <v>1408.2725565291998</v>
      </c>
      <c r="E39" s="290">
        <v>1369.9264986271701</v>
      </c>
      <c r="F39" s="290">
        <v>1410.7889684946199</v>
      </c>
      <c r="G39" s="290">
        <v>1406.3056853604</v>
      </c>
      <c r="H39" s="290">
        <v>1427.0292114816502</v>
      </c>
      <c r="I39" s="290">
        <v>1487.0769411098399</v>
      </c>
      <c r="J39" s="290">
        <v>1570.9429588589098</v>
      </c>
      <c r="K39" s="290">
        <v>1476.0099259506198</v>
      </c>
      <c r="L39" s="290">
        <v>1576.9962571613</v>
      </c>
      <c r="M39" s="290">
        <v>1807.9568015727502</v>
      </c>
    </row>
    <row r="40" spans="1:13" s="41" customFormat="1" ht="12.75" customHeight="1">
      <c r="A40" s="59"/>
      <c r="B40" s="60" t="s">
        <v>54</v>
      </c>
      <c r="C40" s="291">
        <v>1119.5017449915301</v>
      </c>
      <c r="D40" s="291">
        <v>1106.3616408872899</v>
      </c>
      <c r="E40" s="291">
        <v>1080.29134485335</v>
      </c>
      <c r="F40" s="291">
        <v>1099.1738397759502</v>
      </c>
      <c r="G40" s="291">
        <v>1107.0608626915198</v>
      </c>
      <c r="H40" s="291">
        <v>1166.83303601031</v>
      </c>
      <c r="I40" s="291">
        <v>1223.70578584292</v>
      </c>
      <c r="J40" s="291">
        <v>1287.47043582736</v>
      </c>
      <c r="K40" s="291">
        <v>1281.65836063144</v>
      </c>
      <c r="L40" s="291">
        <v>1373.9859625468202</v>
      </c>
      <c r="M40" s="291">
        <v>1447.99061936206</v>
      </c>
    </row>
    <row r="41" spans="1:13" s="41" customFormat="1" ht="15" customHeight="1">
      <c r="A41" s="20" t="s">
        <v>138</v>
      </c>
      <c r="B41" s="53"/>
      <c r="C41" s="74"/>
      <c r="D41" s="73"/>
      <c r="E41" s="73"/>
      <c r="F41" s="73"/>
      <c r="G41" s="73"/>
      <c r="H41" s="73"/>
      <c r="I41" s="73"/>
      <c r="J41" s="73"/>
      <c r="K41" s="73"/>
      <c r="L41" s="73"/>
      <c r="M41" s="73"/>
    </row>
    <row r="42" spans="1:13" s="41" customFormat="1" ht="23.25" customHeight="1">
      <c r="A42" s="588" t="s">
        <v>5</v>
      </c>
      <c r="B42" s="588"/>
      <c r="C42" s="588"/>
      <c r="D42" s="588"/>
      <c r="E42" s="588"/>
      <c r="F42" s="588"/>
      <c r="G42" s="588"/>
      <c r="H42" s="588"/>
      <c r="I42" s="588"/>
      <c r="J42" s="588"/>
      <c r="K42" s="588"/>
      <c r="L42" s="588"/>
      <c r="M42" s="588"/>
    </row>
  </sheetData>
  <mergeCells count="2">
    <mergeCell ref="A1:M1"/>
    <mergeCell ref="A42:M42"/>
  </mergeCells>
  <phoneticPr fontId="25" type="noConversion"/>
  <conditionalFormatting sqref="E3 A1 G41 A42 A2:E2 A3:C3 A43:E1048576 B41:E41 A4:E4 A5:I40 N1:XFD1048576">
    <cfRule type="cellIs" dxfId="357" priority="57" operator="equal">
      <formula>0</formula>
    </cfRule>
  </conditionalFormatting>
  <conditionalFormatting sqref="A41">
    <cfRule type="cellIs" dxfId="356" priority="56" operator="equal">
      <formula>0</formula>
    </cfRule>
  </conditionalFormatting>
  <conditionalFormatting sqref="G2:G4 G43:G1048576 H4:I4">
    <cfRule type="cellIs" dxfId="355" priority="55" operator="equal">
      <formula>0</formula>
    </cfRule>
  </conditionalFormatting>
  <conditionalFormatting sqref="F2:F4 F43:F1048576">
    <cfRule type="cellIs" dxfId="354" priority="52" operator="equal">
      <formula>0</formula>
    </cfRule>
  </conditionalFormatting>
  <conditionalFormatting sqref="F41">
    <cfRule type="cellIs" dxfId="353" priority="51" operator="equal">
      <formula>0</formula>
    </cfRule>
  </conditionalFormatting>
  <conditionalFormatting sqref="I41">
    <cfRule type="cellIs" dxfId="352" priority="49" operator="equal">
      <formula>0</formula>
    </cfRule>
  </conditionalFormatting>
  <conditionalFormatting sqref="I2:I3 I43:I1048576">
    <cfRule type="cellIs" dxfId="351" priority="48" operator="equal">
      <formula>0</formula>
    </cfRule>
  </conditionalFormatting>
  <conditionalFormatting sqref="H41">
    <cfRule type="cellIs" dxfId="350" priority="43" operator="equal">
      <formula>0</formula>
    </cfRule>
  </conditionalFormatting>
  <conditionalFormatting sqref="H2:H3 H43:H1048576">
    <cfRule type="cellIs" dxfId="349" priority="42" operator="equal">
      <formula>0</formula>
    </cfRule>
  </conditionalFormatting>
  <conditionalFormatting sqref="J8:J40">
    <cfRule type="cellIs" dxfId="348" priority="38" operator="equal">
      <formula>0</formula>
    </cfRule>
  </conditionalFormatting>
  <conditionalFormatting sqref="J4">
    <cfRule type="cellIs" dxfId="347" priority="37" operator="equal">
      <formula>0</formula>
    </cfRule>
  </conditionalFormatting>
  <conditionalFormatting sqref="J5:J7">
    <cfRule type="cellIs" dxfId="346" priority="36" operator="equal">
      <formula>0</formula>
    </cfRule>
  </conditionalFormatting>
  <conditionalFormatting sqref="J41">
    <cfRule type="cellIs" dxfId="345" priority="35" operator="equal">
      <formula>0</formula>
    </cfRule>
  </conditionalFormatting>
  <conditionalFormatting sqref="J2:J3 J43:J1048576">
    <cfRule type="cellIs" dxfId="344" priority="34" operator="equal">
      <formula>0</formula>
    </cfRule>
  </conditionalFormatting>
  <conditionalFormatting sqref="K8:K40">
    <cfRule type="cellIs" dxfId="343" priority="33" operator="equal">
      <formula>0</formula>
    </cfRule>
  </conditionalFormatting>
  <conditionalFormatting sqref="K4">
    <cfRule type="cellIs" dxfId="342" priority="32" operator="equal">
      <formula>0</formula>
    </cfRule>
  </conditionalFormatting>
  <conditionalFormatting sqref="K5:K7">
    <cfRule type="cellIs" dxfId="341" priority="31" operator="equal">
      <formula>0</formula>
    </cfRule>
  </conditionalFormatting>
  <conditionalFormatting sqref="K41">
    <cfRule type="cellIs" dxfId="340" priority="30" operator="equal">
      <formula>0</formula>
    </cfRule>
  </conditionalFormatting>
  <conditionalFormatting sqref="K2:K3 K43:K1048576">
    <cfRule type="cellIs" dxfId="339" priority="29" operator="equal">
      <formula>0</formula>
    </cfRule>
  </conditionalFormatting>
  <conditionalFormatting sqref="L8:L40">
    <cfRule type="cellIs" dxfId="338" priority="26" operator="equal">
      <formula>0</formula>
    </cfRule>
  </conditionalFormatting>
  <conditionalFormatting sqref="L4">
    <cfRule type="cellIs" dxfId="337" priority="25" operator="equal">
      <formula>0</formula>
    </cfRule>
  </conditionalFormatting>
  <conditionalFormatting sqref="L5:L7">
    <cfRule type="cellIs" dxfId="336" priority="24" operator="equal">
      <formula>0</formula>
    </cfRule>
  </conditionalFormatting>
  <conditionalFormatting sqref="L41">
    <cfRule type="cellIs" dxfId="335" priority="23" operator="equal">
      <formula>0</formula>
    </cfRule>
  </conditionalFormatting>
  <conditionalFormatting sqref="L2:L3 L43:L1048576">
    <cfRule type="cellIs" dxfId="334" priority="22" operator="equal">
      <formula>0</formula>
    </cfRule>
  </conditionalFormatting>
  <conditionalFormatting sqref="M8:M40">
    <cfRule type="cellIs" dxfId="333" priority="15" operator="equal">
      <formula>0</formula>
    </cfRule>
  </conditionalFormatting>
  <conditionalFormatting sqref="M4">
    <cfRule type="cellIs" dxfId="332" priority="14" operator="equal">
      <formula>0</formula>
    </cfRule>
  </conditionalFormatting>
  <conditionalFormatting sqref="M5:M7">
    <cfRule type="cellIs" dxfId="331" priority="13" operator="equal">
      <formula>0</formula>
    </cfRule>
  </conditionalFormatting>
  <conditionalFormatting sqref="M41">
    <cfRule type="cellIs" dxfId="330" priority="12" operator="equal">
      <formula>0</formula>
    </cfRule>
  </conditionalFormatting>
  <conditionalFormatting sqref="M2:M3 M43:M1048576">
    <cfRule type="cellIs" dxfId="329" priority="1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lha311">
    <tabColor rgb="FFA50021"/>
    <pageSetUpPr fitToPage="1"/>
  </sheetPr>
  <dimension ref="A1:GP25"/>
  <sheetViews>
    <sheetView showGridLines="0" workbookViewId="0">
      <selection activeCell="C4" sqref="C4:M43"/>
    </sheetView>
  </sheetViews>
  <sheetFormatPr defaultColWidth="9.140625" defaultRowHeight="15" customHeight="1"/>
  <cols>
    <col min="1" max="1" width="17.140625" style="62" customWidth="1"/>
    <col min="2" max="4" width="6.42578125" style="67" customWidth="1"/>
    <col min="5" max="12" width="6.42578125" style="62" customWidth="1"/>
    <col min="13" max="198" width="9.140625" style="62"/>
    <col min="199" max="16384" width="9.140625" style="8"/>
  </cols>
  <sheetData>
    <row r="1" spans="1:48" s="69" customFormat="1" ht="28.5" customHeight="1">
      <c r="A1" s="587" t="s">
        <v>214</v>
      </c>
      <c r="B1" s="587"/>
      <c r="C1" s="587"/>
      <c r="D1" s="587"/>
      <c r="E1" s="587"/>
      <c r="F1" s="587"/>
      <c r="G1" s="587"/>
      <c r="H1" s="587"/>
      <c r="I1" s="587"/>
      <c r="J1" s="587"/>
      <c r="K1" s="587"/>
      <c r="L1" s="587"/>
    </row>
    <row r="2" spans="1:48" s="4" customFormat="1" ht="15" customHeight="1">
      <c r="A2" s="11"/>
      <c r="B2" s="12"/>
      <c r="C2" s="12"/>
      <c r="D2" s="12"/>
    </row>
    <row r="3" spans="1:48" s="4" customFormat="1" ht="15" customHeight="1">
      <c r="A3" s="13" t="s">
        <v>14</v>
      </c>
      <c r="B3" s="99"/>
      <c r="E3" s="99"/>
      <c r="F3" s="99"/>
      <c r="G3" s="99"/>
      <c r="H3" s="99"/>
      <c r="I3" s="99"/>
      <c r="J3" s="99"/>
      <c r="K3" s="99"/>
      <c r="L3" s="99" t="s">
        <v>68</v>
      </c>
    </row>
    <row r="4" spans="1:48" s="4" customFormat="1" ht="28.5" customHeight="1" thickBot="1">
      <c r="A4" s="14"/>
      <c r="B4" s="15">
        <v>2012</v>
      </c>
      <c r="C4" s="15">
        <v>2013</v>
      </c>
      <c r="D4" s="15">
        <v>2014</v>
      </c>
      <c r="E4" s="15">
        <v>2015</v>
      </c>
      <c r="F4" s="15">
        <v>2016</v>
      </c>
      <c r="G4" s="15">
        <v>2017</v>
      </c>
      <c r="H4" s="15">
        <v>2018</v>
      </c>
      <c r="I4" s="15">
        <v>2019</v>
      </c>
      <c r="J4" s="15">
        <v>2020</v>
      </c>
      <c r="K4" s="15">
        <v>2021</v>
      </c>
      <c r="L4" s="15">
        <v>2022</v>
      </c>
      <c r="O4" s="327"/>
      <c r="P4" s="345">
        <f>+B4</f>
        <v>2012</v>
      </c>
      <c r="Q4" s="345">
        <f t="shared" ref="Q4:W4" si="0">+C4</f>
        <v>2013</v>
      </c>
      <c r="R4" s="345">
        <f t="shared" si="0"/>
        <v>2014</v>
      </c>
      <c r="S4" s="345">
        <f t="shared" si="0"/>
        <v>2015</v>
      </c>
      <c r="T4" s="345">
        <f t="shared" si="0"/>
        <v>2016</v>
      </c>
      <c r="U4" s="345">
        <f t="shared" si="0"/>
        <v>2017</v>
      </c>
      <c r="V4" s="345">
        <f t="shared" si="0"/>
        <v>2018</v>
      </c>
      <c r="W4" s="345">
        <f t="shared" si="0"/>
        <v>2019</v>
      </c>
      <c r="X4" s="345">
        <f>+J4</f>
        <v>2020</v>
      </c>
      <c r="Y4" s="345">
        <f t="shared" ref="Y4:Z4" si="1">+K4</f>
        <v>2021</v>
      </c>
      <c r="Z4" s="345">
        <f t="shared" si="1"/>
        <v>2022</v>
      </c>
      <c r="AA4" s="345">
        <f>+B4</f>
        <v>2012</v>
      </c>
      <c r="AB4" s="345">
        <f t="shared" ref="AB4:AJ4" si="2">+C4</f>
        <v>2013</v>
      </c>
      <c r="AC4" s="345">
        <f t="shared" si="2"/>
        <v>2014</v>
      </c>
      <c r="AD4" s="345">
        <f t="shared" si="2"/>
        <v>2015</v>
      </c>
      <c r="AE4" s="345">
        <f t="shared" si="2"/>
        <v>2016</v>
      </c>
      <c r="AF4" s="345">
        <f t="shared" si="2"/>
        <v>2017</v>
      </c>
      <c r="AG4" s="345">
        <f t="shared" si="2"/>
        <v>2018</v>
      </c>
      <c r="AH4" s="345">
        <f t="shared" si="2"/>
        <v>2019</v>
      </c>
      <c r="AI4" s="345">
        <f t="shared" si="2"/>
        <v>2020</v>
      </c>
      <c r="AJ4" s="345">
        <f t="shared" si="2"/>
        <v>2021</v>
      </c>
      <c r="AK4" s="345">
        <f>+L4</f>
        <v>2022</v>
      </c>
      <c r="AL4" s="345">
        <f>+B4</f>
        <v>2012</v>
      </c>
      <c r="AM4" s="345">
        <f t="shared" ref="AM4:AV4" si="3">+C4</f>
        <v>2013</v>
      </c>
      <c r="AN4" s="345">
        <f t="shared" si="3"/>
        <v>2014</v>
      </c>
      <c r="AO4" s="345">
        <f t="shared" si="3"/>
        <v>2015</v>
      </c>
      <c r="AP4" s="345">
        <f t="shared" si="3"/>
        <v>2016</v>
      </c>
      <c r="AQ4" s="345">
        <f t="shared" si="3"/>
        <v>2017</v>
      </c>
      <c r="AR4" s="345">
        <f t="shared" si="3"/>
        <v>2018</v>
      </c>
      <c r="AS4" s="345">
        <f t="shared" si="3"/>
        <v>2019</v>
      </c>
      <c r="AT4" s="345">
        <f t="shared" si="3"/>
        <v>2020</v>
      </c>
      <c r="AU4" s="345">
        <f t="shared" si="3"/>
        <v>2021</v>
      </c>
      <c r="AV4" s="345">
        <f t="shared" si="3"/>
        <v>2022</v>
      </c>
    </row>
    <row r="5" spans="1:48" s="4" customFormat="1" ht="20.25" customHeight="1" thickTop="1">
      <c r="A5" s="16" t="s">
        <v>12</v>
      </c>
      <c r="B5" s="292">
        <v>1095.58619281857</v>
      </c>
      <c r="C5" s="292">
        <v>1093.8178723953499</v>
      </c>
      <c r="D5" s="292">
        <v>1093.20854089105</v>
      </c>
      <c r="E5" s="292">
        <v>1096.65734127991</v>
      </c>
      <c r="F5" s="292">
        <v>1107.85636561875</v>
      </c>
      <c r="G5" s="292">
        <v>1133.34288689707</v>
      </c>
      <c r="H5" s="292">
        <v>1170.2525051678801</v>
      </c>
      <c r="I5" s="292">
        <v>1209.93900485576</v>
      </c>
      <c r="J5" s="292">
        <v>1250.75197084447</v>
      </c>
      <c r="K5" s="292">
        <v>1294.10894067238</v>
      </c>
      <c r="L5" s="292">
        <v>1367.9952489883699</v>
      </c>
    </row>
    <row r="6" spans="1:48" s="4" customFormat="1" ht="20.25" customHeight="1">
      <c r="A6" s="16" t="s">
        <v>15</v>
      </c>
      <c r="B6" s="272">
        <v>959.34923854352303</v>
      </c>
      <c r="C6" s="272">
        <v>961.84029073023316</v>
      </c>
      <c r="D6" s="272">
        <v>971.90999498730298</v>
      </c>
      <c r="E6" s="272">
        <v>984.24105445999112</v>
      </c>
      <c r="F6" s="272">
        <v>1001.0229393946901</v>
      </c>
      <c r="G6" s="272">
        <v>1028.8358273342601</v>
      </c>
      <c r="H6" s="272">
        <v>1070.6267462169701</v>
      </c>
      <c r="I6" s="272">
        <v>1111.2131230140201</v>
      </c>
      <c r="J6" s="272">
        <v>1146.9983637384898</v>
      </c>
      <c r="K6" s="272">
        <v>1177.9476303143199</v>
      </c>
      <c r="L6" s="272">
        <v>1252.0317901891301</v>
      </c>
      <c r="N6" s="499">
        <f>+(L6/B6-1)*100</f>
        <v>30.508446756048468</v>
      </c>
      <c r="O6" s="344">
        <f t="shared" ref="O6:O10" si="4">+L6-B6</f>
        <v>292.68255164560708</v>
      </c>
      <c r="P6" s="499">
        <f>B6*100/B$5</f>
        <v>87.564925957623146</v>
      </c>
      <c r="Q6" s="499">
        <f t="shared" ref="Q6:Z21" si="5">C6*100/C$5</f>
        <v>87.934226986426964</v>
      </c>
      <c r="R6" s="499">
        <f t="shared" si="5"/>
        <v>88.904354350828683</v>
      </c>
      <c r="S6" s="499">
        <f t="shared" si="5"/>
        <v>89.749187591384043</v>
      </c>
      <c r="T6" s="499">
        <f t="shared" si="5"/>
        <v>90.356743930031726</v>
      </c>
      <c r="U6" s="499">
        <f t="shared" si="5"/>
        <v>90.77886659271006</v>
      </c>
      <c r="V6" s="499">
        <f t="shared" si="5"/>
        <v>91.486815152203576</v>
      </c>
      <c r="W6" s="499">
        <f t="shared" si="5"/>
        <v>91.840424893690468</v>
      </c>
      <c r="X6" s="499">
        <f t="shared" si="5"/>
        <v>91.70470168950213</v>
      </c>
      <c r="Y6" s="499">
        <f t="shared" si="5"/>
        <v>91.023838356475139</v>
      </c>
      <c r="Z6" s="499">
        <f t="shared" si="5"/>
        <v>91.523109536747697</v>
      </c>
      <c r="AA6" s="4">
        <f>+RANK(B6,B$6:B$23,0)</f>
        <v>6</v>
      </c>
      <c r="AB6" s="4">
        <f t="shared" ref="AB6:AK21" si="6">+RANK(C6,C$6:C$23,0)</f>
        <v>6</v>
      </c>
      <c r="AC6" s="4">
        <f t="shared" si="6"/>
        <v>5</v>
      </c>
      <c r="AD6" s="4">
        <f t="shared" si="6"/>
        <v>4</v>
      </c>
      <c r="AE6" s="4">
        <f t="shared" si="6"/>
        <v>4</v>
      </c>
      <c r="AF6" s="4">
        <f t="shared" si="6"/>
        <v>4</v>
      </c>
      <c r="AG6" s="4">
        <f t="shared" si="6"/>
        <v>4</v>
      </c>
      <c r="AH6" s="4">
        <f t="shared" si="6"/>
        <v>4</v>
      </c>
      <c r="AI6" s="4">
        <f t="shared" si="6"/>
        <v>4</v>
      </c>
      <c r="AJ6" s="4">
        <f t="shared" si="6"/>
        <v>4</v>
      </c>
      <c r="AK6" s="4">
        <f>+RANK(L6,L$6:L$23,0)</f>
        <v>4</v>
      </c>
      <c r="AL6" s="499">
        <f>+(B6/B$5-1)*100</f>
        <v>-12.43507404237687</v>
      </c>
      <c r="AM6" s="499">
        <f t="shared" ref="AM6:AV21" si="7">+(C6/C$5-1)*100</f>
        <v>-12.065773013573022</v>
      </c>
      <c r="AN6" s="499">
        <f t="shared" si="7"/>
        <v>-11.095645649171315</v>
      </c>
      <c r="AO6" s="499">
        <f t="shared" si="7"/>
        <v>-10.25081240861596</v>
      </c>
      <c r="AP6" s="499">
        <f t="shared" si="7"/>
        <v>-9.643256069968265</v>
      </c>
      <c r="AQ6" s="499">
        <f t="shared" si="7"/>
        <v>-9.2211334072899387</v>
      </c>
      <c r="AR6" s="499">
        <f t="shared" si="7"/>
        <v>-8.5131848477964294</v>
      </c>
      <c r="AS6" s="499">
        <f t="shared" si="7"/>
        <v>-8.1595751063095356</v>
      </c>
      <c r="AT6" s="499">
        <f t="shared" si="7"/>
        <v>-8.2952983104978664</v>
      </c>
      <c r="AU6" s="499">
        <f t="shared" si="7"/>
        <v>-8.9761616435248612</v>
      </c>
      <c r="AV6" s="499">
        <f t="shared" si="7"/>
        <v>-8.4768904632523068</v>
      </c>
    </row>
    <row r="7" spans="1:48" s="4" customFormat="1" ht="15" customHeight="1">
      <c r="A7" s="16" t="s">
        <v>16</v>
      </c>
      <c r="B7" s="272">
        <v>982.97850002259713</v>
      </c>
      <c r="C7" s="272">
        <v>991.35925221457808</v>
      </c>
      <c r="D7" s="272">
        <v>983.83729873440006</v>
      </c>
      <c r="E7" s="272">
        <v>984.03585006469905</v>
      </c>
      <c r="F7" s="272">
        <v>981.91562820357603</v>
      </c>
      <c r="G7" s="272">
        <v>1009.5927313340101</v>
      </c>
      <c r="H7" s="272">
        <v>1059.6130167346801</v>
      </c>
      <c r="I7" s="272">
        <v>1062.35646516171</v>
      </c>
      <c r="J7" s="272">
        <v>1092.7615342087099</v>
      </c>
      <c r="K7" s="272">
        <v>1153.3916042969702</v>
      </c>
      <c r="L7" s="272">
        <v>1192.7577344915603</v>
      </c>
      <c r="N7" s="499">
        <f t="shared" ref="N7:N23" si="8">+(L7/B7-1)*100</f>
        <v>21.341182382334978</v>
      </c>
      <c r="O7" s="344">
        <f t="shared" si="4"/>
        <v>209.77923446896318</v>
      </c>
      <c r="P7" s="499">
        <f t="shared" ref="P7:Z23" si="9">B7*100/B$5</f>
        <v>89.721694784572662</v>
      </c>
      <c r="Q7" s="499">
        <f t="shared" si="5"/>
        <v>90.632935997251721</v>
      </c>
      <c r="R7" s="499">
        <f t="shared" si="5"/>
        <v>89.995390809195115</v>
      </c>
      <c r="S7" s="499">
        <f t="shared" si="5"/>
        <v>89.73047578528309</v>
      </c>
      <c r="T7" s="499">
        <f t="shared" si="5"/>
        <v>88.632033779502208</v>
      </c>
      <c r="U7" s="499">
        <f t="shared" si="5"/>
        <v>89.080960670087222</v>
      </c>
      <c r="V7" s="499">
        <f t="shared" si="5"/>
        <v>90.545673865715997</v>
      </c>
      <c r="W7" s="499">
        <f t="shared" si="5"/>
        <v>87.802481025756862</v>
      </c>
      <c r="X7" s="499">
        <f t="shared" si="5"/>
        <v>87.368363966751161</v>
      </c>
      <c r="Y7" s="499">
        <f t="shared" si="5"/>
        <v>89.126314489234787</v>
      </c>
      <c r="Z7" s="499">
        <f t="shared" si="5"/>
        <v>87.190195680401857</v>
      </c>
      <c r="AA7" s="4">
        <f t="shared" ref="AA7:AK23" si="10">+RANK(B7,B$6:B$23,0)</f>
        <v>4</v>
      </c>
      <c r="AB7" s="4">
        <f t="shared" si="6"/>
        <v>4</v>
      </c>
      <c r="AC7" s="4">
        <f t="shared" si="6"/>
        <v>4</v>
      </c>
      <c r="AD7" s="4">
        <f t="shared" si="6"/>
        <v>5</v>
      </c>
      <c r="AE7" s="4">
        <f t="shared" si="6"/>
        <v>6</v>
      </c>
      <c r="AF7" s="4">
        <f t="shared" si="6"/>
        <v>6</v>
      </c>
      <c r="AG7" s="4">
        <f t="shared" si="6"/>
        <v>5</v>
      </c>
      <c r="AH7" s="4">
        <f t="shared" si="6"/>
        <v>7</v>
      </c>
      <c r="AI7" s="4">
        <f t="shared" si="6"/>
        <v>7</v>
      </c>
      <c r="AJ7" s="4">
        <f t="shared" si="6"/>
        <v>7</v>
      </c>
      <c r="AK7" s="4">
        <f t="shared" si="6"/>
        <v>7</v>
      </c>
      <c r="AL7" s="499">
        <f t="shared" ref="AL7:AV23" si="11">+(B7/B$5-1)*100</f>
        <v>-10.278305215427331</v>
      </c>
      <c r="AM7" s="499">
        <f t="shared" si="7"/>
        <v>-9.3670640027482719</v>
      </c>
      <c r="AN7" s="499">
        <f t="shared" si="7"/>
        <v>-10.004609190804882</v>
      </c>
      <c r="AO7" s="499">
        <f t="shared" si="7"/>
        <v>-10.269524214716908</v>
      </c>
      <c r="AP7" s="499">
        <f t="shared" si="7"/>
        <v>-11.367966220497793</v>
      </c>
      <c r="AQ7" s="499">
        <f t="shared" si="7"/>
        <v>-10.919039329912772</v>
      </c>
      <c r="AR7" s="499">
        <f t="shared" si="7"/>
        <v>-9.4543261342839973</v>
      </c>
      <c r="AS7" s="499">
        <f t="shared" si="7"/>
        <v>-12.197518974243138</v>
      </c>
      <c r="AT7" s="499">
        <f t="shared" si="7"/>
        <v>-12.631636033248839</v>
      </c>
      <c r="AU7" s="499">
        <f t="shared" si="7"/>
        <v>-10.873685510765219</v>
      </c>
      <c r="AV7" s="499">
        <f t="shared" si="7"/>
        <v>-12.80980431959814</v>
      </c>
    </row>
    <row r="8" spans="1:48" s="4" customFormat="1" ht="15" customHeight="1">
      <c r="A8" s="16" t="s">
        <v>66</v>
      </c>
      <c r="B8" s="272">
        <v>867.20294126459203</v>
      </c>
      <c r="C8" s="272">
        <v>868.49846015177002</v>
      </c>
      <c r="D8" s="272">
        <v>876.16912208762506</v>
      </c>
      <c r="E8" s="272">
        <v>880.48140496439601</v>
      </c>
      <c r="F8" s="272">
        <v>895.72232270153609</v>
      </c>
      <c r="G8" s="272">
        <v>929.88327350300904</v>
      </c>
      <c r="H8" s="272">
        <v>968.01243557930911</v>
      </c>
      <c r="I8" s="272">
        <v>1012.37352768225</v>
      </c>
      <c r="J8" s="272">
        <v>1057.54768430955</v>
      </c>
      <c r="K8" s="272">
        <v>1105.6699828099702</v>
      </c>
      <c r="L8" s="272">
        <v>1156.32258506215</v>
      </c>
      <c r="N8" s="499">
        <f t="shared" si="8"/>
        <v>33.339329243504579</v>
      </c>
      <c r="O8" s="344">
        <f t="shared" si="4"/>
        <v>289.11964379755796</v>
      </c>
      <c r="P8" s="499">
        <f t="shared" si="9"/>
        <v>79.154241532888832</v>
      </c>
      <c r="Q8" s="499">
        <f t="shared" si="5"/>
        <v>79.400646311423557</v>
      </c>
      <c r="R8" s="499">
        <f t="shared" si="5"/>
        <v>80.146567586590479</v>
      </c>
      <c r="S8" s="499">
        <f t="shared" si="5"/>
        <v>80.287740921588622</v>
      </c>
      <c r="T8" s="499">
        <f t="shared" si="5"/>
        <v>80.85184600634264</v>
      </c>
      <c r="U8" s="499">
        <f t="shared" si="5"/>
        <v>82.047832500973797</v>
      </c>
      <c r="V8" s="499">
        <f t="shared" si="5"/>
        <v>82.718253650774415</v>
      </c>
      <c r="W8" s="499">
        <f t="shared" si="5"/>
        <v>83.671451504527511</v>
      </c>
      <c r="X8" s="499">
        <f t="shared" si="5"/>
        <v>84.55294966239596</v>
      </c>
      <c r="Y8" s="499">
        <f t="shared" si="5"/>
        <v>85.438709838098902</v>
      </c>
      <c r="Z8" s="499">
        <f t="shared" si="5"/>
        <v>84.5267983143398</v>
      </c>
      <c r="AA8" s="4">
        <f t="shared" si="10"/>
        <v>13</v>
      </c>
      <c r="AB8" s="4">
        <f t="shared" si="6"/>
        <v>15</v>
      </c>
      <c r="AC8" s="4">
        <f t="shared" si="6"/>
        <v>15</v>
      </c>
      <c r="AD8" s="4">
        <f t="shared" si="6"/>
        <v>15</v>
      </c>
      <c r="AE8" s="4">
        <f t="shared" si="6"/>
        <v>14</v>
      </c>
      <c r="AF8" s="4">
        <f t="shared" si="6"/>
        <v>14</v>
      </c>
      <c r="AG8" s="4">
        <f t="shared" si="6"/>
        <v>13</v>
      </c>
      <c r="AH8" s="4">
        <f t="shared" si="6"/>
        <v>12</v>
      </c>
      <c r="AI8" s="4">
        <f t="shared" si="6"/>
        <v>11</v>
      </c>
      <c r="AJ8" s="4">
        <f t="shared" si="6"/>
        <v>11</v>
      </c>
      <c r="AK8" s="4">
        <f t="shared" si="6"/>
        <v>10</v>
      </c>
      <c r="AL8" s="499">
        <f t="shared" si="11"/>
        <v>-20.845758467111175</v>
      </c>
      <c r="AM8" s="499">
        <f t="shared" si="7"/>
        <v>-20.59935368857645</v>
      </c>
      <c r="AN8" s="499">
        <f t="shared" si="7"/>
        <v>-19.853432413409521</v>
      </c>
      <c r="AO8" s="499">
        <f t="shared" si="7"/>
        <v>-19.712259078411385</v>
      </c>
      <c r="AP8" s="499">
        <f t="shared" si="7"/>
        <v>-19.148153993657356</v>
      </c>
      <c r="AQ8" s="499">
        <f t="shared" si="7"/>
        <v>-17.952167499026196</v>
      </c>
      <c r="AR8" s="499">
        <f t="shared" si="7"/>
        <v>-17.281746349225578</v>
      </c>
      <c r="AS8" s="499">
        <f t="shared" si="7"/>
        <v>-16.328548495472482</v>
      </c>
      <c r="AT8" s="499">
        <f t="shared" si="7"/>
        <v>-15.44705033760404</v>
      </c>
      <c r="AU8" s="499">
        <f t="shared" si="7"/>
        <v>-14.561290161901097</v>
      </c>
      <c r="AV8" s="499">
        <f t="shared" si="7"/>
        <v>-15.473201685660198</v>
      </c>
    </row>
    <row r="9" spans="1:48" s="4" customFormat="1" ht="15" customHeight="1">
      <c r="A9" s="16" t="s">
        <v>17</v>
      </c>
      <c r="B9" s="272">
        <v>840.7285910947171</v>
      </c>
      <c r="C9" s="272">
        <v>851.39325943396204</v>
      </c>
      <c r="D9" s="272">
        <v>838.70573674782713</v>
      </c>
      <c r="E9" s="272">
        <v>838.85448057872804</v>
      </c>
      <c r="F9" s="272">
        <v>858.81478130195705</v>
      </c>
      <c r="G9" s="272">
        <v>882.59225190355301</v>
      </c>
      <c r="H9" s="272">
        <v>910.80674159379214</v>
      </c>
      <c r="I9" s="272">
        <v>944.94973330811399</v>
      </c>
      <c r="J9" s="272">
        <v>977.70348628952615</v>
      </c>
      <c r="K9" s="272">
        <v>1012.2271883353601</v>
      </c>
      <c r="L9" s="272">
        <v>1054.3714764034401</v>
      </c>
      <c r="N9" s="499">
        <f t="shared" si="8"/>
        <v>25.411635523247455</v>
      </c>
      <c r="O9" s="344">
        <f t="shared" si="4"/>
        <v>213.64288530872295</v>
      </c>
      <c r="P9" s="499">
        <f t="shared" si="9"/>
        <v>76.737786274196182</v>
      </c>
      <c r="Q9" s="499">
        <f t="shared" si="5"/>
        <v>77.836839287467242</v>
      </c>
      <c r="R9" s="499">
        <f t="shared" si="5"/>
        <v>76.719647292932493</v>
      </c>
      <c r="S9" s="499">
        <f t="shared" si="5"/>
        <v>76.491940463344733</v>
      </c>
      <c r="T9" s="499">
        <f t="shared" si="5"/>
        <v>77.520408597580214</v>
      </c>
      <c r="U9" s="499">
        <f t="shared" si="5"/>
        <v>77.875130475293645</v>
      </c>
      <c r="V9" s="499">
        <f t="shared" si="5"/>
        <v>77.829933076121137</v>
      </c>
      <c r="W9" s="499">
        <f t="shared" si="5"/>
        <v>78.09895618835462</v>
      </c>
      <c r="X9" s="499">
        <f t="shared" si="5"/>
        <v>78.169254103146471</v>
      </c>
      <c r="Y9" s="499">
        <f t="shared" si="5"/>
        <v>78.218081687113411</v>
      </c>
      <c r="Z9" s="499">
        <f t="shared" si="5"/>
        <v>77.074206009351713</v>
      </c>
      <c r="AA9" s="4">
        <f t="shared" si="10"/>
        <v>17</v>
      </c>
      <c r="AB9" s="4">
        <f t="shared" si="6"/>
        <v>16</v>
      </c>
      <c r="AC9" s="4">
        <f t="shared" si="6"/>
        <v>17</v>
      </c>
      <c r="AD9" s="4">
        <f t="shared" si="6"/>
        <v>17</v>
      </c>
      <c r="AE9" s="4">
        <f t="shared" si="6"/>
        <v>17</v>
      </c>
      <c r="AF9" s="4">
        <f t="shared" si="6"/>
        <v>18</v>
      </c>
      <c r="AG9" s="4">
        <f t="shared" si="6"/>
        <v>18</v>
      </c>
      <c r="AH9" s="4">
        <f t="shared" si="6"/>
        <v>18</v>
      </c>
      <c r="AI9" s="4">
        <f t="shared" si="6"/>
        <v>18</v>
      </c>
      <c r="AJ9" s="4">
        <f t="shared" si="6"/>
        <v>18</v>
      </c>
      <c r="AK9" s="4">
        <f t="shared" si="6"/>
        <v>18</v>
      </c>
      <c r="AL9" s="499">
        <f t="shared" si="11"/>
        <v>-23.262213725803814</v>
      </c>
      <c r="AM9" s="499">
        <f t="shared" si="7"/>
        <v>-22.163160712532758</v>
      </c>
      <c r="AN9" s="499">
        <f t="shared" si="7"/>
        <v>-23.280352707067522</v>
      </c>
      <c r="AO9" s="499">
        <f t="shared" si="7"/>
        <v>-23.508059536655267</v>
      </c>
      <c r="AP9" s="499">
        <f t="shared" si="7"/>
        <v>-22.479591402419796</v>
      </c>
      <c r="AQ9" s="499">
        <f t="shared" si="7"/>
        <v>-22.124869524706348</v>
      </c>
      <c r="AR9" s="499">
        <f t="shared" si="7"/>
        <v>-22.170066923878863</v>
      </c>
      <c r="AS9" s="499">
        <f t="shared" si="7"/>
        <v>-21.901043811645373</v>
      </c>
      <c r="AT9" s="499">
        <f t="shared" si="7"/>
        <v>-21.830745896853532</v>
      </c>
      <c r="AU9" s="499">
        <f t="shared" si="7"/>
        <v>-21.781918312886596</v>
      </c>
      <c r="AV9" s="499">
        <f t="shared" si="7"/>
        <v>-22.925793990648291</v>
      </c>
    </row>
    <row r="10" spans="1:48" s="4" customFormat="1" ht="15" customHeight="1">
      <c r="A10" s="16" t="s">
        <v>18</v>
      </c>
      <c r="B10" s="272">
        <v>841.43532330466405</v>
      </c>
      <c r="C10" s="272">
        <v>841.83565004956802</v>
      </c>
      <c r="D10" s="272">
        <v>853.23481096730211</v>
      </c>
      <c r="E10" s="272">
        <v>858.64990867736105</v>
      </c>
      <c r="F10" s="272">
        <v>875.0323406712871</v>
      </c>
      <c r="G10" s="272">
        <v>904.07182717544902</v>
      </c>
      <c r="H10" s="272">
        <v>935.08502979162006</v>
      </c>
      <c r="I10" s="272">
        <v>971.14689689358909</v>
      </c>
      <c r="J10" s="272">
        <v>1010.4665175369701</v>
      </c>
      <c r="K10" s="272">
        <v>1053.7945252690402</v>
      </c>
      <c r="L10" s="272">
        <v>1106.65014764578</v>
      </c>
      <c r="N10" s="499">
        <f t="shared" si="8"/>
        <v>31.51933571073624</v>
      </c>
      <c r="O10" s="344">
        <f t="shared" si="4"/>
        <v>265.2148243411159</v>
      </c>
      <c r="P10" s="499">
        <f t="shared" si="9"/>
        <v>76.802293495497381</v>
      </c>
      <c r="Q10" s="499">
        <f t="shared" si="5"/>
        <v>76.963054937659194</v>
      </c>
      <c r="R10" s="499">
        <f t="shared" si="5"/>
        <v>78.048677727293409</v>
      </c>
      <c r="S10" s="499">
        <f t="shared" si="5"/>
        <v>78.297010046477212</v>
      </c>
      <c r="T10" s="499">
        <f t="shared" si="5"/>
        <v>78.984277008019163</v>
      </c>
      <c r="U10" s="499">
        <f t="shared" si="5"/>
        <v>79.770371140782274</v>
      </c>
      <c r="V10" s="499">
        <f t="shared" si="5"/>
        <v>79.904552706552522</v>
      </c>
      <c r="W10" s="499">
        <f t="shared" si="5"/>
        <v>80.264120174335744</v>
      </c>
      <c r="X10" s="499">
        <f t="shared" si="5"/>
        <v>80.788720792878991</v>
      </c>
      <c r="Y10" s="499">
        <f t="shared" si="5"/>
        <v>81.430124786984337</v>
      </c>
      <c r="Z10" s="499">
        <f t="shared" si="5"/>
        <v>80.895759576953637</v>
      </c>
      <c r="AA10" s="4">
        <f t="shared" si="10"/>
        <v>16</v>
      </c>
      <c r="AB10" s="4">
        <f t="shared" si="6"/>
        <v>17</v>
      </c>
      <c r="AC10" s="4">
        <f t="shared" si="6"/>
        <v>16</v>
      </c>
      <c r="AD10" s="4">
        <f t="shared" si="6"/>
        <v>16</v>
      </c>
      <c r="AE10" s="4">
        <f t="shared" si="6"/>
        <v>16</v>
      </c>
      <c r="AF10" s="4">
        <f t="shared" si="6"/>
        <v>16</v>
      </c>
      <c r="AG10" s="4">
        <f t="shared" si="6"/>
        <v>16</v>
      </c>
      <c r="AH10" s="4">
        <f t="shared" si="6"/>
        <v>17</v>
      </c>
      <c r="AI10" s="4">
        <f t="shared" si="6"/>
        <v>17</v>
      </c>
      <c r="AJ10" s="4">
        <f t="shared" si="6"/>
        <v>15</v>
      </c>
      <c r="AK10" s="4">
        <f t="shared" si="6"/>
        <v>15</v>
      </c>
      <c r="AL10" s="499">
        <f t="shared" si="11"/>
        <v>-23.197706504502612</v>
      </c>
      <c r="AM10" s="499">
        <f t="shared" si="7"/>
        <v>-23.03694506234082</v>
      </c>
      <c r="AN10" s="499">
        <f t="shared" si="7"/>
        <v>-21.951322272706598</v>
      </c>
      <c r="AO10" s="499">
        <f t="shared" si="7"/>
        <v>-21.702989953522788</v>
      </c>
      <c r="AP10" s="499">
        <f t="shared" si="7"/>
        <v>-21.015722991980834</v>
      </c>
      <c r="AQ10" s="499">
        <f t="shared" si="7"/>
        <v>-20.22962885921773</v>
      </c>
      <c r="AR10" s="499">
        <f t="shared" si="7"/>
        <v>-20.095447293447478</v>
      </c>
      <c r="AS10" s="499">
        <f t="shared" si="7"/>
        <v>-19.73587982566427</v>
      </c>
      <c r="AT10" s="499">
        <f t="shared" si="7"/>
        <v>-19.211279207121013</v>
      </c>
      <c r="AU10" s="499">
        <f t="shared" si="7"/>
        <v>-18.569875213015663</v>
      </c>
      <c r="AV10" s="499">
        <f t="shared" si="7"/>
        <v>-19.10424042304637</v>
      </c>
    </row>
    <row r="11" spans="1:48" s="4" customFormat="1" ht="15" customHeight="1">
      <c r="A11" s="16" t="s">
        <v>19</v>
      </c>
      <c r="B11" s="272">
        <v>977.09133130938301</v>
      </c>
      <c r="C11" s="272">
        <v>978.01599485779514</v>
      </c>
      <c r="D11" s="272">
        <v>966.21419984918202</v>
      </c>
      <c r="E11" s="272">
        <v>966.99737783570095</v>
      </c>
      <c r="F11" s="272">
        <v>990.53147044804609</v>
      </c>
      <c r="G11" s="272">
        <v>1018.2450007511101</v>
      </c>
      <c r="H11" s="272">
        <v>1053.35867722021</v>
      </c>
      <c r="I11" s="272">
        <v>1094.14030237668</v>
      </c>
      <c r="J11" s="272">
        <v>1118.0991600354803</v>
      </c>
      <c r="K11" s="272">
        <v>1169.39474146576</v>
      </c>
      <c r="L11" s="272">
        <v>1222.9665008964</v>
      </c>
      <c r="N11" s="499">
        <f t="shared" si="8"/>
        <v>25.16399047953113</v>
      </c>
      <c r="O11" s="344">
        <f t="shared" ref="O11:O23" si="12">+L11-B11</f>
        <v>245.87516958701701</v>
      </c>
      <c r="P11" s="499">
        <f t="shared" si="9"/>
        <v>89.184341470720796</v>
      </c>
      <c r="Q11" s="499">
        <f t="shared" si="5"/>
        <v>89.41305673823372</v>
      </c>
      <c r="R11" s="499">
        <f t="shared" si="5"/>
        <v>88.383338009931961</v>
      </c>
      <c r="S11" s="499">
        <f t="shared" si="5"/>
        <v>88.176802492118199</v>
      </c>
      <c r="T11" s="499">
        <f t="shared" si="5"/>
        <v>89.409737686962998</v>
      </c>
      <c r="U11" s="499">
        <f t="shared" si="5"/>
        <v>89.844389771476713</v>
      </c>
      <c r="V11" s="499">
        <f t="shared" si="5"/>
        <v>90.011230274537965</v>
      </c>
      <c r="W11" s="499">
        <f t="shared" si="5"/>
        <v>90.429376851696375</v>
      </c>
      <c r="X11" s="499">
        <f t="shared" si="5"/>
        <v>89.39415536403861</v>
      </c>
      <c r="Y11" s="499">
        <f t="shared" si="5"/>
        <v>90.362928862710575</v>
      </c>
      <c r="Z11" s="499">
        <f t="shared" si="5"/>
        <v>89.39844650782095</v>
      </c>
      <c r="AA11" s="4">
        <f t="shared" si="10"/>
        <v>5</v>
      </c>
      <c r="AB11" s="4">
        <f t="shared" si="6"/>
        <v>5</v>
      </c>
      <c r="AC11" s="4">
        <f t="shared" si="6"/>
        <v>6</v>
      </c>
      <c r="AD11" s="4">
        <f t="shared" si="6"/>
        <v>6</v>
      </c>
      <c r="AE11" s="4">
        <f t="shared" si="6"/>
        <v>5</v>
      </c>
      <c r="AF11" s="4">
        <f t="shared" si="6"/>
        <v>5</v>
      </c>
      <c r="AG11" s="4">
        <f t="shared" si="6"/>
        <v>6</v>
      </c>
      <c r="AH11" s="4">
        <f t="shared" si="6"/>
        <v>5</v>
      </c>
      <c r="AI11" s="4">
        <f t="shared" si="6"/>
        <v>5</v>
      </c>
      <c r="AJ11" s="4">
        <f t="shared" si="6"/>
        <v>5</v>
      </c>
      <c r="AK11" s="4">
        <f t="shared" si="6"/>
        <v>5</v>
      </c>
      <c r="AL11" s="499">
        <f t="shared" si="11"/>
        <v>-10.815658529279204</v>
      </c>
      <c r="AM11" s="499">
        <f t="shared" si="7"/>
        <v>-10.58694326176628</v>
      </c>
      <c r="AN11" s="499">
        <f t="shared" si="7"/>
        <v>-11.616661990068033</v>
      </c>
      <c r="AO11" s="499">
        <f t="shared" si="7"/>
        <v>-11.823197507881799</v>
      </c>
      <c r="AP11" s="499">
        <f t="shared" si="7"/>
        <v>-10.590262313037002</v>
      </c>
      <c r="AQ11" s="499">
        <f t="shared" si="7"/>
        <v>-10.155610228523281</v>
      </c>
      <c r="AR11" s="499">
        <f t="shared" si="7"/>
        <v>-9.9887697254620313</v>
      </c>
      <c r="AS11" s="499">
        <f t="shared" si="7"/>
        <v>-9.5706231483036355</v>
      </c>
      <c r="AT11" s="499">
        <f t="shared" si="7"/>
        <v>-10.605844635961393</v>
      </c>
      <c r="AU11" s="499">
        <f t="shared" si="7"/>
        <v>-9.637071137289432</v>
      </c>
      <c r="AV11" s="499">
        <f t="shared" si="7"/>
        <v>-10.60155349217904</v>
      </c>
    </row>
    <row r="12" spans="1:48" s="4" customFormat="1" ht="15" customHeight="1">
      <c r="A12" s="16" t="s">
        <v>20</v>
      </c>
      <c r="B12" s="272">
        <v>940.52806541698499</v>
      </c>
      <c r="C12" s="272">
        <v>955.20704335025005</v>
      </c>
      <c r="D12" s="272">
        <v>955.65423432841612</v>
      </c>
      <c r="E12" s="272">
        <v>956.12030429989011</v>
      </c>
      <c r="F12" s="272">
        <v>967.64274178335597</v>
      </c>
      <c r="G12" s="272">
        <v>992.3500482988851</v>
      </c>
      <c r="H12" s="272">
        <v>1020.69690943461</v>
      </c>
      <c r="I12" s="272">
        <v>1045.4678829845402</v>
      </c>
      <c r="J12" s="272">
        <v>1086.7700585903201</v>
      </c>
      <c r="K12" s="272">
        <v>1127.2864444597701</v>
      </c>
      <c r="L12" s="272">
        <v>1190.5704398493799</v>
      </c>
      <c r="N12" s="499">
        <f t="shared" si="8"/>
        <v>26.585317719523683</v>
      </c>
      <c r="O12" s="344">
        <f t="shared" si="12"/>
        <v>250.04237443239492</v>
      </c>
      <c r="P12" s="499">
        <f t="shared" si="9"/>
        <v>85.84701701993221</v>
      </c>
      <c r="Q12" s="499">
        <f t="shared" si="5"/>
        <v>87.327796286455239</v>
      </c>
      <c r="R12" s="499">
        <f t="shared" si="5"/>
        <v>87.41737725077445</v>
      </c>
      <c r="S12" s="499">
        <f t="shared" si="5"/>
        <v>87.184963644523734</v>
      </c>
      <c r="T12" s="499">
        <f t="shared" si="5"/>
        <v>87.343700123338365</v>
      </c>
      <c r="U12" s="499">
        <f t="shared" si="5"/>
        <v>87.559560285925201</v>
      </c>
      <c r="V12" s="499">
        <f t="shared" si="5"/>
        <v>87.220228534198654</v>
      </c>
      <c r="W12" s="499">
        <f t="shared" si="5"/>
        <v>86.406660070370506</v>
      </c>
      <c r="X12" s="499">
        <f t="shared" si="5"/>
        <v>86.889334090480446</v>
      </c>
      <c r="Y12" s="499">
        <f t="shared" si="5"/>
        <v>87.109084021478608</v>
      </c>
      <c r="Z12" s="499">
        <f t="shared" si="5"/>
        <v>87.030305165884513</v>
      </c>
      <c r="AA12" s="4">
        <f t="shared" si="10"/>
        <v>10</v>
      </c>
      <c r="AB12" s="4">
        <f t="shared" si="6"/>
        <v>7</v>
      </c>
      <c r="AC12" s="4">
        <f t="shared" si="6"/>
        <v>7</v>
      </c>
      <c r="AD12" s="4">
        <f t="shared" si="6"/>
        <v>9</v>
      </c>
      <c r="AE12" s="4">
        <f t="shared" si="6"/>
        <v>8</v>
      </c>
      <c r="AF12" s="4">
        <f t="shared" si="6"/>
        <v>8</v>
      </c>
      <c r="AG12" s="4">
        <f t="shared" si="6"/>
        <v>9</v>
      </c>
      <c r="AH12" s="4">
        <f t="shared" si="6"/>
        <v>9</v>
      </c>
      <c r="AI12" s="4">
        <f t="shared" si="6"/>
        <v>8</v>
      </c>
      <c r="AJ12" s="4">
        <f t="shared" si="6"/>
        <v>8</v>
      </c>
      <c r="AK12" s="4">
        <f t="shared" si="6"/>
        <v>8</v>
      </c>
      <c r="AL12" s="499">
        <f t="shared" si="11"/>
        <v>-14.152982980067797</v>
      </c>
      <c r="AM12" s="499">
        <f t="shared" si="7"/>
        <v>-12.672203713544761</v>
      </c>
      <c r="AN12" s="499">
        <f t="shared" si="7"/>
        <v>-12.582622749225546</v>
      </c>
      <c r="AO12" s="499">
        <f t="shared" si="7"/>
        <v>-12.815036355476273</v>
      </c>
      <c r="AP12" s="499">
        <f t="shared" si="7"/>
        <v>-12.656299876661647</v>
      </c>
      <c r="AQ12" s="499">
        <f t="shared" si="7"/>
        <v>-12.440439714074792</v>
      </c>
      <c r="AR12" s="499">
        <f t="shared" si="7"/>
        <v>-12.779771465801348</v>
      </c>
      <c r="AS12" s="499">
        <f t="shared" si="7"/>
        <v>-13.593339929629501</v>
      </c>
      <c r="AT12" s="499">
        <f t="shared" si="7"/>
        <v>-13.110665909519547</v>
      </c>
      <c r="AU12" s="499">
        <f t="shared" si="7"/>
        <v>-12.8909159785214</v>
      </c>
      <c r="AV12" s="499">
        <f t="shared" si="7"/>
        <v>-12.969694834115497</v>
      </c>
    </row>
    <row r="13" spans="1:48" s="4" customFormat="1" ht="15" customHeight="1">
      <c r="A13" s="16" t="s">
        <v>21</v>
      </c>
      <c r="B13" s="272">
        <v>943.89424917608312</v>
      </c>
      <c r="C13" s="272">
        <v>930.97374880713801</v>
      </c>
      <c r="D13" s="272">
        <v>927.57847468747798</v>
      </c>
      <c r="E13" s="272">
        <v>926.12862527071104</v>
      </c>
      <c r="F13" s="272">
        <v>942.731806803788</v>
      </c>
      <c r="G13" s="272">
        <v>968.1855082187501</v>
      </c>
      <c r="H13" s="272">
        <v>999.04854164793915</v>
      </c>
      <c r="I13" s="272">
        <v>1029.01142698593</v>
      </c>
      <c r="J13" s="272">
        <v>1070.9644070332199</v>
      </c>
      <c r="K13" s="272">
        <v>1106.3240281891901</v>
      </c>
      <c r="L13" s="272">
        <v>1150.8139774726001</v>
      </c>
      <c r="N13" s="499">
        <f t="shared" si="8"/>
        <v>21.921918528175731</v>
      </c>
      <c r="O13" s="344">
        <f t="shared" si="12"/>
        <v>206.91972829651695</v>
      </c>
      <c r="P13" s="499">
        <f t="shared" si="9"/>
        <v>86.154266580136863</v>
      </c>
      <c r="Q13" s="499">
        <f t="shared" si="5"/>
        <v>85.112318266330774</v>
      </c>
      <c r="R13" s="499">
        <f t="shared" si="5"/>
        <v>84.84917927291616</v>
      </c>
      <c r="S13" s="499">
        <f t="shared" si="5"/>
        <v>84.450136830327082</v>
      </c>
      <c r="T13" s="499">
        <f t="shared" si="5"/>
        <v>85.095129302006754</v>
      </c>
      <c r="U13" s="499">
        <f t="shared" si="5"/>
        <v>85.427412957918051</v>
      </c>
      <c r="V13" s="499">
        <f t="shared" si="5"/>
        <v>85.370339925452186</v>
      </c>
      <c r="W13" s="499">
        <f t="shared" si="5"/>
        <v>85.046553822653323</v>
      </c>
      <c r="X13" s="499">
        <f t="shared" si="5"/>
        <v>85.625642173494811</v>
      </c>
      <c r="Y13" s="499">
        <f t="shared" si="5"/>
        <v>85.489250048328813</v>
      </c>
      <c r="Z13" s="499">
        <f t="shared" si="5"/>
        <v>84.124120922468478</v>
      </c>
      <c r="AA13" s="4">
        <f t="shared" si="10"/>
        <v>9</v>
      </c>
      <c r="AB13" s="4">
        <f t="shared" si="6"/>
        <v>10</v>
      </c>
      <c r="AC13" s="4">
        <f t="shared" si="6"/>
        <v>10</v>
      </c>
      <c r="AD13" s="4">
        <f t="shared" si="6"/>
        <v>10</v>
      </c>
      <c r="AE13" s="4">
        <f t="shared" si="6"/>
        <v>10</v>
      </c>
      <c r="AF13" s="4">
        <f t="shared" si="6"/>
        <v>10</v>
      </c>
      <c r="AG13" s="4">
        <f t="shared" si="6"/>
        <v>10</v>
      </c>
      <c r="AH13" s="4">
        <f t="shared" si="6"/>
        <v>10</v>
      </c>
      <c r="AI13" s="4">
        <f t="shared" si="6"/>
        <v>10</v>
      </c>
      <c r="AJ13" s="4">
        <f t="shared" si="6"/>
        <v>10</v>
      </c>
      <c r="AK13" s="4">
        <f t="shared" si="6"/>
        <v>12</v>
      </c>
      <c r="AL13" s="499">
        <f t="shared" si="11"/>
        <v>-13.845733419863127</v>
      </c>
      <c r="AM13" s="499">
        <f t="shared" si="7"/>
        <v>-14.887681733669233</v>
      </c>
      <c r="AN13" s="499">
        <f t="shared" si="7"/>
        <v>-15.150820727083836</v>
      </c>
      <c r="AO13" s="499">
        <f t="shared" si="7"/>
        <v>-15.549863169672918</v>
      </c>
      <c r="AP13" s="499">
        <f t="shared" si="7"/>
        <v>-14.904870697993244</v>
      </c>
      <c r="AQ13" s="499">
        <f t="shared" si="7"/>
        <v>-14.572587042081953</v>
      </c>
      <c r="AR13" s="499">
        <f t="shared" si="7"/>
        <v>-14.629660074547813</v>
      </c>
      <c r="AS13" s="499">
        <f t="shared" si="7"/>
        <v>-14.953446177346674</v>
      </c>
      <c r="AT13" s="499">
        <f t="shared" si="7"/>
        <v>-14.374357826505191</v>
      </c>
      <c r="AU13" s="499">
        <f t="shared" si="7"/>
        <v>-14.510749951671187</v>
      </c>
      <c r="AV13" s="499">
        <f t="shared" si="7"/>
        <v>-15.875879077531518</v>
      </c>
    </row>
    <row r="14" spans="1:48" s="4" customFormat="1" ht="15" customHeight="1">
      <c r="A14" s="16" t="s">
        <v>22</v>
      </c>
      <c r="B14" s="272">
        <v>819.16714129841807</v>
      </c>
      <c r="C14" s="272">
        <v>814.63459596196208</v>
      </c>
      <c r="D14" s="272">
        <v>830.15647037002714</v>
      </c>
      <c r="E14" s="272">
        <v>837.53411675893312</v>
      </c>
      <c r="F14" s="272">
        <v>857.61277274358497</v>
      </c>
      <c r="G14" s="272">
        <v>896.01699605954514</v>
      </c>
      <c r="H14" s="272">
        <v>934.76728086406501</v>
      </c>
      <c r="I14" s="272">
        <v>973.04332535677008</v>
      </c>
      <c r="J14" s="272">
        <v>1010.8573550144899</v>
      </c>
      <c r="K14" s="272">
        <v>1047.3716053307801</v>
      </c>
      <c r="L14" s="272">
        <v>1100.1031647123602</v>
      </c>
      <c r="N14" s="499">
        <f t="shared" si="8"/>
        <v>34.295323780766587</v>
      </c>
      <c r="O14" s="344">
        <f t="shared" si="12"/>
        <v>280.93602341394217</v>
      </c>
      <c r="P14" s="499">
        <f t="shared" si="9"/>
        <v>74.769757657403488</v>
      </c>
      <c r="Q14" s="499">
        <f t="shared" si="5"/>
        <v>74.476255738809158</v>
      </c>
      <c r="R14" s="499">
        <f t="shared" si="5"/>
        <v>75.937612936447152</v>
      </c>
      <c r="S14" s="499">
        <f t="shared" si="5"/>
        <v>76.371541522846698</v>
      </c>
      <c r="T14" s="499">
        <f t="shared" si="5"/>
        <v>77.411910005553722</v>
      </c>
      <c r="U14" s="499">
        <f t="shared" si="5"/>
        <v>79.059656739251352</v>
      </c>
      <c r="V14" s="499">
        <f t="shared" si="5"/>
        <v>79.877400538439062</v>
      </c>
      <c r="W14" s="499">
        <f t="shared" si="5"/>
        <v>80.420857700406899</v>
      </c>
      <c r="X14" s="499">
        <f t="shared" si="5"/>
        <v>80.819968992892299</v>
      </c>
      <c r="Y14" s="499">
        <f t="shared" si="5"/>
        <v>80.933804907228094</v>
      </c>
      <c r="Z14" s="499">
        <f t="shared" si="5"/>
        <v>80.417177291067688</v>
      </c>
      <c r="AA14" s="4">
        <f t="shared" si="10"/>
        <v>18</v>
      </c>
      <c r="AB14" s="4">
        <f t="shared" si="6"/>
        <v>18</v>
      </c>
      <c r="AC14" s="4">
        <f t="shared" si="6"/>
        <v>18</v>
      </c>
      <c r="AD14" s="4">
        <f t="shared" si="6"/>
        <v>18</v>
      </c>
      <c r="AE14" s="4">
        <f t="shared" si="6"/>
        <v>18</v>
      </c>
      <c r="AF14" s="4">
        <f t="shared" si="6"/>
        <v>17</v>
      </c>
      <c r="AG14" s="4">
        <f t="shared" si="6"/>
        <v>17</v>
      </c>
      <c r="AH14" s="4">
        <f t="shared" si="6"/>
        <v>16</v>
      </c>
      <c r="AI14" s="4">
        <f t="shared" si="6"/>
        <v>16</v>
      </c>
      <c r="AJ14" s="4">
        <f t="shared" si="6"/>
        <v>16</v>
      </c>
      <c r="AK14" s="4">
        <f t="shared" si="6"/>
        <v>17</v>
      </c>
      <c r="AL14" s="499">
        <f t="shared" si="11"/>
        <v>-25.230242342596508</v>
      </c>
      <c r="AM14" s="499">
        <f t="shared" si="7"/>
        <v>-25.523744261190839</v>
      </c>
      <c r="AN14" s="499">
        <f t="shared" si="7"/>
        <v>-24.062387063552848</v>
      </c>
      <c r="AO14" s="499">
        <f t="shared" si="7"/>
        <v>-23.628458477153302</v>
      </c>
      <c r="AP14" s="499">
        <f t="shared" si="7"/>
        <v>-22.588089994446282</v>
      </c>
      <c r="AQ14" s="499">
        <f t="shared" si="7"/>
        <v>-20.940343260748662</v>
      </c>
      <c r="AR14" s="499">
        <f t="shared" si="7"/>
        <v>-20.122599461560931</v>
      </c>
      <c r="AS14" s="499">
        <f t="shared" si="7"/>
        <v>-19.579142299593101</v>
      </c>
      <c r="AT14" s="499">
        <f t="shared" si="7"/>
        <v>-19.180031007107701</v>
      </c>
      <c r="AU14" s="499">
        <f t="shared" si="7"/>
        <v>-19.06619509277191</v>
      </c>
      <c r="AV14" s="499">
        <f t="shared" si="7"/>
        <v>-19.582822708932312</v>
      </c>
    </row>
    <row r="15" spans="1:48" s="4" customFormat="1" ht="15" customHeight="1">
      <c r="A15" s="16" t="s">
        <v>23</v>
      </c>
      <c r="B15" s="272">
        <v>951.86981740309011</v>
      </c>
      <c r="C15" s="272">
        <v>945.11881479881208</v>
      </c>
      <c r="D15" s="272">
        <v>953.7783389435931</v>
      </c>
      <c r="E15" s="272">
        <v>959.40339935939801</v>
      </c>
      <c r="F15" s="272">
        <v>975.86565046695614</v>
      </c>
      <c r="G15" s="272">
        <v>1005.4707569330801</v>
      </c>
      <c r="H15" s="272">
        <v>1040.3751294841099</v>
      </c>
      <c r="I15" s="272">
        <v>1073.65284346355</v>
      </c>
      <c r="J15" s="272">
        <v>1108.2054735850802</v>
      </c>
      <c r="K15" s="272">
        <v>1156.54462889104</v>
      </c>
      <c r="L15" s="272">
        <v>1211.2745490185598</v>
      </c>
      <c r="N15" s="499">
        <f t="shared" si="8"/>
        <v>27.252122808472159</v>
      </c>
      <c r="O15" s="344">
        <f t="shared" si="12"/>
        <v>259.4047316154697</v>
      </c>
      <c r="P15" s="499">
        <f t="shared" si="9"/>
        <v>86.882239265379326</v>
      </c>
      <c r="Q15" s="499">
        <f t="shared" si="5"/>
        <v>86.405501194554262</v>
      </c>
      <c r="R15" s="499">
        <f t="shared" si="5"/>
        <v>87.245781867583062</v>
      </c>
      <c r="S15" s="499">
        <f t="shared" si="5"/>
        <v>87.484336560376931</v>
      </c>
      <c r="T15" s="499">
        <f t="shared" si="5"/>
        <v>88.085936115186229</v>
      </c>
      <c r="U15" s="499">
        <f t="shared" si="5"/>
        <v>88.717260112331459</v>
      </c>
      <c r="V15" s="499">
        <f t="shared" si="5"/>
        <v>88.901764780658297</v>
      </c>
      <c r="W15" s="499">
        <f t="shared" si="5"/>
        <v>88.736113073034034</v>
      </c>
      <c r="X15" s="499">
        <f t="shared" si="5"/>
        <v>88.603136306621479</v>
      </c>
      <c r="Y15" s="499">
        <f t="shared" si="5"/>
        <v>89.369958937934115</v>
      </c>
      <c r="Z15" s="499">
        <f t="shared" si="5"/>
        <v>88.543768694686278</v>
      </c>
      <c r="AA15" s="4">
        <f t="shared" si="10"/>
        <v>7</v>
      </c>
      <c r="AB15" s="4">
        <f t="shared" si="6"/>
        <v>9</v>
      </c>
      <c r="AC15" s="4">
        <f t="shared" si="6"/>
        <v>8</v>
      </c>
      <c r="AD15" s="4">
        <f t="shared" si="6"/>
        <v>7</v>
      </c>
      <c r="AE15" s="4">
        <f t="shared" si="6"/>
        <v>7</v>
      </c>
      <c r="AF15" s="4">
        <f t="shared" si="6"/>
        <v>7</v>
      </c>
      <c r="AG15" s="4">
        <f t="shared" si="6"/>
        <v>7</v>
      </c>
      <c r="AH15" s="4">
        <f t="shared" si="6"/>
        <v>6</v>
      </c>
      <c r="AI15" s="4">
        <f t="shared" si="6"/>
        <v>6</v>
      </c>
      <c r="AJ15" s="4">
        <f t="shared" si="6"/>
        <v>6</v>
      </c>
      <c r="AK15" s="4">
        <f t="shared" si="6"/>
        <v>6</v>
      </c>
      <c r="AL15" s="499">
        <f t="shared" si="11"/>
        <v>-13.117760734620676</v>
      </c>
      <c r="AM15" s="499">
        <f t="shared" si="7"/>
        <v>-13.594498805445742</v>
      </c>
      <c r="AN15" s="499">
        <f t="shared" si="7"/>
        <v>-12.754218132416939</v>
      </c>
      <c r="AO15" s="499">
        <f t="shared" si="7"/>
        <v>-12.51566343962306</v>
      </c>
      <c r="AP15" s="499">
        <f t="shared" si="7"/>
        <v>-11.914063884813775</v>
      </c>
      <c r="AQ15" s="499">
        <f t="shared" si="7"/>
        <v>-11.282739887668548</v>
      </c>
      <c r="AR15" s="499">
        <f t="shared" si="7"/>
        <v>-11.098235219341701</v>
      </c>
      <c r="AS15" s="499">
        <f t="shared" si="7"/>
        <v>-11.263886926965959</v>
      </c>
      <c r="AT15" s="499">
        <f t="shared" si="7"/>
        <v>-11.396863693378522</v>
      </c>
      <c r="AU15" s="499">
        <f t="shared" si="7"/>
        <v>-10.630041062065898</v>
      </c>
      <c r="AV15" s="499">
        <f t="shared" si="7"/>
        <v>-11.456231305313725</v>
      </c>
    </row>
    <row r="16" spans="1:48" s="4" customFormat="1" ht="15" customHeight="1">
      <c r="A16" s="16" t="s">
        <v>24</v>
      </c>
      <c r="B16" s="272">
        <v>1405.9388575032701</v>
      </c>
      <c r="C16" s="272">
        <v>1399.09217671998</v>
      </c>
      <c r="D16" s="272">
        <v>1392.4169824671101</v>
      </c>
      <c r="E16" s="272">
        <v>1391.1672518277201</v>
      </c>
      <c r="F16" s="272">
        <v>1395.7455929932601</v>
      </c>
      <c r="G16" s="272">
        <v>1416.5629019995702</v>
      </c>
      <c r="H16" s="272">
        <v>1449.4349569758201</v>
      </c>
      <c r="I16" s="272">
        <v>1487.75002061441</v>
      </c>
      <c r="J16" s="272">
        <v>1526.7734244358101</v>
      </c>
      <c r="K16" s="272">
        <v>1576.1486947511598</v>
      </c>
      <c r="L16" s="272">
        <v>1668.91834858224</v>
      </c>
      <c r="N16" s="499">
        <f t="shared" si="8"/>
        <v>18.704902398528244</v>
      </c>
      <c r="O16" s="344">
        <f t="shared" si="12"/>
        <v>262.97949107896989</v>
      </c>
      <c r="P16" s="499">
        <f t="shared" si="9"/>
        <v>128.32754435196637</v>
      </c>
      <c r="Q16" s="499">
        <f t="shared" si="5"/>
        <v>127.90906164808867</v>
      </c>
      <c r="R16" s="499">
        <f t="shared" si="5"/>
        <v>127.36974972151077</v>
      </c>
      <c r="S16" s="499">
        <f t="shared" si="5"/>
        <v>126.85523540143242</v>
      </c>
      <c r="T16" s="499">
        <f t="shared" si="5"/>
        <v>125.9861509405798</v>
      </c>
      <c r="U16" s="499">
        <f t="shared" si="5"/>
        <v>124.98979067825763</v>
      </c>
      <c r="V16" s="499">
        <f t="shared" si="5"/>
        <v>123.85659937279003</v>
      </c>
      <c r="W16" s="499">
        <f t="shared" si="5"/>
        <v>122.9607455122722</v>
      </c>
      <c r="X16" s="499">
        <f t="shared" si="5"/>
        <v>122.06844042827922</v>
      </c>
      <c r="Y16" s="499">
        <f t="shared" si="5"/>
        <v>121.79412762052634</v>
      </c>
      <c r="Z16" s="499">
        <f t="shared" si="5"/>
        <v>121.99737899794624</v>
      </c>
      <c r="AA16" s="4">
        <f t="shared" si="10"/>
        <v>1</v>
      </c>
      <c r="AB16" s="4">
        <f t="shared" si="6"/>
        <v>1</v>
      </c>
      <c r="AC16" s="4">
        <f t="shared" si="6"/>
        <v>1</v>
      </c>
      <c r="AD16" s="4">
        <f t="shared" si="6"/>
        <v>1</v>
      </c>
      <c r="AE16" s="4">
        <f t="shared" si="6"/>
        <v>1</v>
      </c>
      <c r="AF16" s="4">
        <f t="shared" si="6"/>
        <v>1</v>
      </c>
      <c r="AG16" s="4">
        <f t="shared" si="6"/>
        <v>1</v>
      </c>
      <c r="AH16" s="4">
        <f t="shared" si="6"/>
        <v>1</v>
      </c>
      <c r="AI16" s="4">
        <f t="shared" si="6"/>
        <v>1</v>
      </c>
      <c r="AJ16" s="4">
        <f t="shared" si="6"/>
        <v>1</v>
      </c>
      <c r="AK16" s="4">
        <f t="shared" si="6"/>
        <v>1</v>
      </c>
      <c r="AL16" s="499">
        <f t="shared" si="11"/>
        <v>28.32754435196636</v>
      </c>
      <c r="AM16" s="499">
        <f t="shared" si="7"/>
        <v>27.909061648088663</v>
      </c>
      <c r="AN16" s="499">
        <f t="shared" si="7"/>
        <v>27.369749721510761</v>
      </c>
      <c r="AO16" s="499">
        <f t="shared" si="7"/>
        <v>26.85523540143242</v>
      </c>
      <c r="AP16" s="499">
        <f t="shared" si="7"/>
        <v>25.986150940579812</v>
      </c>
      <c r="AQ16" s="499">
        <f t="shared" si="7"/>
        <v>24.989790678257663</v>
      </c>
      <c r="AR16" s="499">
        <f t="shared" si="7"/>
        <v>23.856599372790011</v>
      </c>
      <c r="AS16" s="499">
        <f t="shared" si="7"/>
        <v>22.960745512272208</v>
      </c>
      <c r="AT16" s="499">
        <f t="shared" si="7"/>
        <v>22.068440428279224</v>
      </c>
      <c r="AU16" s="499">
        <f t="shared" si="7"/>
        <v>21.794127620526325</v>
      </c>
      <c r="AV16" s="499">
        <f t="shared" si="7"/>
        <v>21.99737899794625</v>
      </c>
    </row>
    <row r="17" spans="1:48" s="4" customFormat="1" ht="15" customHeight="1">
      <c r="A17" s="16" t="s">
        <v>25</v>
      </c>
      <c r="B17" s="272">
        <v>900.6039706166631</v>
      </c>
      <c r="C17" s="272">
        <v>894.31773800955307</v>
      </c>
      <c r="D17" s="272">
        <v>897.83141137428402</v>
      </c>
      <c r="E17" s="272">
        <v>901.87015678776311</v>
      </c>
      <c r="F17" s="272">
        <v>915.42442992727695</v>
      </c>
      <c r="G17" s="272">
        <v>934.8273193206461</v>
      </c>
      <c r="H17" s="272">
        <v>968.22669070904612</v>
      </c>
      <c r="I17" s="272">
        <v>989.4812198978351</v>
      </c>
      <c r="J17" s="272">
        <v>1029.47184834413</v>
      </c>
      <c r="K17" s="272">
        <v>1078.9214928425399</v>
      </c>
      <c r="L17" s="272">
        <v>1126.59658901125</v>
      </c>
      <c r="N17" s="499">
        <f t="shared" si="8"/>
        <v>25.093451258031308</v>
      </c>
      <c r="O17" s="344">
        <f t="shared" si="12"/>
        <v>225.99261839458688</v>
      </c>
      <c r="P17" s="499">
        <f t="shared" si="9"/>
        <v>82.202931774789533</v>
      </c>
      <c r="Q17" s="499">
        <f t="shared" si="5"/>
        <v>81.761119522675941</v>
      </c>
      <c r="R17" s="499">
        <f t="shared" si="5"/>
        <v>82.128100704599476</v>
      </c>
      <c r="S17" s="499">
        <f t="shared" si="5"/>
        <v>82.238099617806725</v>
      </c>
      <c r="T17" s="499">
        <f t="shared" si="5"/>
        <v>82.630245069359901</v>
      </c>
      <c r="U17" s="499">
        <f t="shared" si="5"/>
        <v>82.484068160525453</v>
      </c>
      <c r="V17" s="499">
        <f t="shared" si="5"/>
        <v>82.736562103761344</v>
      </c>
      <c r="W17" s="499">
        <f t="shared" si="5"/>
        <v>81.779429866036409</v>
      </c>
      <c r="X17" s="499">
        <f t="shared" si="5"/>
        <v>82.308233154256925</v>
      </c>
      <c r="Y17" s="499">
        <f t="shared" si="5"/>
        <v>83.371767162196164</v>
      </c>
      <c r="Z17" s="499">
        <f t="shared" si="5"/>
        <v>82.35383784003389</v>
      </c>
      <c r="AA17" s="4">
        <f t="shared" si="10"/>
        <v>11</v>
      </c>
      <c r="AB17" s="4">
        <f t="shared" si="6"/>
        <v>11</v>
      </c>
      <c r="AC17" s="4">
        <f t="shared" si="6"/>
        <v>11</v>
      </c>
      <c r="AD17" s="4">
        <f t="shared" si="6"/>
        <v>11</v>
      </c>
      <c r="AE17" s="4">
        <f t="shared" si="6"/>
        <v>11</v>
      </c>
      <c r="AF17" s="4">
        <f t="shared" si="6"/>
        <v>13</v>
      </c>
      <c r="AG17" s="4">
        <f t="shared" si="6"/>
        <v>12</v>
      </c>
      <c r="AH17" s="4">
        <f t="shared" si="6"/>
        <v>15</v>
      </c>
      <c r="AI17" s="4">
        <f t="shared" si="6"/>
        <v>14</v>
      </c>
      <c r="AJ17" s="4">
        <f t="shared" si="6"/>
        <v>14</v>
      </c>
      <c r="AK17" s="4">
        <f t="shared" si="6"/>
        <v>14</v>
      </c>
      <c r="AL17" s="499">
        <f t="shared" si="11"/>
        <v>-17.797068225210477</v>
      </c>
      <c r="AM17" s="499">
        <f t="shared" si="7"/>
        <v>-18.238880477324059</v>
      </c>
      <c r="AN17" s="499">
        <f t="shared" si="7"/>
        <v>-17.871899295400528</v>
      </c>
      <c r="AO17" s="499">
        <f t="shared" si="7"/>
        <v>-17.761900382193275</v>
      </c>
      <c r="AP17" s="499">
        <f t="shared" si="7"/>
        <v>-17.369754930640102</v>
      </c>
      <c r="AQ17" s="499">
        <f t="shared" si="7"/>
        <v>-17.515931839474554</v>
      </c>
      <c r="AR17" s="499">
        <f t="shared" si="7"/>
        <v>-17.263437896238653</v>
      </c>
      <c r="AS17" s="499">
        <f t="shared" si="7"/>
        <v>-18.220570133963587</v>
      </c>
      <c r="AT17" s="499">
        <f t="shared" si="7"/>
        <v>-17.691766845743075</v>
      </c>
      <c r="AU17" s="499">
        <f t="shared" si="7"/>
        <v>-16.628232837803836</v>
      </c>
      <c r="AV17" s="499">
        <f t="shared" si="7"/>
        <v>-17.646162159966106</v>
      </c>
    </row>
    <row r="18" spans="1:48" s="4" customFormat="1" ht="15" customHeight="1">
      <c r="A18" s="16" t="s">
        <v>26</v>
      </c>
      <c r="B18" s="272">
        <v>1032.68073981155</v>
      </c>
      <c r="C18" s="272">
        <v>1040.1270905914998</v>
      </c>
      <c r="D18" s="272">
        <v>1041.1109077727003</v>
      </c>
      <c r="E18" s="272">
        <v>1048.6732860207301</v>
      </c>
      <c r="F18" s="272">
        <v>1058.5680711386401</v>
      </c>
      <c r="G18" s="272">
        <v>1082.4040792925598</v>
      </c>
      <c r="H18" s="272">
        <v>1128.5549392022501</v>
      </c>
      <c r="I18" s="272">
        <v>1173.8758343205</v>
      </c>
      <c r="J18" s="272">
        <v>1224.7087807269102</v>
      </c>
      <c r="K18" s="272">
        <v>1267.8121176417501</v>
      </c>
      <c r="L18" s="272">
        <v>1343.1844642727101</v>
      </c>
      <c r="N18" s="499">
        <f t="shared" si="8"/>
        <v>30.067736570532233</v>
      </c>
      <c r="O18" s="344">
        <f t="shared" si="12"/>
        <v>310.50372446116012</v>
      </c>
      <c r="P18" s="499">
        <f t="shared" si="9"/>
        <v>94.25828351805113</v>
      </c>
      <c r="Q18" s="499">
        <f t="shared" si="5"/>
        <v>95.091433120737676</v>
      </c>
      <c r="R18" s="499">
        <f t="shared" si="5"/>
        <v>95.234428641045369</v>
      </c>
      <c r="S18" s="499">
        <f t="shared" si="5"/>
        <v>95.624517025238006</v>
      </c>
      <c r="T18" s="499">
        <f t="shared" si="5"/>
        <v>95.551021232560061</v>
      </c>
      <c r="U18" s="499">
        <f t="shared" si="5"/>
        <v>95.505437216447945</v>
      </c>
      <c r="V18" s="499">
        <f t="shared" si="5"/>
        <v>96.436874453889914</v>
      </c>
      <c r="W18" s="499">
        <f t="shared" si="5"/>
        <v>97.019422434475601</v>
      </c>
      <c r="X18" s="499">
        <f t="shared" si="5"/>
        <v>97.917797395116139</v>
      </c>
      <c r="Y18" s="499">
        <f t="shared" si="5"/>
        <v>97.967959094930066</v>
      </c>
      <c r="Z18" s="499">
        <f t="shared" si="5"/>
        <v>98.18633984774381</v>
      </c>
      <c r="AA18" s="4">
        <f t="shared" si="10"/>
        <v>3</v>
      </c>
      <c r="AB18" s="4">
        <f t="shared" si="6"/>
        <v>3</v>
      </c>
      <c r="AC18" s="4">
        <f t="shared" si="6"/>
        <v>3</v>
      </c>
      <c r="AD18" s="4">
        <f t="shared" si="6"/>
        <v>3</v>
      </c>
      <c r="AE18" s="4">
        <f t="shared" si="6"/>
        <v>3</v>
      </c>
      <c r="AF18" s="4">
        <f t="shared" si="6"/>
        <v>3</v>
      </c>
      <c r="AG18" s="4">
        <f t="shared" si="6"/>
        <v>3</v>
      </c>
      <c r="AH18" s="4">
        <f t="shared" si="6"/>
        <v>3</v>
      </c>
      <c r="AI18" s="4">
        <f t="shared" si="6"/>
        <v>3</v>
      </c>
      <c r="AJ18" s="4">
        <f t="shared" si="6"/>
        <v>3</v>
      </c>
      <c r="AK18" s="4">
        <f t="shared" si="6"/>
        <v>3</v>
      </c>
      <c r="AL18" s="499">
        <f t="shared" si="11"/>
        <v>-5.7417164819488775</v>
      </c>
      <c r="AM18" s="499">
        <f t="shared" si="7"/>
        <v>-4.9085668792623327</v>
      </c>
      <c r="AN18" s="499">
        <f t="shared" si="7"/>
        <v>-4.7655713589546238</v>
      </c>
      <c r="AO18" s="499">
        <f t="shared" si="7"/>
        <v>-4.3754829747619901</v>
      </c>
      <c r="AP18" s="499">
        <f t="shared" si="7"/>
        <v>-4.4489787674399377</v>
      </c>
      <c r="AQ18" s="499">
        <f t="shared" si="7"/>
        <v>-4.494562783552059</v>
      </c>
      <c r="AR18" s="499">
        <f t="shared" si="7"/>
        <v>-3.5631255461100908</v>
      </c>
      <c r="AS18" s="499">
        <f t="shared" si="7"/>
        <v>-2.9805775655244116</v>
      </c>
      <c r="AT18" s="499">
        <f t="shared" si="7"/>
        <v>-2.0822026048838649</v>
      </c>
      <c r="AU18" s="499">
        <f t="shared" si="7"/>
        <v>-2.0320409050699317</v>
      </c>
      <c r="AV18" s="499">
        <f t="shared" si="7"/>
        <v>-1.8136601522561802</v>
      </c>
    </row>
    <row r="19" spans="1:48" s="4" customFormat="1" ht="15" customHeight="1">
      <c r="A19" s="16" t="s">
        <v>27</v>
      </c>
      <c r="B19" s="272">
        <v>945.16706184636303</v>
      </c>
      <c r="C19" s="272">
        <v>945.69593677663113</v>
      </c>
      <c r="D19" s="272">
        <v>948.37993476613997</v>
      </c>
      <c r="E19" s="272">
        <v>957.21485769496212</v>
      </c>
      <c r="F19" s="272">
        <v>962.52248555384801</v>
      </c>
      <c r="G19" s="272">
        <v>990.456852730018</v>
      </c>
      <c r="H19" s="272">
        <v>1023.30742603589</v>
      </c>
      <c r="I19" s="272">
        <v>1050.5157871573801</v>
      </c>
      <c r="J19" s="272">
        <v>1086.33054093393</v>
      </c>
      <c r="K19" s="272">
        <v>1122.59412757974</v>
      </c>
      <c r="L19" s="272">
        <v>1182.0420284769402</v>
      </c>
      <c r="N19" s="499">
        <f t="shared" si="8"/>
        <v>25.061703501161702</v>
      </c>
      <c r="O19" s="344">
        <f t="shared" si="12"/>
        <v>236.87496663057721</v>
      </c>
      <c r="P19" s="499">
        <f t="shared" si="9"/>
        <v>86.270442986760386</v>
      </c>
      <c r="Q19" s="499">
        <f t="shared" si="5"/>
        <v>86.458263358382794</v>
      </c>
      <c r="R19" s="499">
        <f t="shared" si="5"/>
        <v>86.751969024422053</v>
      </c>
      <c r="S19" s="499">
        <f t="shared" si="5"/>
        <v>87.284771793694063</v>
      </c>
      <c r="T19" s="499">
        <f t="shared" si="5"/>
        <v>86.881523221312946</v>
      </c>
      <c r="U19" s="499">
        <f t="shared" si="5"/>
        <v>87.392515026211228</v>
      </c>
      <c r="V19" s="499">
        <f t="shared" si="5"/>
        <v>87.443301468437355</v>
      </c>
      <c r="W19" s="499">
        <f t="shared" si="5"/>
        <v>86.823863264298581</v>
      </c>
      <c r="X19" s="499">
        <f t="shared" si="5"/>
        <v>86.854193817537819</v>
      </c>
      <c r="Y19" s="499">
        <f t="shared" si="5"/>
        <v>86.746493459543984</v>
      </c>
      <c r="Z19" s="499">
        <f t="shared" si="5"/>
        <v>86.406881116806375</v>
      </c>
      <c r="AA19" s="4">
        <f t="shared" si="10"/>
        <v>8</v>
      </c>
      <c r="AB19" s="4">
        <f t="shared" si="6"/>
        <v>8</v>
      </c>
      <c r="AC19" s="4">
        <f t="shared" si="6"/>
        <v>9</v>
      </c>
      <c r="AD19" s="4">
        <f t="shared" si="6"/>
        <v>8</v>
      </c>
      <c r="AE19" s="4">
        <f t="shared" si="6"/>
        <v>9</v>
      </c>
      <c r="AF19" s="4">
        <f t="shared" si="6"/>
        <v>9</v>
      </c>
      <c r="AG19" s="4">
        <f t="shared" si="6"/>
        <v>8</v>
      </c>
      <c r="AH19" s="4">
        <f t="shared" si="6"/>
        <v>8</v>
      </c>
      <c r="AI19" s="4">
        <f t="shared" si="6"/>
        <v>9</v>
      </c>
      <c r="AJ19" s="4">
        <f t="shared" si="6"/>
        <v>9</v>
      </c>
      <c r="AK19" s="4">
        <f t="shared" si="6"/>
        <v>9</v>
      </c>
      <c r="AL19" s="499">
        <f t="shared" si="11"/>
        <v>-13.729557013239624</v>
      </c>
      <c r="AM19" s="499">
        <f t="shared" si="7"/>
        <v>-13.541736641617197</v>
      </c>
      <c r="AN19" s="499">
        <f t="shared" si="7"/>
        <v>-13.248030975577951</v>
      </c>
      <c r="AO19" s="499">
        <f t="shared" si="7"/>
        <v>-12.715228206305939</v>
      </c>
      <c r="AP19" s="499">
        <f t="shared" si="7"/>
        <v>-13.11847677868705</v>
      </c>
      <c r="AQ19" s="499">
        <f t="shared" si="7"/>
        <v>-12.607484973788774</v>
      </c>
      <c r="AR19" s="499">
        <f t="shared" si="7"/>
        <v>-12.556698531562638</v>
      </c>
      <c r="AS19" s="499">
        <f t="shared" si="7"/>
        <v>-13.176136735701405</v>
      </c>
      <c r="AT19" s="499">
        <f t="shared" si="7"/>
        <v>-13.145806182462183</v>
      </c>
      <c r="AU19" s="499">
        <f t="shared" si="7"/>
        <v>-13.253506540456018</v>
      </c>
      <c r="AV19" s="499">
        <f t="shared" si="7"/>
        <v>-13.593118883193622</v>
      </c>
    </row>
    <row r="20" spans="1:48" s="4" customFormat="1" ht="15" customHeight="1">
      <c r="A20" s="16" t="s">
        <v>28</v>
      </c>
      <c r="B20" s="272">
        <v>1162.4158649860301</v>
      </c>
      <c r="C20" s="272">
        <v>1153.1479786652301</v>
      </c>
      <c r="D20" s="272">
        <v>1148.6623835191101</v>
      </c>
      <c r="E20" s="272">
        <v>1162.1823775412001</v>
      </c>
      <c r="F20" s="272">
        <v>1190.04356568191</v>
      </c>
      <c r="G20" s="272">
        <v>1207.8781059852201</v>
      </c>
      <c r="H20" s="272">
        <v>1219.7980812620099</v>
      </c>
      <c r="I20" s="272">
        <v>1249.00084326966</v>
      </c>
      <c r="J20" s="272">
        <v>1293.5711137094902</v>
      </c>
      <c r="K20" s="272">
        <v>1308.5107770264599</v>
      </c>
      <c r="L20" s="272">
        <v>1373.2480942960999</v>
      </c>
      <c r="N20" s="499">
        <f t="shared" si="8"/>
        <v>18.137418428352547</v>
      </c>
      <c r="O20" s="344">
        <f t="shared" si="12"/>
        <v>210.83222931006981</v>
      </c>
      <c r="P20" s="499">
        <f t="shared" si="9"/>
        <v>106.09990091199764</v>
      </c>
      <c r="Q20" s="499">
        <f t="shared" si="5"/>
        <v>105.42413026585068</v>
      </c>
      <c r="R20" s="499">
        <f t="shared" si="5"/>
        <v>105.07257678236404</v>
      </c>
      <c r="S20" s="499">
        <f t="shared" si="5"/>
        <v>105.97497812624094</v>
      </c>
      <c r="T20" s="499">
        <f t="shared" si="5"/>
        <v>107.41857903368705</v>
      </c>
      <c r="U20" s="499">
        <f t="shared" si="5"/>
        <v>106.57658154031539</v>
      </c>
      <c r="V20" s="499">
        <f t="shared" si="5"/>
        <v>104.23375091062266</v>
      </c>
      <c r="W20" s="499">
        <f t="shared" si="5"/>
        <v>103.2284138503789</v>
      </c>
      <c r="X20" s="499">
        <f t="shared" si="5"/>
        <v>103.42347194832801</v>
      </c>
      <c r="Y20" s="499">
        <f t="shared" si="5"/>
        <v>101.11287665987356</v>
      </c>
      <c r="Z20" s="499">
        <f t="shared" si="5"/>
        <v>100.3839812537079</v>
      </c>
      <c r="AA20" s="4">
        <f t="shared" si="10"/>
        <v>2</v>
      </c>
      <c r="AB20" s="4">
        <f t="shared" si="6"/>
        <v>2</v>
      </c>
      <c r="AC20" s="4">
        <f t="shared" si="6"/>
        <v>2</v>
      </c>
      <c r="AD20" s="4">
        <f t="shared" si="6"/>
        <v>2</v>
      </c>
      <c r="AE20" s="4">
        <f t="shared" si="6"/>
        <v>2</v>
      </c>
      <c r="AF20" s="4">
        <f t="shared" si="6"/>
        <v>2</v>
      </c>
      <c r="AG20" s="4">
        <f t="shared" si="6"/>
        <v>2</v>
      </c>
      <c r="AH20" s="4">
        <f t="shared" si="6"/>
        <v>2</v>
      </c>
      <c r="AI20" s="4">
        <f t="shared" si="6"/>
        <v>2</v>
      </c>
      <c r="AJ20" s="4">
        <f t="shared" si="6"/>
        <v>2</v>
      </c>
      <c r="AK20" s="4">
        <f t="shared" si="6"/>
        <v>2</v>
      </c>
      <c r="AL20" s="499">
        <f t="shared" si="11"/>
        <v>6.0999009119976355</v>
      </c>
      <c r="AM20" s="499">
        <f t="shared" si="7"/>
        <v>5.4241302658506907</v>
      </c>
      <c r="AN20" s="499">
        <f t="shared" si="7"/>
        <v>5.0725767823640355</v>
      </c>
      <c r="AO20" s="499">
        <f t="shared" si="7"/>
        <v>5.9749781262409485</v>
      </c>
      <c r="AP20" s="499">
        <f t="shared" si="7"/>
        <v>7.4185790336870561</v>
      </c>
      <c r="AQ20" s="499">
        <f t="shared" si="7"/>
        <v>6.5765815403153738</v>
      </c>
      <c r="AR20" s="499">
        <f t="shared" si="7"/>
        <v>4.2337509106226801</v>
      </c>
      <c r="AS20" s="499">
        <f t="shared" si="7"/>
        <v>3.2284138503789084</v>
      </c>
      <c r="AT20" s="499">
        <f t="shared" si="7"/>
        <v>3.4234719483280163</v>
      </c>
      <c r="AU20" s="499">
        <f t="shared" si="7"/>
        <v>1.1128766598735629</v>
      </c>
      <c r="AV20" s="499">
        <f t="shared" si="7"/>
        <v>0.38398125370788794</v>
      </c>
    </row>
    <row r="21" spans="1:48" s="4" customFormat="1" ht="15" customHeight="1">
      <c r="A21" s="16" t="s">
        <v>29</v>
      </c>
      <c r="B21" s="272">
        <v>864.7492544016751</v>
      </c>
      <c r="C21" s="272">
        <v>878.85166789065715</v>
      </c>
      <c r="D21" s="272">
        <v>881.13214542496507</v>
      </c>
      <c r="E21" s="272">
        <v>895.53129406168603</v>
      </c>
      <c r="F21" s="272">
        <v>899.57244493392102</v>
      </c>
      <c r="G21" s="272">
        <v>950.10493790408907</v>
      </c>
      <c r="H21" s="272">
        <v>978.08295281209598</v>
      </c>
      <c r="I21" s="272">
        <v>1013.25973639532</v>
      </c>
      <c r="J21" s="272">
        <v>1057.2132749358702</v>
      </c>
      <c r="K21" s="272">
        <v>1094.9764303693098</v>
      </c>
      <c r="L21" s="272">
        <v>1154.3373996243001</v>
      </c>
      <c r="N21" s="499">
        <f t="shared" si="8"/>
        <v>33.488105800448785</v>
      </c>
      <c r="O21" s="344">
        <f t="shared" si="12"/>
        <v>289.58814522262503</v>
      </c>
      <c r="P21" s="499">
        <f t="shared" si="9"/>
        <v>78.930280435259036</v>
      </c>
      <c r="Q21" s="499">
        <f t="shared" si="5"/>
        <v>80.34716656860445</v>
      </c>
      <c r="R21" s="499">
        <f t="shared" si="5"/>
        <v>80.600554465735684</v>
      </c>
      <c r="S21" s="499">
        <f t="shared" si="5"/>
        <v>81.660082903973489</v>
      </c>
      <c r="T21" s="499">
        <f t="shared" si="5"/>
        <v>81.199375013880967</v>
      </c>
      <c r="U21" s="499">
        <f t="shared" si="5"/>
        <v>83.832081966415288</v>
      </c>
      <c r="V21" s="499">
        <f t="shared" si="5"/>
        <v>83.57879590027315</v>
      </c>
      <c r="W21" s="499">
        <f t="shared" si="5"/>
        <v>83.744695586213737</v>
      </c>
      <c r="X21" s="499">
        <f t="shared" si="5"/>
        <v>84.526212996656071</v>
      </c>
      <c r="Y21" s="499">
        <f t="shared" si="5"/>
        <v>84.61238431753614</v>
      </c>
      <c r="Z21" s="499">
        <f t="shared" si="5"/>
        <v>84.38168191577644</v>
      </c>
      <c r="AA21" s="4">
        <f t="shared" si="10"/>
        <v>14</v>
      </c>
      <c r="AB21" s="4">
        <f t="shared" si="6"/>
        <v>12</v>
      </c>
      <c r="AC21" s="4">
        <f t="shared" si="6"/>
        <v>13</v>
      </c>
      <c r="AD21" s="4">
        <f t="shared" si="6"/>
        <v>12</v>
      </c>
      <c r="AE21" s="4">
        <f t="shared" si="6"/>
        <v>12</v>
      </c>
      <c r="AF21" s="4">
        <f t="shared" si="6"/>
        <v>11</v>
      </c>
      <c r="AG21" s="4">
        <f t="shared" si="6"/>
        <v>11</v>
      </c>
      <c r="AH21" s="4">
        <f t="shared" si="6"/>
        <v>11</v>
      </c>
      <c r="AI21" s="4">
        <f t="shared" si="6"/>
        <v>12</v>
      </c>
      <c r="AJ21" s="4">
        <f t="shared" si="6"/>
        <v>12</v>
      </c>
      <c r="AK21" s="4">
        <f t="shared" si="6"/>
        <v>11</v>
      </c>
      <c r="AL21" s="499">
        <f t="shared" si="11"/>
        <v>-21.069719564740964</v>
      </c>
      <c r="AM21" s="499">
        <f t="shared" si="7"/>
        <v>-19.652833431395543</v>
      </c>
      <c r="AN21" s="499">
        <f t="shared" si="7"/>
        <v>-19.399445534264316</v>
      </c>
      <c r="AO21" s="499">
        <f t="shared" si="7"/>
        <v>-18.339917096026515</v>
      </c>
      <c r="AP21" s="499">
        <f t="shared" si="7"/>
        <v>-18.80062498611904</v>
      </c>
      <c r="AQ21" s="499">
        <f t="shared" si="7"/>
        <v>-16.167918033584705</v>
      </c>
      <c r="AR21" s="499">
        <f t="shared" si="7"/>
        <v>-16.421204099726861</v>
      </c>
      <c r="AS21" s="499">
        <f t="shared" si="7"/>
        <v>-16.255304413786263</v>
      </c>
      <c r="AT21" s="499">
        <f t="shared" si="7"/>
        <v>-15.473787003343931</v>
      </c>
      <c r="AU21" s="499">
        <f t="shared" si="7"/>
        <v>-15.387615682463862</v>
      </c>
      <c r="AV21" s="499">
        <f t="shared" si="7"/>
        <v>-15.618318084223571</v>
      </c>
    </row>
    <row r="22" spans="1:48" s="4" customFormat="1" ht="15" customHeight="1">
      <c r="A22" s="16" t="s">
        <v>30</v>
      </c>
      <c r="B22" s="272">
        <v>864.02130419565094</v>
      </c>
      <c r="C22" s="272">
        <v>868.75525048212808</v>
      </c>
      <c r="D22" s="272">
        <v>880.89931605852303</v>
      </c>
      <c r="E22" s="272">
        <v>893.71143355174706</v>
      </c>
      <c r="F22" s="272">
        <v>897.29173185055595</v>
      </c>
      <c r="G22" s="272">
        <v>935.05718967894404</v>
      </c>
      <c r="H22" s="272">
        <v>966.03158297112702</v>
      </c>
      <c r="I22" s="272">
        <v>994.47680865449604</v>
      </c>
      <c r="J22" s="272">
        <v>1017.82562062257</v>
      </c>
      <c r="K22" s="272">
        <v>1045.3974172632202</v>
      </c>
      <c r="L22" s="272">
        <v>1104.2442491235602</v>
      </c>
      <c r="N22" s="499">
        <f t="shared" si="8"/>
        <v>27.802896035247837</v>
      </c>
      <c r="O22" s="344">
        <f t="shared" si="12"/>
        <v>240.22294492790923</v>
      </c>
      <c r="P22" s="499">
        <f t="shared" si="9"/>
        <v>78.863836534195315</v>
      </c>
      <c r="Q22" s="499">
        <f t="shared" si="9"/>
        <v>79.424122827655239</v>
      </c>
      <c r="R22" s="499">
        <f t="shared" si="9"/>
        <v>80.579256665935077</v>
      </c>
      <c r="S22" s="499">
        <f t="shared" si="9"/>
        <v>81.494136765518334</v>
      </c>
      <c r="T22" s="499">
        <f t="shared" si="9"/>
        <v>80.993507795517203</v>
      </c>
      <c r="U22" s="499">
        <f t="shared" si="9"/>
        <v>82.504350668225058</v>
      </c>
      <c r="V22" s="499">
        <f t="shared" si="9"/>
        <v>82.548986539665108</v>
      </c>
      <c r="W22" s="499">
        <f t="shared" si="9"/>
        <v>82.192309253890869</v>
      </c>
      <c r="X22" s="499">
        <f t="shared" si="9"/>
        <v>81.377095087474842</v>
      </c>
      <c r="Y22" s="499">
        <f t="shared" si="9"/>
        <v>80.78125298478065</v>
      </c>
      <c r="Z22" s="499">
        <f t="shared" si="9"/>
        <v>80.71988919114645</v>
      </c>
      <c r="AA22" s="4">
        <f t="shared" si="10"/>
        <v>15</v>
      </c>
      <c r="AB22" s="4">
        <f t="shared" si="10"/>
        <v>14</v>
      </c>
      <c r="AC22" s="4">
        <f t="shared" si="10"/>
        <v>14</v>
      </c>
      <c r="AD22" s="4">
        <f t="shared" si="10"/>
        <v>13</v>
      </c>
      <c r="AE22" s="4">
        <f t="shared" si="10"/>
        <v>13</v>
      </c>
      <c r="AF22" s="4">
        <f t="shared" si="10"/>
        <v>12</v>
      </c>
      <c r="AG22" s="4">
        <f t="shared" si="10"/>
        <v>14</v>
      </c>
      <c r="AH22" s="4">
        <f t="shared" si="10"/>
        <v>14</v>
      </c>
      <c r="AI22" s="4">
        <f t="shared" si="10"/>
        <v>15</v>
      </c>
      <c r="AJ22" s="4">
        <f t="shared" si="10"/>
        <v>17</v>
      </c>
      <c r="AK22" s="4">
        <f t="shared" si="10"/>
        <v>16</v>
      </c>
      <c r="AL22" s="499">
        <f t="shared" si="11"/>
        <v>-21.136163465804682</v>
      </c>
      <c r="AM22" s="499">
        <f t="shared" si="11"/>
        <v>-20.575877172344747</v>
      </c>
      <c r="AN22" s="499">
        <f t="shared" si="11"/>
        <v>-19.420743334064916</v>
      </c>
      <c r="AO22" s="499">
        <f t="shared" si="11"/>
        <v>-18.505863234481666</v>
      </c>
      <c r="AP22" s="499">
        <f t="shared" si="11"/>
        <v>-19.006492204482793</v>
      </c>
      <c r="AQ22" s="499">
        <f t="shared" si="11"/>
        <v>-17.495649331774931</v>
      </c>
      <c r="AR22" s="499">
        <f t="shared" si="11"/>
        <v>-17.451013460334895</v>
      </c>
      <c r="AS22" s="499">
        <f t="shared" si="11"/>
        <v>-17.807690746109117</v>
      </c>
      <c r="AT22" s="499">
        <f t="shared" si="11"/>
        <v>-18.622904912525151</v>
      </c>
      <c r="AU22" s="499">
        <f t="shared" si="11"/>
        <v>-19.21874701521935</v>
      </c>
      <c r="AV22" s="499">
        <f t="shared" si="11"/>
        <v>-19.280110808853546</v>
      </c>
    </row>
    <row r="23" spans="1:48" s="19" customFormat="1" ht="15" customHeight="1">
      <c r="A23" s="18" t="s">
        <v>31</v>
      </c>
      <c r="B23" s="274">
        <v>884.49901604690899</v>
      </c>
      <c r="C23" s="274">
        <v>878.77312280184901</v>
      </c>
      <c r="D23" s="274">
        <v>884.39543981903807</v>
      </c>
      <c r="E23" s="274">
        <v>887.04554919908503</v>
      </c>
      <c r="F23" s="274">
        <v>894.61009341796796</v>
      </c>
      <c r="G23" s="274">
        <v>922.30518121204102</v>
      </c>
      <c r="H23" s="274">
        <v>963.92867586662715</v>
      </c>
      <c r="I23" s="274">
        <v>1002.21153097222</v>
      </c>
      <c r="J23" s="274">
        <v>1032.3984004344202</v>
      </c>
      <c r="K23" s="274">
        <v>1081.2420122864398</v>
      </c>
      <c r="L23" s="274">
        <v>1127.39969363407</v>
      </c>
      <c r="N23" s="499">
        <f t="shared" si="8"/>
        <v>27.46195000563787</v>
      </c>
      <c r="O23" s="344">
        <f t="shared" si="12"/>
        <v>242.900677587161</v>
      </c>
      <c r="P23" s="499">
        <f t="shared" si="9"/>
        <v>80.732946603807989</v>
      </c>
      <c r="Q23" s="499">
        <f t="shared" si="9"/>
        <v>80.339985748946049</v>
      </c>
      <c r="R23" s="499">
        <f t="shared" si="9"/>
        <v>80.899060585292091</v>
      </c>
      <c r="S23" s="499">
        <f t="shared" si="9"/>
        <v>80.886300196906831</v>
      </c>
      <c r="T23" s="499">
        <f t="shared" si="9"/>
        <v>80.751451287488734</v>
      </c>
      <c r="U23" s="499">
        <f t="shared" si="9"/>
        <v>81.379182935288028</v>
      </c>
      <c r="V23" s="499">
        <f t="shared" si="9"/>
        <v>82.36928967123599</v>
      </c>
      <c r="W23" s="499">
        <f t="shared" si="9"/>
        <v>82.831574728157165</v>
      </c>
      <c r="X23" s="499">
        <f t="shared" si="9"/>
        <v>82.542216562519258</v>
      </c>
      <c r="Y23" s="499">
        <f t="shared" si="9"/>
        <v>83.551081234680225</v>
      </c>
      <c r="Z23" s="499">
        <f t="shared" si="9"/>
        <v>82.412544522196271</v>
      </c>
      <c r="AA23" s="4">
        <f t="shared" si="10"/>
        <v>12</v>
      </c>
      <c r="AB23" s="4">
        <f t="shared" si="10"/>
        <v>13</v>
      </c>
      <c r="AC23" s="4">
        <f t="shared" si="10"/>
        <v>12</v>
      </c>
      <c r="AD23" s="4">
        <f t="shared" si="10"/>
        <v>14</v>
      </c>
      <c r="AE23" s="4">
        <f t="shared" si="10"/>
        <v>15</v>
      </c>
      <c r="AF23" s="4">
        <f t="shared" si="10"/>
        <v>15</v>
      </c>
      <c r="AG23" s="4">
        <f t="shared" si="10"/>
        <v>15</v>
      </c>
      <c r="AH23" s="4">
        <f t="shared" si="10"/>
        <v>13</v>
      </c>
      <c r="AI23" s="4">
        <f t="shared" si="10"/>
        <v>13</v>
      </c>
      <c r="AJ23" s="4">
        <f t="shared" si="10"/>
        <v>13</v>
      </c>
      <c r="AK23" s="4">
        <f t="shared" si="10"/>
        <v>13</v>
      </c>
      <c r="AL23" s="499">
        <f t="shared" si="11"/>
        <v>-19.267053396192001</v>
      </c>
      <c r="AM23" s="499">
        <f t="shared" si="11"/>
        <v>-19.660014251053948</v>
      </c>
      <c r="AN23" s="499">
        <f t="shared" si="11"/>
        <v>-19.100939414707916</v>
      </c>
      <c r="AO23" s="499">
        <f t="shared" si="11"/>
        <v>-19.113699803093176</v>
      </c>
      <c r="AP23" s="499">
        <f t="shared" si="11"/>
        <v>-19.248548712511273</v>
      </c>
      <c r="AQ23" s="499">
        <f t="shared" si="11"/>
        <v>-18.620817064711982</v>
      </c>
      <c r="AR23" s="499">
        <f t="shared" si="11"/>
        <v>-17.63071032876401</v>
      </c>
      <c r="AS23" s="499">
        <f t="shared" si="11"/>
        <v>-17.168425271842835</v>
      </c>
      <c r="AT23" s="499">
        <f t="shared" si="11"/>
        <v>-17.457783437480735</v>
      </c>
      <c r="AU23" s="499">
        <f t="shared" si="11"/>
        <v>-16.448918765319775</v>
      </c>
      <c r="AV23" s="499">
        <f t="shared" si="11"/>
        <v>-17.587455477803736</v>
      </c>
    </row>
    <row r="24" spans="1:48" s="4" customFormat="1" ht="15" customHeight="1">
      <c r="A24" s="20" t="s">
        <v>138</v>
      </c>
      <c r="B24" s="70"/>
      <c r="C24" s="70"/>
      <c r="D24" s="70"/>
      <c r="F24" s="70"/>
      <c r="G24" s="70"/>
      <c r="H24" s="70"/>
      <c r="I24" s="70"/>
      <c r="J24" s="70"/>
      <c r="K24" s="70"/>
      <c r="L24" s="70"/>
    </row>
    <row r="25" spans="1:48" s="4" customFormat="1" ht="21.75" customHeight="1">
      <c r="A25" s="588" t="s">
        <v>99</v>
      </c>
      <c r="B25" s="588"/>
      <c r="C25" s="588"/>
      <c r="D25" s="588"/>
      <c r="E25" s="588"/>
      <c r="F25" s="588"/>
      <c r="G25" s="588"/>
      <c r="H25" s="588"/>
      <c r="I25" s="588"/>
      <c r="J25" s="588"/>
      <c r="K25" s="588"/>
      <c r="L25" s="588"/>
    </row>
  </sheetData>
  <mergeCells count="2">
    <mergeCell ref="A1:L1"/>
    <mergeCell ref="A25:L25"/>
  </mergeCells>
  <phoneticPr fontId="25" type="noConversion"/>
  <conditionalFormatting sqref="A1 F2:F4 F24 A25:A1048576 G4:H4 F26:F1048576 B5:H23 A2:D2 A3:B3 B24:D24 A4:D23 B26:D1048576 M1:XFD3 M24:XFD1048576 M4:M23 AW4:XFD23">
    <cfRule type="cellIs" dxfId="328" priority="26" operator="equal">
      <formula>0</formula>
    </cfRule>
  </conditionalFormatting>
  <conditionalFormatting sqref="A24">
    <cfRule type="cellIs" dxfId="327" priority="25" operator="equal">
      <formula>0</formula>
    </cfRule>
  </conditionalFormatting>
  <conditionalFormatting sqref="E24 E2:E4 E26:E1048576">
    <cfRule type="cellIs" dxfId="326" priority="23" operator="equal">
      <formula>0</formula>
    </cfRule>
  </conditionalFormatting>
  <conditionalFormatting sqref="H2:H3 H24 H26:H1048576">
    <cfRule type="cellIs" dxfId="325" priority="21" operator="equal">
      <formula>0</formula>
    </cfRule>
  </conditionalFormatting>
  <conditionalFormatting sqref="G2:G3 G24 G26:G1048576">
    <cfRule type="cellIs" dxfId="324" priority="19" operator="equal">
      <formula>0</formula>
    </cfRule>
  </conditionalFormatting>
  <conditionalFormatting sqref="I4:I23">
    <cfRule type="cellIs" dxfId="323" priority="18" operator="equal">
      <formula>0</formula>
    </cfRule>
  </conditionalFormatting>
  <conditionalFormatting sqref="I2:I3 I24 I26:I1048576">
    <cfRule type="cellIs" dxfId="322" priority="17" operator="equal">
      <formula>0</formula>
    </cfRule>
  </conditionalFormatting>
  <conditionalFormatting sqref="J4:J23">
    <cfRule type="cellIs" dxfId="321" priority="16" operator="equal">
      <formula>0</formula>
    </cfRule>
  </conditionalFormatting>
  <conditionalFormatting sqref="J2:J3 J24 J26:J1048576">
    <cfRule type="cellIs" dxfId="320" priority="15" operator="equal">
      <formula>0</formula>
    </cfRule>
  </conditionalFormatting>
  <conditionalFormatting sqref="K4:K23">
    <cfRule type="cellIs" dxfId="319" priority="12" operator="equal">
      <formula>0</formula>
    </cfRule>
  </conditionalFormatting>
  <conditionalFormatting sqref="K2:K3 K24 K26:K1048576">
    <cfRule type="cellIs" dxfId="318" priority="11" operator="equal">
      <formula>0</formula>
    </cfRule>
  </conditionalFormatting>
  <conditionalFormatting sqref="L4:L23">
    <cfRule type="cellIs" dxfId="317" priority="3" operator="equal">
      <formula>0</formula>
    </cfRule>
  </conditionalFormatting>
  <conditionalFormatting sqref="L2:L3 L24 L26:L1048576">
    <cfRule type="cellIs" dxfId="316" priority="2" operator="equal">
      <formula>0</formula>
    </cfRule>
  </conditionalFormatting>
  <conditionalFormatting sqref="AL4:AV23">
    <cfRule type="cellIs" dxfId="315"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8445-5801-4EDD-85B9-F3C7562894A5}">
  <sheetPr>
    <tabColor rgb="FFA50021"/>
    <pageSetUpPr fitToPage="1"/>
  </sheetPr>
  <dimension ref="A1:GF35"/>
  <sheetViews>
    <sheetView showGridLines="0" workbookViewId="0">
      <selection activeCell="C4" sqref="C4:M43"/>
    </sheetView>
  </sheetViews>
  <sheetFormatPr defaultColWidth="9.140625" defaultRowHeight="15" customHeight="1"/>
  <cols>
    <col min="1" max="1" width="23.5703125" style="521" customWidth="1"/>
    <col min="2" max="3" width="6.42578125" style="522" customWidth="1"/>
    <col min="4" max="12" width="6.42578125" style="521" customWidth="1"/>
    <col min="13" max="188" width="9.140625" style="521"/>
    <col min="189" max="16384" width="9.140625" style="523"/>
  </cols>
  <sheetData>
    <row r="1" spans="1:12" s="516" customFormat="1" ht="28.5" customHeight="1">
      <c r="A1" s="628" t="s">
        <v>661</v>
      </c>
      <c r="B1" s="628"/>
      <c r="C1" s="628"/>
      <c r="D1" s="628"/>
      <c r="E1" s="628"/>
      <c r="F1" s="628"/>
      <c r="G1" s="628"/>
      <c r="H1" s="628"/>
      <c r="I1" s="628"/>
      <c r="J1" s="628"/>
      <c r="K1" s="628"/>
      <c r="L1" s="628"/>
    </row>
    <row r="2" spans="1:12" s="4" customFormat="1" ht="15" customHeight="1">
      <c r="A2" s="11"/>
      <c r="B2" s="12"/>
      <c r="C2" s="12"/>
    </row>
    <row r="3" spans="1:12" s="4" customFormat="1" ht="15" customHeight="1">
      <c r="A3" s="13" t="s">
        <v>14</v>
      </c>
      <c r="D3" s="517"/>
      <c r="E3" s="517"/>
      <c r="F3" s="517"/>
      <c r="G3" s="517"/>
      <c r="H3" s="517"/>
      <c r="I3" s="517"/>
      <c r="J3" s="517"/>
      <c r="K3" s="517"/>
      <c r="L3" s="517" t="s">
        <v>68</v>
      </c>
    </row>
    <row r="4" spans="1:12" s="4" customFormat="1" ht="28.5" customHeight="1" thickBot="1">
      <c r="A4" s="14"/>
      <c r="B4" s="15">
        <v>2012</v>
      </c>
      <c r="C4" s="15">
        <v>2013</v>
      </c>
      <c r="D4" s="15">
        <v>2014</v>
      </c>
      <c r="E4" s="15">
        <v>2015</v>
      </c>
      <c r="F4" s="15">
        <v>2016</v>
      </c>
      <c r="G4" s="15">
        <v>2017</v>
      </c>
      <c r="H4" s="15">
        <v>2018</v>
      </c>
      <c r="I4" s="15">
        <v>2019</v>
      </c>
      <c r="J4" s="15">
        <v>2020</v>
      </c>
      <c r="K4" s="15">
        <v>2021</v>
      </c>
      <c r="L4" s="15">
        <v>2022</v>
      </c>
    </row>
    <row r="5" spans="1:12" s="4" customFormat="1" ht="20.25" customHeight="1" thickTop="1">
      <c r="A5" s="92" t="s">
        <v>12</v>
      </c>
      <c r="B5" s="271">
        <v>1095.5861928185707</v>
      </c>
      <c r="C5" s="271">
        <v>1093.8178723953458</v>
      </c>
      <c r="D5" s="271">
        <v>1093.2085408910502</v>
      </c>
      <c r="E5" s="271">
        <v>1096.6573412799057</v>
      </c>
      <c r="F5" s="271">
        <v>1107.8563656187534</v>
      </c>
      <c r="G5" s="271">
        <v>1133.3428868970686</v>
      </c>
      <c r="H5" s="271">
        <v>1170.2525051678817</v>
      </c>
      <c r="I5" s="271">
        <v>1209.9390048557593</v>
      </c>
      <c r="J5" s="271">
        <v>1250.7519708444743</v>
      </c>
      <c r="K5" s="271">
        <v>1294.1089406723843</v>
      </c>
      <c r="L5" s="271">
        <v>1367.9952489883701</v>
      </c>
    </row>
    <row r="6" spans="1:12" s="4" customFormat="1" ht="20.25" customHeight="1">
      <c r="A6" s="16" t="s">
        <v>629</v>
      </c>
      <c r="B6" s="519">
        <v>958.10847686470811</v>
      </c>
      <c r="C6" s="519">
        <v>963.43484003771357</v>
      </c>
      <c r="D6" s="519">
        <v>967.2026507316948</v>
      </c>
      <c r="E6" s="519">
        <v>975.00547718218149</v>
      </c>
      <c r="F6" s="519">
        <v>986.92843905419647</v>
      </c>
      <c r="G6" s="519">
        <v>1015.5781310233589</v>
      </c>
      <c r="H6" s="519">
        <v>1056.6009295445517</v>
      </c>
      <c r="I6" s="519">
        <v>1100.4427554645088</v>
      </c>
      <c r="J6" s="519">
        <v>1145.2307225742454</v>
      </c>
      <c r="K6" s="519">
        <v>1187.1855799425364</v>
      </c>
      <c r="L6" s="519">
        <v>1253.4606441915191</v>
      </c>
    </row>
    <row r="7" spans="1:12" s="4" customFormat="1" ht="15" customHeight="1">
      <c r="A7" s="514" t="s">
        <v>630</v>
      </c>
      <c r="B7" s="273">
        <v>864.74925440167544</v>
      </c>
      <c r="C7" s="273">
        <v>878.85166789065704</v>
      </c>
      <c r="D7" s="273">
        <v>881.13214542496507</v>
      </c>
      <c r="E7" s="273">
        <v>895.53129406168682</v>
      </c>
      <c r="F7" s="273">
        <v>899.57244493392045</v>
      </c>
      <c r="G7" s="273">
        <v>950.10493790408941</v>
      </c>
      <c r="H7" s="273">
        <v>978.08295281209575</v>
      </c>
      <c r="I7" s="273">
        <v>1013.2597363953164</v>
      </c>
      <c r="J7" s="273">
        <v>1057.2132749358655</v>
      </c>
      <c r="K7" s="273">
        <v>1094.9764303693098</v>
      </c>
      <c r="L7" s="273">
        <v>1154.337399624301</v>
      </c>
    </row>
    <row r="8" spans="1:12" s="4" customFormat="1" ht="15" customHeight="1">
      <c r="A8" s="514" t="s">
        <v>631</v>
      </c>
      <c r="B8" s="273">
        <v>891.37489985863851</v>
      </c>
      <c r="C8" s="273">
        <v>891.92219800489374</v>
      </c>
      <c r="D8" s="273">
        <v>896.2597841717951</v>
      </c>
      <c r="E8" s="273">
        <v>899.92732394530151</v>
      </c>
      <c r="F8" s="273">
        <v>913.4157017085563</v>
      </c>
      <c r="G8" s="273">
        <v>948.41001148618329</v>
      </c>
      <c r="H8" s="273">
        <v>988.69863562199259</v>
      </c>
      <c r="I8" s="273">
        <v>1044.542782839598</v>
      </c>
      <c r="J8" s="273">
        <v>1088.4923852736629</v>
      </c>
      <c r="K8" s="273">
        <v>1134.315250042109</v>
      </c>
      <c r="L8" s="273">
        <v>1183.0782294131691</v>
      </c>
    </row>
    <row r="9" spans="1:12" s="4" customFormat="1" ht="15" customHeight="1">
      <c r="A9" s="514" t="s">
        <v>632</v>
      </c>
      <c r="B9" s="273">
        <v>847.89038403817665</v>
      </c>
      <c r="C9" s="273">
        <v>849.87576914880015</v>
      </c>
      <c r="D9" s="273">
        <v>860.00990150691302</v>
      </c>
      <c r="E9" s="273">
        <v>866.16897624743217</v>
      </c>
      <c r="F9" s="273">
        <v>883.04017043994634</v>
      </c>
      <c r="G9" s="273">
        <v>916.29943164348231</v>
      </c>
      <c r="H9" s="273">
        <v>952.13040900991359</v>
      </c>
      <c r="I9" s="273">
        <v>984.12636929400537</v>
      </c>
      <c r="J9" s="273">
        <v>1030.3401200372991</v>
      </c>
      <c r="K9" s="273">
        <v>1080.783596730244</v>
      </c>
      <c r="L9" s="273">
        <v>1132.3273242586924</v>
      </c>
    </row>
    <row r="10" spans="1:12" s="4" customFormat="1" ht="15" customHeight="1">
      <c r="A10" s="514" t="s">
        <v>633</v>
      </c>
      <c r="B10" s="273">
        <v>1065.0405547095149</v>
      </c>
      <c r="C10" s="273">
        <v>1074.1848340794797</v>
      </c>
      <c r="D10" s="273">
        <v>1075.9556051408813</v>
      </c>
      <c r="E10" s="273">
        <v>1084.7259388461794</v>
      </c>
      <c r="F10" s="273">
        <v>1095.4993836587944</v>
      </c>
      <c r="G10" s="273">
        <v>1118.2328589622327</v>
      </c>
      <c r="H10" s="273">
        <v>1164.5935529169897</v>
      </c>
      <c r="I10" s="273">
        <v>1208.1273749905713</v>
      </c>
      <c r="J10" s="273">
        <v>1257.1069368586395</v>
      </c>
      <c r="K10" s="273">
        <v>1301.0551657096953</v>
      </c>
      <c r="L10" s="273">
        <v>1378.5625293136845</v>
      </c>
    </row>
    <row r="11" spans="1:12" s="4" customFormat="1" ht="15" customHeight="1">
      <c r="A11" s="514" t="s">
        <v>634</v>
      </c>
      <c r="B11" s="273">
        <v>802.73746891555834</v>
      </c>
      <c r="C11" s="273">
        <v>803.27788673424436</v>
      </c>
      <c r="D11" s="273">
        <v>814.78395551257279</v>
      </c>
      <c r="E11" s="273">
        <v>810.69721601489732</v>
      </c>
      <c r="F11" s="273">
        <v>844.10168294893708</v>
      </c>
      <c r="G11" s="273">
        <v>919.38841265474491</v>
      </c>
      <c r="H11" s="273">
        <v>941.49528609865479</v>
      </c>
      <c r="I11" s="273">
        <v>954.20740291688662</v>
      </c>
      <c r="J11" s="273">
        <v>975.61169504140071</v>
      </c>
      <c r="K11" s="273">
        <v>995.05587580338783</v>
      </c>
      <c r="L11" s="273">
        <v>1043.3717336747779</v>
      </c>
    </row>
    <row r="12" spans="1:12" s="4" customFormat="1" ht="15" customHeight="1">
      <c r="A12" s="514" t="s">
        <v>635</v>
      </c>
      <c r="B12" s="273">
        <v>757.46325895470397</v>
      </c>
      <c r="C12" s="273">
        <v>758.81901476945256</v>
      </c>
      <c r="D12" s="273">
        <v>773.97410486506419</v>
      </c>
      <c r="E12" s="273">
        <v>781.939626095893</v>
      </c>
      <c r="F12" s="273">
        <v>796.83959638375643</v>
      </c>
      <c r="G12" s="273">
        <v>821.22508459494225</v>
      </c>
      <c r="H12" s="273">
        <v>858.44108228011999</v>
      </c>
      <c r="I12" s="273">
        <v>898.09270826609293</v>
      </c>
      <c r="J12" s="273">
        <v>936.95888523706185</v>
      </c>
      <c r="K12" s="273">
        <v>980.68269823620983</v>
      </c>
      <c r="L12" s="273">
        <v>1026.1271821216981</v>
      </c>
    </row>
    <row r="13" spans="1:12" s="4" customFormat="1" ht="15" customHeight="1">
      <c r="A13" s="514" t="s">
        <v>636</v>
      </c>
      <c r="B13" s="273">
        <v>878.23986814945931</v>
      </c>
      <c r="C13" s="273">
        <v>874.98375787713792</v>
      </c>
      <c r="D13" s="273">
        <v>878.09831900257939</v>
      </c>
      <c r="E13" s="273">
        <v>887.02810785045233</v>
      </c>
      <c r="F13" s="273">
        <v>882.59968341646368</v>
      </c>
      <c r="G13" s="273">
        <v>899.59664950510842</v>
      </c>
      <c r="H13" s="273">
        <v>936.20945012337063</v>
      </c>
      <c r="I13" s="273">
        <v>971.0889834497126</v>
      </c>
      <c r="J13" s="273">
        <v>993.68205168695101</v>
      </c>
      <c r="K13" s="273">
        <v>1031.5209000893369</v>
      </c>
      <c r="L13" s="273">
        <v>1089.0960613548921</v>
      </c>
    </row>
    <row r="14" spans="1:12" s="4" customFormat="1" ht="15" customHeight="1">
      <c r="A14" s="514" t="s">
        <v>637</v>
      </c>
      <c r="B14" s="273">
        <v>817.34831256289181</v>
      </c>
      <c r="C14" s="273">
        <v>837.57584011901076</v>
      </c>
      <c r="D14" s="273">
        <v>834.90028740875925</v>
      </c>
      <c r="E14" s="273">
        <v>845.12911620054331</v>
      </c>
      <c r="F14" s="273">
        <v>868.27657849585387</v>
      </c>
      <c r="G14" s="273">
        <v>890.96693060936991</v>
      </c>
      <c r="H14" s="273">
        <v>918.08143547274005</v>
      </c>
      <c r="I14" s="273">
        <v>953.01987643179325</v>
      </c>
      <c r="J14" s="273">
        <v>988.17275112495656</v>
      </c>
      <c r="K14" s="273">
        <v>1021.8844390177734</v>
      </c>
      <c r="L14" s="273">
        <v>1066.6838593345271</v>
      </c>
    </row>
    <row r="15" spans="1:12" s="4" customFormat="1" ht="15" customHeight="1">
      <c r="A15" s="16" t="s">
        <v>638</v>
      </c>
      <c r="B15" s="519">
        <v>947.14206475910044</v>
      </c>
      <c r="C15" s="519">
        <v>945.21389441159772</v>
      </c>
      <c r="D15" s="519">
        <v>949.88818973235152</v>
      </c>
      <c r="E15" s="519">
        <v>956.66276917453683</v>
      </c>
      <c r="F15" s="519">
        <v>972.23242881387955</v>
      </c>
      <c r="G15" s="519">
        <v>1002.79173720744</v>
      </c>
      <c r="H15" s="519">
        <v>1042.9366204240589</v>
      </c>
      <c r="I15" s="519">
        <v>1082.1159185991869</v>
      </c>
      <c r="J15" s="519">
        <v>1113.2645258854016</v>
      </c>
      <c r="K15" s="519">
        <v>1157.627444527752</v>
      </c>
      <c r="L15" s="519">
        <v>1218.0718507496965</v>
      </c>
    </row>
    <row r="16" spans="1:12" s="4" customFormat="1" ht="15" customHeight="1">
      <c r="A16" s="514" t="s">
        <v>639</v>
      </c>
      <c r="B16" s="273">
        <v>987.78580000000136</v>
      </c>
      <c r="C16" s="273">
        <v>985.33934146596334</v>
      </c>
      <c r="D16" s="273">
        <v>996.19729132103294</v>
      </c>
      <c r="E16" s="273">
        <v>1007.6337748727151</v>
      </c>
      <c r="F16" s="273">
        <v>1017.7385992245402</v>
      </c>
      <c r="G16" s="273">
        <v>1047.920323426674</v>
      </c>
      <c r="H16" s="273">
        <v>1091.006201048139</v>
      </c>
      <c r="I16" s="273">
        <v>1133.2576117283086</v>
      </c>
      <c r="J16" s="273">
        <v>1165.8653763522793</v>
      </c>
      <c r="K16" s="273">
        <v>1209.9089178432459</v>
      </c>
      <c r="L16" s="273">
        <v>1282.8988460216819</v>
      </c>
    </row>
    <row r="17" spans="1:12" s="4" customFormat="1" ht="15" customHeight="1">
      <c r="A17" s="514" t="s">
        <v>640</v>
      </c>
      <c r="B17" s="273">
        <v>973.0895024732414</v>
      </c>
      <c r="C17" s="273">
        <v>974.85941960826256</v>
      </c>
      <c r="D17" s="273">
        <v>963.4760656385921</v>
      </c>
      <c r="E17" s="273">
        <v>964.08223712049232</v>
      </c>
      <c r="F17" s="273">
        <v>988.14089162440837</v>
      </c>
      <c r="G17" s="273">
        <v>1015.5321352725065</v>
      </c>
      <c r="H17" s="273">
        <v>1052.4988718860779</v>
      </c>
      <c r="I17" s="273">
        <v>1093.1507401590256</v>
      </c>
      <c r="J17" s="273">
        <v>1119.4634610562707</v>
      </c>
      <c r="K17" s="273">
        <v>1167.6026070177602</v>
      </c>
      <c r="L17" s="273">
        <v>1223.8240397602849</v>
      </c>
    </row>
    <row r="18" spans="1:12" s="4" customFormat="1" ht="15" customHeight="1">
      <c r="A18" s="514" t="s">
        <v>641</v>
      </c>
      <c r="B18" s="273">
        <v>985.29029084755518</v>
      </c>
      <c r="C18" s="273">
        <v>979.23917977263761</v>
      </c>
      <c r="D18" s="273">
        <v>988.88687522713724</v>
      </c>
      <c r="E18" s="273">
        <v>997.90010585671905</v>
      </c>
      <c r="F18" s="273">
        <v>1012.2188993192424</v>
      </c>
      <c r="G18" s="273">
        <v>1043.6858725607549</v>
      </c>
      <c r="H18" s="273">
        <v>1087.4805927781811</v>
      </c>
      <c r="I18" s="273">
        <v>1121.9761475375788</v>
      </c>
      <c r="J18" s="273">
        <v>1150.128175509288</v>
      </c>
      <c r="K18" s="273">
        <v>1194.0138079187768</v>
      </c>
      <c r="L18" s="273">
        <v>1251.1986876616286</v>
      </c>
    </row>
    <row r="19" spans="1:12" s="4" customFormat="1" ht="15" customHeight="1">
      <c r="A19" s="514" t="s">
        <v>642</v>
      </c>
      <c r="B19" s="273">
        <v>903.30488281250007</v>
      </c>
      <c r="C19" s="273">
        <v>898.95931510619732</v>
      </c>
      <c r="D19" s="273">
        <v>902.75443534443525</v>
      </c>
      <c r="E19" s="273">
        <v>906.44792925635784</v>
      </c>
      <c r="F19" s="273">
        <v>913.09051764554113</v>
      </c>
      <c r="G19" s="273">
        <v>943.87165053243018</v>
      </c>
      <c r="H19" s="273">
        <v>986.58282708179399</v>
      </c>
      <c r="I19" s="273">
        <v>1025.076600725095</v>
      </c>
      <c r="J19" s="273">
        <v>1055.393319550861</v>
      </c>
      <c r="K19" s="273">
        <v>1099.7385090293253</v>
      </c>
      <c r="L19" s="273">
        <v>1154.7229728125794</v>
      </c>
    </row>
    <row r="20" spans="1:12" s="4" customFormat="1" ht="15" customHeight="1">
      <c r="A20" s="514" t="s">
        <v>643</v>
      </c>
      <c r="B20" s="273">
        <v>851.77980461142147</v>
      </c>
      <c r="C20" s="273">
        <v>857.28564258604899</v>
      </c>
      <c r="D20" s="273">
        <v>861.23449788816708</v>
      </c>
      <c r="E20" s="273">
        <v>865.40827191140022</v>
      </c>
      <c r="F20" s="273">
        <v>884.31673775216075</v>
      </c>
      <c r="G20" s="273">
        <v>914.65075643061277</v>
      </c>
      <c r="H20" s="273">
        <v>943.51303198217215</v>
      </c>
      <c r="I20" s="273">
        <v>976.21441240743002</v>
      </c>
      <c r="J20" s="273">
        <v>1016.0480161992253</v>
      </c>
      <c r="K20" s="273">
        <v>1061.8933272795562</v>
      </c>
      <c r="L20" s="273">
        <v>1106.8519270929878</v>
      </c>
    </row>
    <row r="21" spans="1:12" s="4" customFormat="1" ht="15" customHeight="1">
      <c r="A21" s="514" t="s">
        <v>644</v>
      </c>
      <c r="B21" s="273">
        <v>825.60567143830929</v>
      </c>
      <c r="C21" s="273">
        <v>819.99939662279746</v>
      </c>
      <c r="D21" s="273">
        <v>837.85910359041725</v>
      </c>
      <c r="E21" s="273">
        <v>845.20559711382759</v>
      </c>
      <c r="F21" s="273">
        <v>863.34727109567211</v>
      </c>
      <c r="G21" s="273">
        <v>897.58192148173498</v>
      </c>
      <c r="H21" s="273">
        <v>934.82255757676933</v>
      </c>
      <c r="I21" s="273">
        <v>974.35840185770905</v>
      </c>
      <c r="J21" s="273">
        <v>1013.436953586251</v>
      </c>
      <c r="K21" s="273">
        <v>1051.2378280921223</v>
      </c>
      <c r="L21" s="273">
        <v>1107.6834073425111</v>
      </c>
    </row>
    <row r="22" spans="1:12" s="4" customFormat="1" ht="15" customHeight="1">
      <c r="A22" s="16" t="s">
        <v>645</v>
      </c>
      <c r="B22" s="519">
        <v>935.89330088456904</v>
      </c>
      <c r="C22" s="519">
        <v>936.58143289501152</v>
      </c>
      <c r="D22" s="519">
        <v>941.79524899919909</v>
      </c>
      <c r="E22" s="519">
        <v>944.3596541930342</v>
      </c>
      <c r="F22" s="519">
        <v>955.71179647550719</v>
      </c>
      <c r="G22" s="519">
        <v>976.46450192245129</v>
      </c>
      <c r="H22" s="519">
        <v>1005.5650166710384</v>
      </c>
      <c r="I22" s="519">
        <v>1035.8122444601465</v>
      </c>
      <c r="J22" s="519">
        <v>1074.8554084120585</v>
      </c>
      <c r="K22" s="519">
        <v>1115.5639570066828</v>
      </c>
      <c r="L22" s="519">
        <v>1165.7289221289689</v>
      </c>
    </row>
    <row r="23" spans="1:12" s="19" customFormat="1" ht="15" customHeight="1">
      <c r="A23" s="514" t="s">
        <v>646</v>
      </c>
      <c r="B23" s="273">
        <v>909.24462982672082</v>
      </c>
      <c r="C23" s="273">
        <v>909.7338393220341</v>
      </c>
      <c r="D23" s="273">
        <v>919.69866962851154</v>
      </c>
      <c r="E23" s="273">
        <v>915.0269226486829</v>
      </c>
      <c r="F23" s="273">
        <v>937.12869760965361</v>
      </c>
      <c r="G23" s="273">
        <v>958.16161231106275</v>
      </c>
      <c r="H23" s="273">
        <v>984.69134321830575</v>
      </c>
      <c r="I23" s="273">
        <v>1019.3408070610873</v>
      </c>
      <c r="J23" s="273">
        <v>1061.1286805003956</v>
      </c>
      <c r="K23" s="273">
        <v>1106.7626138175262</v>
      </c>
      <c r="L23" s="273">
        <v>1152.3915951764122</v>
      </c>
    </row>
    <row r="24" spans="1:12" s="4" customFormat="1" ht="15" customHeight="1">
      <c r="A24" s="514" t="s">
        <v>647</v>
      </c>
      <c r="B24" s="273">
        <v>946.65378419371928</v>
      </c>
      <c r="C24" s="273">
        <v>949.00407772006588</v>
      </c>
      <c r="D24" s="273">
        <v>952.34059504265724</v>
      </c>
      <c r="E24" s="273">
        <v>957.83793144395167</v>
      </c>
      <c r="F24" s="273">
        <v>964.48015362980345</v>
      </c>
      <c r="G24" s="273">
        <v>993.59402618908155</v>
      </c>
      <c r="H24" s="273">
        <v>1030.619120750873</v>
      </c>
      <c r="I24" s="273">
        <v>1063.3894518478137</v>
      </c>
      <c r="J24" s="273">
        <v>1099.6243568981611</v>
      </c>
      <c r="K24" s="273">
        <v>1126.709629845064</v>
      </c>
      <c r="L24" s="273">
        <v>1175.7172756759385</v>
      </c>
    </row>
    <row r="25" spans="1:12" s="4" customFormat="1" ht="19.5" customHeight="1">
      <c r="A25" s="514" t="s">
        <v>648</v>
      </c>
      <c r="B25" s="273">
        <v>966.20376998583345</v>
      </c>
      <c r="C25" s="273">
        <v>965.95446488599316</v>
      </c>
      <c r="D25" s="273">
        <v>966.16159857270293</v>
      </c>
      <c r="E25" s="273">
        <v>977.92999269852521</v>
      </c>
      <c r="F25" s="273">
        <v>976.73504346356242</v>
      </c>
      <c r="G25" s="273">
        <v>989.34404777673706</v>
      </c>
      <c r="H25" s="273">
        <v>1015.9978782369624</v>
      </c>
      <c r="I25" s="273">
        <v>1037.3219124444438</v>
      </c>
      <c r="J25" s="273">
        <v>1075.1545596086407</v>
      </c>
      <c r="K25" s="273">
        <v>1120.1355230390282</v>
      </c>
      <c r="L25" s="273">
        <v>1178.0944564942188</v>
      </c>
    </row>
    <row r="26" spans="1:12" ht="15" customHeight="1">
      <c r="A26" s="16" t="s">
        <v>649</v>
      </c>
      <c r="B26" s="519">
        <v>1436.7508171929078</v>
      </c>
      <c r="C26" s="519">
        <v>1427.9555868243838</v>
      </c>
      <c r="D26" s="519">
        <v>1421.2480737947819</v>
      </c>
      <c r="E26" s="519">
        <v>1420.2438087132427</v>
      </c>
      <c r="F26" s="519">
        <v>1424.2804857352442</v>
      </c>
      <c r="G26" s="519">
        <v>1447.5142165713758</v>
      </c>
      <c r="H26" s="519">
        <v>1480.7625560860886</v>
      </c>
      <c r="I26" s="519">
        <v>1518.6031180967984</v>
      </c>
      <c r="J26" s="519">
        <v>1558.3371113726521</v>
      </c>
      <c r="K26" s="519">
        <v>1609.1367002569812</v>
      </c>
      <c r="L26" s="519">
        <v>1705.138574047387</v>
      </c>
    </row>
    <row r="27" spans="1:12" ht="15" customHeight="1">
      <c r="A27" s="16" t="s">
        <v>650</v>
      </c>
      <c r="B27" s="519">
        <v>1150.3687443912963</v>
      </c>
      <c r="C27" s="519">
        <v>1134.6377307219154</v>
      </c>
      <c r="D27" s="519">
        <v>1132.8486378156051</v>
      </c>
      <c r="E27" s="519">
        <v>1148.8972843804058</v>
      </c>
      <c r="F27" s="519">
        <v>1180.115960411867</v>
      </c>
      <c r="G27" s="519">
        <v>1199.6640011583083</v>
      </c>
      <c r="H27" s="519">
        <v>1208.2058305256696</v>
      </c>
      <c r="I27" s="519">
        <v>1239.4294410266086</v>
      </c>
      <c r="J27" s="519">
        <v>1283.0362344878154</v>
      </c>
      <c r="K27" s="519">
        <v>1296.7175254504248</v>
      </c>
      <c r="L27" s="519">
        <v>1361.0063112502116</v>
      </c>
    </row>
    <row r="28" spans="1:12" ht="15" customHeight="1">
      <c r="A28" s="16" t="s">
        <v>651</v>
      </c>
      <c r="B28" s="519">
        <v>995.18877535697322</v>
      </c>
      <c r="C28" s="519">
        <v>1008.3747912842522</v>
      </c>
      <c r="D28" s="519">
        <v>1002.4955132660954</v>
      </c>
      <c r="E28" s="519">
        <v>1002.6344131072708</v>
      </c>
      <c r="F28" s="519">
        <v>1008.4606750671755</v>
      </c>
      <c r="G28" s="519">
        <v>1030.5181283588138</v>
      </c>
      <c r="H28" s="519">
        <v>1069.4267018564456</v>
      </c>
      <c r="I28" s="519">
        <v>1083.6273699358733</v>
      </c>
      <c r="J28" s="519">
        <v>1124.748693492875</v>
      </c>
      <c r="K28" s="519">
        <v>1171.1712598903048</v>
      </c>
      <c r="L28" s="519">
        <v>1225.047196267717</v>
      </c>
    </row>
    <row r="29" spans="1:12" ht="15" customHeight="1">
      <c r="A29" s="514" t="s">
        <v>652</v>
      </c>
      <c r="B29" s="273">
        <v>1157.36117548331</v>
      </c>
      <c r="C29" s="273">
        <v>1182.1377994445793</v>
      </c>
      <c r="D29" s="273">
        <v>1155.5845368823113</v>
      </c>
      <c r="E29" s="273">
        <v>1137.0322937266062</v>
      </c>
      <c r="F29" s="273">
        <v>1131.09580068325</v>
      </c>
      <c r="G29" s="273">
        <v>1142.9463911106607</v>
      </c>
      <c r="H29" s="273">
        <v>1183.997285004584</v>
      </c>
      <c r="I29" s="273">
        <v>1165.4425490654194</v>
      </c>
      <c r="J29" s="273">
        <v>1206.6348659207958</v>
      </c>
      <c r="K29" s="273">
        <v>1232.3448327581082</v>
      </c>
      <c r="L29" s="273">
        <v>1283.2865372245381</v>
      </c>
    </row>
    <row r="30" spans="1:12" ht="15" customHeight="1">
      <c r="A30" s="514" t="s">
        <v>653</v>
      </c>
      <c r="B30" s="273">
        <v>1011.0294545954873</v>
      </c>
      <c r="C30" s="273">
        <v>1021.5130451148626</v>
      </c>
      <c r="D30" s="273">
        <v>1016.328479449059</v>
      </c>
      <c r="E30" s="273">
        <v>1025.9058148988984</v>
      </c>
      <c r="F30" s="273">
        <v>1026.2372898772196</v>
      </c>
      <c r="G30" s="273">
        <v>1053.3307585673808</v>
      </c>
      <c r="H30" s="273">
        <v>1104.1443777976724</v>
      </c>
      <c r="I30" s="273">
        <v>1129.8131027158238</v>
      </c>
      <c r="J30" s="273">
        <v>1166.3038412632254</v>
      </c>
      <c r="K30" s="273">
        <v>1237.7912591706111</v>
      </c>
      <c r="L30" s="273">
        <v>1284.9593564356433</v>
      </c>
    </row>
    <row r="31" spans="1:12" ht="15" customHeight="1">
      <c r="A31" s="514" t="s">
        <v>654</v>
      </c>
      <c r="B31" s="273">
        <v>900.60397061666356</v>
      </c>
      <c r="C31" s="273">
        <v>894.31773800955273</v>
      </c>
      <c r="D31" s="273">
        <v>897.83141137428458</v>
      </c>
      <c r="E31" s="273">
        <v>901.87015678776265</v>
      </c>
      <c r="F31" s="273">
        <v>915.42442992727729</v>
      </c>
      <c r="G31" s="273">
        <v>934.82731932064553</v>
      </c>
      <c r="H31" s="273">
        <v>968.22669070904669</v>
      </c>
      <c r="I31" s="273">
        <v>989.48121989783624</v>
      </c>
      <c r="J31" s="273">
        <v>1029.4718483441284</v>
      </c>
      <c r="K31" s="273">
        <v>1078.9214928425358</v>
      </c>
      <c r="L31" s="273">
        <v>1126.5965890112573</v>
      </c>
    </row>
    <row r="32" spans="1:12" ht="15" customHeight="1">
      <c r="A32" s="514" t="s">
        <v>655</v>
      </c>
      <c r="B32" s="273">
        <v>940.52806541698396</v>
      </c>
      <c r="C32" s="273">
        <v>955.20704335024811</v>
      </c>
      <c r="D32" s="273">
        <v>955.65423432841533</v>
      </c>
      <c r="E32" s="273">
        <v>956.12030429988999</v>
      </c>
      <c r="F32" s="273">
        <v>967.64274178335643</v>
      </c>
      <c r="G32" s="273">
        <v>992.35004829888476</v>
      </c>
      <c r="H32" s="273">
        <v>1020.6969094346125</v>
      </c>
      <c r="I32" s="273">
        <v>1045.4678829845438</v>
      </c>
      <c r="J32" s="273">
        <v>1086.7700585903265</v>
      </c>
      <c r="K32" s="273">
        <v>1127.2864444597708</v>
      </c>
      <c r="L32" s="273">
        <v>1190.5704398493797</v>
      </c>
    </row>
    <row r="33" spans="1:12" ht="15" customHeight="1">
      <c r="A33" s="18" t="s">
        <v>656</v>
      </c>
      <c r="B33" s="520">
        <v>943.89424917608278</v>
      </c>
      <c r="C33" s="520">
        <v>930.97374880713824</v>
      </c>
      <c r="D33" s="520">
        <v>927.57847468747889</v>
      </c>
      <c r="E33" s="520">
        <v>926.12862527071184</v>
      </c>
      <c r="F33" s="520">
        <v>942.73180680378732</v>
      </c>
      <c r="G33" s="520">
        <v>968.18550821874965</v>
      </c>
      <c r="H33" s="520">
        <v>999.04854164793812</v>
      </c>
      <c r="I33" s="520">
        <v>1029.0114269859289</v>
      </c>
      <c r="J33" s="520">
        <v>1070.9644070332188</v>
      </c>
      <c r="K33" s="520">
        <v>1106.3240281891931</v>
      </c>
      <c r="L33" s="520">
        <v>1150.8139774725996</v>
      </c>
    </row>
    <row r="34" spans="1:12" ht="15" customHeight="1">
      <c r="A34" s="126" t="s">
        <v>138</v>
      </c>
      <c r="B34" s="209"/>
      <c r="C34" s="209"/>
      <c r="D34" s="98"/>
      <c r="E34" s="98"/>
      <c r="F34" s="98"/>
      <c r="G34" s="98"/>
      <c r="H34" s="98"/>
      <c r="I34" s="98"/>
      <c r="J34" s="98"/>
      <c r="K34" s="98"/>
      <c r="L34" s="98"/>
    </row>
    <row r="35" spans="1:12" ht="15" customHeight="1">
      <c r="A35" s="621" t="s">
        <v>130</v>
      </c>
      <c r="B35" s="621"/>
      <c r="C35" s="621"/>
      <c r="D35" s="621"/>
      <c r="E35" s="621"/>
      <c r="F35" s="621"/>
      <c r="G35" s="621"/>
      <c r="H35" s="621"/>
      <c r="I35" s="621"/>
      <c r="J35" s="621"/>
      <c r="K35" s="621"/>
      <c r="L35" s="621"/>
    </row>
  </sheetData>
  <mergeCells count="2">
    <mergeCell ref="A1:L1"/>
    <mergeCell ref="A35:L35"/>
  </mergeCells>
  <conditionalFormatting sqref="A1 E2:E3 E36:E1048576 A2:C2 A3 A36:C1048576 M1:XFD1048576">
    <cfRule type="cellIs" dxfId="314" priority="26" operator="equal">
      <formula>0</formula>
    </cfRule>
  </conditionalFormatting>
  <conditionalFormatting sqref="D2:D3 D36:D1048576">
    <cfRule type="cellIs" dxfId="313" priority="25" operator="equal">
      <formula>0</formula>
    </cfRule>
  </conditionalFormatting>
  <conditionalFormatting sqref="G2:G3 G36:G1048576">
    <cfRule type="cellIs" dxfId="312" priority="24" operator="equal">
      <formula>0</formula>
    </cfRule>
  </conditionalFormatting>
  <conditionalFormatting sqref="F2:F3 F36:F1048576">
    <cfRule type="cellIs" dxfId="311" priority="23" operator="equal">
      <formula>0</formula>
    </cfRule>
  </conditionalFormatting>
  <conditionalFormatting sqref="H2:H3 H36:H1048576">
    <cfRule type="cellIs" dxfId="310" priority="22" operator="equal">
      <formula>0</formula>
    </cfRule>
  </conditionalFormatting>
  <conditionalFormatting sqref="I2:I3 I36:I1048576">
    <cfRule type="cellIs" dxfId="309" priority="21" operator="equal">
      <formula>0</formula>
    </cfRule>
  </conditionalFormatting>
  <conditionalFormatting sqref="J2:J3 J36:J1048576">
    <cfRule type="cellIs" dxfId="308" priority="20" operator="equal">
      <formula>0</formula>
    </cfRule>
  </conditionalFormatting>
  <conditionalFormatting sqref="K2:K3 K36:K1048576">
    <cfRule type="cellIs" dxfId="307" priority="19" operator="equal">
      <formula>0</formula>
    </cfRule>
  </conditionalFormatting>
  <conditionalFormatting sqref="L2:L3 L36:L1048576">
    <cfRule type="cellIs" dxfId="306" priority="18" operator="equal">
      <formula>0</formula>
    </cfRule>
  </conditionalFormatting>
  <conditionalFormatting sqref="A35 A4:C4 B34:D34 B5:L33">
    <cfRule type="cellIs" dxfId="305" priority="17" operator="equal">
      <formula>0</formula>
    </cfRule>
  </conditionalFormatting>
  <conditionalFormatting sqref="A34">
    <cfRule type="cellIs" dxfId="304" priority="16" operator="equal">
      <formula>0</formula>
    </cfRule>
  </conditionalFormatting>
  <conditionalFormatting sqref="D4">
    <cfRule type="cellIs" dxfId="303" priority="15" operator="equal">
      <formula>0</formula>
    </cfRule>
  </conditionalFormatting>
  <conditionalFormatting sqref="G34">
    <cfRule type="cellIs" dxfId="302" priority="14" operator="equal">
      <formula>0</formula>
    </cfRule>
  </conditionalFormatting>
  <conditionalFormatting sqref="E34">
    <cfRule type="cellIs" dxfId="301" priority="13" operator="equal">
      <formula>0</formula>
    </cfRule>
  </conditionalFormatting>
  <conditionalFormatting sqref="E4:G4">
    <cfRule type="cellIs" dxfId="300" priority="12" operator="equal">
      <formula>0</formula>
    </cfRule>
  </conditionalFormatting>
  <conditionalFormatting sqref="F34">
    <cfRule type="cellIs" dxfId="299" priority="11" operator="equal">
      <formula>0</formula>
    </cfRule>
  </conditionalFormatting>
  <conditionalFormatting sqref="H34">
    <cfRule type="cellIs" dxfId="298" priority="10" operator="equal">
      <formula>0</formula>
    </cfRule>
  </conditionalFormatting>
  <conditionalFormatting sqref="H4">
    <cfRule type="cellIs" dxfId="297" priority="9" operator="equal">
      <formula>0</formula>
    </cfRule>
  </conditionalFormatting>
  <conditionalFormatting sqref="I34">
    <cfRule type="cellIs" dxfId="296" priority="8" operator="equal">
      <formula>0</formula>
    </cfRule>
  </conditionalFormatting>
  <conditionalFormatting sqref="I4">
    <cfRule type="cellIs" dxfId="295" priority="7" operator="equal">
      <formula>0</formula>
    </cfRule>
  </conditionalFormatting>
  <conditionalFormatting sqref="J34">
    <cfRule type="cellIs" dxfId="294" priority="6" operator="equal">
      <formula>0</formula>
    </cfRule>
  </conditionalFormatting>
  <conditionalFormatting sqref="J4">
    <cfRule type="cellIs" dxfId="293" priority="5" operator="equal">
      <formula>0</formula>
    </cfRule>
  </conditionalFormatting>
  <conditionalFormatting sqref="K34">
    <cfRule type="cellIs" dxfId="292" priority="4" operator="equal">
      <formula>0</formula>
    </cfRule>
  </conditionalFormatting>
  <conditionalFormatting sqref="K4">
    <cfRule type="cellIs" dxfId="291" priority="3" operator="equal">
      <formula>0</formula>
    </cfRule>
  </conditionalFormatting>
  <conditionalFormatting sqref="L34">
    <cfRule type="cellIs" dxfId="290" priority="2" operator="equal">
      <formula>0</formula>
    </cfRule>
  </conditionalFormatting>
  <conditionalFormatting sqref="L4">
    <cfRule type="cellIs" dxfId="289"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32">
    <tabColor rgb="FFA50021"/>
    <pageSetUpPr fitToPage="1"/>
  </sheetPr>
  <dimension ref="A1:O45"/>
  <sheetViews>
    <sheetView showGridLines="0" workbookViewId="0">
      <selection activeCell="C4" sqref="C4:M43"/>
    </sheetView>
  </sheetViews>
  <sheetFormatPr defaultColWidth="9.140625" defaultRowHeight="17.25" customHeight="1"/>
  <cols>
    <col min="1" max="1" width="14.7109375" style="62" customWidth="1"/>
    <col min="2" max="2" width="2.7109375" style="97" customWidth="1"/>
    <col min="3" max="13" width="6.42578125" style="67" customWidth="1"/>
    <col min="14" max="16384" width="9.140625" style="62"/>
  </cols>
  <sheetData>
    <row r="1" spans="1:15" s="78" customFormat="1" ht="28.5" customHeight="1">
      <c r="A1" s="587" t="s">
        <v>215</v>
      </c>
      <c r="B1" s="587"/>
      <c r="C1" s="587"/>
      <c r="D1" s="587"/>
      <c r="E1" s="587"/>
      <c r="F1" s="587"/>
      <c r="G1" s="587"/>
      <c r="H1" s="587"/>
      <c r="I1" s="587"/>
      <c r="J1" s="587"/>
      <c r="K1" s="587"/>
      <c r="L1" s="587"/>
      <c r="M1" s="587"/>
    </row>
    <row r="2" spans="1:15" s="61" customFormat="1" ht="15" customHeight="1">
      <c r="A2" s="75"/>
      <c r="B2" s="75"/>
      <c r="C2" s="80"/>
      <c r="D2" s="80"/>
      <c r="E2" s="80"/>
      <c r="F2" s="80"/>
      <c r="G2" s="80"/>
      <c r="H2" s="80"/>
      <c r="I2" s="80"/>
      <c r="J2" s="80"/>
      <c r="K2" s="80"/>
      <c r="L2" s="80"/>
      <c r="M2" s="80"/>
    </row>
    <row r="3" spans="1:15" s="36" customFormat="1" ht="15" customHeight="1">
      <c r="A3" s="35" t="s">
        <v>14</v>
      </c>
      <c r="B3" s="53"/>
      <c r="C3" s="99"/>
      <c r="E3" s="99"/>
      <c r="F3" s="99"/>
      <c r="G3" s="99"/>
      <c r="H3" s="99"/>
      <c r="I3" s="99"/>
      <c r="J3" s="99"/>
      <c r="K3" s="99"/>
      <c r="L3" s="99"/>
      <c r="M3" s="99" t="s">
        <v>68</v>
      </c>
    </row>
    <row r="4" spans="1:15" s="93" customFormat="1" ht="28.5" customHeight="1" thickBot="1">
      <c r="A4" s="54"/>
      <c r="B4" s="54"/>
      <c r="C4" s="54">
        <v>2012</v>
      </c>
      <c r="D4" s="54">
        <v>2013</v>
      </c>
      <c r="E4" s="54">
        <v>2014</v>
      </c>
      <c r="F4" s="54">
        <v>2015</v>
      </c>
      <c r="G4" s="54">
        <v>2016</v>
      </c>
      <c r="H4" s="54">
        <v>2017</v>
      </c>
      <c r="I4" s="54">
        <v>2018</v>
      </c>
      <c r="J4" s="54">
        <v>2019</v>
      </c>
      <c r="K4" s="54">
        <v>2020</v>
      </c>
      <c r="L4" s="54">
        <v>2021</v>
      </c>
      <c r="M4" s="54">
        <v>2022</v>
      </c>
    </row>
    <row r="5" spans="1:15" s="79" customFormat="1" ht="16.5" customHeight="1" thickTop="1">
      <c r="A5" s="44" t="s">
        <v>12</v>
      </c>
      <c r="B5" s="44" t="s">
        <v>45</v>
      </c>
      <c r="C5" s="276">
        <v>1095.58619281857</v>
      </c>
      <c r="D5" s="276">
        <v>1093.8178723953499</v>
      </c>
      <c r="E5" s="276">
        <v>1093.20854089105</v>
      </c>
      <c r="F5" s="276">
        <v>1096.65734127991</v>
      </c>
      <c r="G5" s="276">
        <v>1107.85636561875</v>
      </c>
      <c r="H5" s="276">
        <v>1133.34288689707</v>
      </c>
      <c r="I5" s="276">
        <v>1170.2525051678801</v>
      </c>
      <c r="J5" s="276">
        <v>1209.93900485576</v>
      </c>
      <c r="K5" s="276">
        <v>1250.75197084447</v>
      </c>
      <c r="L5" s="276">
        <v>1294.10894067238</v>
      </c>
      <c r="M5" s="276">
        <v>1367.9952489883699</v>
      </c>
      <c r="N5" s="93"/>
      <c r="O5" s="93"/>
    </row>
    <row r="6" spans="1:15" s="79" customFormat="1" ht="12.75" customHeight="1">
      <c r="A6" s="44"/>
      <c r="B6" s="44" t="s">
        <v>53</v>
      </c>
      <c r="C6" s="276">
        <v>1213.0207353340002</v>
      </c>
      <c r="D6" s="276">
        <v>1209.2112926836</v>
      </c>
      <c r="E6" s="276">
        <v>1203.3163954215399</v>
      </c>
      <c r="F6" s="276">
        <v>1207.7620848918802</v>
      </c>
      <c r="G6" s="276">
        <v>1215.1073571470499</v>
      </c>
      <c r="H6" s="276">
        <v>1236.8510439336801</v>
      </c>
      <c r="I6" s="276">
        <v>1273.9856646448</v>
      </c>
      <c r="J6" s="276">
        <v>1312.4262476007902</v>
      </c>
      <c r="K6" s="276">
        <v>1349.3525335819299</v>
      </c>
      <c r="L6" s="276">
        <v>1395.6950744819503</v>
      </c>
      <c r="M6" s="276">
        <v>1476.20345437132</v>
      </c>
      <c r="O6" s="93"/>
    </row>
    <row r="7" spans="1:15" s="79" customFormat="1" ht="12.75" customHeight="1">
      <c r="A7" s="44"/>
      <c r="B7" s="44" t="s">
        <v>54</v>
      </c>
      <c r="C7" s="276">
        <v>956.51135558425801</v>
      </c>
      <c r="D7" s="276">
        <v>958.1169410237261</v>
      </c>
      <c r="E7" s="276">
        <v>963.11657750883012</v>
      </c>
      <c r="F7" s="276">
        <v>966.85175731037509</v>
      </c>
      <c r="G7" s="276">
        <v>982.48629518294808</v>
      </c>
      <c r="H7" s="276">
        <v>1011.0188687181301</v>
      </c>
      <c r="I7" s="276">
        <v>1046.5864208241201</v>
      </c>
      <c r="J7" s="276">
        <v>1086.9729161883299</v>
      </c>
      <c r="K7" s="276">
        <v>1130.8674354246</v>
      </c>
      <c r="L7" s="276">
        <v>1172.0779291766798</v>
      </c>
      <c r="M7" s="276">
        <v>1237.52369998673</v>
      </c>
      <c r="O7" s="93"/>
    </row>
    <row r="8" spans="1:15" s="8" customFormat="1" ht="16.5" customHeight="1">
      <c r="A8" s="46" t="s">
        <v>55</v>
      </c>
      <c r="B8" s="44" t="s">
        <v>45</v>
      </c>
      <c r="C8" s="276">
        <v>579.52568067226912</v>
      </c>
      <c r="D8" s="276">
        <v>626.53287804878005</v>
      </c>
      <c r="E8" s="276">
        <v>752.91372623574102</v>
      </c>
      <c r="F8" s="276">
        <v>711.88108333333309</v>
      </c>
      <c r="G8" s="276">
        <v>759.20947565543111</v>
      </c>
      <c r="H8" s="276">
        <v>761.63557894736812</v>
      </c>
      <c r="I8" s="276">
        <v>775.7415860215051</v>
      </c>
      <c r="J8" s="276">
        <v>1016.7592550143301</v>
      </c>
      <c r="K8" s="276">
        <v>1233.4969264069302</v>
      </c>
      <c r="L8" s="276">
        <v>1171.6421631205699</v>
      </c>
      <c r="M8" s="276">
        <v>1142.1032360742699</v>
      </c>
    </row>
    <row r="9" spans="1:15" s="8" customFormat="1" ht="12.75" customHeight="1">
      <c r="A9" s="47"/>
      <c r="B9" s="48" t="s">
        <v>53</v>
      </c>
      <c r="C9" s="278">
        <v>592.12341067285411</v>
      </c>
      <c r="D9" s="278">
        <v>652.37886861313905</v>
      </c>
      <c r="E9" s="278">
        <v>837.33664739884409</v>
      </c>
      <c r="F9" s="278">
        <v>767.93542682926807</v>
      </c>
      <c r="G9" s="278">
        <v>814.53664921466009</v>
      </c>
      <c r="H9" s="278">
        <v>805.09781818181796</v>
      </c>
      <c r="I9" s="278">
        <v>813.30253968253999</v>
      </c>
      <c r="J9" s="278">
        <v>1105.51102766798</v>
      </c>
      <c r="K9" s="278">
        <v>1339.0742631578898</v>
      </c>
      <c r="L9" s="278">
        <v>1291.67564220183</v>
      </c>
      <c r="M9" s="278">
        <v>1255.1913043478301</v>
      </c>
    </row>
    <row r="10" spans="1:15" s="8" customFormat="1" ht="12.75" customHeight="1">
      <c r="A10" s="46"/>
      <c r="B10" s="48" t="s">
        <v>54</v>
      </c>
      <c r="C10" s="278">
        <v>546.41823170731709</v>
      </c>
      <c r="D10" s="278">
        <v>574.46080882352908</v>
      </c>
      <c r="E10" s="278">
        <v>590.634111111111</v>
      </c>
      <c r="F10" s="278">
        <v>590.92171052631602</v>
      </c>
      <c r="G10" s="278">
        <v>620.16355263157902</v>
      </c>
      <c r="H10" s="278">
        <v>647.80590476190514</v>
      </c>
      <c r="I10" s="278">
        <v>696.86358333333305</v>
      </c>
      <c r="J10" s="278">
        <v>782.86135416666707</v>
      </c>
      <c r="K10" s="278">
        <v>744.23609756097596</v>
      </c>
      <c r="L10" s="278">
        <v>762.77812500000005</v>
      </c>
      <c r="M10" s="278">
        <v>833.0704950495051</v>
      </c>
    </row>
    <row r="11" spans="1:15" s="8" customFormat="1" ht="16.5" customHeight="1">
      <c r="A11" s="46" t="s">
        <v>56</v>
      </c>
      <c r="B11" s="44" t="s">
        <v>45</v>
      </c>
      <c r="C11" s="276">
        <v>725.36360949234006</v>
      </c>
      <c r="D11" s="276">
        <v>715.26038767845102</v>
      </c>
      <c r="E11" s="276">
        <v>719.19943383557609</v>
      </c>
      <c r="F11" s="276">
        <v>733.68816429448304</v>
      </c>
      <c r="G11" s="276">
        <v>753.40961690834013</v>
      </c>
      <c r="H11" s="276">
        <v>788.29137384927412</v>
      </c>
      <c r="I11" s="276">
        <v>827.84147240876302</v>
      </c>
      <c r="J11" s="276">
        <v>871.35192145880296</v>
      </c>
      <c r="K11" s="276">
        <v>910.79519282836304</v>
      </c>
      <c r="L11" s="276">
        <v>948.81305868554409</v>
      </c>
      <c r="M11" s="276">
        <v>1015.84021545265</v>
      </c>
    </row>
    <row r="12" spans="1:15" s="8" customFormat="1" ht="12.75" customHeight="1">
      <c r="A12" s="47"/>
      <c r="B12" s="48" t="s">
        <v>53</v>
      </c>
      <c r="C12" s="278">
        <v>766.451616617539</v>
      </c>
      <c r="D12" s="278">
        <v>753.12304447313807</v>
      </c>
      <c r="E12" s="278">
        <v>752.86332712992498</v>
      </c>
      <c r="F12" s="278">
        <v>768.955694107618</v>
      </c>
      <c r="G12" s="278">
        <v>785.58874369310104</v>
      </c>
      <c r="H12" s="278">
        <v>818.24742516097513</v>
      </c>
      <c r="I12" s="278">
        <v>858.87286539014406</v>
      </c>
      <c r="J12" s="278">
        <v>904.01852112597908</v>
      </c>
      <c r="K12" s="278">
        <v>939.88988105144608</v>
      </c>
      <c r="L12" s="278">
        <v>975.74688528596005</v>
      </c>
      <c r="M12" s="278">
        <v>1047.1973240606901</v>
      </c>
    </row>
    <row r="13" spans="1:15" s="8" customFormat="1" ht="12.75" customHeight="1">
      <c r="A13" s="46"/>
      <c r="B13" s="48" t="s">
        <v>54</v>
      </c>
      <c r="C13" s="278">
        <v>673.27407034002204</v>
      </c>
      <c r="D13" s="278">
        <v>666.16011360746108</v>
      </c>
      <c r="E13" s="278">
        <v>675.00063031909406</v>
      </c>
      <c r="F13" s="278">
        <v>688.00695413787207</v>
      </c>
      <c r="G13" s="278">
        <v>711.72341053603816</v>
      </c>
      <c r="H13" s="278">
        <v>749.37493306374006</v>
      </c>
      <c r="I13" s="278">
        <v>786.475637503641</v>
      </c>
      <c r="J13" s="278">
        <v>827.94539329821612</v>
      </c>
      <c r="K13" s="278">
        <v>870.50197118888207</v>
      </c>
      <c r="L13" s="278">
        <v>912.90465345083214</v>
      </c>
      <c r="M13" s="278">
        <v>974.41249779032307</v>
      </c>
    </row>
    <row r="14" spans="1:15" s="8" customFormat="1" ht="16.5" customHeight="1">
      <c r="A14" s="46" t="s">
        <v>57</v>
      </c>
      <c r="B14" s="44" t="s">
        <v>45</v>
      </c>
      <c r="C14" s="276">
        <v>876.15164491889004</v>
      </c>
      <c r="D14" s="276">
        <v>865.88542855200205</v>
      </c>
      <c r="E14" s="276">
        <v>862.51239979343711</v>
      </c>
      <c r="F14" s="276">
        <v>871.57959064838906</v>
      </c>
      <c r="G14" s="276">
        <v>893.30964622452905</v>
      </c>
      <c r="H14" s="276">
        <v>935.64690023586411</v>
      </c>
      <c r="I14" s="276">
        <v>980.03467699590408</v>
      </c>
      <c r="J14" s="276">
        <v>1030.85516188815</v>
      </c>
      <c r="K14" s="276">
        <v>1074.4946862765198</v>
      </c>
      <c r="L14" s="276">
        <v>1126.1219897304202</v>
      </c>
      <c r="M14" s="276">
        <v>1206.3490720214502</v>
      </c>
    </row>
    <row r="15" spans="1:15" s="8" customFormat="1" ht="12.75" customHeight="1">
      <c r="A15" s="47"/>
      <c r="B15" s="48" t="s">
        <v>53</v>
      </c>
      <c r="C15" s="278">
        <v>911.66736574395907</v>
      </c>
      <c r="D15" s="278">
        <v>906.40771357157212</v>
      </c>
      <c r="E15" s="278">
        <v>901.54740505876202</v>
      </c>
      <c r="F15" s="278">
        <v>917.10462202263</v>
      </c>
      <c r="G15" s="278">
        <v>938.39715844318209</v>
      </c>
      <c r="H15" s="278">
        <v>982.9300194296361</v>
      </c>
      <c r="I15" s="278">
        <v>1028.6203875692499</v>
      </c>
      <c r="J15" s="278">
        <v>1078.1627305112399</v>
      </c>
      <c r="K15" s="278">
        <v>1116.1989601080199</v>
      </c>
      <c r="L15" s="278">
        <v>1172.8121950689399</v>
      </c>
      <c r="M15" s="278">
        <v>1256.5231891761002</v>
      </c>
    </row>
    <row r="16" spans="1:15" s="8" customFormat="1" ht="12.75" customHeight="1">
      <c r="A16" s="46"/>
      <c r="B16" s="48" t="s">
        <v>54</v>
      </c>
      <c r="C16" s="278">
        <v>838.07517775576207</v>
      </c>
      <c r="D16" s="278">
        <v>822.22223905755607</v>
      </c>
      <c r="E16" s="278">
        <v>819.38813791945006</v>
      </c>
      <c r="F16" s="278">
        <v>821.71461839681297</v>
      </c>
      <c r="G16" s="278">
        <v>843.23970535555213</v>
      </c>
      <c r="H16" s="278">
        <v>882.47265609058013</v>
      </c>
      <c r="I16" s="278">
        <v>924.7542303906331</v>
      </c>
      <c r="J16" s="278">
        <v>976.53386952358608</v>
      </c>
      <c r="K16" s="278">
        <v>1025.4473142184202</v>
      </c>
      <c r="L16" s="278">
        <v>1071.60473416636</v>
      </c>
      <c r="M16" s="278">
        <v>1146.3852571401001</v>
      </c>
    </row>
    <row r="17" spans="1:13" s="8" customFormat="1" ht="16.5" customHeight="1">
      <c r="A17" s="46" t="s">
        <v>58</v>
      </c>
      <c r="B17" s="44" t="s">
        <v>45</v>
      </c>
      <c r="C17" s="276">
        <v>1015.25037434595</v>
      </c>
      <c r="D17" s="276">
        <v>997.83089565780904</v>
      </c>
      <c r="E17" s="276">
        <v>987.52666890434807</v>
      </c>
      <c r="F17" s="276">
        <v>991.06379561785809</v>
      </c>
      <c r="G17" s="276">
        <v>1003.61450690821</v>
      </c>
      <c r="H17" s="276">
        <v>1034.77980628215</v>
      </c>
      <c r="I17" s="276">
        <v>1081.34847479682</v>
      </c>
      <c r="J17" s="276">
        <v>1135.04892998587</v>
      </c>
      <c r="K17" s="276">
        <v>1176.05112795233</v>
      </c>
      <c r="L17" s="276">
        <v>1234.8667332304101</v>
      </c>
      <c r="M17" s="276">
        <v>1319.2813515816902</v>
      </c>
    </row>
    <row r="18" spans="1:13" s="8" customFormat="1" ht="12.75" customHeight="1">
      <c r="A18" s="47"/>
      <c r="B18" s="48" t="s">
        <v>53</v>
      </c>
      <c r="C18" s="278">
        <v>1075.1518025425401</v>
      </c>
      <c r="D18" s="278">
        <v>1053.0039878457901</v>
      </c>
      <c r="E18" s="278">
        <v>1036.9852602872002</v>
      </c>
      <c r="F18" s="278">
        <v>1043.90744755951</v>
      </c>
      <c r="G18" s="278">
        <v>1054.6308817122301</v>
      </c>
      <c r="H18" s="278">
        <v>1089.10196253545</v>
      </c>
      <c r="I18" s="278">
        <v>1145.5087133347301</v>
      </c>
      <c r="J18" s="278">
        <v>1199.1634039137202</v>
      </c>
      <c r="K18" s="278">
        <v>1236.2666421316503</v>
      </c>
      <c r="L18" s="278">
        <v>1296.9965525458699</v>
      </c>
      <c r="M18" s="278">
        <v>1382.6885251838701</v>
      </c>
    </row>
    <row r="19" spans="1:13" s="8" customFormat="1" ht="12.75" customHeight="1">
      <c r="A19" s="46"/>
      <c r="B19" s="48" t="s">
        <v>54</v>
      </c>
      <c r="C19" s="278">
        <v>949.38251537888607</v>
      </c>
      <c r="D19" s="278">
        <v>937.44447996742213</v>
      </c>
      <c r="E19" s="278">
        <v>932.61849901647008</v>
      </c>
      <c r="F19" s="278">
        <v>932.72344813225504</v>
      </c>
      <c r="G19" s="278">
        <v>946.64290571000708</v>
      </c>
      <c r="H19" s="278">
        <v>972.87029325354104</v>
      </c>
      <c r="I19" s="278">
        <v>1006.35973876097</v>
      </c>
      <c r="J19" s="278">
        <v>1058.7555863403099</v>
      </c>
      <c r="K19" s="278">
        <v>1102.4464262082001</v>
      </c>
      <c r="L19" s="278">
        <v>1158.88768858865</v>
      </c>
      <c r="M19" s="278">
        <v>1239.7503830836501</v>
      </c>
    </row>
    <row r="20" spans="1:13" s="8" customFormat="1" ht="16.5" customHeight="1">
      <c r="A20" s="46" t="s">
        <v>59</v>
      </c>
      <c r="B20" s="44" t="s">
        <v>45</v>
      </c>
      <c r="C20" s="276">
        <v>1150.5448351972502</v>
      </c>
      <c r="D20" s="276">
        <v>1137.8678355894499</v>
      </c>
      <c r="E20" s="276">
        <v>1125.56210478462</v>
      </c>
      <c r="F20" s="276">
        <v>1118.14712447494</v>
      </c>
      <c r="G20" s="276">
        <v>1123.6743478693402</v>
      </c>
      <c r="H20" s="276">
        <v>1143.1950956973001</v>
      </c>
      <c r="I20" s="276">
        <v>1176.18954144759</v>
      </c>
      <c r="J20" s="276">
        <v>1219.46655305434</v>
      </c>
      <c r="K20" s="276">
        <v>1255.86697649077</v>
      </c>
      <c r="L20" s="276">
        <v>1302.6058505693702</v>
      </c>
      <c r="M20" s="276">
        <v>1386.2472105721299</v>
      </c>
    </row>
    <row r="21" spans="1:13" s="8" customFormat="1" ht="12.75" customHeight="1">
      <c r="A21" s="47"/>
      <c r="B21" s="48" t="s">
        <v>53</v>
      </c>
      <c r="C21" s="278">
        <v>1245.6454495689502</v>
      </c>
      <c r="D21" s="278">
        <v>1225.79558639632</v>
      </c>
      <c r="E21" s="278">
        <v>1207.94193186698</v>
      </c>
      <c r="F21" s="278">
        <v>1199.21215082396</v>
      </c>
      <c r="G21" s="278">
        <v>1203.0458791736301</v>
      </c>
      <c r="H21" s="278">
        <v>1220.7860014861499</v>
      </c>
      <c r="I21" s="278">
        <v>1256.2839007377502</v>
      </c>
      <c r="J21" s="278">
        <v>1300.36182384225</v>
      </c>
      <c r="K21" s="278">
        <v>1332.6232628402599</v>
      </c>
      <c r="L21" s="278">
        <v>1389.0522193243003</v>
      </c>
      <c r="M21" s="278">
        <v>1486.0356095387201</v>
      </c>
    </row>
    <row r="22" spans="1:13" s="8" customFormat="1" ht="12.75" customHeight="1">
      <c r="A22" s="46"/>
      <c r="B22" s="48" t="s">
        <v>54</v>
      </c>
      <c r="C22" s="278">
        <v>1043.78362588715</v>
      </c>
      <c r="D22" s="278">
        <v>1040.1942949559702</v>
      </c>
      <c r="E22" s="278">
        <v>1033.5912868907201</v>
      </c>
      <c r="F22" s="278">
        <v>1028.94397646877</v>
      </c>
      <c r="G22" s="278">
        <v>1036.0811925441501</v>
      </c>
      <c r="H22" s="278">
        <v>1056.9140207698501</v>
      </c>
      <c r="I22" s="278">
        <v>1085.77695626332</v>
      </c>
      <c r="J22" s="278">
        <v>1126.5960259625201</v>
      </c>
      <c r="K22" s="278">
        <v>1165.55802642656</v>
      </c>
      <c r="L22" s="278">
        <v>1199.91107575518</v>
      </c>
      <c r="M22" s="278">
        <v>1265.4929801498199</v>
      </c>
    </row>
    <row r="23" spans="1:13" s="8" customFormat="1" ht="16.5" customHeight="1">
      <c r="A23" s="46" t="s">
        <v>60</v>
      </c>
      <c r="B23" s="44" t="s">
        <v>45</v>
      </c>
      <c r="C23" s="276">
        <v>1182.65171991699</v>
      </c>
      <c r="D23" s="276">
        <v>1188.8892561251403</v>
      </c>
      <c r="E23" s="276">
        <v>1199.29160108875</v>
      </c>
      <c r="F23" s="276">
        <v>1202.7685113192301</v>
      </c>
      <c r="G23" s="276">
        <v>1213.0108721032102</v>
      </c>
      <c r="H23" s="276">
        <v>1237.06960709492</v>
      </c>
      <c r="I23" s="276">
        <v>1273.5222937617102</v>
      </c>
      <c r="J23" s="276">
        <v>1312.01888238025</v>
      </c>
      <c r="K23" s="276">
        <v>1336.15931461017</v>
      </c>
      <c r="L23" s="276">
        <v>1379.1635161171801</v>
      </c>
      <c r="M23" s="276">
        <v>1451.8154341828301</v>
      </c>
    </row>
    <row r="24" spans="1:13" s="8" customFormat="1" ht="12.75" customHeight="1">
      <c r="A24" s="47"/>
      <c r="B24" s="48" t="s">
        <v>53</v>
      </c>
      <c r="C24" s="278">
        <v>1318.7246921764199</v>
      </c>
      <c r="D24" s="278">
        <v>1319.64519640751</v>
      </c>
      <c r="E24" s="278">
        <v>1322.5866727113503</v>
      </c>
      <c r="F24" s="278">
        <v>1324.1118137287001</v>
      </c>
      <c r="G24" s="278">
        <v>1328.88853800128</v>
      </c>
      <c r="H24" s="278">
        <v>1345.4762205205702</v>
      </c>
      <c r="I24" s="278">
        <v>1383.5613208483501</v>
      </c>
      <c r="J24" s="278">
        <v>1423.2120440599599</v>
      </c>
      <c r="K24" s="278">
        <v>1438.5347602669501</v>
      </c>
      <c r="L24" s="278">
        <v>1488.13780203241</v>
      </c>
      <c r="M24" s="278">
        <v>1570.4546630310399</v>
      </c>
    </row>
    <row r="25" spans="1:13" s="8" customFormat="1" ht="12.75" customHeight="1">
      <c r="A25" s="46"/>
      <c r="B25" s="48" t="s">
        <v>54</v>
      </c>
      <c r="C25" s="278">
        <v>1026.09695349136</v>
      </c>
      <c r="D25" s="278">
        <v>1040.29271860318</v>
      </c>
      <c r="E25" s="278">
        <v>1059.5551038521401</v>
      </c>
      <c r="F25" s="278">
        <v>1067.2696476530202</v>
      </c>
      <c r="G25" s="278">
        <v>1084.7315140524702</v>
      </c>
      <c r="H25" s="278">
        <v>1116.67326972568</v>
      </c>
      <c r="I25" s="278">
        <v>1150.9943980640899</v>
      </c>
      <c r="J25" s="278">
        <v>1186.85131338423</v>
      </c>
      <c r="K25" s="278">
        <v>1220.13922695681</v>
      </c>
      <c r="L25" s="278">
        <v>1256.7071903454</v>
      </c>
      <c r="M25" s="278">
        <v>1318.0829424487702</v>
      </c>
    </row>
    <row r="26" spans="1:13" s="8" customFormat="1" ht="16.5" customHeight="1">
      <c r="A26" s="46" t="s">
        <v>61</v>
      </c>
      <c r="B26" s="44" t="s">
        <v>45</v>
      </c>
      <c r="C26" s="276">
        <v>1180.2590372242</v>
      </c>
      <c r="D26" s="276">
        <v>1183.1525754516501</v>
      </c>
      <c r="E26" s="276">
        <v>1181.0115469005602</v>
      </c>
      <c r="F26" s="276">
        <v>1187.8847376401102</v>
      </c>
      <c r="G26" s="276">
        <v>1205.0934430863199</v>
      </c>
      <c r="H26" s="276">
        <v>1239.5690069477498</v>
      </c>
      <c r="I26" s="276">
        <v>1285.8046184428902</v>
      </c>
      <c r="J26" s="276">
        <v>1339.3785974085201</v>
      </c>
      <c r="K26" s="276">
        <v>1380.5058453501201</v>
      </c>
      <c r="L26" s="276">
        <v>1422.4468186890504</v>
      </c>
      <c r="M26" s="276">
        <v>1499.9100899523401</v>
      </c>
    </row>
    <row r="27" spans="1:13" s="8" customFormat="1" ht="12.75" customHeight="1">
      <c r="A27" s="47"/>
      <c r="B27" s="48" t="s">
        <v>53</v>
      </c>
      <c r="C27" s="278">
        <v>1347.45569327204</v>
      </c>
      <c r="D27" s="278">
        <v>1344.8975927172601</v>
      </c>
      <c r="E27" s="278">
        <v>1332.0538948078001</v>
      </c>
      <c r="F27" s="278">
        <v>1338.4676732402802</v>
      </c>
      <c r="G27" s="278">
        <v>1349.4990457162201</v>
      </c>
      <c r="H27" s="278">
        <v>1378.9126492465202</v>
      </c>
      <c r="I27" s="278">
        <v>1423.6221445112601</v>
      </c>
      <c r="J27" s="278">
        <v>1479.4835790219699</v>
      </c>
      <c r="K27" s="278">
        <v>1515.4517838480201</v>
      </c>
      <c r="L27" s="278">
        <v>1559.2824845651</v>
      </c>
      <c r="M27" s="278">
        <v>1643.3215092345099</v>
      </c>
    </row>
    <row r="28" spans="1:13" s="8" customFormat="1" ht="12.75" customHeight="1">
      <c r="A28" s="46"/>
      <c r="B28" s="48" t="s">
        <v>54</v>
      </c>
      <c r="C28" s="278">
        <v>982.00335336408511</v>
      </c>
      <c r="D28" s="278">
        <v>993.84386112930906</v>
      </c>
      <c r="E28" s="278">
        <v>1005.1311927372601</v>
      </c>
      <c r="F28" s="278">
        <v>1015.2265152156201</v>
      </c>
      <c r="G28" s="278">
        <v>1040.2782116630301</v>
      </c>
      <c r="H28" s="278">
        <v>1079.4548851281299</v>
      </c>
      <c r="I28" s="278">
        <v>1127.2981062254501</v>
      </c>
      <c r="J28" s="278">
        <v>1178.14107889353</v>
      </c>
      <c r="K28" s="278">
        <v>1225.2240756470003</v>
      </c>
      <c r="L28" s="278">
        <v>1268.33883692421</v>
      </c>
      <c r="M28" s="278">
        <v>1339.6537427548401</v>
      </c>
    </row>
    <row r="29" spans="1:13" s="8" customFormat="1" ht="16.5" customHeight="1">
      <c r="A29" s="46" t="s">
        <v>62</v>
      </c>
      <c r="B29" s="44" t="s">
        <v>45</v>
      </c>
      <c r="C29" s="276">
        <v>1204.0537149003701</v>
      </c>
      <c r="D29" s="276">
        <v>1196.1293766952801</v>
      </c>
      <c r="E29" s="276">
        <v>1190.3386919125101</v>
      </c>
      <c r="F29" s="276">
        <v>1189.6382748037802</v>
      </c>
      <c r="G29" s="276">
        <v>1198.5365402810501</v>
      </c>
      <c r="H29" s="276">
        <v>1218.0278840941701</v>
      </c>
      <c r="I29" s="276">
        <v>1252.9285720356099</v>
      </c>
      <c r="J29" s="276">
        <v>1283.5954451740802</v>
      </c>
      <c r="K29" s="276">
        <v>1324.3216801917802</v>
      </c>
      <c r="L29" s="276">
        <v>1369.0109617962999</v>
      </c>
      <c r="M29" s="276">
        <v>1457.11338579988</v>
      </c>
    </row>
    <row r="30" spans="1:13" s="8" customFormat="1" ht="12.75" customHeight="1">
      <c r="A30" s="47"/>
      <c r="B30" s="48" t="s">
        <v>53</v>
      </c>
      <c r="C30" s="278">
        <v>1381.0578406394902</v>
      </c>
      <c r="D30" s="278">
        <v>1371.7710563868</v>
      </c>
      <c r="E30" s="278">
        <v>1362.30931855119</v>
      </c>
      <c r="F30" s="278">
        <v>1359.5764647652002</v>
      </c>
      <c r="G30" s="278">
        <v>1361.4007300695303</v>
      </c>
      <c r="H30" s="278">
        <v>1373.3959450312</v>
      </c>
      <c r="I30" s="278">
        <v>1404.53582137989</v>
      </c>
      <c r="J30" s="278">
        <v>1430.1815368119103</v>
      </c>
      <c r="K30" s="278">
        <v>1468.5699589460201</v>
      </c>
      <c r="L30" s="278">
        <v>1515.0942939056001</v>
      </c>
      <c r="M30" s="278">
        <v>1615.1937278241701</v>
      </c>
    </row>
    <row r="31" spans="1:13" s="8" customFormat="1" ht="12.75" customHeight="1">
      <c r="A31" s="46"/>
      <c r="B31" s="48" t="s">
        <v>54</v>
      </c>
      <c r="C31" s="278">
        <v>976.32706711748199</v>
      </c>
      <c r="D31" s="278">
        <v>974.90004499127713</v>
      </c>
      <c r="E31" s="278">
        <v>975.55277572964712</v>
      </c>
      <c r="F31" s="278">
        <v>980.1207869402291</v>
      </c>
      <c r="G31" s="278">
        <v>999.20941558757011</v>
      </c>
      <c r="H31" s="278">
        <v>1027.3050845319901</v>
      </c>
      <c r="I31" s="278">
        <v>1067.12550851577</v>
      </c>
      <c r="J31" s="278">
        <v>1105.4637158993798</v>
      </c>
      <c r="K31" s="278">
        <v>1148.5972230425803</v>
      </c>
      <c r="L31" s="278">
        <v>1196.0970635204501</v>
      </c>
      <c r="M31" s="278">
        <v>1272.1660395865601</v>
      </c>
    </row>
    <row r="32" spans="1:13" s="8" customFormat="1" ht="16.5" customHeight="1">
      <c r="A32" s="46" t="s">
        <v>63</v>
      </c>
      <c r="B32" s="44" t="s">
        <v>45</v>
      </c>
      <c r="C32" s="276">
        <v>1267.21539810029</v>
      </c>
      <c r="D32" s="276">
        <v>1260.4833702425701</v>
      </c>
      <c r="E32" s="276">
        <v>1243.6967887564499</v>
      </c>
      <c r="F32" s="276">
        <v>1231.8288324408602</v>
      </c>
      <c r="G32" s="276">
        <v>1222.2620513317202</v>
      </c>
      <c r="H32" s="276">
        <v>1222.04364263203</v>
      </c>
      <c r="I32" s="276">
        <v>1243.2051063987401</v>
      </c>
      <c r="J32" s="276">
        <v>1254.19408366585</v>
      </c>
      <c r="K32" s="276">
        <v>1291.3439607851101</v>
      </c>
      <c r="L32" s="276">
        <v>1322.8365869935101</v>
      </c>
      <c r="M32" s="276">
        <v>1391.4448831166499</v>
      </c>
    </row>
    <row r="33" spans="1:13" s="8" customFormat="1" ht="12.75" customHeight="1">
      <c r="A33" s="47"/>
      <c r="B33" s="48" t="s">
        <v>53</v>
      </c>
      <c r="C33" s="278">
        <v>1455.2462021471301</v>
      </c>
      <c r="D33" s="278">
        <v>1449.6701396277401</v>
      </c>
      <c r="E33" s="278">
        <v>1421.029978798</v>
      </c>
      <c r="F33" s="278">
        <v>1403.84167448736</v>
      </c>
      <c r="G33" s="278">
        <v>1388.6554972413701</v>
      </c>
      <c r="H33" s="278">
        <v>1378.0529539963502</v>
      </c>
      <c r="I33" s="278">
        <v>1397.9563951585301</v>
      </c>
      <c r="J33" s="278">
        <v>1408.1625217932801</v>
      </c>
      <c r="K33" s="278">
        <v>1443.49085539934</v>
      </c>
      <c r="L33" s="278">
        <v>1472.7332255962501</v>
      </c>
      <c r="M33" s="278">
        <v>1554.1487229987299</v>
      </c>
    </row>
    <row r="34" spans="1:13" s="8" customFormat="1" ht="12.75" customHeight="1">
      <c r="A34" s="46"/>
      <c r="B34" s="48" t="s">
        <v>54</v>
      </c>
      <c r="C34" s="278">
        <v>987.74682012001006</v>
      </c>
      <c r="D34" s="278">
        <v>989.91227161832512</v>
      </c>
      <c r="E34" s="278">
        <v>997.43423587466111</v>
      </c>
      <c r="F34" s="278">
        <v>998.73412419947203</v>
      </c>
      <c r="G34" s="278">
        <v>1000.2340519153901</v>
      </c>
      <c r="H34" s="278">
        <v>1011.7941943852501</v>
      </c>
      <c r="I34" s="278">
        <v>1036.09958569484</v>
      </c>
      <c r="J34" s="278">
        <v>1049.64242378104</v>
      </c>
      <c r="K34" s="278">
        <v>1090.0477154441701</v>
      </c>
      <c r="L34" s="278">
        <v>1129.9629537501801</v>
      </c>
      <c r="M34" s="278">
        <v>1187.88767619125</v>
      </c>
    </row>
    <row r="35" spans="1:13" s="8" customFormat="1" ht="16.5" customHeight="1">
      <c r="A35" s="46" t="s">
        <v>64</v>
      </c>
      <c r="B35" s="44" t="s">
        <v>45</v>
      </c>
      <c r="C35" s="276">
        <v>1253.7823119896902</v>
      </c>
      <c r="D35" s="276">
        <v>1246.00797374486</v>
      </c>
      <c r="E35" s="276">
        <v>1252.2867796227101</v>
      </c>
      <c r="F35" s="276">
        <v>1263.1217753713001</v>
      </c>
      <c r="G35" s="276">
        <v>1258.94643770111</v>
      </c>
      <c r="H35" s="276">
        <v>1268.0130981556601</v>
      </c>
      <c r="I35" s="276">
        <v>1288.8983279398201</v>
      </c>
      <c r="J35" s="276">
        <v>1302.31085915565</v>
      </c>
      <c r="K35" s="276">
        <v>1330.0449674631302</v>
      </c>
      <c r="L35" s="276">
        <v>1336.89599711408</v>
      </c>
      <c r="M35" s="276">
        <v>1381.2081063421601</v>
      </c>
    </row>
    <row r="36" spans="1:13" s="8" customFormat="1" ht="12.75" customHeight="1">
      <c r="A36" s="47"/>
      <c r="B36" s="48" t="s">
        <v>53</v>
      </c>
      <c r="C36" s="278">
        <v>1460.7360453998799</v>
      </c>
      <c r="D36" s="278">
        <v>1452.1544140712501</v>
      </c>
      <c r="E36" s="278">
        <v>1455.0601739108502</v>
      </c>
      <c r="F36" s="278">
        <v>1469.17290555105</v>
      </c>
      <c r="G36" s="278">
        <v>1457.8600402383902</v>
      </c>
      <c r="H36" s="278">
        <v>1446.99095198532</v>
      </c>
      <c r="I36" s="278">
        <v>1460.4292916404302</v>
      </c>
      <c r="J36" s="278">
        <v>1461.58226788405</v>
      </c>
      <c r="K36" s="278">
        <v>1484.5383919161002</v>
      </c>
      <c r="L36" s="278">
        <v>1484.8373303311903</v>
      </c>
      <c r="M36" s="278">
        <v>1536.22712383302</v>
      </c>
    </row>
    <row r="37" spans="1:13" s="8" customFormat="1" ht="12.75" customHeight="1">
      <c r="A37" s="46"/>
      <c r="B37" s="48" t="s">
        <v>54</v>
      </c>
      <c r="C37" s="278">
        <v>949.05054409420904</v>
      </c>
      <c r="D37" s="278">
        <v>941.48780388911905</v>
      </c>
      <c r="E37" s="278">
        <v>951.96990728972003</v>
      </c>
      <c r="F37" s="278">
        <v>961.11830995006312</v>
      </c>
      <c r="G37" s="278">
        <v>973.39825053860807</v>
      </c>
      <c r="H37" s="278">
        <v>1009.34236861212</v>
      </c>
      <c r="I37" s="278">
        <v>1047.6729984113299</v>
      </c>
      <c r="J37" s="278">
        <v>1082.2838248836601</v>
      </c>
      <c r="K37" s="278">
        <v>1117.4080213046102</v>
      </c>
      <c r="L37" s="278">
        <v>1136.2900863973</v>
      </c>
      <c r="M37" s="278">
        <v>1173.4970064424001</v>
      </c>
    </row>
    <row r="38" spans="1:13" s="110" customFormat="1" ht="16.5" customHeight="1">
      <c r="A38" s="112" t="s">
        <v>67</v>
      </c>
      <c r="B38" s="156" t="s">
        <v>45</v>
      </c>
      <c r="C38" s="277">
        <v>1384.9261148348501</v>
      </c>
      <c r="D38" s="277">
        <v>1372.6688267561801</v>
      </c>
      <c r="E38" s="277">
        <v>1328.6060058087301</v>
      </c>
      <c r="F38" s="277">
        <v>1341.6343658640101</v>
      </c>
      <c r="G38" s="277">
        <v>1337.5630869071399</v>
      </c>
      <c r="H38" s="277">
        <v>1346.8281692631201</v>
      </c>
      <c r="I38" s="277">
        <v>1353.01839758188</v>
      </c>
      <c r="J38" s="277">
        <v>1396.5481289428601</v>
      </c>
      <c r="K38" s="277">
        <v>1462.63048044077</v>
      </c>
      <c r="L38" s="277">
        <v>1470.9722608869201</v>
      </c>
      <c r="M38" s="277">
        <v>1488.53987488135</v>
      </c>
    </row>
    <row r="39" spans="1:13" s="8" customFormat="1" ht="12.75" customHeight="1">
      <c r="A39" s="47"/>
      <c r="B39" s="48" t="s">
        <v>53</v>
      </c>
      <c r="C39" s="278">
        <v>1568.8957003535299</v>
      </c>
      <c r="D39" s="278">
        <v>1552.8663450511101</v>
      </c>
      <c r="E39" s="278">
        <v>1528.6631959214999</v>
      </c>
      <c r="F39" s="278">
        <v>1547.1708255528301</v>
      </c>
      <c r="G39" s="278">
        <v>1537.8553152993302</v>
      </c>
      <c r="H39" s="278">
        <v>1547.8221634319202</v>
      </c>
      <c r="I39" s="278">
        <v>1534.45845917413</v>
      </c>
      <c r="J39" s="278">
        <v>1560.3654636922902</v>
      </c>
      <c r="K39" s="278">
        <v>1639.1636357324701</v>
      </c>
      <c r="L39" s="278">
        <v>1631.3487594923301</v>
      </c>
      <c r="M39" s="278">
        <v>1636.3038519062302</v>
      </c>
    </row>
    <row r="40" spans="1:13" s="8" customFormat="1" ht="12.75" customHeight="1">
      <c r="A40" s="46"/>
      <c r="B40" s="48" t="s">
        <v>54</v>
      </c>
      <c r="C40" s="278">
        <v>1023.8968062201001</v>
      </c>
      <c r="D40" s="278">
        <v>1027.8347399809202</v>
      </c>
      <c r="E40" s="278">
        <v>986.89783520599315</v>
      </c>
      <c r="F40" s="278">
        <v>1010.3077693282601</v>
      </c>
      <c r="G40" s="278">
        <v>1024.6064800443501</v>
      </c>
      <c r="H40" s="278">
        <v>1018.2325988416001</v>
      </c>
      <c r="I40" s="278">
        <v>1057.3807316276502</v>
      </c>
      <c r="J40" s="278">
        <v>1112.47286440678</v>
      </c>
      <c r="K40" s="278">
        <v>1155.69968313047</v>
      </c>
      <c r="L40" s="278">
        <v>1201.99739045244</v>
      </c>
      <c r="M40" s="278">
        <v>1240.21208712413</v>
      </c>
    </row>
    <row r="41" spans="1:13" s="8" customFormat="1" ht="16.5" customHeight="1">
      <c r="A41" s="46" t="s">
        <v>13</v>
      </c>
      <c r="B41" s="44" t="s">
        <v>45</v>
      </c>
      <c r="C41" s="276">
        <v>1428.69767810026</v>
      </c>
      <c r="D41" s="276">
        <v>1576.02051320755</v>
      </c>
      <c r="E41" s="276">
        <v>1575.7961383285301</v>
      </c>
      <c r="F41" s="276">
        <v>1535.4435644257701</v>
      </c>
      <c r="G41" s="276">
        <v>1559.7549865951701</v>
      </c>
      <c r="H41" s="276">
        <v>1616.0509732201201</v>
      </c>
      <c r="I41" s="276">
        <v>1651.8181638582203</v>
      </c>
      <c r="J41" s="276">
        <v>1070.0533503836302</v>
      </c>
      <c r="K41" s="276">
        <v>1183.3869960474299</v>
      </c>
      <c r="L41" s="276">
        <v>1143.7167801047099</v>
      </c>
      <c r="M41" s="276">
        <v>1226.24727748691</v>
      </c>
    </row>
    <row r="42" spans="1:13" s="8" customFormat="1" ht="12.75" customHeight="1">
      <c r="A42" s="47"/>
      <c r="B42" s="48" t="s">
        <v>53</v>
      </c>
      <c r="C42" s="278">
        <v>1640.2271227364201</v>
      </c>
      <c r="D42" s="278">
        <v>1743.4764247020601</v>
      </c>
      <c r="E42" s="278">
        <v>1777.6066810810801</v>
      </c>
      <c r="F42" s="278">
        <v>1696.31788522848</v>
      </c>
      <c r="G42" s="278">
        <v>1736.8120758483001</v>
      </c>
      <c r="H42" s="278">
        <v>1791.3194238281301</v>
      </c>
      <c r="I42" s="278">
        <v>1833.1349488926699</v>
      </c>
      <c r="J42" s="278">
        <v>1099.3752222222199</v>
      </c>
      <c r="K42" s="278">
        <v>1212.50020689655</v>
      </c>
      <c r="L42" s="278">
        <v>1180.20248704663</v>
      </c>
      <c r="M42" s="278">
        <v>1283.8100925925901</v>
      </c>
    </row>
    <row r="43" spans="1:13" s="8" customFormat="1" ht="12.75" customHeight="1">
      <c r="A43" s="9"/>
      <c r="B43" s="49" t="s">
        <v>54</v>
      </c>
      <c r="C43" s="293">
        <v>1025.9002298850601</v>
      </c>
      <c r="D43" s="293">
        <v>1191.5384079601999</v>
      </c>
      <c r="E43" s="293">
        <v>1172.6109287257002</v>
      </c>
      <c r="F43" s="293">
        <v>1224.5960574948701</v>
      </c>
      <c r="G43" s="293">
        <v>1197.69130612245</v>
      </c>
      <c r="H43" s="293">
        <v>1262.05710059172</v>
      </c>
      <c r="I43" s="293">
        <v>1262.66659963437</v>
      </c>
      <c r="J43" s="293">
        <v>1045.0394312796202</v>
      </c>
      <c r="K43" s="293">
        <v>1144.2998148148099</v>
      </c>
      <c r="L43" s="293">
        <v>1106.4588888888902</v>
      </c>
      <c r="M43" s="293">
        <v>1151.3462650602401</v>
      </c>
    </row>
    <row r="44" spans="1:13" s="36" customFormat="1" ht="15" customHeight="1">
      <c r="A44" s="20" t="s">
        <v>138</v>
      </c>
      <c r="B44" s="53"/>
      <c r="C44" s="43"/>
      <c r="D44" s="43"/>
      <c r="E44" s="43"/>
      <c r="F44" s="43"/>
      <c r="G44" s="68"/>
      <c r="H44" s="68"/>
      <c r="I44" s="68"/>
      <c r="J44" s="68"/>
      <c r="K44" s="68"/>
      <c r="L44" s="68"/>
      <c r="M44" s="68"/>
    </row>
    <row r="45" spans="1:13" s="36" customFormat="1" ht="23.25" customHeight="1">
      <c r="A45" s="600" t="s">
        <v>6</v>
      </c>
      <c r="B45" s="600"/>
      <c r="C45" s="600"/>
      <c r="D45" s="600"/>
      <c r="E45" s="600"/>
      <c r="F45" s="600"/>
      <c r="G45" s="600"/>
      <c r="H45" s="600"/>
      <c r="I45" s="600"/>
      <c r="J45" s="600"/>
      <c r="K45" s="600"/>
      <c r="L45" s="600"/>
      <c r="M45" s="600"/>
    </row>
  </sheetData>
  <mergeCells count="2">
    <mergeCell ref="A1:M1"/>
    <mergeCell ref="A45:M45"/>
  </mergeCells>
  <phoneticPr fontId="25" type="noConversion"/>
  <conditionalFormatting sqref="A45 E3 A1 G44 A46:D1048576 A2:D2 A4:D4 A3:C3 B44:D44 A5:I43 N1:XFD1048576">
    <cfRule type="cellIs" dxfId="288" priority="87" operator="equal">
      <formula>0</formula>
    </cfRule>
  </conditionalFormatting>
  <conditionalFormatting sqref="E2 E46:E1048576 E4">
    <cfRule type="cellIs" dxfId="287" priority="86" operator="equal">
      <formula>0</formula>
    </cfRule>
  </conditionalFormatting>
  <conditionalFormatting sqref="E44">
    <cfRule type="cellIs" dxfId="286" priority="85" operator="equal">
      <formula>0</formula>
    </cfRule>
  </conditionalFormatting>
  <conditionalFormatting sqref="A44">
    <cfRule type="cellIs" dxfId="285" priority="83" operator="equal">
      <formula>0</formula>
    </cfRule>
  </conditionalFormatting>
  <conditionalFormatting sqref="G3">
    <cfRule type="cellIs" dxfId="284" priority="82" operator="equal">
      <formula>0</formula>
    </cfRule>
  </conditionalFormatting>
  <conditionalFormatting sqref="G2 G46:G1048576 G4:I4">
    <cfRule type="cellIs" dxfId="283" priority="81" operator="equal">
      <formula>0</formula>
    </cfRule>
  </conditionalFormatting>
  <conditionalFormatting sqref="F3">
    <cfRule type="cellIs" dxfId="282" priority="74" operator="equal">
      <formula>0</formula>
    </cfRule>
  </conditionalFormatting>
  <conditionalFormatting sqref="F2 F46:F1048576 F4">
    <cfRule type="cellIs" dxfId="281" priority="73" operator="equal">
      <formula>0</formula>
    </cfRule>
  </conditionalFormatting>
  <conditionalFormatting sqref="F44">
    <cfRule type="cellIs" dxfId="280" priority="72" operator="equal">
      <formula>0</formula>
    </cfRule>
  </conditionalFormatting>
  <conditionalFormatting sqref="I44">
    <cfRule type="cellIs" dxfId="279" priority="66" operator="equal">
      <formula>0</formula>
    </cfRule>
  </conditionalFormatting>
  <conditionalFormatting sqref="I3">
    <cfRule type="cellIs" dxfId="278" priority="65" operator="equal">
      <formula>0</formula>
    </cfRule>
  </conditionalFormatting>
  <conditionalFormatting sqref="I2 I46:I1048576">
    <cfRule type="cellIs" dxfId="277" priority="64" operator="equal">
      <formula>0</formula>
    </cfRule>
  </conditionalFormatting>
  <conditionalFormatting sqref="H44">
    <cfRule type="cellIs" dxfId="276" priority="58" operator="equal">
      <formula>0</formula>
    </cfRule>
  </conditionalFormatting>
  <conditionalFormatting sqref="H3">
    <cfRule type="cellIs" dxfId="275" priority="57" operator="equal">
      <formula>0</formula>
    </cfRule>
  </conditionalFormatting>
  <conditionalFormatting sqref="H2 H46:H1048576">
    <cfRule type="cellIs" dxfId="274" priority="56" operator="equal">
      <formula>0</formula>
    </cfRule>
  </conditionalFormatting>
  <conditionalFormatting sqref="J11:J43">
    <cfRule type="cellIs" dxfId="273" priority="52" operator="equal">
      <formula>0</formula>
    </cfRule>
  </conditionalFormatting>
  <conditionalFormatting sqref="J4">
    <cfRule type="cellIs" dxfId="272" priority="51" operator="equal">
      <formula>0</formula>
    </cfRule>
  </conditionalFormatting>
  <conditionalFormatting sqref="J5:J7">
    <cfRule type="cellIs" dxfId="271" priority="50" operator="equal">
      <formula>0</formula>
    </cfRule>
  </conditionalFormatting>
  <conditionalFormatting sqref="J8:J10">
    <cfRule type="cellIs" dxfId="270" priority="49" operator="equal">
      <formula>0</formula>
    </cfRule>
  </conditionalFormatting>
  <conditionalFormatting sqref="J44">
    <cfRule type="cellIs" dxfId="269" priority="48" operator="equal">
      <formula>0</formula>
    </cfRule>
  </conditionalFormatting>
  <conditionalFormatting sqref="J3">
    <cfRule type="cellIs" dxfId="268" priority="47" operator="equal">
      <formula>0</formula>
    </cfRule>
  </conditionalFormatting>
  <conditionalFormatting sqref="J2 J46:J1048576">
    <cfRule type="cellIs" dxfId="267" priority="46" operator="equal">
      <formula>0</formula>
    </cfRule>
  </conditionalFormatting>
  <conditionalFormatting sqref="K11:K43">
    <cfRule type="cellIs" dxfId="266" priority="45" operator="equal">
      <formula>0</formula>
    </cfRule>
  </conditionalFormatting>
  <conditionalFormatting sqref="K4">
    <cfRule type="cellIs" dxfId="265" priority="44" operator="equal">
      <formula>0</formula>
    </cfRule>
  </conditionalFormatting>
  <conditionalFormatting sqref="K5:K7">
    <cfRule type="cellIs" dxfId="264" priority="43" operator="equal">
      <formula>0</formula>
    </cfRule>
  </conditionalFormatting>
  <conditionalFormatting sqref="K8:K10">
    <cfRule type="cellIs" dxfId="263" priority="42" operator="equal">
      <formula>0</formula>
    </cfRule>
  </conditionalFormatting>
  <conditionalFormatting sqref="K44">
    <cfRule type="cellIs" dxfId="262" priority="41" operator="equal">
      <formula>0</formula>
    </cfRule>
  </conditionalFormatting>
  <conditionalFormatting sqref="K3">
    <cfRule type="cellIs" dxfId="261" priority="40" operator="equal">
      <formula>0</formula>
    </cfRule>
  </conditionalFormatting>
  <conditionalFormatting sqref="K2 K46:K1048576">
    <cfRule type="cellIs" dxfId="260" priority="39" operator="equal">
      <formula>0</formula>
    </cfRule>
  </conditionalFormatting>
  <conditionalFormatting sqref="L11:L43">
    <cfRule type="cellIs" dxfId="259" priority="35" operator="equal">
      <formula>0</formula>
    </cfRule>
  </conditionalFormatting>
  <conditionalFormatting sqref="L4">
    <cfRule type="cellIs" dxfId="258" priority="34" operator="equal">
      <formula>0</formula>
    </cfRule>
  </conditionalFormatting>
  <conditionalFormatting sqref="L5:L7">
    <cfRule type="cellIs" dxfId="257" priority="33" operator="equal">
      <formula>0</formula>
    </cfRule>
  </conditionalFormatting>
  <conditionalFormatting sqref="L8:L10">
    <cfRule type="cellIs" dxfId="256" priority="32" operator="equal">
      <formula>0</formula>
    </cfRule>
  </conditionalFormatting>
  <conditionalFormatting sqref="L44">
    <cfRule type="cellIs" dxfId="255" priority="31" operator="equal">
      <formula>0</formula>
    </cfRule>
  </conditionalFormatting>
  <conditionalFormatting sqref="L3">
    <cfRule type="cellIs" dxfId="254" priority="30" operator="equal">
      <formula>0</formula>
    </cfRule>
  </conditionalFormatting>
  <conditionalFormatting sqref="L2 L46:L1048576">
    <cfRule type="cellIs" dxfId="253" priority="29" operator="equal">
      <formula>0</formula>
    </cfRule>
  </conditionalFormatting>
  <conditionalFormatting sqref="M11:M43">
    <cfRule type="cellIs" dxfId="252" priority="21" operator="equal">
      <formula>0</formula>
    </cfRule>
  </conditionalFormatting>
  <conditionalFormatting sqref="M4">
    <cfRule type="cellIs" dxfId="251" priority="20" operator="equal">
      <formula>0</formula>
    </cfRule>
  </conditionalFormatting>
  <conditionalFormatting sqref="M5:M7">
    <cfRule type="cellIs" dxfId="250" priority="19" operator="equal">
      <formula>0</formula>
    </cfRule>
  </conditionalFormatting>
  <conditionalFormatting sqref="M8:M10">
    <cfRule type="cellIs" dxfId="249" priority="18" operator="equal">
      <formula>0</formula>
    </cfRule>
  </conditionalFormatting>
  <conditionalFormatting sqref="M44">
    <cfRule type="cellIs" dxfId="248" priority="17" operator="equal">
      <formula>0</formula>
    </cfRule>
  </conditionalFormatting>
  <conditionalFormatting sqref="M3">
    <cfRule type="cellIs" dxfId="247" priority="16" operator="equal">
      <formula>0</formula>
    </cfRule>
  </conditionalFormatting>
  <conditionalFormatting sqref="M2 M46:M1048576">
    <cfRule type="cellIs" dxfId="246" priority="15"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27">
    <tabColor rgb="FF556B81"/>
  </sheetPr>
  <dimension ref="A1"/>
  <sheetViews>
    <sheetView showGridLines="0" workbookViewId="0">
      <selection activeCell="H33" sqref="H33"/>
    </sheetView>
  </sheetViews>
  <sheetFormatPr defaultColWidth="8.7109375" defaultRowHeight="15"/>
  <cols>
    <col min="1" max="16384" width="8.7109375" style="326"/>
  </cols>
  <sheetData/>
  <pageMargins left="0.19685039370078741" right="0" top="0.74803149606299213" bottom="0.74803149606299213" header="0.31496062992125984" footer="0.31496062992125984"/>
  <pageSetup paperSize="9" orientation="portrait" horizontalDpi="300" verticalDpi="3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33">
    <tabColor rgb="FFA50021"/>
    <pageSetUpPr fitToPage="1"/>
  </sheetPr>
  <dimension ref="A1:GN33"/>
  <sheetViews>
    <sheetView showGridLines="0" workbookViewId="0">
      <selection activeCell="C4" sqref="C4:M43"/>
    </sheetView>
  </sheetViews>
  <sheetFormatPr defaultColWidth="9.140625" defaultRowHeight="11.25"/>
  <cols>
    <col min="1" max="1" width="24.5703125" style="62" customWidth="1"/>
    <col min="2" max="2" width="2.140625" style="97" customWidth="1"/>
    <col min="3" max="13" width="6.42578125" style="62" customWidth="1"/>
    <col min="14" max="196" width="9.140625" style="62"/>
    <col min="197" max="16384" width="9.140625" style="8"/>
  </cols>
  <sheetData>
    <row r="1" spans="1:15" s="34" customFormat="1" ht="28.5" customHeight="1">
      <c r="A1" s="629" t="s">
        <v>216</v>
      </c>
      <c r="B1" s="629"/>
      <c r="C1" s="629"/>
      <c r="D1" s="629"/>
      <c r="E1" s="629"/>
      <c r="F1" s="629"/>
      <c r="G1" s="629"/>
      <c r="H1" s="629"/>
      <c r="I1" s="629"/>
      <c r="J1" s="629"/>
      <c r="K1" s="629"/>
      <c r="L1" s="629"/>
      <c r="M1" s="629"/>
    </row>
    <row r="2" spans="1:15" s="36" customFormat="1" ht="14.25" customHeight="1">
      <c r="A2" s="35"/>
      <c r="B2" s="37"/>
      <c r="C2" s="35"/>
      <c r="D2" s="35"/>
      <c r="E2" s="35"/>
      <c r="F2" s="35"/>
      <c r="G2" s="35"/>
      <c r="H2" s="35"/>
      <c r="I2" s="35"/>
      <c r="J2" s="35"/>
      <c r="K2" s="35"/>
      <c r="L2" s="35"/>
      <c r="M2" s="35"/>
    </row>
    <row r="3" spans="1:15" s="36" customFormat="1" ht="14.25" customHeight="1">
      <c r="A3" s="35" t="s">
        <v>14</v>
      </c>
      <c r="B3" s="37"/>
      <c r="C3" s="99"/>
      <c r="E3" s="99"/>
      <c r="F3" s="99"/>
      <c r="G3" s="99"/>
      <c r="H3" s="99"/>
      <c r="I3" s="99"/>
      <c r="J3" s="99"/>
      <c r="K3" s="99"/>
      <c r="L3" s="99"/>
      <c r="M3" s="99" t="s">
        <v>68</v>
      </c>
    </row>
    <row r="4" spans="1:15" s="36" customFormat="1" ht="28.5" customHeight="1" thickBot="1">
      <c r="A4" s="38"/>
      <c r="B4" s="63"/>
      <c r="C4" s="38">
        <v>2012</v>
      </c>
      <c r="D4" s="38">
        <v>2013</v>
      </c>
      <c r="E4" s="38">
        <v>2014</v>
      </c>
      <c r="F4" s="38">
        <v>2015</v>
      </c>
      <c r="G4" s="38">
        <v>2016</v>
      </c>
      <c r="H4" s="38">
        <v>2017</v>
      </c>
      <c r="I4" s="38">
        <v>2018</v>
      </c>
      <c r="J4" s="38">
        <v>2019</v>
      </c>
      <c r="K4" s="38">
        <v>2020</v>
      </c>
      <c r="L4" s="38">
        <v>2021</v>
      </c>
      <c r="M4" s="38">
        <v>2022</v>
      </c>
    </row>
    <row r="5" spans="1:15" s="36" customFormat="1" ht="20.25" customHeight="1" thickTop="1">
      <c r="A5" s="52" t="s">
        <v>12</v>
      </c>
      <c r="B5" s="52" t="s">
        <v>45</v>
      </c>
      <c r="C5" s="294">
        <v>1095.58619281857</v>
      </c>
      <c r="D5" s="294">
        <v>1093.8178723953499</v>
      </c>
      <c r="E5" s="294">
        <v>1093.20854089105</v>
      </c>
      <c r="F5" s="294">
        <v>1096.65734127991</v>
      </c>
      <c r="G5" s="294">
        <v>1107.85636561875</v>
      </c>
      <c r="H5" s="294">
        <v>1133.34288689707</v>
      </c>
      <c r="I5" s="294">
        <v>1170.2525051678801</v>
      </c>
      <c r="J5" s="294">
        <v>1209.93900485576</v>
      </c>
      <c r="K5" s="294">
        <v>1250.75197084447</v>
      </c>
      <c r="L5" s="294">
        <v>1294.10894067238</v>
      </c>
      <c r="M5" s="294">
        <v>1367.9952489883699</v>
      </c>
    </row>
    <row r="6" spans="1:15" s="36" customFormat="1" ht="15" customHeight="1">
      <c r="A6" s="35"/>
      <c r="B6" s="52" t="s">
        <v>53</v>
      </c>
      <c r="C6" s="294">
        <v>1213.0207353340002</v>
      </c>
      <c r="D6" s="294">
        <v>1209.2112926836</v>
      </c>
      <c r="E6" s="294">
        <v>1203.3163954215399</v>
      </c>
      <c r="F6" s="294">
        <v>1207.7620848918802</v>
      </c>
      <c r="G6" s="294">
        <v>1215.1073571470499</v>
      </c>
      <c r="H6" s="294">
        <v>1236.8510439336801</v>
      </c>
      <c r="I6" s="294">
        <v>1273.9856646448</v>
      </c>
      <c r="J6" s="294">
        <v>1312.4262476007902</v>
      </c>
      <c r="K6" s="294">
        <v>1349.3525335819299</v>
      </c>
      <c r="L6" s="294">
        <v>1395.6950744819503</v>
      </c>
      <c r="M6" s="294">
        <v>1476.20345437132</v>
      </c>
      <c r="O6" s="503">
        <f>+J7/J6*100</f>
        <v>82.821638029214569</v>
      </c>
    </row>
    <row r="7" spans="1:15" s="36" customFormat="1" ht="15" customHeight="1">
      <c r="A7" s="35"/>
      <c r="B7" s="52" t="s">
        <v>54</v>
      </c>
      <c r="C7" s="294">
        <v>956.51135558425801</v>
      </c>
      <c r="D7" s="294">
        <v>958.1169410237261</v>
      </c>
      <c r="E7" s="294">
        <v>963.11657750883012</v>
      </c>
      <c r="F7" s="294">
        <v>966.85175731037509</v>
      </c>
      <c r="G7" s="294">
        <v>982.48629518294808</v>
      </c>
      <c r="H7" s="294">
        <v>1011.0188687181301</v>
      </c>
      <c r="I7" s="294">
        <v>1046.5864208241201</v>
      </c>
      <c r="J7" s="294">
        <v>1086.9729161883299</v>
      </c>
      <c r="K7" s="294">
        <v>1130.8674354246</v>
      </c>
      <c r="L7" s="294">
        <v>1172.0779291766798</v>
      </c>
      <c r="M7" s="294">
        <v>1237.52369998673</v>
      </c>
      <c r="O7" s="503">
        <f t="shared" ref="O7:O30" si="0">+J8/J7*100</f>
        <v>225.60296949351701</v>
      </c>
    </row>
    <row r="8" spans="1:15" s="36" customFormat="1" ht="20.25" customHeight="1">
      <c r="A8" s="35" t="s">
        <v>48</v>
      </c>
      <c r="B8" s="52" t="s">
        <v>45</v>
      </c>
      <c r="C8" s="295">
        <v>2420.8537584682304</v>
      </c>
      <c r="D8" s="295">
        <v>2384.2829687509002</v>
      </c>
      <c r="E8" s="295">
        <v>2371.02654153506</v>
      </c>
      <c r="F8" s="295">
        <v>2370.5330223239198</v>
      </c>
      <c r="G8" s="295">
        <v>2366.8568017891598</v>
      </c>
      <c r="H8" s="295">
        <v>2390.4649515278597</v>
      </c>
      <c r="I8" s="295">
        <v>2429.6508813589198</v>
      </c>
      <c r="J8" s="295">
        <v>2452.2431765111501</v>
      </c>
      <c r="K8" s="295">
        <v>2465.5519936386499</v>
      </c>
      <c r="L8" s="295">
        <v>2494.7913475219002</v>
      </c>
      <c r="M8" s="295">
        <v>2625.9199806616007</v>
      </c>
      <c r="O8" s="503">
        <f t="shared" si="0"/>
        <v>113.90341252346472</v>
      </c>
    </row>
    <row r="9" spans="1:15" s="41" customFormat="1" ht="15" customHeight="1">
      <c r="A9" s="50"/>
      <c r="B9" s="37" t="s">
        <v>53</v>
      </c>
      <c r="C9" s="296">
        <v>2764.7737582655304</v>
      </c>
      <c r="D9" s="296">
        <v>2716.1291989135002</v>
      </c>
      <c r="E9" s="296">
        <v>2704.7300175531</v>
      </c>
      <c r="F9" s="296">
        <v>2709.33382431269</v>
      </c>
      <c r="G9" s="296">
        <v>2707.7124634854003</v>
      </c>
      <c r="H9" s="296">
        <v>2735.7614117174703</v>
      </c>
      <c r="I9" s="296">
        <v>2778.5571670372601</v>
      </c>
      <c r="J9" s="296">
        <v>2793.1886614200102</v>
      </c>
      <c r="K9" s="296">
        <v>2791.2247835681001</v>
      </c>
      <c r="L9" s="296">
        <v>2823.57747979746</v>
      </c>
      <c r="M9" s="296">
        <v>2978.0187598152302</v>
      </c>
      <c r="N9" s="36"/>
      <c r="O9" s="503">
        <f>+J10/J9*100</f>
        <v>73.549898018856481</v>
      </c>
    </row>
    <row r="10" spans="1:15" s="41" customFormat="1" ht="15" customHeight="1">
      <c r="A10" s="50"/>
      <c r="B10" s="37" t="s">
        <v>54</v>
      </c>
      <c r="C10" s="296">
        <v>1973.1366082514301</v>
      </c>
      <c r="D10" s="296">
        <v>1959.34053596838</v>
      </c>
      <c r="E10" s="296">
        <v>1951.1267396840199</v>
      </c>
      <c r="F10" s="296">
        <v>1954.5147046316401</v>
      </c>
      <c r="G10" s="296">
        <v>1958.7763912698101</v>
      </c>
      <c r="H10" s="296">
        <v>1980.4773414157901</v>
      </c>
      <c r="I10" s="296">
        <v>2020.5695200953401</v>
      </c>
      <c r="J10" s="296">
        <v>2054.38741194868</v>
      </c>
      <c r="K10" s="296">
        <v>2088.9675454920398</v>
      </c>
      <c r="L10" s="296">
        <v>2122.5512827438201</v>
      </c>
      <c r="M10" s="296">
        <v>2217.0614907443701</v>
      </c>
      <c r="O10" s="503">
        <f t="shared" si="0"/>
        <v>86.346275141997069</v>
      </c>
    </row>
    <row r="11" spans="1:15" s="36" customFormat="1" ht="20.25" customHeight="1">
      <c r="A11" s="35" t="s">
        <v>49</v>
      </c>
      <c r="B11" s="52" t="s">
        <v>45</v>
      </c>
      <c r="C11" s="295">
        <v>1709.9792511394601</v>
      </c>
      <c r="D11" s="295">
        <v>1709.24716167971</v>
      </c>
      <c r="E11" s="295">
        <v>1696.68152872325</v>
      </c>
      <c r="F11" s="295">
        <v>1702.14648472406</v>
      </c>
      <c r="G11" s="295">
        <v>1703.5988378781299</v>
      </c>
      <c r="H11" s="295">
        <v>1719.0817400605004</v>
      </c>
      <c r="I11" s="295">
        <v>1753.4700220759701</v>
      </c>
      <c r="J11" s="295">
        <v>1773.88700720376</v>
      </c>
      <c r="K11" s="295">
        <v>1783.8277747506002</v>
      </c>
      <c r="L11" s="295">
        <v>1807.2614030761899</v>
      </c>
      <c r="M11" s="295">
        <v>1923.504606041</v>
      </c>
      <c r="O11" s="503">
        <f t="shared" si="0"/>
        <v>108.08554643636978</v>
      </c>
    </row>
    <row r="12" spans="1:15" s="41" customFormat="1" ht="15" customHeight="1">
      <c r="A12" s="50"/>
      <c r="B12" s="37" t="s">
        <v>53</v>
      </c>
      <c r="C12" s="296">
        <v>1864.00339933543</v>
      </c>
      <c r="D12" s="296">
        <v>1869.9884709361102</v>
      </c>
      <c r="E12" s="296">
        <v>1850.0558181286301</v>
      </c>
      <c r="F12" s="296">
        <v>1856.51804204619</v>
      </c>
      <c r="G12" s="296">
        <v>1851.2265808940799</v>
      </c>
      <c r="H12" s="296">
        <v>1864.7876022899702</v>
      </c>
      <c r="I12" s="296">
        <v>1897.4421625919299</v>
      </c>
      <c r="J12" s="296">
        <v>1917.3154648999503</v>
      </c>
      <c r="K12" s="296">
        <v>1927.2995860861802</v>
      </c>
      <c r="L12" s="296">
        <v>1953.2545714651001</v>
      </c>
      <c r="M12" s="296">
        <v>2087.2823036474506</v>
      </c>
      <c r="O12" s="503">
        <f t="shared" si="0"/>
        <v>84.589904698471841</v>
      </c>
    </row>
    <row r="13" spans="1:15" s="41" customFormat="1" ht="15" customHeight="1">
      <c r="A13" s="50"/>
      <c r="B13" s="37" t="s">
        <v>54</v>
      </c>
      <c r="C13" s="296">
        <v>1530.37116297174</v>
      </c>
      <c r="D13" s="296">
        <v>1528.1355528863003</v>
      </c>
      <c r="E13" s="296">
        <v>1523.64489360224</v>
      </c>
      <c r="F13" s="296">
        <v>1532.0690308661401</v>
      </c>
      <c r="G13" s="296">
        <v>1542.5253281529399</v>
      </c>
      <c r="H13" s="296">
        <v>1559.8923210248699</v>
      </c>
      <c r="I13" s="296">
        <v>1596.09042905151</v>
      </c>
      <c r="J13" s="296">
        <v>1621.8553245279302</v>
      </c>
      <c r="K13" s="296">
        <v>1631.5115085929901</v>
      </c>
      <c r="L13" s="296">
        <v>1651.8104068825601</v>
      </c>
      <c r="M13" s="296">
        <v>1745.68952154305</v>
      </c>
      <c r="O13" s="503">
        <f t="shared" si="0"/>
        <v>104.09045799978858</v>
      </c>
    </row>
    <row r="14" spans="1:15" s="36" customFormat="1" ht="20.25" customHeight="1">
      <c r="A14" s="35" t="s">
        <v>70</v>
      </c>
      <c r="B14" s="52" t="s">
        <v>45</v>
      </c>
      <c r="C14" s="295">
        <v>1512.2062701518</v>
      </c>
      <c r="D14" s="295">
        <v>1519.54160517184</v>
      </c>
      <c r="E14" s="295">
        <v>1525.33086372921</v>
      </c>
      <c r="F14" s="295">
        <v>1538.2981388854</v>
      </c>
      <c r="G14" s="295">
        <v>1568.1969897884701</v>
      </c>
      <c r="H14" s="295">
        <v>1601.92571954241</v>
      </c>
      <c r="I14" s="295">
        <v>1632.2902809842601</v>
      </c>
      <c r="J14" s="295">
        <v>1688.19663539508</v>
      </c>
      <c r="K14" s="295">
        <v>1731.5655909430202</v>
      </c>
      <c r="L14" s="295">
        <v>1782.73342485083</v>
      </c>
      <c r="M14" s="295">
        <v>1876.9138819029999</v>
      </c>
      <c r="O14" s="503">
        <f t="shared" si="0"/>
        <v>103.88475702130766</v>
      </c>
    </row>
    <row r="15" spans="1:15" s="41" customFormat="1" ht="15" customHeight="1">
      <c r="A15" s="50"/>
      <c r="B15" s="37" t="s">
        <v>53</v>
      </c>
      <c r="C15" s="296">
        <v>1567.8933612318203</v>
      </c>
      <c r="D15" s="296">
        <v>1575.83422450324</v>
      </c>
      <c r="E15" s="296">
        <v>1582.6086463409401</v>
      </c>
      <c r="F15" s="296">
        <v>1597.88010253011</v>
      </c>
      <c r="G15" s="296">
        <v>1631.3871010725602</v>
      </c>
      <c r="H15" s="296">
        <v>1660.87420874182</v>
      </c>
      <c r="I15" s="296">
        <v>1699.7648852884502</v>
      </c>
      <c r="J15" s="296">
        <v>1753.7789727220702</v>
      </c>
      <c r="K15" s="296">
        <v>1799.22293434977</v>
      </c>
      <c r="L15" s="296">
        <v>1852.5121330729103</v>
      </c>
      <c r="M15" s="296">
        <v>1948.9207036131502</v>
      </c>
      <c r="O15" s="503">
        <f t="shared" si="0"/>
        <v>89.962912199242325</v>
      </c>
    </row>
    <row r="16" spans="1:15" s="41" customFormat="1" ht="15" customHeight="1">
      <c r="A16" s="50"/>
      <c r="B16" s="37" t="s">
        <v>54</v>
      </c>
      <c r="C16" s="296">
        <v>1409.6016973457299</v>
      </c>
      <c r="D16" s="296">
        <v>1417.4183960108001</v>
      </c>
      <c r="E16" s="296">
        <v>1422.6852623672901</v>
      </c>
      <c r="F16" s="296">
        <v>1433.8603184020601</v>
      </c>
      <c r="G16" s="296">
        <v>1461.6248208393899</v>
      </c>
      <c r="H16" s="296">
        <v>1504.83213879088</v>
      </c>
      <c r="I16" s="296">
        <v>1522.8257474553402</v>
      </c>
      <c r="J16" s="296">
        <v>1577.7506373987301</v>
      </c>
      <c r="K16" s="296">
        <v>1616.7846253152302</v>
      </c>
      <c r="L16" s="296">
        <v>1667.2383016121098</v>
      </c>
      <c r="M16" s="296">
        <v>1762.7357397037104</v>
      </c>
      <c r="O16" s="503">
        <f t="shared" si="0"/>
        <v>90.951051816677591</v>
      </c>
    </row>
    <row r="17" spans="1:15" s="36" customFormat="1" ht="20.25" customHeight="1">
      <c r="A17" s="35" t="s">
        <v>69</v>
      </c>
      <c r="B17" s="52" t="s">
        <v>45</v>
      </c>
      <c r="C17" s="295">
        <v>1431.60349900913</v>
      </c>
      <c r="D17" s="295">
        <v>1420.0670843488799</v>
      </c>
      <c r="E17" s="295">
        <v>1406.4039601418801</v>
      </c>
      <c r="F17" s="295">
        <v>1414.92318780298</v>
      </c>
      <c r="G17" s="295">
        <v>1406.9969185529101</v>
      </c>
      <c r="H17" s="295">
        <v>1418.91053234377</v>
      </c>
      <c r="I17" s="295">
        <v>1443.3994225067599</v>
      </c>
      <c r="J17" s="295">
        <v>1434.9807997584801</v>
      </c>
      <c r="K17" s="295">
        <v>1450.5739829495601</v>
      </c>
      <c r="L17" s="295">
        <v>1464.6887433025702</v>
      </c>
      <c r="M17" s="295">
        <v>1529.1893239357998</v>
      </c>
      <c r="O17" s="503">
        <f t="shared" si="0"/>
        <v>110.77286200299534</v>
      </c>
    </row>
    <row r="18" spans="1:15" s="41" customFormat="1" ht="15" customHeight="1">
      <c r="A18" s="50"/>
      <c r="B18" s="37" t="s">
        <v>53</v>
      </c>
      <c r="C18" s="296">
        <v>1580.8575366521902</v>
      </c>
      <c r="D18" s="296">
        <v>1568.9018319195102</v>
      </c>
      <c r="E18" s="296">
        <v>1548.1414383189099</v>
      </c>
      <c r="F18" s="296">
        <v>1572.8955087963002</v>
      </c>
      <c r="G18" s="296">
        <v>1572.6008973516703</v>
      </c>
      <c r="H18" s="296">
        <v>1584.64345425089</v>
      </c>
      <c r="I18" s="296">
        <v>1610.4701536609</v>
      </c>
      <c r="J18" s="296">
        <v>1589.56930108594</v>
      </c>
      <c r="K18" s="296">
        <v>1610.3333129565799</v>
      </c>
      <c r="L18" s="296">
        <v>1629.33432271333</v>
      </c>
      <c r="M18" s="296">
        <v>1696.3206723046101</v>
      </c>
      <c r="O18" s="503">
        <f t="shared" si="0"/>
        <v>80.108718582166105</v>
      </c>
    </row>
    <row r="19" spans="1:15" s="41" customFormat="1" ht="15" customHeight="1">
      <c r="A19" s="50"/>
      <c r="B19" s="37" t="s">
        <v>54</v>
      </c>
      <c r="C19" s="296">
        <v>1272.2597067232302</v>
      </c>
      <c r="D19" s="296">
        <v>1261.4222678705</v>
      </c>
      <c r="E19" s="296">
        <v>1257.9906340844702</v>
      </c>
      <c r="F19" s="296">
        <v>1254.3451100479601</v>
      </c>
      <c r="G19" s="296">
        <v>1238.9951436418401</v>
      </c>
      <c r="H19" s="296">
        <v>1248.88333087507</v>
      </c>
      <c r="I19" s="296">
        <v>1273.2946704880103</v>
      </c>
      <c r="J19" s="296">
        <v>1273.3835980754402</v>
      </c>
      <c r="K19" s="296">
        <v>1284.77421709583</v>
      </c>
      <c r="L19" s="296">
        <v>1299.0482992300399</v>
      </c>
      <c r="M19" s="296">
        <v>1355.2679581147402</v>
      </c>
      <c r="O19" s="503">
        <f t="shared" si="0"/>
        <v>77.805516702550335</v>
      </c>
    </row>
    <row r="20" spans="1:15" s="36" customFormat="1" ht="20.25" customHeight="1">
      <c r="A20" s="35" t="s">
        <v>50</v>
      </c>
      <c r="B20" s="52" t="s">
        <v>45</v>
      </c>
      <c r="C20" s="295">
        <v>884.87176060150205</v>
      </c>
      <c r="D20" s="295">
        <v>883.49656139199112</v>
      </c>
      <c r="E20" s="295">
        <v>887.88400018054404</v>
      </c>
      <c r="F20" s="295">
        <v>893.93861816240405</v>
      </c>
      <c r="G20" s="295">
        <v>901.37121652487303</v>
      </c>
      <c r="H20" s="295">
        <v>908.50419922111098</v>
      </c>
      <c r="I20" s="295">
        <v>938.76782912874512</v>
      </c>
      <c r="J20" s="295">
        <v>990.76268808812301</v>
      </c>
      <c r="K20" s="295">
        <v>1021.2416879801901</v>
      </c>
      <c r="L20" s="295">
        <v>1052.31354253832</v>
      </c>
      <c r="M20" s="295">
        <v>1110.7545863064802</v>
      </c>
      <c r="O20" s="503">
        <f t="shared" si="0"/>
        <v>105.94298197153343</v>
      </c>
    </row>
    <row r="21" spans="1:15" s="41" customFormat="1" ht="15" customHeight="1">
      <c r="A21" s="50"/>
      <c r="B21" s="37" t="s">
        <v>53</v>
      </c>
      <c r="C21" s="296">
        <v>938.97186352964309</v>
      </c>
      <c r="D21" s="296">
        <v>938.24367352693105</v>
      </c>
      <c r="E21" s="296">
        <v>942.03656054070211</v>
      </c>
      <c r="F21" s="296">
        <v>952.22187448785405</v>
      </c>
      <c r="G21" s="296">
        <v>959.35442029138903</v>
      </c>
      <c r="H21" s="296">
        <v>967.68177056460308</v>
      </c>
      <c r="I21" s="296">
        <v>999.89765146571096</v>
      </c>
      <c r="J21" s="296">
        <v>1049.64353602188</v>
      </c>
      <c r="K21" s="296">
        <v>1076.9607516068902</v>
      </c>
      <c r="L21" s="296">
        <v>1111.4731984648301</v>
      </c>
      <c r="M21" s="296">
        <v>1170.18180286346</v>
      </c>
      <c r="O21" s="503">
        <f t="shared" si="0"/>
        <v>86.188687889412108</v>
      </c>
    </row>
    <row r="22" spans="1:15" s="41" customFormat="1" ht="15" customHeight="1">
      <c r="A22" s="50"/>
      <c r="B22" s="37" t="s">
        <v>54</v>
      </c>
      <c r="C22" s="296">
        <v>804.88864671444298</v>
      </c>
      <c r="D22" s="296">
        <v>804.15658975994506</v>
      </c>
      <c r="E22" s="296">
        <v>809.37502741552601</v>
      </c>
      <c r="F22" s="296">
        <v>808.86423680330097</v>
      </c>
      <c r="G22" s="296">
        <v>817.35298845075806</v>
      </c>
      <c r="H22" s="296">
        <v>826.03945955346296</v>
      </c>
      <c r="I22" s="296">
        <v>852.62488281166009</v>
      </c>
      <c r="J22" s="296">
        <v>904.67399121328708</v>
      </c>
      <c r="K22" s="296">
        <v>938.33959443115805</v>
      </c>
      <c r="L22" s="296">
        <v>966.28236744320111</v>
      </c>
      <c r="M22" s="296">
        <v>1024.9985181313002</v>
      </c>
      <c r="O22" s="503">
        <f t="shared" si="0"/>
        <v>93.276603021652477</v>
      </c>
    </row>
    <row r="23" spans="1:15" s="36" customFormat="1" ht="20.25" customHeight="1">
      <c r="A23" s="35" t="s">
        <v>71</v>
      </c>
      <c r="B23" s="52" t="s">
        <v>45</v>
      </c>
      <c r="C23" s="295">
        <v>707.76427880113613</v>
      </c>
      <c r="D23" s="295">
        <v>711.17449588781301</v>
      </c>
      <c r="E23" s="295">
        <v>723.66464996952504</v>
      </c>
      <c r="F23" s="295">
        <v>717.67862482459509</v>
      </c>
      <c r="G23" s="295">
        <v>733.31680529255402</v>
      </c>
      <c r="H23" s="295">
        <v>776.22576064696204</v>
      </c>
      <c r="I23" s="295">
        <v>807.777042045499</v>
      </c>
      <c r="J23" s="295">
        <v>843.84916742415703</v>
      </c>
      <c r="K23" s="295">
        <v>874.56401641889011</v>
      </c>
      <c r="L23" s="295">
        <v>914.67122493147497</v>
      </c>
      <c r="M23" s="295">
        <v>965.03818030272907</v>
      </c>
      <c r="O23" s="503">
        <f t="shared" si="0"/>
        <v>108.51991583880573</v>
      </c>
    </row>
    <row r="24" spans="1:15" s="41" customFormat="1" ht="15" customHeight="1">
      <c r="A24" s="50"/>
      <c r="B24" s="37" t="s">
        <v>53</v>
      </c>
      <c r="C24" s="296">
        <v>780.63848038193009</v>
      </c>
      <c r="D24" s="296">
        <v>784.03305697178109</v>
      </c>
      <c r="E24" s="296">
        <v>796.15487537882905</v>
      </c>
      <c r="F24" s="296">
        <v>780.10740926331698</v>
      </c>
      <c r="G24" s="296">
        <v>793.47216218809513</v>
      </c>
      <c r="H24" s="296">
        <v>841.10573205726109</v>
      </c>
      <c r="I24" s="296">
        <v>876.25318105031602</v>
      </c>
      <c r="J24" s="296">
        <v>915.74440629515811</v>
      </c>
      <c r="K24" s="296">
        <v>944.01339405719705</v>
      </c>
      <c r="L24" s="296">
        <v>987.74706920672907</v>
      </c>
      <c r="M24" s="296">
        <v>1039.5046696515599</v>
      </c>
      <c r="O24" s="503">
        <f t="shared" si="0"/>
        <v>85.556703862288799</v>
      </c>
    </row>
    <row r="25" spans="1:15" s="41" customFormat="1" ht="15" customHeight="1">
      <c r="A25" s="50"/>
      <c r="B25" s="37" t="s">
        <v>54</v>
      </c>
      <c r="C25" s="296">
        <v>653.3630876000351</v>
      </c>
      <c r="D25" s="296">
        <v>654.60368637397198</v>
      </c>
      <c r="E25" s="296">
        <v>665.11055944346106</v>
      </c>
      <c r="F25" s="296">
        <v>668.4073954666361</v>
      </c>
      <c r="G25" s="296">
        <v>684.50218254174206</v>
      </c>
      <c r="H25" s="296">
        <v>720.60246180076206</v>
      </c>
      <c r="I25" s="296">
        <v>748.15922484456109</v>
      </c>
      <c r="J25" s="296">
        <v>783.48072982942313</v>
      </c>
      <c r="K25" s="296">
        <v>815.20282556674204</v>
      </c>
      <c r="L25" s="296">
        <v>852.28175808774301</v>
      </c>
      <c r="M25" s="296">
        <v>901.43580542846007</v>
      </c>
      <c r="O25" s="503">
        <f t="shared" si="0"/>
        <v>98.201662701047837</v>
      </c>
    </row>
    <row r="26" spans="1:15" s="36" customFormat="1" ht="20.25" customHeight="1">
      <c r="A26" s="35" t="s">
        <v>51</v>
      </c>
      <c r="B26" s="52" t="s">
        <v>45</v>
      </c>
      <c r="C26" s="295">
        <v>656.95063685453499</v>
      </c>
      <c r="D26" s="295">
        <v>655.56699993033703</v>
      </c>
      <c r="E26" s="295">
        <v>666.21749525489304</v>
      </c>
      <c r="F26" s="295">
        <v>671.16253211695698</v>
      </c>
      <c r="G26" s="295">
        <v>686.99967615010405</v>
      </c>
      <c r="H26" s="295">
        <v>717.53875821346605</v>
      </c>
      <c r="I26" s="295">
        <v>746.08972756256003</v>
      </c>
      <c r="J26" s="295">
        <v>769.39110363479801</v>
      </c>
      <c r="K26" s="295">
        <v>803.41460104474606</v>
      </c>
      <c r="L26" s="295">
        <v>837.73738043122205</v>
      </c>
      <c r="M26" s="295">
        <v>880.87147883170803</v>
      </c>
      <c r="O26" s="503">
        <f t="shared" si="0"/>
        <v>105.23185116501085</v>
      </c>
    </row>
    <row r="27" spans="1:15" s="41" customFormat="1" ht="15" customHeight="1">
      <c r="A27" s="50"/>
      <c r="B27" s="37" t="s">
        <v>53</v>
      </c>
      <c r="C27" s="296">
        <v>712.66488192618601</v>
      </c>
      <c r="D27" s="296">
        <v>710.27617728183009</v>
      </c>
      <c r="E27" s="296">
        <v>718.39041119318802</v>
      </c>
      <c r="F27" s="296">
        <v>725.24482235619303</v>
      </c>
      <c r="G27" s="296">
        <v>734.368602225313</v>
      </c>
      <c r="H27" s="296">
        <v>760.15856753011406</v>
      </c>
      <c r="I27" s="296">
        <v>788.90292622740708</v>
      </c>
      <c r="J27" s="296">
        <v>809.64450105380502</v>
      </c>
      <c r="K27" s="296">
        <v>841.61894266036904</v>
      </c>
      <c r="L27" s="296">
        <v>875.96992850767413</v>
      </c>
      <c r="M27" s="296">
        <v>916.0868846546341</v>
      </c>
      <c r="O27" s="503">
        <f t="shared" si="0"/>
        <v>89.255537308177807</v>
      </c>
    </row>
    <row r="28" spans="1:15" s="41" customFormat="1" ht="15" customHeight="1">
      <c r="A28" s="50"/>
      <c r="B28" s="37" t="s">
        <v>54</v>
      </c>
      <c r="C28" s="296">
        <v>600.05345793346896</v>
      </c>
      <c r="D28" s="296">
        <v>600.23410004585799</v>
      </c>
      <c r="E28" s="296">
        <v>613.38256454981013</v>
      </c>
      <c r="F28" s="296">
        <v>617.40369672063196</v>
      </c>
      <c r="G28" s="296">
        <v>638.89423525325606</v>
      </c>
      <c r="H28" s="296">
        <v>670.42393012019807</v>
      </c>
      <c r="I28" s="296">
        <v>697.79040901914902</v>
      </c>
      <c r="J28" s="296">
        <v>722.65254970168905</v>
      </c>
      <c r="K28" s="296">
        <v>757.86387163756513</v>
      </c>
      <c r="L28" s="296">
        <v>791.40048301720299</v>
      </c>
      <c r="M28" s="296">
        <v>837.37621394346399</v>
      </c>
      <c r="O28" s="503">
        <f t="shared" si="0"/>
        <v>108.64645310220622</v>
      </c>
    </row>
    <row r="29" spans="1:15" s="36" customFormat="1" ht="20.25" customHeight="1">
      <c r="A29" s="35" t="s">
        <v>52</v>
      </c>
      <c r="B29" s="52" t="s">
        <v>45</v>
      </c>
      <c r="C29" s="295">
        <v>652.29557046480909</v>
      </c>
      <c r="D29" s="295">
        <v>657.99840922633302</v>
      </c>
      <c r="E29" s="295">
        <v>666.45068258826097</v>
      </c>
      <c r="F29" s="295">
        <v>666.79555219170311</v>
      </c>
      <c r="G29" s="295">
        <v>682.35747673025503</v>
      </c>
      <c r="H29" s="295">
        <v>717.97349886759105</v>
      </c>
      <c r="I29" s="295">
        <v>752.94840510279994</v>
      </c>
      <c r="J29" s="295">
        <v>785.13636350354307</v>
      </c>
      <c r="K29" s="295">
        <v>816.35733714514606</v>
      </c>
      <c r="L29" s="295">
        <v>853.01719885989905</v>
      </c>
      <c r="M29" s="295">
        <v>902.17660274676996</v>
      </c>
      <c r="O29" s="503">
        <f t="shared" si="0"/>
        <v>102.75022786646011</v>
      </c>
    </row>
    <row r="30" spans="1:15" s="41" customFormat="1" ht="15" customHeight="1">
      <c r="A30" s="50"/>
      <c r="B30" s="37" t="s">
        <v>53</v>
      </c>
      <c r="C30" s="296">
        <v>681.351428093148</v>
      </c>
      <c r="D30" s="296">
        <v>688.15380658905906</v>
      </c>
      <c r="E30" s="296">
        <v>692.78681907977409</v>
      </c>
      <c r="F30" s="296">
        <v>693.71468549193207</v>
      </c>
      <c r="G30" s="296">
        <v>705.060723728276</v>
      </c>
      <c r="H30" s="296">
        <v>741.69890578776995</v>
      </c>
      <c r="I30" s="296">
        <v>776.12926294753208</v>
      </c>
      <c r="J30" s="296">
        <v>806.72940256232903</v>
      </c>
      <c r="K30" s="296">
        <v>837.55246672750809</v>
      </c>
      <c r="L30" s="296">
        <v>872.980124281906</v>
      </c>
      <c r="M30" s="296">
        <v>921.182915485178</v>
      </c>
      <c r="O30" s="503">
        <f t="shared" si="0"/>
        <v>93.991689287704617</v>
      </c>
    </row>
    <row r="31" spans="1:15" s="41" customFormat="1" ht="15" customHeight="1">
      <c r="A31" s="65"/>
      <c r="B31" s="66" t="s">
        <v>54</v>
      </c>
      <c r="C31" s="297">
        <v>623.28611587743706</v>
      </c>
      <c r="D31" s="297">
        <v>627.20215548389604</v>
      </c>
      <c r="E31" s="297">
        <v>639.34742690274595</v>
      </c>
      <c r="F31" s="297">
        <v>638.32868813469702</v>
      </c>
      <c r="G31" s="297">
        <v>657.480197388752</v>
      </c>
      <c r="H31" s="297">
        <v>691.31952181732913</v>
      </c>
      <c r="I31" s="297">
        <v>726.19854323014408</v>
      </c>
      <c r="J31" s="297">
        <v>758.25859344894002</v>
      </c>
      <c r="K31" s="297">
        <v>786.47049973190303</v>
      </c>
      <c r="L31" s="297">
        <v>825.00051588765302</v>
      </c>
      <c r="M31" s="297">
        <v>875.73350292038106</v>
      </c>
    </row>
    <row r="32" spans="1:15" s="36" customFormat="1" ht="14.25" customHeight="1">
      <c r="A32" s="20" t="s">
        <v>139</v>
      </c>
      <c r="B32" s="37"/>
      <c r="C32" s="35"/>
      <c r="D32" s="35"/>
      <c r="E32" s="35"/>
      <c r="F32" s="35"/>
      <c r="G32" s="64"/>
      <c r="H32" s="64"/>
      <c r="I32" s="64"/>
      <c r="J32" s="64"/>
      <c r="K32" s="64"/>
      <c r="L32" s="64"/>
      <c r="M32" s="64"/>
    </row>
    <row r="33" spans="1:13" s="36" customFormat="1" ht="14.25" customHeight="1">
      <c r="A33" s="630" t="s">
        <v>7</v>
      </c>
      <c r="B33" s="630"/>
      <c r="C33" s="630"/>
      <c r="D33" s="630"/>
      <c r="E33" s="630"/>
      <c r="F33" s="630"/>
      <c r="G33" s="630"/>
      <c r="H33" s="630"/>
      <c r="I33" s="630"/>
      <c r="J33" s="630"/>
      <c r="K33" s="630"/>
      <c r="L33" s="630"/>
      <c r="M33" s="630"/>
    </row>
  </sheetData>
  <mergeCells count="2">
    <mergeCell ref="A1:M1"/>
    <mergeCell ref="A33:M33"/>
  </mergeCells>
  <phoneticPr fontId="25" type="noConversion"/>
  <conditionalFormatting sqref="E3 A1 G32 A33 A2:E2 A3:C3 A32:E32 A4:E4 A5:I31 A34:E1048576 N1:XFD1048576">
    <cfRule type="cellIs" dxfId="245" priority="67" operator="equal">
      <formula>0</formula>
    </cfRule>
  </conditionalFormatting>
  <conditionalFormatting sqref="G34:G1048576 G2:G4 H4:I4">
    <cfRule type="cellIs" dxfId="244" priority="65" operator="equal">
      <formula>0</formula>
    </cfRule>
  </conditionalFormatting>
  <conditionalFormatting sqref="F32 F2:F4 F34:F1048576">
    <cfRule type="cellIs" dxfId="243" priority="58" operator="equal">
      <formula>0</formula>
    </cfRule>
  </conditionalFormatting>
  <conditionalFormatting sqref="I32">
    <cfRule type="cellIs" dxfId="242" priority="54" operator="equal">
      <formula>0</formula>
    </cfRule>
  </conditionalFormatting>
  <conditionalFormatting sqref="I34:I1048576 I2:I3">
    <cfRule type="cellIs" dxfId="241" priority="53" operator="equal">
      <formula>0</formula>
    </cfRule>
  </conditionalFormatting>
  <conditionalFormatting sqref="H32">
    <cfRule type="cellIs" dxfId="240" priority="49" operator="equal">
      <formula>0</formula>
    </cfRule>
  </conditionalFormatting>
  <conditionalFormatting sqref="H34:H1048576 H2:H3">
    <cfRule type="cellIs" dxfId="239" priority="48" operator="equal">
      <formula>0</formula>
    </cfRule>
  </conditionalFormatting>
  <conditionalFormatting sqref="J8:J30">
    <cfRule type="cellIs" dxfId="238" priority="46" operator="equal">
      <formula>0</formula>
    </cfRule>
  </conditionalFormatting>
  <conditionalFormatting sqref="J4">
    <cfRule type="cellIs" dxfId="237" priority="45" operator="equal">
      <formula>0</formula>
    </cfRule>
  </conditionalFormatting>
  <conditionalFormatting sqref="J5:J7">
    <cfRule type="cellIs" dxfId="236" priority="44" operator="equal">
      <formula>0</formula>
    </cfRule>
  </conditionalFormatting>
  <conditionalFormatting sqref="J32">
    <cfRule type="cellIs" dxfId="235" priority="43" operator="equal">
      <formula>0</formula>
    </cfRule>
  </conditionalFormatting>
  <conditionalFormatting sqref="J34:J1048576 J2:J3">
    <cfRule type="cellIs" dxfId="234" priority="42" operator="equal">
      <formula>0</formula>
    </cfRule>
  </conditionalFormatting>
  <conditionalFormatting sqref="K8:K30">
    <cfRule type="cellIs" dxfId="233" priority="41" operator="equal">
      <formula>0</formula>
    </cfRule>
  </conditionalFormatting>
  <conditionalFormatting sqref="K4">
    <cfRule type="cellIs" dxfId="232" priority="40" operator="equal">
      <formula>0</formula>
    </cfRule>
  </conditionalFormatting>
  <conditionalFormatting sqref="K5:K7">
    <cfRule type="cellIs" dxfId="231" priority="39" operator="equal">
      <formula>0</formula>
    </cfRule>
  </conditionalFormatting>
  <conditionalFormatting sqref="K32">
    <cfRule type="cellIs" dxfId="230" priority="38" operator="equal">
      <formula>0</formula>
    </cfRule>
  </conditionalFormatting>
  <conditionalFormatting sqref="K34:K1048576 K2:K3">
    <cfRule type="cellIs" dxfId="229" priority="37" operator="equal">
      <formula>0</formula>
    </cfRule>
  </conditionalFormatting>
  <conditionalFormatting sqref="L8:L30">
    <cfRule type="cellIs" dxfId="228" priority="24" operator="equal">
      <formula>0</formula>
    </cfRule>
  </conditionalFormatting>
  <conditionalFormatting sqref="L4">
    <cfRule type="cellIs" dxfId="227" priority="23" operator="equal">
      <formula>0</formula>
    </cfRule>
  </conditionalFormatting>
  <conditionalFormatting sqref="L5:L7">
    <cfRule type="cellIs" dxfId="226" priority="22" operator="equal">
      <formula>0</formula>
    </cfRule>
  </conditionalFormatting>
  <conditionalFormatting sqref="L32">
    <cfRule type="cellIs" dxfId="225" priority="21" operator="equal">
      <formula>0</formula>
    </cfRule>
  </conditionalFormatting>
  <conditionalFormatting sqref="L34:L1048576 L2:L3">
    <cfRule type="cellIs" dxfId="224" priority="20" operator="equal">
      <formula>0</formula>
    </cfRule>
  </conditionalFormatting>
  <conditionalFormatting sqref="J31">
    <cfRule type="cellIs" dxfId="223" priority="16" operator="equal">
      <formula>0</formula>
    </cfRule>
  </conditionalFormatting>
  <conditionalFormatting sqref="K31">
    <cfRule type="cellIs" dxfId="222" priority="15" operator="equal">
      <formula>0</formula>
    </cfRule>
  </conditionalFormatting>
  <conditionalFormatting sqref="L31">
    <cfRule type="cellIs" dxfId="221" priority="14" operator="equal">
      <formula>0</formula>
    </cfRule>
  </conditionalFormatting>
  <conditionalFormatting sqref="M8:M30">
    <cfRule type="cellIs" dxfId="220" priority="6" operator="equal">
      <formula>0</formula>
    </cfRule>
  </conditionalFormatting>
  <conditionalFormatting sqref="M4">
    <cfRule type="cellIs" dxfId="219" priority="5" operator="equal">
      <formula>0</formula>
    </cfRule>
  </conditionalFormatting>
  <conditionalFormatting sqref="M5:M7">
    <cfRule type="cellIs" dxfId="218" priority="4" operator="equal">
      <formula>0</formula>
    </cfRule>
  </conditionalFormatting>
  <conditionalFormatting sqref="M32">
    <cfRule type="cellIs" dxfId="217" priority="3" operator="equal">
      <formula>0</formula>
    </cfRule>
  </conditionalFormatting>
  <conditionalFormatting sqref="M34:M1048576 M2:M3">
    <cfRule type="cellIs" dxfId="216" priority="2" operator="equal">
      <formula>0</formula>
    </cfRule>
  </conditionalFormatting>
  <conditionalFormatting sqref="M31">
    <cfRule type="cellIs" dxfId="215"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&amp;C&amp;G</oddHeader>
  </headerFooter>
  <drawing r:id="rId2"/>
  <legacyDrawingHF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lha26">
    <tabColor rgb="FFA50021"/>
    <pageSetUpPr fitToPage="1"/>
  </sheetPr>
  <dimension ref="A1:P47"/>
  <sheetViews>
    <sheetView showGridLines="0" workbookViewId="0">
      <selection activeCell="C4" sqref="C4:M43"/>
    </sheetView>
  </sheetViews>
  <sheetFormatPr defaultColWidth="9.140625" defaultRowHeight="11.25"/>
  <cols>
    <col min="1" max="1" width="9.5703125" style="8" customWidth="1"/>
    <col min="2" max="2" width="10.28515625" style="8" customWidth="1"/>
    <col min="3" max="3" width="6.42578125" style="8" customWidth="1"/>
    <col min="4" max="14" width="6.7109375" style="8" customWidth="1"/>
    <col min="15" max="16" width="10" style="8" bestFit="1" customWidth="1"/>
    <col min="17" max="16384" width="9.140625" style="8"/>
  </cols>
  <sheetData>
    <row r="1" spans="1:16" s="34" customFormat="1" ht="28.5" customHeight="1">
      <c r="A1" s="580" t="s">
        <v>239</v>
      </c>
      <c r="B1" s="580"/>
      <c r="C1" s="580"/>
      <c r="D1" s="580"/>
      <c r="E1" s="580"/>
      <c r="F1" s="580"/>
      <c r="G1" s="580"/>
      <c r="H1" s="580"/>
      <c r="I1" s="580"/>
      <c r="J1" s="580"/>
      <c r="K1" s="580"/>
      <c r="L1" s="580"/>
      <c r="M1" s="580"/>
      <c r="N1" s="580"/>
    </row>
    <row r="2" spans="1:16" s="36" customFormat="1" ht="14.25" customHeight="1">
      <c r="A2" s="35"/>
      <c r="B2" s="137"/>
      <c r="C2" s="35"/>
      <c r="D2" s="35"/>
      <c r="E2" s="103"/>
      <c r="F2" s="103"/>
      <c r="G2" s="103"/>
      <c r="H2" s="103"/>
      <c r="I2" s="103"/>
      <c r="J2" s="103"/>
      <c r="K2" s="103"/>
      <c r="L2" s="103"/>
      <c r="M2" s="103"/>
      <c r="N2" s="103"/>
    </row>
    <row r="3" spans="1:16" s="36" customFormat="1" ht="14.25" customHeight="1">
      <c r="A3" s="103" t="s">
        <v>14</v>
      </c>
      <c r="B3" s="35"/>
      <c r="C3" s="99"/>
      <c r="D3" s="99"/>
      <c r="E3" s="212"/>
      <c r="F3" s="212"/>
      <c r="G3" s="212"/>
      <c r="H3" s="103"/>
      <c r="I3" s="103"/>
      <c r="J3" s="103"/>
      <c r="K3" s="103"/>
      <c r="L3" s="103"/>
      <c r="M3" s="103"/>
      <c r="N3" s="103"/>
    </row>
    <row r="4" spans="1:16" s="39" customFormat="1" ht="28.5" customHeight="1" thickBot="1">
      <c r="A4" s="116"/>
      <c r="B4" s="116"/>
      <c r="C4" s="116"/>
      <c r="D4" s="116">
        <v>2012</v>
      </c>
      <c r="E4" s="116">
        <v>2013</v>
      </c>
      <c r="F4" s="116">
        <v>2014</v>
      </c>
      <c r="G4" s="116">
        <v>2015</v>
      </c>
      <c r="H4" s="116">
        <v>2016</v>
      </c>
      <c r="I4" s="116">
        <v>2017</v>
      </c>
      <c r="J4" s="116">
        <v>2018</v>
      </c>
      <c r="K4" s="116">
        <v>2019</v>
      </c>
      <c r="L4" s="116">
        <v>2020</v>
      </c>
      <c r="M4" s="116">
        <v>2021</v>
      </c>
      <c r="N4" s="116">
        <v>2022</v>
      </c>
    </row>
    <row r="5" spans="1:16" s="102" customFormat="1" ht="16.5" customHeight="1" thickTop="1">
      <c r="A5" s="639" t="s">
        <v>12</v>
      </c>
      <c r="B5" s="640" t="s">
        <v>189</v>
      </c>
      <c r="C5" s="320" t="s">
        <v>182</v>
      </c>
      <c r="D5" s="298">
        <v>915.0124700608161</v>
      </c>
      <c r="E5" s="298">
        <v>912.18298170179742</v>
      </c>
      <c r="F5" s="298">
        <v>909.4914491572066</v>
      </c>
      <c r="G5" s="298">
        <v>913.9254479137677</v>
      </c>
      <c r="H5" s="298">
        <v>924.93921530906709</v>
      </c>
      <c r="I5" s="299">
        <v>943.00107511789497</v>
      </c>
      <c r="J5" s="299">
        <v>970.41689676342639</v>
      </c>
      <c r="K5" s="300">
        <v>1005.0892792510292</v>
      </c>
      <c r="L5" s="300">
        <v>1041.9948771786303</v>
      </c>
      <c r="M5" s="300">
        <v>1082.7724697512974</v>
      </c>
      <c r="N5" s="300">
        <v>1143.4455828568618</v>
      </c>
    </row>
    <row r="6" spans="1:16" s="102" customFormat="1" ht="16.5" customHeight="1">
      <c r="A6" s="632"/>
      <c r="B6" s="635"/>
      <c r="C6" s="319" t="s">
        <v>183</v>
      </c>
      <c r="D6" s="301">
        <v>641.92999999999995</v>
      </c>
      <c r="E6" s="301">
        <v>641.92999999999995</v>
      </c>
      <c r="F6" s="301">
        <v>641.92999999999995</v>
      </c>
      <c r="G6" s="301">
        <v>650</v>
      </c>
      <c r="H6" s="301">
        <v>650</v>
      </c>
      <c r="I6" s="302">
        <v>660</v>
      </c>
      <c r="J6" s="302">
        <v>690</v>
      </c>
      <c r="K6" s="303">
        <v>720</v>
      </c>
      <c r="L6" s="303">
        <v>750</v>
      </c>
      <c r="M6" s="303">
        <v>786</v>
      </c>
      <c r="N6" s="303">
        <v>816.21</v>
      </c>
      <c r="O6" s="504">
        <f>+E5/E7*100</f>
        <v>83.394411878108571</v>
      </c>
      <c r="P6" s="504">
        <f>+E6/E8*100</f>
        <v>81.727672035139079</v>
      </c>
    </row>
    <row r="7" spans="1:16" s="102" customFormat="1" ht="16.5" customHeight="1">
      <c r="A7" s="632"/>
      <c r="B7" s="635" t="s">
        <v>190</v>
      </c>
      <c r="C7" s="319" t="s">
        <v>184</v>
      </c>
      <c r="D7" s="301">
        <v>1095.5861928185182</v>
      </c>
      <c r="E7" s="301">
        <v>1093.8178723954163</v>
      </c>
      <c r="F7" s="301">
        <v>1093.2085408909804</v>
      </c>
      <c r="G7" s="301">
        <v>1096.6573412799569</v>
      </c>
      <c r="H7" s="301">
        <v>1107.8563656187587</v>
      </c>
      <c r="I7" s="302">
        <v>1133.342886897095</v>
      </c>
      <c r="J7" s="302">
        <v>1170.2525051679852</v>
      </c>
      <c r="K7" s="303">
        <v>1209.9390048557955</v>
      </c>
      <c r="L7" s="303">
        <v>1250.7519708443963</v>
      </c>
      <c r="M7" s="303">
        <v>1294.1089406724345</v>
      </c>
      <c r="N7" s="303">
        <v>1367.995248988339</v>
      </c>
    </row>
    <row r="8" spans="1:16" s="102" customFormat="1" ht="16.5" customHeight="1">
      <c r="A8" s="632"/>
      <c r="B8" s="635"/>
      <c r="C8" s="319" t="s">
        <v>185</v>
      </c>
      <c r="D8" s="301">
        <v>783.62</v>
      </c>
      <c r="E8" s="301">
        <v>785.45</v>
      </c>
      <c r="F8" s="301">
        <v>786.99</v>
      </c>
      <c r="G8" s="301">
        <v>790.03</v>
      </c>
      <c r="H8" s="301">
        <v>800</v>
      </c>
      <c r="I8" s="302">
        <v>822.95</v>
      </c>
      <c r="J8" s="302">
        <v>854.8</v>
      </c>
      <c r="K8" s="303">
        <v>892.01</v>
      </c>
      <c r="L8" s="303">
        <v>926.14</v>
      </c>
      <c r="M8" s="303">
        <v>962.2</v>
      </c>
      <c r="N8" s="303">
        <v>1017.5</v>
      </c>
    </row>
    <row r="9" spans="1:16" s="214" customFormat="1" ht="16.5" customHeight="1">
      <c r="A9" s="638"/>
      <c r="B9" s="637" t="s">
        <v>186</v>
      </c>
      <c r="C9" s="637"/>
      <c r="D9" s="307">
        <v>1910957</v>
      </c>
      <c r="E9" s="307">
        <v>1890511</v>
      </c>
      <c r="F9" s="307">
        <v>1928307</v>
      </c>
      <c r="G9" s="307">
        <v>1991131</v>
      </c>
      <c r="H9" s="307">
        <v>2054911</v>
      </c>
      <c r="I9" s="308">
        <v>2131943</v>
      </c>
      <c r="J9" s="308">
        <v>2205449</v>
      </c>
      <c r="K9" s="309">
        <v>2232400</v>
      </c>
      <c r="L9" s="309">
        <v>2164118</v>
      </c>
      <c r="M9" s="309">
        <v>2200594</v>
      </c>
      <c r="N9" s="309">
        <v>2376115</v>
      </c>
      <c r="P9" s="420"/>
    </row>
    <row r="10" spans="1:16" s="102" customFormat="1" ht="16.5" customHeight="1">
      <c r="A10" s="631" t="s">
        <v>191</v>
      </c>
      <c r="B10" s="634" t="s">
        <v>187</v>
      </c>
      <c r="C10" s="318" t="s">
        <v>182</v>
      </c>
      <c r="D10" s="304">
        <v>575.78741131043409</v>
      </c>
      <c r="E10" s="304">
        <v>576.2473253034201</v>
      </c>
      <c r="F10" s="304">
        <v>583.58136820125492</v>
      </c>
      <c r="G10" s="304">
        <v>592.89189768976451</v>
      </c>
      <c r="H10" s="304">
        <v>608.31095295103614</v>
      </c>
      <c r="I10" s="305">
        <v>622.05058288243981</v>
      </c>
      <c r="J10" s="305">
        <v>647.98616493194629</v>
      </c>
      <c r="K10" s="306">
        <v>668.90536419333068</v>
      </c>
      <c r="L10" s="306">
        <v>696.5730460577671</v>
      </c>
      <c r="M10" s="306">
        <v>726.28648688768078</v>
      </c>
      <c r="N10" s="306">
        <v>766.16810225156519</v>
      </c>
    </row>
    <row r="11" spans="1:16" s="102" customFormat="1" ht="16.5" customHeight="1">
      <c r="A11" s="632"/>
      <c r="B11" s="635"/>
      <c r="C11" s="319" t="s">
        <v>183</v>
      </c>
      <c r="D11" s="301">
        <v>510</v>
      </c>
      <c r="E11" s="301">
        <v>512.5</v>
      </c>
      <c r="F11" s="301">
        <v>519.29999999999995</v>
      </c>
      <c r="G11" s="301">
        <v>525.98500000000001</v>
      </c>
      <c r="H11" s="301">
        <v>540</v>
      </c>
      <c r="I11" s="302">
        <v>560</v>
      </c>
      <c r="J11" s="302">
        <v>585</v>
      </c>
      <c r="K11" s="303">
        <v>607</v>
      </c>
      <c r="L11" s="303">
        <v>635</v>
      </c>
      <c r="M11" s="303">
        <v>666</v>
      </c>
      <c r="N11" s="303">
        <v>705</v>
      </c>
    </row>
    <row r="12" spans="1:16" s="102" customFormat="1" ht="16.5" customHeight="1">
      <c r="A12" s="632"/>
      <c r="B12" s="635" t="s">
        <v>188</v>
      </c>
      <c r="C12" s="319" t="s">
        <v>184</v>
      </c>
      <c r="D12" s="301">
        <v>676.90866221542944</v>
      </c>
      <c r="E12" s="301">
        <v>677.47688672306401</v>
      </c>
      <c r="F12" s="301">
        <v>685.60488217162379</v>
      </c>
      <c r="G12" s="301">
        <v>700.53650754361081</v>
      </c>
      <c r="H12" s="301">
        <v>711.01128337124328</v>
      </c>
      <c r="I12" s="302">
        <v>730.56071323167703</v>
      </c>
      <c r="J12" s="302">
        <v>767.65798238590639</v>
      </c>
      <c r="K12" s="303">
        <v>789.06815112321124</v>
      </c>
      <c r="L12" s="303">
        <v>817.39308352849673</v>
      </c>
      <c r="M12" s="303">
        <v>849.53312221672388</v>
      </c>
      <c r="N12" s="303">
        <v>892.87459454884197</v>
      </c>
    </row>
    <row r="13" spans="1:16" s="102" customFormat="1" ht="16.5" customHeight="1">
      <c r="A13" s="632"/>
      <c r="B13" s="635"/>
      <c r="C13" s="319" t="s">
        <v>185</v>
      </c>
      <c r="D13" s="301">
        <v>609.95000000000005</v>
      </c>
      <c r="E13" s="301">
        <v>611.89499999999998</v>
      </c>
      <c r="F13" s="301">
        <v>625</v>
      </c>
      <c r="G13" s="301">
        <v>631.25</v>
      </c>
      <c r="H13" s="301">
        <v>642</v>
      </c>
      <c r="I13" s="302">
        <v>670.92499999999995</v>
      </c>
      <c r="J13" s="302">
        <v>701.5</v>
      </c>
      <c r="K13" s="303">
        <v>728.52</v>
      </c>
      <c r="L13" s="303">
        <v>753</v>
      </c>
      <c r="M13" s="303">
        <v>780.25</v>
      </c>
      <c r="N13" s="303">
        <v>825</v>
      </c>
    </row>
    <row r="14" spans="1:16" s="214" customFormat="1" ht="16.5" customHeight="1">
      <c r="A14" s="638"/>
      <c r="B14" s="637" t="s">
        <v>186</v>
      </c>
      <c r="C14" s="637"/>
      <c r="D14" s="307">
        <v>12431</v>
      </c>
      <c r="E14" s="307">
        <v>10876</v>
      </c>
      <c r="F14" s="307">
        <v>10057</v>
      </c>
      <c r="G14" s="307">
        <v>8484</v>
      </c>
      <c r="H14" s="307">
        <v>8353</v>
      </c>
      <c r="I14" s="308">
        <v>8132</v>
      </c>
      <c r="J14" s="308">
        <v>7494</v>
      </c>
      <c r="K14" s="309">
        <v>7345</v>
      </c>
      <c r="L14" s="309">
        <v>6405</v>
      </c>
      <c r="M14" s="309">
        <v>6063</v>
      </c>
      <c r="N14" s="309">
        <v>5907</v>
      </c>
    </row>
    <row r="15" spans="1:16" s="102" customFormat="1" ht="16.5" customHeight="1">
      <c r="A15" s="631" t="s">
        <v>192</v>
      </c>
      <c r="B15" s="634" t="s">
        <v>189</v>
      </c>
      <c r="C15" s="318" t="s">
        <v>182</v>
      </c>
      <c r="D15" s="304">
        <v>682.34186531602472</v>
      </c>
      <c r="E15" s="304">
        <v>679.13248859087969</v>
      </c>
      <c r="F15" s="304">
        <v>681.33365355889168</v>
      </c>
      <c r="G15" s="304">
        <v>685.64267034015961</v>
      </c>
      <c r="H15" s="304">
        <v>696.13643273852779</v>
      </c>
      <c r="I15" s="305">
        <v>714.42958919128137</v>
      </c>
      <c r="J15" s="305">
        <v>738.35759666962713</v>
      </c>
      <c r="K15" s="306">
        <v>763.83064939716814</v>
      </c>
      <c r="L15" s="306">
        <v>791.06003406466198</v>
      </c>
      <c r="M15" s="306">
        <v>822.50752160988418</v>
      </c>
      <c r="N15" s="306">
        <v>866.98371471534017</v>
      </c>
    </row>
    <row r="16" spans="1:16" s="102" customFormat="1" ht="16.5" customHeight="1">
      <c r="A16" s="632"/>
      <c r="B16" s="635"/>
      <c r="C16" s="319" t="s">
        <v>183</v>
      </c>
      <c r="D16" s="301">
        <v>566</v>
      </c>
      <c r="E16" s="301">
        <v>566.64</v>
      </c>
      <c r="F16" s="301">
        <v>569.73</v>
      </c>
      <c r="G16" s="301">
        <v>573</v>
      </c>
      <c r="H16" s="301">
        <v>580</v>
      </c>
      <c r="I16" s="302">
        <v>600</v>
      </c>
      <c r="J16" s="302">
        <v>620</v>
      </c>
      <c r="K16" s="303">
        <v>642</v>
      </c>
      <c r="L16" s="303">
        <v>667.22</v>
      </c>
      <c r="M16" s="303">
        <v>700</v>
      </c>
      <c r="N16" s="303">
        <v>746</v>
      </c>
    </row>
    <row r="17" spans="1:16" s="102" customFormat="1" ht="16.5" customHeight="1">
      <c r="A17" s="632"/>
      <c r="B17" s="635" t="s">
        <v>190</v>
      </c>
      <c r="C17" s="319" t="s">
        <v>184</v>
      </c>
      <c r="D17" s="301">
        <v>819.11135647852791</v>
      </c>
      <c r="E17" s="301">
        <v>817.17161311955351</v>
      </c>
      <c r="F17" s="301">
        <v>821.83661621565591</v>
      </c>
      <c r="G17" s="301">
        <v>826.45624284927305</v>
      </c>
      <c r="H17" s="301">
        <v>838.60943052693813</v>
      </c>
      <c r="I17" s="302">
        <v>863.73965563873617</v>
      </c>
      <c r="J17" s="302">
        <v>895.35195100263491</v>
      </c>
      <c r="K17" s="303">
        <v>926.56082504999472</v>
      </c>
      <c r="L17" s="303">
        <v>955.60597723083038</v>
      </c>
      <c r="M17" s="303">
        <v>990.55079810364009</v>
      </c>
      <c r="N17" s="303">
        <v>1044.0300886364023</v>
      </c>
    </row>
    <row r="18" spans="1:16" s="102" customFormat="1" ht="16.5" customHeight="1">
      <c r="A18" s="632"/>
      <c r="B18" s="635"/>
      <c r="C18" s="319" t="s">
        <v>185</v>
      </c>
      <c r="D18" s="301">
        <v>684.28</v>
      </c>
      <c r="E18" s="301">
        <v>681.74</v>
      </c>
      <c r="F18" s="301">
        <v>686.25</v>
      </c>
      <c r="G18" s="301">
        <v>690</v>
      </c>
      <c r="H18" s="301">
        <v>699.11</v>
      </c>
      <c r="I18" s="302">
        <v>722.52</v>
      </c>
      <c r="J18" s="302">
        <v>752</v>
      </c>
      <c r="K18" s="303">
        <v>783.62</v>
      </c>
      <c r="L18" s="303">
        <v>810.23</v>
      </c>
      <c r="M18" s="303">
        <v>845.4</v>
      </c>
      <c r="N18" s="303">
        <v>891.6</v>
      </c>
    </row>
    <row r="19" spans="1:16" s="214" customFormat="1" ht="16.5" customHeight="1">
      <c r="A19" s="638"/>
      <c r="B19" s="637" t="s">
        <v>186</v>
      </c>
      <c r="C19" s="637"/>
      <c r="D19" s="307">
        <v>1067551</v>
      </c>
      <c r="E19" s="307">
        <v>1028783</v>
      </c>
      <c r="F19" s="307">
        <v>1028192</v>
      </c>
      <c r="G19" s="307">
        <v>1031891</v>
      </c>
      <c r="H19" s="307">
        <v>1036344</v>
      </c>
      <c r="I19" s="308">
        <v>1043381</v>
      </c>
      <c r="J19" s="308">
        <v>1039158</v>
      </c>
      <c r="K19" s="309">
        <v>1007442</v>
      </c>
      <c r="L19" s="309">
        <v>943206</v>
      </c>
      <c r="M19" s="309">
        <v>923652</v>
      </c>
      <c r="N19" s="309">
        <v>953672</v>
      </c>
    </row>
    <row r="20" spans="1:16" s="102" customFormat="1" ht="16.5" customHeight="1">
      <c r="A20" s="631" t="s">
        <v>237</v>
      </c>
      <c r="B20" s="634" t="s">
        <v>189</v>
      </c>
      <c r="C20" s="318" t="s">
        <v>182</v>
      </c>
      <c r="D20" s="304">
        <v>907.5992195283294</v>
      </c>
      <c r="E20" s="304">
        <v>893.14329345468684</v>
      </c>
      <c r="F20" s="304">
        <v>881.23427974788672</v>
      </c>
      <c r="G20" s="304">
        <v>873.89992668362129</v>
      </c>
      <c r="H20" s="304">
        <v>872.76048707999655</v>
      </c>
      <c r="I20" s="305">
        <v>878.03250251635905</v>
      </c>
      <c r="J20" s="305">
        <v>891.3005004301109</v>
      </c>
      <c r="K20" s="306">
        <v>910.02849569019713</v>
      </c>
      <c r="L20" s="306">
        <v>929.85033632802924</v>
      </c>
      <c r="M20" s="306">
        <v>955.64814985503131</v>
      </c>
      <c r="N20" s="306">
        <v>997.48152037541502</v>
      </c>
    </row>
    <row r="21" spans="1:16" s="102" customFormat="1" ht="16.5" customHeight="1">
      <c r="A21" s="632"/>
      <c r="B21" s="635"/>
      <c r="C21" s="319" t="s">
        <v>183</v>
      </c>
      <c r="D21" s="301">
        <v>695</v>
      </c>
      <c r="E21" s="301">
        <v>678.75</v>
      </c>
      <c r="F21" s="301">
        <v>666.41</v>
      </c>
      <c r="G21" s="301">
        <v>651.55999999999995</v>
      </c>
      <c r="H21" s="301">
        <v>651.55999999999995</v>
      </c>
      <c r="I21" s="302">
        <v>658.97</v>
      </c>
      <c r="J21" s="302">
        <v>680</v>
      </c>
      <c r="K21" s="303">
        <v>700</v>
      </c>
      <c r="L21" s="303">
        <v>720</v>
      </c>
      <c r="M21" s="303">
        <v>750</v>
      </c>
      <c r="N21" s="303">
        <v>798.57</v>
      </c>
    </row>
    <row r="22" spans="1:16" s="102" customFormat="1" ht="16.5" customHeight="1">
      <c r="A22" s="632"/>
      <c r="B22" s="635" t="s">
        <v>190</v>
      </c>
      <c r="C22" s="319" t="s">
        <v>184</v>
      </c>
      <c r="D22" s="301">
        <v>1116.2264990403992</v>
      </c>
      <c r="E22" s="301">
        <v>1099.8762642054912</v>
      </c>
      <c r="F22" s="301">
        <v>1086.3097759820505</v>
      </c>
      <c r="G22" s="301">
        <v>1072.7725448225528</v>
      </c>
      <c r="H22" s="301">
        <v>1068.6492624242501</v>
      </c>
      <c r="I22" s="302">
        <v>1078.586515359242</v>
      </c>
      <c r="J22" s="302">
        <v>1097.0253802927543</v>
      </c>
      <c r="K22" s="303">
        <v>1117.3758977204316</v>
      </c>
      <c r="L22" s="303">
        <v>1138.6258953577053</v>
      </c>
      <c r="M22" s="303">
        <v>1163.5160001410172</v>
      </c>
      <c r="N22" s="303">
        <v>1217.5678494347055</v>
      </c>
    </row>
    <row r="23" spans="1:16" s="102" customFormat="1" ht="16.5" customHeight="1">
      <c r="A23" s="632"/>
      <c r="B23" s="635"/>
      <c r="C23" s="319" t="s">
        <v>185</v>
      </c>
      <c r="D23" s="301">
        <v>841.71500000000003</v>
      </c>
      <c r="E23" s="301">
        <v>828.73</v>
      </c>
      <c r="F23" s="301">
        <v>817.76</v>
      </c>
      <c r="G23" s="301">
        <v>807.1</v>
      </c>
      <c r="H23" s="301">
        <v>807.17</v>
      </c>
      <c r="I23" s="302">
        <v>823.5</v>
      </c>
      <c r="J23" s="302">
        <v>846.69</v>
      </c>
      <c r="K23" s="303">
        <v>872.97</v>
      </c>
      <c r="L23" s="303">
        <v>900.98500000000001</v>
      </c>
      <c r="M23" s="303">
        <v>927.28</v>
      </c>
      <c r="N23" s="303">
        <v>977.7</v>
      </c>
    </row>
    <row r="24" spans="1:16" s="214" customFormat="1" ht="16.5" customHeight="1">
      <c r="A24" s="638"/>
      <c r="B24" s="637" t="s">
        <v>186</v>
      </c>
      <c r="C24" s="637"/>
      <c r="D24" s="307">
        <v>468960</v>
      </c>
      <c r="E24" s="307">
        <v>478953</v>
      </c>
      <c r="F24" s="307">
        <v>502817</v>
      </c>
      <c r="G24" s="307">
        <v>537397</v>
      </c>
      <c r="H24" s="307">
        <v>574341</v>
      </c>
      <c r="I24" s="308">
        <v>614973</v>
      </c>
      <c r="J24" s="308">
        <v>661451</v>
      </c>
      <c r="K24" s="309">
        <v>692025</v>
      </c>
      <c r="L24" s="309">
        <v>678980</v>
      </c>
      <c r="M24" s="309">
        <v>708685</v>
      </c>
      <c r="N24" s="309">
        <v>796744</v>
      </c>
      <c r="O24" s="420">
        <f>+N24+N29</f>
        <v>1409795</v>
      </c>
      <c r="P24" s="214">
        <f>+O24/N9*100</f>
        <v>59.331934691713151</v>
      </c>
    </row>
    <row r="25" spans="1:16" s="102" customFormat="1" ht="16.5" customHeight="1">
      <c r="A25" s="631" t="s">
        <v>238</v>
      </c>
      <c r="B25" s="634" t="s">
        <v>189</v>
      </c>
      <c r="C25" s="318" t="s">
        <v>182</v>
      </c>
      <c r="D25" s="304">
        <v>1629.439687445062</v>
      </c>
      <c r="E25" s="304">
        <v>1598.2334357153291</v>
      </c>
      <c r="F25" s="304">
        <v>1566.8667939036443</v>
      </c>
      <c r="G25" s="304">
        <v>1550.6413591218536</v>
      </c>
      <c r="H25" s="304">
        <v>1550.370839527101</v>
      </c>
      <c r="I25" s="305">
        <v>1551.9706216762293</v>
      </c>
      <c r="J25" s="305">
        <v>1571.0770402295336</v>
      </c>
      <c r="K25" s="306">
        <v>1604.6993669588981</v>
      </c>
      <c r="L25" s="306">
        <v>1637.2545672733959</v>
      </c>
      <c r="M25" s="306">
        <v>1680.3930882144095</v>
      </c>
      <c r="N25" s="306">
        <v>1767.5060761176364</v>
      </c>
    </row>
    <row r="26" spans="1:16" s="102" customFormat="1" ht="16.5" customHeight="1">
      <c r="A26" s="632"/>
      <c r="B26" s="635"/>
      <c r="C26" s="319" t="s">
        <v>183</v>
      </c>
      <c r="D26" s="301">
        <v>1250</v>
      </c>
      <c r="E26" s="301">
        <v>1228</v>
      </c>
      <c r="F26" s="301">
        <v>1200</v>
      </c>
      <c r="G26" s="301">
        <v>1201</v>
      </c>
      <c r="H26" s="301">
        <v>1201</v>
      </c>
      <c r="I26" s="302">
        <v>1201</v>
      </c>
      <c r="J26" s="302">
        <v>1201</v>
      </c>
      <c r="K26" s="303">
        <v>1235</v>
      </c>
      <c r="L26" s="303">
        <v>1260.32</v>
      </c>
      <c r="M26" s="303">
        <v>1300</v>
      </c>
      <c r="N26" s="303">
        <v>1376</v>
      </c>
    </row>
    <row r="27" spans="1:16" s="102" customFormat="1" ht="16.5" customHeight="1">
      <c r="A27" s="632"/>
      <c r="B27" s="635" t="s">
        <v>190</v>
      </c>
      <c r="C27" s="319" t="s">
        <v>184</v>
      </c>
      <c r="D27" s="301">
        <v>1906.8106376701819</v>
      </c>
      <c r="E27" s="301">
        <v>1871.713072573951</v>
      </c>
      <c r="F27" s="301">
        <v>1841.0387427967573</v>
      </c>
      <c r="G27" s="301">
        <v>1820.2365706182784</v>
      </c>
      <c r="H27" s="301">
        <v>1815.2838637622497</v>
      </c>
      <c r="I27" s="302">
        <v>1823.3996407380653</v>
      </c>
      <c r="J27" s="302">
        <v>1854.83676043279</v>
      </c>
      <c r="K27" s="303">
        <v>1889.5648981252905</v>
      </c>
      <c r="L27" s="303">
        <v>1926.0688420242532</v>
      </c>
      <c r="M27" s="303">
        <v>1969.1756225776624</v>
      </c>
      <c r="N27" s="303">
        <v>2072.8573535318387</v>
      </c>
    </row>
    <row r="28" spans="1:16" s="102" customFormat="1" ht="16.5" customHeight="1">
      <c r="A28" s="632"/>
      <c r="B28" s="635"/>
      <c r="C28" s="319" t="s">
        <v>185</v>
      </c>
      <c r="D28" s="301">
        <v>1459.83</v>
      </c>
      <c r="E28" s="301">
        <v>1429.7</v>
      </c>
      <c r="F28" s="301">
        <v>1402.52</v>
      </c>
      <c r="G28" s="301">
        <v>1385.74</v>
      </c>
      <c r="H28" s="301">
        <v>1380</v>
      </c>
      <c r="I28" s="302">
        <v>1388.06</v>
      </c>
      <c r="J28" s="302">
        <v>1425.49</v>
      </c>
      <c r="K28" s="303">
        <v>1470.43</v>
      </c>
      <c r="L28" s="303">
        <v>1508.15</v>
      </c>
      <c r="M28" s="303">
        <v>1545.1</v>
      </c>
      <c r="N28" s="303">
        <v>1621.95</v>
      </c>
    </row>
    <row r="29" spans="1:16" s="214" customFormat="1" ht="16.5" customHeight="1">
      <c r="A29" s="638"/>
      <c r="B29" s="637" t="s">
        <v>186</v>
      </c>
      <c r="C29" s="637"/>
      <c r="D29" s="307">
        <v>358273</v>
      </c>
      <c r="E29" s="307">
        <v>368066</v>
      </c>
      <c r="F29" s="307">
        <v>383510</v>
      </c>
      <c r="G29" s="307">
        <v>408683</v>
      </c>
      <c r="H29" s="307">
        <v>431481</v>
      </c>
      <c r="I29" s="308">
        <v>461446</v>
      </c>
      <c r="J29" s="308">
        <v>492822</v>
      </c>
      <c r="K29" s="309">
        <v>519903</v>
      </c>
      <c r="L29" s="309">
        <v>529942</v>
      </c>
      <c r="M29" s="309">
        <v>557063</v>
      </c>
      <c r="N29" s="309">
        <v>613051</v>
      </c>
    </row>
    <row r="30" spans="1:16" s="102" customFormat="1" ht="16.5" customHeight="1">
      <c r="A30" s="631" t="s">
        <v>13</v>
      </c>
      <c r="B30" s="634" t="s">
        <v>189</v>
      </c>
      <c r="C30" s="318" t="s">
        <v>182</v>
      </c>
      <c r="D30" s="304">
        <v>947.3959513629062</v>
      </c>
      <c r="E30" s="304">
        <v>917.21586746673438</v>
      </c>
      <c r="F30" s="304">
        <v>900.34230501206025</v>
      </c>
      <c r="G30" s="304">
        <v>824.36568862275271</v>
      </c>
      <c r="H30" s="304">
        <v>895.27324908925209</v>
      </c>
      <c r="I30" s="305">
        <v>954.08847918224865</v>
      </c>
      <c r="J30" s="305">
        <v>942.93244031830159</v>
      </c>
      <c r="K30" s="306">
        <v>929.22344766930382</v>
      </c>
      <c r="L30" s="306">
        <v>967.95121038496052</v>
      </c>
      <c r="M30" s="306">
        <v>1031.0044825570035</v>
      </c>
      <c r="N30" s="306">
        <v>1083.7515220293753</v>
      </c>
    </row>
    <row r="31" spans="1:16" s="102" customFormat="1" ht="16.5" customHeight="1">
      <c r="A31" s="632"/>
      <c r="B31" s="635"/>
      <c r="C31" s="319" t="s">
        <v>183</v>
      </c>
      <c r="D31" s="301">
        <v>621</v>
      </c>
      <c r="E31" s="301">
        <v>600</v>
      </c>
      <c r="F31" s="301">
        <v>600</v>
      </c>
      <c r="G31" s="301">
        <v>550</v>
      </c>
      <c r="H31" s="301">
        <v>560</v>
      </c>
      <c r="I31" s="302">
        <v>591.54999999999995</v>
      </c>
      <c r="J31" s="302">
        <v>600</v>
      </c>
      <c r="K31" s="303">
        <v>615</v>
      </c>
      <c r="L31" s="303">
        <v>647.57000000000005</v>
      </c>
      <c r="M31" s="303">
        <v>700</v>
      </c>
      <c r="N31" s="303">
        <v>750</v>
      </c>
    </row>
    <row r="32" spans="1:16" s="102" customFormat="1" ht="16.5" customHeight="1">
      <c r="A32" s="632"/>
      <c r="B32" s="635" t="s">
        <v>190</v>
      </c>
      <c r="C32" s="319" t="s">
        <v>184</v>
      </c>
      <c r="D32" s="301">
        <v>1105.280168359169</v>
      </c>
      <c r="E32" s="301">
        <v>1072.5899660840087</v>
      </c>
      <c r="F32" s="301">
        <v>1036.9682605199664</v>
      </c>
      <c r="G32" s="301">
        <v>946.92650128315086</v>
      </c>
      <c r="H32" s="301">
        <v>1022.2496265938044</v>
      </c>
      <c r="I32" s="302">
        <v>1089.4822313637499</v>
      </c>
      <c r="J32" s="302">
        <v>1112.8092130857667</v>
      </c>
      <c r="K32" s="303">
        <v>1085.8968003518028</v>
      </c>
      <c r="L32" s="303">
        <v>1145.4207466427904</v>
      </c>
      <c r="M32" s="303">
        <v>1210.7208536347671</v>
      </c>
      <c r="N32" s="303">
        <v>1293.6368580329358</v>
      </c>
    </row>
    <row r="33" spans="1:14" s="102" customFormat="1" ht="16.5" customHeight="1">
      <c r="A33" s="632"/>
      <c r="B33" s="635"/>
      <c r="C33" s="319" t="s">
        <v>185</v>
      </c>
      <c r="D33" s="301">
        <v>755.32500000000005</v>
      </c>
      <c r="E33" s="301">
        <v>728.71</v>
      </c>
      <c r="F33" s="301">
        <v>700</v>
      </c>
      <c r="G33" s="301">
        <v>650</v>
      </c>
      <c r="H33" s="301">
        <v>662.5</v>
      </c>
      <c r="I33" s="302">
        <v>700</v>
      </c>
      <c r="J33" s="302">
        <v>750.96</v>
      </c>
      <c r="K33" s="303">
        <v>742</v>
      </c>
      <c r="L33" s="303">
        <v>785.36</v>
      </c>
      <c r="M33" s="303">
        <v>850</v>
      </c>
      <c r="N33" s="303">
        <v>908.5</v>
      </c>
    </row>
    <row r="34" spans="1:14" s="214" customFormat="1" ht="16.5" customHeight="1">
      <c r="A34" s="633"/>
      <c r="B34" s="636" t="s">
        <v>186</v>
      </c>
      <c r="C34" s="636"/>
      <c r="D34" s="310">
        <v>3742</v>
      </c>
      <c r="E34" s="310">
        <v>3833</v>
      </c>
      <c r="F34" s="310">
        <v>3731</v>
      </c>
      <c r="G34" s="310">
        <v>4676</v>
      </c>
      <c r="H34" s="310">
        <v>4392</v>
      </c>
      <c r="I34" s="311">
        <v>4011</v>
      </c>
      <c r="J34" s="311">
        <v>4524</v>
      </c>
      <c r="K34" s="312">
        <v>5685</v>
      </c>
      <c r="L34" s="312">
        <v>5585</v>
      </c>
      <c r="M34" s="312">
        <v>5131</v>
      </c>
      <c r="N34" s="312">
        <v>6741</v>
      </c>
    </row>
    <row r="35" spans="1:14" s="41" customFormat="1">
      <c r="A35" s="213" t="s">
        <v>138</v>
      </c>
      <c r="B35" s="213"/>
      <c r="C35" s="213"/>
      <c r="D35" s="213"/>
      <c r="E35" s="213"/>
      <c r="F35" s="213"/>
      <c r="G35" s="213"/>
      <c r="H35" s="213"/>
      <c r="I35" s="213"/>
      <c r="J35" s="213"/>
      <c r="K35" s="213"/>
      <c r="L35" s="213"/>
      <c r="M35" s="213"/>
      <c r="N35" s="213"/>
    </row>
    <row r="36" spans="1:14" ht="11.25" customHeight="1">
      <c r="A36" s="624" t="s">
        <v>244</v>
      </c>
      <c r="B36" s="624"/>
      <c r="C36" s="624"/>
      <c r="D36" s="624"/>
      <c r="E36" s="624"/>
      <c r="F36" s="624"/>
      <c r="G36" s="624"/>
      <c r="H36" s="624"/>
      <c r="I36" s="624"/>
      <c r="J36" s="624"/>
      <c r="K36" s="624"/>
      <c r="L36" s="624"/>
      <c r="M36" s="624"/>
      <c r="N36" s="624"/>
    </row>
    <row r="37" spans="1:14" ht="13.5" customHeight="1">
      <c r="A37" s="624" t="s">
        <v>240</v>
      </c>
      <c r="B37" s="624"/>
      <c r="C37" s="624"/>
      <c r="D37" s="624"/>
      <c r="E37" s="624"/>
      <c r="F37" s="624"/>
      <c r="G37" s="624"/>
      <c r="H37" s="624"/>
      <c r="I37" s="624"/>
      <c r="J37" s="624"/>
      <c r="K37" s="624"/>
      <c r="L37" s="624"/>
      <c r="M37" s="624"/>
      <c r="N37" s="624"/>
    </row>
    <row r="38" spans="1:14">
      <c r="D38" s="215"/>
      <c r="E38" s="215"/>
      <c r="F38" s="215"/>
      <c r="G38" s="215"/>
    </row>
    <row r="39" spans="1:14">
      <c r="D39" s="139"/>
      <c r="E39" s="139"/>
      <c r="F39" s="139"/>
      <c r="G39" s="139"/>
      <c r="H39" s="139"/>
      <c r="I39" s="139"/>
      <c r="J39" s="139"/>
      <c r="K39" s="139"/>
      <c r="L39" s="139"/>
      <c r="M39" s="139"/>
      <c r="N39" s="139"/>
    </row>
    <row r="43" spans="1:14">
      <c r="D43" s="216"/>
      <c r="E43" s="216"/>
      <c r="F43" s="216"/>
      <c r="G43" s="216"/>
      <c r="H43" s="216"/>
      <c r="I43" s="216"/>
      <c r="J43" s="216"/>
      <c r="K43" s="216"/>
      <c r="L43" s="216"/>
      <c r="M43" s="216"/>
      <c r="N43" s="216"/>
    </row>
    <row r="44" spans="1:14">
      <c r="D44" s="216"/>
      <c r="E44" s="216"/>
      <c r="F44" s="216"/>
      <c r="G44" s="216"/>
      <c r="H44" s="216"/>
      <c r="I44" s="216"/>
      <c r="J44" s="216"/>
      <c r="K44" s="216"/>
      <c r="L44" s="216"/>
      <c r="M44" s="216"/>
      <c r="N44" s="216"/>
    </row>
    <row r="45" spans="1:14">
      <c r="D45" s="216"/>
      <c r="E45" s="216"/>
      <c r="F45" s="216"/>
      <c r="G45" s="216"/>
      <c r="H45" s="216"/>
      <c r="I45" s="216"/>
      <c r="J45" s="216"/>
      <c r="K45" s="216"/>
      <c r="L45" s="216"/>
      <c r="M45" s="216"/>
      <c r="N45" s="216"/>
    </row>
    <row r="46" spans="1:14">
      <c r="D46" s="216"/>
      <c r="E46" s="216"/>
      <c r="F46" s="216"/>
      <c r="G46" s="216"/>
      <c r="H46" s="216"/>
      <c r="I46" s="216"/>
      <c r="J46" s="216"/>
      <c r="K46" s="216"/>
      <c r="L46" s="216"/>
      <c r="M46" s="216"/>
      <c r="N46" s="216"/>
    </row>
    <row r="47" spans="1:14">
      <c r="D47" s="216"/>
      <c r="E47" s="216"/>
      <c r="F47" s="216"/>
      <c r="G47" s="216"/>
      <c r="H47" s="216"/>
      <c r="I47" s="216"/>
      <c r="J47" s="216"/>
      <c r="K47" s="216"/>
      <c r="L47" s="216"/>
      <c r="M47" s="216"/>
      <c r="N47" s="216"/>
    </row>
  </sheetData>
  <mergeCells count="27">
    <mergeCell ref="A10:A14"/>
    <mergeCell ref="B10:B11"/>
    <mergeCell ref="A25:A29"/>
    <mergeCell ref="B25:B26"/>
    <mergeCell ref="B27:B28"/>
    <mergeCell ref="B29:C29"/>
    <mergeCell ref="B12:B13"/>
    <mergeCell ref="B14:C14"/>
    <mergeCell ref="A15:A19"/>
    <mergeCell ref="B15:B16"/>
    <mergeCell ref="B17:B18"/>
    <mergeCell ref="A1:N1"/>
    <mergeCell ref="A36:N36"/>
    <mergeCell ref="A37:N37"/>
    <mergeCell ref="A30:A34"/>
    <mergeCell ref="B30:B31"/>
    <mergeCell ref="B32:B33"/>
    <mergeCell ref="B34:C34"/>
    <mergeCell ref="B19:C19"/>
    <mergeCell ref="A20:A24"/>
    <mergeCell ref="B20:B21"/>
    <mergeCell ref="B22:B23"/>
    <mergeCell ref="B24:C24"/>
    <mergeCell ref="A5:A9"/>
    <mergeCell ref="B5:B6"/>
    <mergeCell ref="B7:B8"/>
    <mergeCell ref="B9:C9"/>
  </mergeCells>
  <conditionalFormatting sqref="A36 A1:A3 H38 H40:H42 H48:H1048576 J38:J1048576 J2:J34 A4:H34 A38:D38 B2:H3 A40:D42 A39:H39 A48:D1048576 A43:H47 O1:XFD1048576">
    <cfRule type="cellIs" dxfId="214" priority="35" operator="equal">
      <formula>0</formula>
    </cfRule>
  </conditionalFormatting>
  <conditionalFormatting sqref="A35">
    <cfRule type="cellIs" dxfId="213" priority="32" operator="equal">
      <formula>0</formula>
    </cfRule>
  </conditionalFormatting>
  <conditionalFormatting sqref="F38 F40:F42 F48:F1048576">
    <cfRule type="cellIs" dxfId="212" priority="31" operator="equal">
      <formula>0</formula>
    </cfRule>
  </conditionalFormatting>
  <conditionalFormatting sqref="E38 E40:E42 E48:E1048576">
    <cfRule type="cellIs" dxfId="211" priority="27" operator="equal">
      <formula>0</formula>
    </cfRule>
  </conditionalFormatting>
  <conditionalFormatting sqref="G38 G40:G42 G48:G1048576">
    <cfRule type="cellIs" dxfId="210" priority="23" operator="equal">
      <formula>0</formula>
    </cfRule>
  </conditionalFormatting>
  <conditionalFormatting sqref="I38:I1048576 I2:I34">
    <cfRule type="cellIs" dxfId="209" priority="14" operator="equal">
      <formula>0</formula>
    </cfRule>
  </conditionalFormatting>
  <conditionalFormatting sqref="K38:K1048576 K2:K34">
    <cfRule type="cellIs" dxfId="208" priority="13" operator="equal">
      <formula>0</formula>
    </cfRule>
  </conditionalFormatting>
  <conditionalFormatting sqref="L38:L1048576 L2:L34">
    <cfRule type="cellIs" dxfId="207" priority="12" operator="equal">
      <formula>0</formula>
    </cfRule>
  </conditionalFormatting>
  <conditionalFormatting sqref="A37">
    <cfRule type="cellIs" dxfId="206" priority="9" operator="equal">
      <formula>0</formula>
    </cfRule>
  </conditionalFormatting>
  <conditionalFormatting sqref="M38:M1048576 M2:M34">
    <cfRule type="cellIs" dxfId="205" priority="8" operator="equal">
      <formula>0</formula>
    </cfRule>
  </conditionalFormatting>
  <conditionalFormatting sqref="N38:N1048576 N2:N34">
    <cfRule type="cellIs" dxfId="204" priority="1" operator="equal">
      <formula>0</formula>
    </cfRule>
  </conditionalFormatting>
  <printOptions horizontalCentered="1"/>
  <pageMargins left="0.27559055118110237" right="0.27559055118110237" top="1.7716535433070868" bottom="0.47244094488188981" header="0.19685039370078741" footer="0.19685039370078741"/>
  <pageSetup paperSize="9" orientation="portrait" r:id="rId1"/>
  <headerFooter>
    <oddHeader xml:space="preserve">&amp;C&amp;G
</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lha34">
    <tabColor rgb="FFA50021"/>
    <pageSetUpPr fitToPage="1"/>
  </sheetPr>
  <dimension ref="A1:P26"/>
  <sheetViews>
    <sheetView showGridLines="0" workbookViewId="0">
      <selection activeCell="C4" sqref="C4:M43"/>
    </sheetView>
  </sheetViews>
  <sheetFormatPr defaultColWidth="9.140625" defaultRowHeight="11.25"/>
  <cols>
    <col min="1" max="1" width="29.5703125" style="62" customWidth="1"/>
    <col min="2" max="12" width="6.42578125" style="62" customWidth="1"/>
    <col min="13" max="16384" width="9.140625" style="62"/>
  </cols>
  <sheetData>
    <row r="1" spans="1:16" s="78" customFormat="1" ht="28.5" customHeight="1">
      <c r="A1" s="587" t="s">
        <v>250</v>
      </c>
      <c r="B1" s="587"/>
      <c r="C1" s="587"/>
      <c r="D1" s="587"/>
      <c r="E1" s="587"/>
      <c r="F1" s="587"/>
      <c r="G1" s="587"/>
      <c r="H1" s="587"/>
      <c r="I1" s="587"/>
      <c r="J1" s="587"/>
      <c r="K1" s="587"/>
      <c r="L1" s="587"/>
    </row>
    <row r="2" spans="1:16" s="61" customFormat="1" ht="15" customHeight="1">
      <c r="A2" s="87"/>
      <c r="B2" s="72"/>
      <c r="C2" s="72"/>
      <c r="D2" s="72"/>
      <c r="E2" s="72"/>
      <c r="F2" s="72"/>
      <c r="G2" s="72"/>
      <c r="H2" s="72"/>
      <c r="I2" s="72"/>
      <c r="J2" s="72"/>
      <c r="K2" s="72"/>
      <c r="L2" s="72"/>
    </row>
    <row r="3" spans="1:16" s="79" customFormat="1" ht="15" customHeight="1">
      <c r="A3" s="86" t="s">
        <v>14</v>
      </c>
      <c r="B3" s="88"/>
      <c r="D3" s="88"/>
      <c r="E3" s="88"/>
      <c r="F3" s="88"/>
      <c r="G3" s="88"/>
      <c r="H3" s="88"/>
      <c r="I3" s="88"/>
      <c r="J3" s="88"/>
      <c r="K3" s="88"/>
      <c r="L3" s="88" t="s">
        <v>68</v>
      </c>
    </row>
    <row r="4" spans="1:16" s="61" customFormat="1" ht="28.5" customHeight="1" thickBot="1">
      <c r="A4" s="89"/>
      <c r="B4" s="90">
        <v>2012</v>
      </c>
      <c r="C4" s="90">
        <v>2013</v>
      </c>
      <c r="D4" s="90">
        <v>2014</v>
      </c>
      <c r="E4" s="90">
        <v>2015</v>
      </c>
      <c r="F4" s="90">
        <v>2016</v>
      </c>
      <c r="G4" s="90">
        <v>2017</v>
      </c>
      <c r="H4" s="90">
        <v>2018</v>
      </c>
      <c r="I4" s="90">
        <v>2019</v>
      </c>
      <c r="J4" s="90">
        <v>2020</v>
      </c>
      <c r="K4" s="90">
        <v>2021</v>
      </c>
      <c r="L4" s="90">
        <v>2022</v>
      </c>
    </row>
    <row r="5" spans="1:16" s="61" customFormat="1" ht="16.5" customHeight="1" thickTop="1">
      <c r="A5" s="46" t="s">
        <v>12</v>
      </c>
      <c r="B5" s="325">
        <v>1095.58619281857</v>
      </c>
      <c r="C5" s="325">
        <v>1093.8178723953499</v>
      </c>
      <c r="D5" s="325">
        <v>1093.20854089105</v>
      </c>
      <c r="E5" s="325">
        <v>1096.65734127991</v>
      </c>
      <c r="F5" s="325">
        <v>1107.85636561875</v>
      </c>
      <c r="G5" s="325">
        <v>1133.34288689707</v>
      </c>
      <c r="H5" s="325">
        <v>1170.2525051678801</v>
      </c>
      <c r="I5" s="325">
        <v>1209.93900485576</v>
      </c>
      <c r="J5" s="325">
        <v>1250.75197084447</v>
      </c>
      <c r="K5" s="325">
        <v>1294.10894067238</v>
      </c>
      <c r="L5" s="325">
        <v>1367.9952489883699</v>
      </c>
    </row>
    <row r="6" spans="1:16" s="61" customFormat="1" ht="16.5" customHeight="1">
      <c r="A6" s="46" t="s">
        <v>126</v>
      </c>
      <c r="B6" s="313">
        <v>955.64682588255505</v>
      </c>
      <c r="C6" s="313">
        <v>956.89344447295503</v>
      </c>
      <c r="D6" s="313">
        <v>958.20500277867404</v>
      </c>
      <c r="E6" s="313">
        <v>967.67646106531708</v>
      </c>
      <c r="F6" s="313">
        <v>981.32448671217503</v>
      </c>
      <c r="G6" s="313">
        <v>1003.5898675700201</v>
      </c>
      <c r="H6" s="313">
        <v>1039.9638386526601</v>
      </c>
      <c r="I6" s="313">
        <v>1077.2172660102301</v>
      </c>
      <c r="J6" s="313">
        <v>1117.69800789342</v>
      </c>
      <c r="K6" s="313">
        <v>1159.7548195397701</v>
      </c>
      <c r="L6" s="313">
        <v>1221.48294868422</v>
      </c>
      <c r="N6" s="502">
        <f>+L6/$L$5*100</f>
        <v>89.289999332052105</v>
      </c>
      <c r="O6" s="502">
        <f>+B6/$B$5*100</f>
        <v>87.226986990772616</v>
      </c>
      <c r="P6" s="502">
        <f>+N6-O6</f>
        <v>2.0630123412794887</v>
      </c>
    </row>
    <row r="7" spans="1:16" s="61" customFormat="1" ht="16.5" customHeight="1">
      <c r="A7" s="35" t="s">
        <v>127</v>
      </c>
      <c r="B7" s="313">
        <v>1908.18202827296</v>
      </c>
      <c r="C7" s="313">
        <v>1912.2494346834803</v>
      </c>
      <c r="D7" s="313">
        <v>1928.42994649254</v>
      </c>
      <c r="E7" s="313">
        <v>1936.6701349091302</v>
      </c>
      <c r="F7" s="313">
        <v>1944.8063643980902</v>
      </c>
      <c r="G7" s="313">
        <v>1970.6722500314002</v>
      </c>
      <c r="H7" s="313">
        <v>1974.6872306305902</v>
      </c>
      <c r="I7" s="313">
        <v>1933.53496137507</v>
      </c>
      <c r="J7" s="313">
        <v>1966.24727405526</v>
      </c>
      <c r="K7" s="313">
        <v>1956.6139353409799</v>
      </c>
      <c r="L7" s="313">
        <v>2014.5990164783902</v>
      </c>
      <c r="N7" s="502">
        <f t="shared" ref="N7:N10" si="0">+L7/$L$5*100</f>
        <v>147.26652142748176</v>
      </c>
      <c r="O7" s="502">
        <f t="shared" ref="O7:O10" si="1">+B7/$B$5*100</f>
        <v>174.16995949573422</v>
      </c>
      <c r="P7" s="502">
        <f t="shared" ref="P7:P10" si="2">+N7-O7</f>
        <v>-26.903438068252456</v>
      </c>
    </row>
    <row r="8" spans="1:16" s="61" customFormat="1" ht="16.5" customHeight="1">
      <c r="A8" s="164" t="s">
        <v>145</v>
      </c>
      <c r="B8" s="313">
        <v>1144.29696067706</v>
      </c>
      <c r="C8" s="313">
        <v>1115.6638568862202</v>
      </c>
      <c r="D8" s="313">
        <v>1112.8313962765201</v>
      </c>
      <c r="E8" s="313">
        <v>1108.65016876663</v>
      </c>
      <c r="F8" s="313">
        <v>1109.6858952647199</v>
      </c>
      <c r="G8" s="313">
        <v>1137.2384368102601</v>
      </c>
      <c r="H8" s="313">
        <v>1189.5224226442501</v>
      </c>
      <c r="I8" s="313">
        <v>1243.7106344106001</v>
      </c>
      <c r="J8" s="313">
        <v>1290.4686455113201</v>
      </c>
      <c r="K8" s="313">
        <v>1355.9643424749001</v>
      </c>
      <c r="L8" s="313">
        <v>1448.6308246580702</v>
      </c>
      <c r="N8" s="502">
        <f t="shared" si="0"/>
        <v>105.89443389729097</v>
      </c>
      <c r="O8" s="502">
        <f t="shared" si="1"/>
        <v>104.44609179796012</v>
      </c>
      <c r="P8" s="502">
        <f t="shared" si="2"/>
        <v>1.4483420993308442</v>
      </c>
    </row>
    <row r="9" spans="1:16" s="61" customFormat="1" ht="16.5" customHeight="1">
      <c r="A9" s="46" t="s">
        <v>44</v>
      </c>
      <c r="B9" s="313">
        <v>1974.4607654846202</v>
      </c>
      <c r="C9" s="313">
        <v>1992.38037628094</v>
      </c>
      <c r="D9" s="313">
        <v>2002.28224822838</v>
      </c>
      <c r="E9" s="313">
        <v>1985.4069352112701</v>
      </c>
      <c r="F9" s="313">
        <v>1982.6261480277801</v>
      </c>
      <c r="G9" s="313">
        <v>2024.6800829673002</v>
      </c>
      <c r="H9" s="313">
        <v>2085.6040009542803</v>
      </c>
      <c r="I9" s="313">
        <v>2111.39594203463</v>
      </c>
      <c r="J9" s="313">
        <v>1993.2370089608601</v>
      </c>
      <c r="K9" s="313">
        <v>2027.84448523796</v>
      </c>
      <c r="L9" s="313">
        <v>2202.5417862601503</v>
      </c>
      <c r="N9" s="502">
        <f t="shared" si="0"/>
        <v>161.00507570394896</v>
      </c>
      <c r="O9" s="502">
        <f t="shared" si="1"/>
        <v>180.21957363345419</v>
      </c>
      <c r="P9" s="502">
        <f t="shared" si="2"/>
        <v>-19.214497929505228</v>
      </c>
    </row>
    <row r="10" spans="1:16" s="61" customFormat="1" ht="16.5" customHeight="1">
      <c r="A10" s="9" t="s">
        <v>248</v>
      </c>
      <c r="B10" s="314">
        <v>1354.0202409758001</v>
      </c>
      <c r="C10" s="314">
        <v>1327.3704807214201</v>
      </c>
      <c r="D10" s="314">
        <v>1313.2961630600998</v>
      </c>
      <c r="E10" s="314">
        <v>1292.2137049949001</v>
      </c>
      <c r="F10" s="314">
        <v>1292.3703148746301</v>
      </c>
      <c r="G10" s="314">
        <v>1303.6216947245603</v>
      </c>
      <c r="H10" s="314">
        <v>1350.4270558646601</v>
      </c>
      <c r="I10" s="314">
        <v>1400.2172910262402</v>
      </c>
      <c r="J10" s="314">
        <v>1426.5992051012902</v>
      </c>
      <c r="K10" s="314">
        <v>1489.7074562074399</v>
      </c>
      <c r="L10" s="314">
        <v>1584.34668862377</v>
      </c>
      <c r="N10" s="502">
        <f t="shared" si="0"/>
        <v>115.81521864168691</v>
      </c>
      <c r="O10" s="502">
        <f t="shared" si="1"/>
        <v>123.58865508266103</v>
      </c>
      <c r="P10" s="502">
        <f t="shared" si="2"/>
        <v>-7.7734364409741232</v>
      </c>
    </row>
    <row r="11" spans="1:16" s="61" customFormat="1" ht="15" customHeight="1">
      <c r="A11" s="20" t="s">
        <v>139</v>
      </c>
      <c r="B11" s="72"/>
      <c r="C11" s="72"/>
      <c r="D11" s="72"/>
      <c r="E11" s="72"/>
      <c r="F11" s="72"/>
      <c r="G11" s="72"/>
      <c r="H11" s="72"/>
      <c r="I11" s="72"/>
      <c r="J11" s="72"/>
      <c r="K11" s="72"/>
      <c r="L11" s="72"/>
    </row>
    <row r="12" spans="1:16" s="91" customFormat="1" ht="15" customHeight="1">
      <c r="A12" s="642" t="s">
        <v>8</v>
      </c>
      <c r="B12" s="642"/>
      <c r="C12" s="642"/>
      <c r="D12" s="642"/>
      <c r="E12" s="642"/>
      <c r="F12" s="642"/>
      <c r="G12" s="642"/>
      <c r="H12" s="642"/>
      <c r="I12" s="642"/>
      <c r="J12" s="642"/>
      <c r="K12" s="642"/>
      <c r="L12" s="642"/>
    </row>
    <row r="13" spans="1:16" s="91" customFormat="1" ht="15" customHeight="1">
      <c r="A13" s="642" t="s">
        <v>9</v>
      </c>
      <c r="B13" s="642"/>
      <c r="C13" s="642"/>
      <c r="D13" s="642"/>
      <c r="E13" s="642"/>
      <c r="F13" s="642"/>
      <c r="G13" s="642"/>
      <c r="H13" s="642"/>
      <c r="I13" s="642"/>
      <c r="J13" s="642"/>
      <c r="K13" s="642"/>
      <c r="L13" s="642"/>
    </row>
    <row r="14" spans="1:16" s="91" customFormat="1" ht="27" customHeight="1">
      <c r="A14" s="643" t="s">
        <v>257</v>
      </c>
      <c r="B14" s="643"/>
      <c r="C14" s="643"/>
      <c r="D14" s="643"/>
      <c r="E14" s="643"/>
      <c r="F14" s="643"/>
      <c r="G14" s="643"/>
      <c r="H14" s="643"/>
      <c r="I14" s="643"/>
      <c r="J14" s="643"/>
      <c r="K14" s="643"/>
      <c r="L14" s="643"/>
    </row>
    <row r="25" spans="1:13">
      <c r="A25" s="641"/>
      <c r="B25" s="641"/>
      <c r="C25" s="641"/>
      <c r="D25" s="641"/>
      <c r="E25" s="641"/>
      <c r="F25" s="641"/>
      <c r="G25" s="641"/>
      <c r="H25" s="641"/>
      <c r="I25" s="641"/>
      <c r="J25" s="641"/>
      <c r="K25" s="641"/>
      <c r="L25" s="641"/>
      <c r="M25" s="641"/>
    </row>
    <row r="26" spans="1:13" ht="15.75" customHeight="1"/>
  </sheetData>
  <mergeCells count="5">
    <mergeCell ref="A25:M25"/>
    <mergeCell ref="A1:L1"/>
    <mergeCell ref="A12:L12"/>
    <mergeCell ref="A13:L13"/>
    <mergeCell ref="A14:L14"/>
  </mergeCells>
  <phoneticPr fontId="25" type="noConversion"/>
  <conditionalFormatting sqref="D3 A12:A1048576 A1:A7 A9:A10 B2:D2 B3 B4:D4 B11:D11 B15:D24 B5:H10 B26:D1048576 M1:XFD5 M26:XFD1048576 N25:XFD25 M11:XFD24 Q6:XFD10">
    <cfRule type="cellIs" dxfId="203" priority="35" operator="equal">
      <formula>0</formula>
    </cfRule>
  </conditionalFormatting>
  <conditionalFormatting sqref="A11">
    <cfRule type="cellIs" dxfId="202" priority="34" operator="equal">
      <formula>0</formula>
    </cfRule>
  </conditionalFormatting>
  <conditionalFormatting sqref="F2:F4 F11 F15:F24 G4:H4 F26:F1048576">
    <cfRule type="cellIs" dxfId="201" priority="33" operator="equal">
      <formula>0</formula>
    </cfRule>
  </conditionalFormatting>
  <conditionalFormatting sqref="E2:E4 E11 E15:E24 E26:E1048576">
    <cfRule type="cellIs" dxfId="200" priority="30" operator="equal">
      <formula>0</formula>
    </cfRule>
  </conditionalFormatting>
  <conditionalFormatting sqref="H2:H3 H11 H15:H24 H26:H1048576">
    <cfRule type="cellIs" dxfId="199" priority="28" operator="equal">
      <formula>0</formula>
    </cfRule>
  </conditionalFormatting>
  <conditionalFormatting sqref="A8">
    <cfRule type="cellIs" dxfId="198" priority="26" operator="equal">
      <formula>0</formula>
    </cfRule>
  </conditionalFormatting>
  <conditionalFormatting sqref="G2:G3 G11 G15:G24 G26:G1048576">
    <cfRule type="cellIs" dxfId="197" priority="25" operator="equal">
      <formula>0</formula>
    </cfRule>
  </conditionalFormatting>
  <conditionalFormatting sqref="I4">
    <cfRule type="cellIs" dxfId="196" priority="23" operator="equal">
      <formula>0</formula>
    </cfRule>
  </conditionalFormatting>
  <conditionalFormatting sqref="I6:I10">
    <cfRule type="cellIs" dxfId="195" priority="22" operator="equal">
      <formula>0</formula>
    </cfRule>
  </conditionalFormatting>
  <conditionalFormatting sqref="I2:I3 I11 I15:I24 I26:I1048576">
    <cfRule type="cellIs" dxfId="194" priority="21" operator="equal">
      <formula>0</formula>
    </cfRule>
  </conditionalFormatting>
  <conditionalFormatting sqref="J4">
    <cfRule type="cellIs" dxfId="193" priority="20" operator="equal">
      <formula>0</formula>
    </cfRule>
  </conditionalFormatting>
  <conditionalFormatting sqref="J6:J10">
    <cfRule type="cellIs" dxfId="192" priority="19" operator="equal">
      <formula>0</formula>
    </cfRule>
  </conditionalFormatting>
  <conditionalFormatting sqref="J2:J3 J11 J15:J24 J26:J1048576">
    <cfRule type="cellIs" dxfId="191" priority="18" operator="equal">
      <formula>0</formula>
    </cfRule>
  </conditionalFormatting>
  <conditionalFormatting sqref="K4">
    <cfRule type="cellIs" dxfId="190" priority="15" operator="equal">
      <formula>0</formula>
    </cfRule>
  </conditionalFormatting>
  <conditionalFormatting sqref="K6:K10">
    <cfRule type="cellIs" dxfId="189" priority="14" operator="equal">
      <formula>0</formula>
    </cfRule>
  </conditionalFormatting>
  <conditionalFormatting sqref="K2:K3 K11 K15:K24 K26:K1048576">
    <cfRule type="cellIs" dxfId="188" priority="13" operator="equal">
      <formula>0</formula>
    </cfRule>
  </conditionalFormatting>
  <conditionalFormatting sqref="I5">
    <cfRule type="cellIs" dxfId="187" priority="9" operator="equal">
      <formula>0</formula>
    </cfRule>
  </conditionalFormatting>
  <conditionalFormatting sqref="J5">
    <cfRule type="cellIs" dxfId="186" priority="8" operator="equal">
      <formula>0</formula>
    </cfRule>
  </conditionalFormatting>
  <conditionalFormatting sqref="K5">
    <cfRule type="cellIs" dxfId="185" priority="7" operator="equal">
      <formula>0</formula>
    </cfRule>
  </conditionalFormatting>
  <conditionalFormatting sqref="L4">
    <cfRule type="cellIs" dxfId="184" priority="5" operator="equal">
      <formula>0</formula>
    </cfRule>
  </conditionalFormatting>
  <conditionalFormatting sqref="L6:L10">
    <cfRule type="cellIs" dxfId="183" priority="4" operator="equal">
      <formula>0</formula>
    </cfRule>
  </conditionalFormatting>
  <conditionalFormatting sqref="L2:L3 L11 L15:L24 L26:L1048576">
    <cfRule type="cellIs" dxfId="182" priority="3" operator="equal">
      <formula>0</formula>
    </cfRule>
  </conditionalFormatting>
  <conditionalFormatting sqref="L5">
    <cfRule type="cellIs" dxfId="181" priority="2" operator="equal">
      <formula>0</formula>
    </cfRule>
  </conditionalFormatting>
  <conditionalFormatting sqref="N6:P10">
    <cfRule type="cellIs" dxfId="180" priority="1" operator="equal">
      <formula>0</formula>
    </cfRule>
  </conditionalFormatting>
  <printOptions horizontalCentered="1"/>
  <pageMargins left="0.27559055118110237" right="0.27559055118110237" top="1.7716535433070868" bottom="0.47244094488188981" header="0.19685039370078741" footer="0.19685039370078741"/>
  <pageSetup paperSize="9" scale="99" orientation="portrait" r:id="rId1"/>
  <headerFooter>
    <oddHeader>&amp;C&amp;G</oddHeader>
  </headerFooter>
  <drawing r:id="rId2"/>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lha42">
    <tabColor rgb="FFE1EAEF"/>
  </sheetPr>
  <dimension ref="A1"/>
  <sheetViews>
    <sheetView showGridLines="0" topLeftCell="A19" workbookViewId="0">
      <selection activeCell="C4" sqref="C4:M43"/>
    </sheetView>
  </sheetViews>
  <sheetFormatPr defaultColWidth="8.7109375" defaultRowHeight="15"/>
  <cols>
    <col min="1" max="16384" width="8.7109375" style="326"/>
  </cols>
  <sheetData/>
  <pageMargins left="0.19685039370078741" right="0" top="0.74803149606299213" bottom="0.74803149606299213" header="0.31496062992125984" footer="0.31496062992125984"/>
  <pageSetup paperSize="9" orientation="portrait" horizontalDpi="300" verticalDpi="30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lha39"/>
  <dimension ref="A1:J53"/>
  <sheetViews>
    <sheetView showGridLines="0" zoomScaleNormal="100" workbookViewId="0">
      <selection activeCell="O15" sqref="O15"/>
    </sheetView>
  </sheetViews>
  <sheetFormatPr defaultRowHeight="12.75"/>
  <cols>
    <col min="14" max="14" width="9.140625" customWidth="1"/>
  </cols>
  <sheetData>
    <row r="1" spans="1:10">
      <c r="A1" s="142"/>
      <c r="B1" s="142"/>
      <c r="C1" s="142"/>
      <c r="D1" s="142"/>
      <c r="E1" s="142"/>
      <c r="F1" s="142"/>
      <c r="G1" s="142"/>
      <c r="H1" s="142"/>
      <c r="I1" s="142"/>
      <c r="J1" s="142"/>
    </row>
    <row r="2" spans="1:10">
      <c r="A2" s="142"/>
      <c r="B2" s="142"/>
      <c r="C2" s="142"/>
      <c r="D2" s="142"/>
      <c r="E2" s="142"/>
      <c r="F2" s="142"/>
      <c r="G2" s="142"/>
      <c r="H2" s="142"/>
      <c r="I2" s="142"/>
      <c r="J2" s="142"/>
    </row>
    <row r="3" spans="1:10">
      <c r="A3" s="142"/>
      <c r="B3" s="142"/>
      <c r="C3" s="142"/>
      <c r="D3" s="142"/>
      <c r="E3" s="142"/>
      <c r="F3" s="142"/>
      <c r="G3" s="142"/>
      <c r="H3" s="142"/>
      <c r="I3" s="142"/>
      <c r="J3" s="142"/>
    </row>
    <row r="4" spans="1:10">
      <c r="A4" s="142"/>
      <c r="B4" s="142"/>
      <c r="C4" s="142"/>
      <c r="D4" s="142"/>
      <c r="E4" s="142"/>
      <c r="F4" s="142"/>
      <c r="G4" s="142"/>
      <c r="H4" s="142"/>
      <c r="I4" s="142"/>
      <c r="J4" s="142"/>
    </row>
    <row r="5" spans="1:10">
      <c r="A5" s="142"/>
      <c r="B5" s="142"/>
      <c r="C5" s="142"/>
      <c r="D5" s="142"/>
      <c r="E5" s="142"/>
      <c r="F5" s="142"/>
      <c r="G5" s="142"/>
      <c r="H5" s="142"/>
      <c r="I5" s="142"/>
      <c r="J5" s="142"/>
    </row>
    <row r="6" spans="1:10">
      <c r="A6" s="142"/>
      <c r="B6" s="142"/>
      <c r="C6" s="142"/>
      <c r="D6" s="142"/>
      <c r="E6" s="142"/>
      <c r="F6" s="142"/>
      <c r="G6" s="142"/>
      <c r="H6" s="142"/>
      <c r="I6" s="142"/>
      <c r="J6" s="142"/>
    </row>
    <row r="7" spans="1:10">
      <c r="A7" s="142"/>
      <c r="B7" s="142"/>
      <c r="C7" s="142"/>
      <c r="D7" s="142"/>
      <c r="E7" s="142"/>
      <c r="F7" s="142"/>
      <c r="G7" s="142"/>
      <c r="H7" s="142"/>
      <c r="I7" s="142"/>
      <c r="J7" s="142"/>
    </row>
    <row r="8" spans="1:10">
      <c r="A8" s="142"/>
      <c r="B8" s="142"/>
      <c r="C8" s="142"/>
      <c r="D8" s="142"/>
      <c r="E8" s="142"/>
      <c r="F8" s="142"/>
      <c r="G8" s="142"/>
      <c r="H8" s="142"/>
      <c r="I8" s="142"/>
      <c r="J8" s="142"/>
    </row>
    <row r="9" spans="1:10">
      <c r="A9" s="142"/>
      <c r="B9" s="142"/>
      <c r="C9" s="142"/>
      <c r="D9" s="142"/>
      <c r="E9" s="142"/>
      <c r="F9" s="142"/>
      <c r="G9" s="142"/>
      <c r="H9" s="142"/>
      <c r="I9" s="142"/>
      <c r="J9" s="142"/>
    </row>
    <row r="10" spans="1:10">
      <c r="A10" s="142"/>
      <c r="B10" s="142"/>
      <c r="C10" s="142"/>
      <c r="D10" s="142"/>
      <c r="E10" s="142"/>
      <c r="F10" s="142"/>
      <c r="G10" s="142"/>
      <c r="H10" s="142"/>
      <c r="I10" s="142"/>
      <c r="J10" s="142"/>
    </row>
    <row r="11" spans="1:10">
      <c r="A11" s="142"/>
      <c r="B11" s="142"/>
      <c r="C11" s="142"/>
      <c r="D11" s="142"/>
      <c r="E11" s="142"/>
      <c r="F11" s="142"/>
      <c r="G11" s="142"/>
      <c r="H11" s="142"/>
      <c r="I11" s="142"/>
      <c r="J11" s="142"/>
    </row>
    <row r="12" spans="1:10">
      <c r="A12" s="142"/>
      <c r="B12" s="142"/>
      <c r="C12" s="142"/>
      <c r="D12" s="142"/>
      <c r="E12" s="142"/>
      <c r="F12" s="142"/>
      <c r="G12" s="142"/>
      <c r="H12" s="142"/>
      <c r="I12" s="142"/>
      <c r="J12" s="142"/>
    </row>
    <row r="13" spans="1:10">
      <c r="A13" s="142"/>
      <c r="B13" s="142"/>
      <c r="C13" s="142"/>
      <c r="D13" s="142"/>
      <c r="E13" s="142"/>
      <c r="F13" s="142"/>
      <c r="G13" s="142"/>
      <c r="H13" s="142"/>
      <c r="I13" s="142"/>
      <c r="J13" s="142"/>
    </row>
    <row r="14" spans="1:10">
      <c r="A14" s="142"/>
      <c r="B14" s="142"/>
      <c r="C14" s="142"/>
      <c r="D14" s="142"/>
      <c r="E14" s="142"/>
      <c r="F14" s="142"/>
      <c r="G14" s="142"/>
      <c r="H14" s="142"/>
      <c r="I14" s="142"/>
      <c r="J14" s="142"/>
    </row>
    <row r="15" spans="1:10">
      <c r="A15" s="142"/>
      <c r="B15" s="142"/>
      <c r="C15" s="142"/>
      <c r="D15" s="142"/>
      <c r="E15" s="142"/>
      <c r="F15" s="142"/>
      <c r="G15" s="142"/>
      <c r="H15" s="142"/>
      <c r="I15" s="142"/>
      <c r="J15" s="142"/>
    </row>
    <row r="16" spans="1:10">
      <c r="A16" s="142"/>
      <c r="B16" s="142"/>
      <c r="C16" s="142"/>
      <c r="D16" s="142"/>
      <c r="E16" s="142"/>
      <c r="F16" s="142"/>
      <c r="G16" s="142"/>
      <c r="H16" s="142"/>
      <c r="I16" s="142"/>
      <c r="J16" s="142"/>
    </row>
    <row r="17" spans="1:10">
      <c r="A17" s="142"/>
      <c r="B17" s="142"/>
      <c r="C17" s="142"/>
      <c r="D17" s="142"/>
      <c r="E17" s="142"/>
      <c r="F17" s="142"/>
      <c r="G17" s="142"/>
      <c r="H17" s="142"/>
      <c r="I17" s="142"/>
      <c r="J17" s="142"/>
    </row>
    <row r="18" spans="1:10">
      <c r="A18" s="142"/>
      <c r="B18" s="142"/>
      <c r="C18" s="142"/>
      <c r="D18" s="142"/>
      <c r="E18" s="142"/>
      <c r="F18" s="142"/>
      <c r="G18" s="142"/>
      <c r="H18" s="142"/>
      <c r="I18" s="142"/>
      <c r="J18" s="142"/>
    </row>
    <row r="19" spans="1:10">
      <c r="A19" s="142"/>
      <c r="B19" s="142"/>
      <c r="C19" s="142"/>
      <c r="D19" s="142"/>
      <c r="E19" s="142"/>
      <c r="F19" s="142"/>
      <c r="G19" s="142"/>
      <c r="H19" s="142"/>
      <c r="I19" s="142"/>
      <c r="J19" s="142"/>
    </row>
    <row r="20" spans="1:10">
      <c r="A20" s="142"/>
      <c r="B20" s="142"/>
      <c r="C20" s="142"/>
      <c r="D20" s="142"/>
      <c r="E20" s="142"/>
      <c r="F20" s="142"/>
      <c r="G20" s="142"/>
      <c r="H20" s="142"/>
      <c r="I20" s="142"/>
      <c r="J20" s="142"/>
    </row>
    <row r="21" spans="1:10">
      <c r="A21" s="142"/>
      <c r="B21" s="142"/>
      <c r="C21" s="142"/>
      <c r="D21" s="142"/>
      <c r="E21" s="142"/>
      <c r="F21" s="142"/>
      <c r="G21" s="142"/>
      <c r="H21" s="142"/>
      <c r="I21" s="142"/>
      <c r="J21" s="142"/>
    </row>
    <row r="22" spans="1:10">
      <c r="A22" s="142"/>
      <c r="B22" s="142"/>
      <c r="C22" s="142"/>
      <c r="D22" s="142"/>
      <c r="E22" s="142"/>
      <c r="F22" s="142"/>
      <c r="G22" s="142"/>
      <c r="H22" s="142"/>
      <c r="I22" s="142"/>
      <c r="J22" s="142"/>
    </row>
    <row r="23" spans="1:10">
      <c r="A23" s="142"/>
      <c r="B23" s="142"/>
      <c r="C23" s="142"/>
      <c r="D23" s="142"/>
      <c r="E23" s="142"/>
      <c r="F23" s="142"/>
      <c r="G23" s="142"/>
      <c r="H23" s="142"/>
      <c r="I23" s="142"/>
      <c r="J23" s="142"/>
    </row>
    <row r="24" spans="1:10">
      <c r="A24" s="142"/>
      <c r="B24" s="142"/>
      <c r="C24" s="142"/>
      <c r="D24" s="142"/>
      <c r="E24" s="142"/>
      <c r="F24" s="142"/>
      <c r="G24" s="142"/>
      <c r="H24" s="142"/>
      <c r="I24" s="142"/>
      <c r="J24" s="142"/>
    </row>
    <row r="25" spans="1:10">
      <c r="A25" s="142"/>
      <c r="B25" s="142"/>
      <c r="C25" s="142"/>
      <c r="D25" s="142"/>
      <c r="E25" s="142"/>
      <c r="F25" s="142"/>
      <c r="G25" s="142"/>
      <c r="H25" s="142"/>
      <c r="I25" s="142"/>
      <c r="J25" s="142"/>
    </row>
    <row r="26" spans="1:10">
      <c r="A26" s="142"/>
      <c r="B26" s="142"/>
      <c r="C26" s="142"/>
      <c r="D26" s="142"/>
      <c r="E26" s="142"/>
      <c r="F26" s="142"/>
      <c r="G26" s="142"/>
      <c r="H26" s="142"/>
      <c r="I26" s="142"/>
      <c r="J26" s="142"/>
    </row>
    <row r="27" spans="1:10">
      <c r="A27" s="142"/>
      <c r="B27" s="142"/>
      <c r="C27" s="142"/>
      <c r="D27" s="142"/>
      <c r="E27" s="142"/>
      <c r="F27" s="142"/>
      <c r="G27" s="142"/>
      <c r="H27" s="142"/>
      <c r="I27" s="142"/>
      <c r="J27" s="142"/>
    </row>
    <row r="28" spans="1:10">
      <c r="A28" s="142"/>
      <c r="B28" s="142"/>
      <c r="C28" s="142"/>
      <c r="D28" s="142"/>
      <c r="E28" s="142"/>
      <c r="F28" s="142"/>
      <c r="G28" s="142"/>
      <c r="H28" s="142"/>
      <c r="I28" s="142"/>
      <c r="J28" s="142"/>
    </row>
    <row r="29" spans="1:10">
      <c r="A29" s="142"/>
      <c r="B29" s="142"/>
      <c r="C29" s="142"/>
      <c r="D29" s="142"/>
      <c r="E29" s="142"/>
      <c r="F29" s="142"/>
      <c r="G29" s="142"/>
      <c r="H29" s="142"/>
      <c r="I29" s="142"/>
      <c r="J29" s="142"/>
    </row>
    <row r="30" spans="1:10">
      <c r="A30" s="142"/>
      <c r="B30" s="142"/>
      <c r="C30" s="142"/>
      <c r="D30" s="142"/>
      <c r="E30" s="142"/>
      <c r="F30" s="142"/>
      <c r="G30" s="142"/>
      <c r="H30" s="142"/>
      <c r="I30" s="142"/>
      <c r="J30" s="142"/>
    </row>
    <row r="31" spans="1:10">
      <c r="A31" s="142"/>
      <c r="B31" s="142"/>
      <c r="C31" s="142"/>
      <c r="D31" s="142"/>
      <c r="E31" s="142"/>
      <c r="F31" s="142"/>
      <c r="G31" s="142"/>
      <c r="H31" s="142"/>
      <c r="I31" s="142"/>
      <c r="J31" s="142"/>
    </row>
    <row r="32" spans="1:10">
      <c r="A32" s="142"/>
      <c r="B32" s="142"/>
      <c r="C32" s="142"/>
      <c r="D32" s="142"/>
      <c r="E32" s="142"/>
      <c r="F32" s="142"/>
      <c r="G32" s="142"/>
      <c r="H32" s="142"/>
      <c r="I32" s="142"/>
      <c r="J32" s="142"/>
    </row>
    <row r="33" spans="1:10">
      <c r="A33" s="142"/>
      <c r="B33" s="142"/>
      <c r="C33" s="142"/>
      <c r="D33" s="142"/>
      <c r="E33" s="142"/>
      <c r="F33" s="142"/>
      <c r="G33" s="142"/>
      <c r="H33" s="142"/>
      <c r="I33" s="142"/>
      <c r="J33" s="142"/>
    </row>
    <row r="34" spans="1:10">
      <c r="A34" s="142"/>
      <c r="B34" s="142"/>
      <c r="C34" s="142"/>
      <c r="D34" s="142"/>
      <c r="E34" s="142"/>
      <c r="F34" s="142"/>
      <c r="G34" s="142"/>
      <c r="H34" s="142"/>
      <c r="I34" s="142"/>
      <c r="J34" s="142"/>
    </row>
    <row r="35" spans="1:10">
      <c r="A35" s="142"/>
      <c r="B35" s="142"/>
      <c r="C35" s="142"/>
      <c r="D35" s="142"/>
      <c r="E35" s="142"/>
      <c r="F35" s="142"/>
      <c r="G35" s="142"/>
      <c r="H35" s="142"/>
      <c r="I35" s="142"/>
      <c r="J35" s="142"/>
    </row>
    <row r="36" spans="1:10">
      <c r="A36" s="142"/>
      <c r="B36" s="142"/>
      <c r="C36" s="142"/>
      <c r="D36" s="142"/>
      <c r="E36" s="142"/>
      <c r="F36" s="142"/>
      <c r="G36" s="142"/>
      <c r="H36" s="142"/>
      <c r="I36" s="142"/>
      <c r="J36" s="142"/>
    </row>
    <row r="37" spans="1:10">
      <c r="A37" s="142"/>
      <c r="B37" s="142"/>
      <c r="C37" s="142"/>
      <c r="D37" s="142"/>
      <c r="E37" s="142"/>
      <c r="F37" s="142"/>
      <c r="G37" s="142"/>
      <c r="H37" s="142"/>
      <c r="I37" s="142"/>
      <c r="J37" s="142"/>
    </row>
    <row r="38" spans="1:10">
      <c r="A38" s="142"/>
      <c r="B38" s="142"/>
      <c r="C38" s="142"/>
      <c r="D38" s="142"/>
      <c r="E38" s="142"/>
      <c r="F38" s="142"/>
      <c r="G38" s="142"/>
      <c r="H38" s="142"/>
      <c r="I38" s="142"/>
      <c r="J38" s="142"/>
    </row>
    <row r="39" spans="1:10">
      <c r="A39" s="142"/>
      <c r="B39" s="142"/>
      <c r="C39" s="142"/>
      <c r="D39" s="142"/>
      <c r="E39" s="142"/>
      <c r="F39" s="142"/>
      <c r="G39" s="142"/>
      <c r="H39" s="142"/>
      <c r="I39" s="142"/>
      <c r="J39" s="142"/>
    </row>
    <row r="40" spans="1:10">
      <c r="A40" s="142"/>
      <c r="B40" s="142"/>
      <c r="C40" s="142"/>
      <c r="D40" s="142"/>
      <c r="E40" s="142"/>
      <c r="F40" s="142"/>
      <c r="G40" s="142"/>
      <c r="H40" s="142"/>
      <c r="I40" s="142"/>
      <c r="J40" s="142"/>
    </row>
    <row r="41" spans="1:10">
      <c r="A41" s="142"/>
      <c r="B41" s="142"/>
      <c r="C41" s="142"/>
      <c r="D41" s="142"/>
      <c r="E41" s="142"/>
      <c r="F41" s="142"/>
      <c r="G41" s="142"/>
      <c r="H41" s="142"/>
      <c r="I41" s="142"/>
      <c r="J41" s="142"/>
    </row>
    <row r="42" spans="1:10">
      <c r="A42" s="142"/>
      <c r="B42" s="142"/>
      <c r="C42" s="142"/>
      <c r="D42" s="142"/>
      <c r="E42" s="142"/>
      <c r="F42" s="142"/>
      <c r="G42" s="142"/>
      <c r="H42" s="142"/>
      <c r="I42" s="142"/>
      <c r="J42" s="142"/>
    </row>
    <row r="43" spans="1:10">
      <c r="A43" s="142"/>
      <c r="B43" s="142"/>
      <c r="C43" s="142"/>
      <c r="D43" s="142"/>
      <c r="E43" s="142"/>
      <c r="F43" s="142"/>
      <c r="G43" s="142"/>
      <c r="H43" s="142"/>
      <c r="I43" s="142"/>
      <c r="J43" s="142"/>
    </row>
    <row r="44" spans="1:10">
      <c r="A44" s="142"/>
      <c r="B44" s="142"/>
      <c r="C44" s="142"/>
      <c r="D44" s="142"/>
      <c r="E44" s="142"/>
      <c r="F44" s="142"/>
      <c r="G44" s="142"/>
      <c r="H44" s="142"/>
      <c r="I44" s="142"/>
      <c r="J44" s="142"/>
    </row>
    <row r="45" spans="1:10">
      <c r="A45" s="142"/>
      <c r="B45" s="142"/>
      <c r="C45" s="142"/>
      <c r="D45" s="142"/>
      <c r="E45" s="142"/>
      <c r="F45" s="142"/>
      <c r="G45" s="142"/>
      <c r="H45" s="142"/>
      <c r="I45" s="142"/>
      <c r="J45" s="142"/>
    </row>
    <row r="46" spans="1:10">
      <c r="A46" s="142"/>
      <c r="B46" s="142"/>
      <c r="C46" s="142"/>
      <c r="D46" s="142"/>
      <c r="E46" s="142"/>
      <c r="F46" s="142"/>
      <c r="G46" s="142"/>
      <c r="H46" s="142"/>
      <c r="I46" s="142"/>
      <c r="J46" s="142"/>
    </row>
    <row r="47" spans="1:10">
      <c r="A47" s="142"/>
      <c r="B47" s="142"/>
      <c r="C47" s="142"/>
      <c r="D47" s="142"/>
      <c r="E47" s="142"/>
      <c r="F47" s="142"/>
      <c r="G47" s="142"/>
      <c r="H47" s="142"/>
      <c r="I47" s="142"/>
      <c r="J47" s="142"/>
    </row>
    <row r="48" spans="1:10">
      <c r="A48" s="142"/>
      <c r="B48" s="142"/>
      <c r="C48" s="142"/>
      <c r="D48" s="142"/>
      <c r="E48" s="142"/>
      <c r="F48" s="142"/>
      <c r="G48" s="142"/>
      <c r="H48" s="142"/>
      <c r="I48" s="142"/>
      <c r="J48" s="142"/>
    </row>
    <row r="49" spans="1:10">
      <c r="A49" s="142"/>
      <c r="B49" s="142"/>
      <c r="C49" s="142"/>
      <c r="D49" s="142"/>
      <c r="E49" s="142"/>
      <c r="F49" s="142"/>
      <c r="G49" s="142"/>
      <c r="H49" s="142"/>
      <c r="I49" s="142"/>
      <c r="J49" s="142"/>
    </row>
    <row r="50" spans="1:10">
      <c r="A50" s="142"/>
      <c r="B50" s="142"/>
      <c r="C50" s="142"/>
      <c r="D50" s="142"/>
      <c r="E50" s="142"/>
      <c r="F50" s="142"/>
      <c r="G50" s="142"/>
      <c r="H50" s="142"/>
      <c r="I50" s="142"/>
      <c r="J50" s="142"/>
    </row>
    <row r="51" spans="1:10">
      <c r="A51" s="142"/>
      <c r="B51" s="142"/>
      <c r="C51" s="142"/>
      <c r="D51" s="142"/>
      <c r="E51" s="142"/>
      <c r="F51" s="142"/>
      <c r="G51" s="142"/>
      <c r="H51" s="142"/>
      <c r="I51" s="142"/>
      <c r="J51" s="142"/>
    </row>
    <row r="52" spans="1:10">
      <c r="A52" s="142"/>
      <c r="B52" s="142"/>
      <c r="C52" s="142"/>
      <c r="D52" s="142"/>
      <c r="E52" s="142"/>
      <c r="F52" s="142"/>
      <c r="G52" s="142"/>
      <c r="H52" s="142"/>
      <c r="I52" s="142"/>
      <c r="J52" s="142"/>
    </row>
    <row r="53" spans="1:10">
      <c r="A53" s="142"/>
      <c r="B53" s="142"/>
      <c r="C53" s="142"/>
      <c r="D53" s="142"/>
      <c r="E53" s="142"/>
      <c r="F53" s="142"/>
      <c r="G53" s="142"/>
      <c r="H53" s="142"/>
      <c r="I53" s="142"/>
      <c r="J53" s="142"/>
    </row>
  </sheetData>
  <pageMargins left="0.27559055118110237" right="0.27559055118110237" top="2.0078740157480315" bottom="0.47244094488188981" header="0.19685039370078741" footer="0.19685039370078741"/>
  <pageSetup paperSize="9" orientation="portrait" horizontalDpi="300" verticalDpi="300" r:id="rId1"/>
  <headerFooter>
    <oddHeader>&amp;C&amp;G</oddHeader>
  </headerFooter>
  <drawing r:id="rId2"/>
  <legacyDrawingHF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40"/>
  <dimension ref="A1:P34"/>
  <sheetViews>
    <sheetView showGridLines="0" zoomScaleNormal="100" workbookViewId="0">
      <selection activeCell="O15" sqref="O15"/>
    </sheetView>
  </sheetViews>
  <sheetFormatPr defaultRowHeight="12.75"/>
  <cols>
    <col min="10" max="10" width="16.85546875" customWidth="1"/>
  </cols>
  <sheetData>
    <row r="1" spans="1:10">
      <c r="A1" s="142"/>
      <c r="B1" s="142"/>
      <c r="C1" s="142"/>
      <c r="D1" s="142"/>
      <c r="E1" s="142"/>
      <c r="F1" s="142"/>
      <c r="G1" s="142"/>
      <c r="H1" s="142"/>
      <c r="I1" s="142"/>
      <c r="J1" s="142"/>
    </row>
    <row r="2" spans="1:10">
      <c r="A2" s="142"/>
      <c r="B2" s="142"/>
      <c r="C2" s="142"/>
      <c r="D2" s="142"/>
      <c r="E2" s="142"/>
      <c r="F2" s="142"/>
      <c r="G2" s="142"/>
      <c r="H2" s="142"/>
      <c r="I2" s="142"/>
      <c r="J2" s="142"/>
    </row>
    <row r="3" spans="1:10">
      <c r="A3" s="142"/>
      <c r="B3" s="142"/>
      <c r="C3" s="142"/>
      <c r="D3" s="142"/>
      <c r="E3" s="142"/>
      <c r="F3" s="142"/>
      <c r="G3" s="142"/>
      <c r="H3" s="142"/>
      <c r="I3" s="142"/>
      <c r="J3" s="142"/>
    </row>
    <row r="4" spans="1:10">
      <c r="A4" s="142"/>
      <c r="B4" s="142"/>
      <c r="C4" s="142"/>
      <c r="D4" s="142"/>
      <c r="E4" s="142"/>
      <c r="F4" s="142"/>
      <c r="G4" s="142"/>
      <c r="H4" s="142"/>
      <c r="I4" s="142"/>
      <c r="J4" s="142"/>
    </row>
    <row r="5" spans="1:10">
      <c r="A5" s="142"/>
      <c r="B5" s="142"/>
      <c r="C5" s="142"/>
      <c r="D5" s="142"/>
      <c r="E5" s="142"/>
      <c r="F5" s="142"/>
      <c r="G5" s="142"/>
      <c r="H5" s="142"/>
      <c r="I5" s="142"/>
      <c r="J5" s="142"/>
    </row>
    <row r="6" spans="1:10">
      <c r="A6" s="142"/>
      <c r="B6" s="142"/>
      <c r="C6" s="142"/>
      <c r="D6" s="142"/>
      <c r="E6" s="142"/>
      <c r="F6" s="142"/>
      <c r="G6" s="142"/>
      <c r="H6" s="142"/>
      <c r="I6" s="142"/>
      <c r="J6" s="142"/>
    </row>
    <row r="7" spans="1:10">
      <c r="A7" s="142"/>
      <c r="B7" s="142"/>
      <c r="C7" s="142"/>
      <c r="D7" s="142"/>
      <c r="E7" s="142"/>
      <c r="F7" s="142"/>
      <c r="G7" s="142"/>
      <c r="H7" s="142"/>
      <c r="I7" s="142"/>
      <c r="J7" s="142"/>
    </row>
    <row r="8" spans="1:10">
      <c r="A8" s="142"/>
      <c r="B8" s="142"/>
      <c r="C8" s="142"/>
      <c r="D8" s="142"/>
      <c r="E8" s="142"/>
      <c r="F8" s="142"/>
      <c r="G8" s="142"/>
      <c r="H8" s="142"/>
      <c r="I8" s="142"/>
      <c r="J8" s="142"/>
    </row>
    <row r="9" spans="1:10">
      <c r="A9" s="142"/>
      <c r="B9" s="142"/>
      <c r="C9" s="142"/>
      <c r="D9" s="142"/>
      <c r="E9" s="142"/>
      <c r="F9" s="142"/>
      <c r="G9" s="142"/>
      <c r="H9" s="142"/>
      <c r="I9" s="142"/>
      <c r="J9" s="142"/>
    </row>
    <row r="10" spans="1:10">
      <c r="A10" s="142"/>
      <c r="B10" s="142"/>
      <c r="C10" s="142"/>
      <c r="D10" s="142"/>
      <c r="E10" s="142"/>
      <c r="F10" s="142"/>
      <c r="G10" s="142"/>
      <c r="H10" s="142"/>
      <c r="I10" s="142"/>
      <c r="J10" s="142"/>
    </row>
    <row r="11" spans="1:10">
      <c r="A11" s="142"/>
      <c r="B11" s="142"/>
      <c r="C11" s="142"/>
      <c r="D11" s="142"/>
      <c r="E11" s="142"/>
      <c r="F11" s="142"/>
      <c r="G11" s="142"/>
      <c r="H11" s="142"/>
      <c r="I11" s="142"/>
      <c r="J11" s="142"/>
    </row>
    <row r="12" spans="1:10">
      <c r="A12" s="142"/>
      <c r="B12" s="142"/>
      <c r="C12" s="142"/>
      <c r="D12" s="142"/>
      <c r="E12" s="142"/>
      <c r="F12" s="142"/>
      <c r="G12" s="142"/>
      <c r="H12" s="142"/>
      <c r="I12" s="142"/>
      <c r="J12" s="142"/>
    </row>
    <row r="13" spans="1:10">
      <c r="A13" s="142"/>
      <c r="B13" s="142"/>
      <c r="C13" s="142"/>
      <c r="D13" s="142"/>
      <c r="E13" s="142"/>
      <c r="F13" s="142"/>
      <c r="G13" s="142"/>
      <c r="H13" s="142"/>
      <c r="I13" s="142"/>
      <c r="J13" s="142"/>
    </row>
    <row r="14" spans="1:10">
      <c r="A14" s="142"/>
      <c r="B14" s="142"/>
      <c r="C14" s="142"/>
      <c r="D14" s="142"/>
      <c r="E14" s="142"/>
      <c r="F14" s="142"/>
      <c r="G14" s="142"/>
      <c r="H14" s="142"/>
      <c r="I14" s="142"/>
      <c r="J14" s="142"/>
    </row>
    <row r="15" spans="1:10">
      <c r="A15" s="142"/>
      <c r="B15" s="142"/>
      <c r="C15" s="142"/>
      <c r="D15" s="142"/>
      <c r="E15" s="142"/>
      <c r="F15" s="142"/>
      <c r="G15" s="142"/>
      <c r="H15" s="142"/>
      <c r="I15" s="142"/>
      <c r="J15" s="142"/>
    </row>
    <row r="16" spans="1:10">
      <c r="A16" s="142"/>
      <c r="B16" s="142"/>
      <c r="C16" s="142"/>
      <c r="D16" s="142"/>
      <c r="E16" s="142"/>
      <c r="F16" s="142"/>
      <c r="G16" s="142"/>
      <c r="H16" s="142"/>
      <c r="I16" s="142"/>
      <c r="J16" s="142"/>
    </row>
    <row r="17" spans="1:16">
      <c r="A17" s="142"/>
      <c r="B17" s="142"/>
      <c r="C17" s="142"/>
      <c r="D17" s="142"/>
      <c r="E17" s="142"/>
      <c r="F17" s="142"/>
      <c r="G17" s="142"/>
      <c r="H17" s="142"/>
      <c r="I17" s="142"/>
      <c r="J17" s="142"/>
    </row>
    <row r="18" spans="1:16">
      <c r="A18" s="142"/>
      <c r="B18" s="142"/>
      <c r="C18" s="142"/>
      <c r="D18" s="142"/>
      <c r="E18" s="142"/>
      <c r="F18" s="142"/>
      <c r="G18" s="142"/>
      <c r="H18" s="142"/>
      <c r="I18" s="142"/>
      <c r="J18" s="142"/>
    </row>
    <row r="19" spans="1:16">
      <c r="A19" s="142"/>
      <c r="B19" s="142"/>
      <c r="C19" s="142"/>
      <c r="D19" s="142"/>
      <c r="E19" s="142"/>
      <c r="F19" s="142"/>
      <c r="G19" s="142"/>
      <c r="H19" s="142"/>
      <c r="I19" s="142"/>
      <c r="J19" s="142"/>
    </row>
    <row r="20" spans="1:16">
      <c r="A20" s="142"/>
      <c r="B20" s="142"/>
      <c r="C20" s="142"/>
      <c r="D20" s="142"/>
      <c r="E20" s="142"/>
      <c r="F20" s="142"/>
      <c r="G20" s="142"/>
      <c r="H20" s="142"/>
      <c r="I20" s="142"/>
      <c r="J20" s="142"/>
    </row>
    <row r="21" spans="1:16">
      <c r="A21" s="142"/>
      <c r="B21" s="142"/>
      <c r="C21" s="142"/>
      <c r="D21" s="142"/>
      <c r="E21" s="142"/>
      <c r="F21" s="142"/>
      <c r="G21" s="142"/>
      <c r="H21" s="142"/>
      <c r="I21" s="142"/>
      <c r="J21" s="142"/>
    </row>
    <row r="22" spans="1:16">
      <c r="A22" s="142"/>
      <c r="B22" s="142"/>
      <c r="C22" s="142"/>
      <c r="D22" s="142"/>
      <c r="E22" s="142"/>
      <c r="F22" s="142"/>
      <c r="G22" s="142"/>
      <c r="H22" s="142"/>
      <c r="I22" s="142"/>
      <c r="J22" s="142"/>
    </row>
    <row r="23" spans="1:16">
      <c r="A23" s="142"/>
      <c r="B23" s="142"/>
      <c r="C23" s="142"/>
      <c r="D23" s="142"/>
      <c r="E23" s="142"/>
      <c r="F23" s="142"/>
      <c r="G23" s="142"/>
      <c r="H23" s="142"/>
      <c r="I23" s="142"/>
      <c r="J23" s="142"/>
    </row>
    <row r="24" spans="1:16">
      <c r="A24" s="142"/>
      <c r="B24" s="142"/>
      <c r="C24" s="142"/>
      <c r="D24" s="142"/>
      <c r="E24" s="142"/>
      <c r="F24" s="142"/>
      <c r="G24" s="142"/>
      <c r="H24" s="142"/>
      <c r="I24" s="142"/>
      <c r="J24" s="142"/>
    </row>
    <row r="25" spans="1:16">
      <c r="A25" s="142"/>
      <c r="B25" s="142"/>
      <c r="C25" s="142"/>
      <c r="D25" s="142"/>
      <c r="E25" s="142"/>
      <c r="F25" s="142"/>
      <c r="G25" s="142"/>
      <c r="H25" s="142"/>
      <c r="I25" s="142"/>
      <c r="J25" s="142"/>
    </row>
    <row r="26" spans="1:16">
      <c r="A26" s="142"/>
      <c r="B26" s="142"/>
      <c r="C26" s="142"/>
      <c r="D26" s="142"/>
      <c r="E26" s="142"/>
      <c r="F26" s="142"/>
      <c r="G26" s="142"/>
      <c r="H26" s="142"/>
      <c r="I26" s="142"/>
      <c r="J26" s="142"/>
    </row>
    <row r="27" spans="1:16">
      <c r="A27" s="142"/>
      <c r="B27" s="142"/>
      <c r="C27" s="142"/>
      <c r="D27" s="142"/>
      <c r="E27" s="142"/>
      <c r="F27" s="142"/>
      <c r="G27" s="142"/>
      <c r="H27" s="142"/>
      <c r="I27" s="142"/>
      <c r="J27" s="142"/>
    </row>
    <row r="28" spans="1:16">
      <c r="A28" s="142"/>
      <c r="B28" s="142"/>
      <c r="C28" s="142"/>
      <c r="D28" s="142"/>
      <c r="E28" s="142"/>
      <c r="F28" s="142"/>
      <c r="G28" s="142"/>
      <c r="H28" s="142"/>
      <c r="I28" s="142"/>
      <c r="J28" s="142"/>
    </row>
    <row r="29" spans="1:16">
      <c r="A29" s="142"/>
      <c r="B29" s="142"/>
      <c r="C29" s="142"/>
      <c r="D29" s="142"/>
      <c r="E29" s="142"/>
      <c r="F29" s="142"/>
      <c r="G29" s="142"/>
      <c r="H29" s="142"/>
      <c r="I29" s="142"/>
      <c r="J29" s="142"/>
      <c r="P29" s="333"/>
    </row>
    <row r="30" spans="1:16">
      <c r="A30" s="142"/>
      <c r="B30" s="142"/>
      <c r="C30" s="142"/>
      <c r="D30" s="142"/>
      <c r="E30" s="142"/>
      <c r="F30" s="142"/>
      <c r="G30" s="142"/>
      <c r="H30" s="142"/>
      <c r="I30" s="142"/>
      <c r="J30" s="142"/>
    </row>
    <row r="31" spans="1:16">
      <c r="P31" s="332"/>
    </row>
    <row r="34" spans="16:16" ht="14.25">
      <c r="P34" s="331"/>
    </row>
  </sheetData>
  <pageMargins left="0.27559055118110237" right="0.27559055118110237" top="2.0078740157480315" bottom="0.47244094488188981" header="0.19685039370078741" footer="0.19685039370078741"/>
  <pageSetup paperSize="9" scale="95" orientation="portrait" horizontalDpi="300" verticalDpi="300" r:id="rId1"/>
  <headerFooter>
    <oddHeader>&amp;C&amp;G</oddHeader>
  </headerFooter>
  <drawing r:id="rId2"/>
  <legacyDrawingHF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lha411"/>
  <dimension ref="A1:J53"/>
  <sheetViews>
    <sheetView showGridLines="0" workbookViewId="0">
      <selection activeCell="O15" sqref="O15"/>
    </sheetView>
  </sheetViews>
  <sheetFormatPr defaultRowHeight="12.75"/>
  <sheetData>
    <row r="1" spans="1:10">
      <c r="A1" s="142"/>
      <c r="B1" s="142"/>
      <c r="C1" s="142"/>
      <c r="D1" s="142"/>
      <c r="E1" s="142"/>
      <c r="F1" s="142"/>
      <c r="G1" s="142"/>
      <c r="H1" s="142"/>
      <c r="I1" s="142"/>
      <c r="J1" s="142"/>
    </row>
    <row r="2" spans="1:10">
      <c r="A2" s="142"/>
      <c r="B2" s="142"/>
      <c r="C2" s="142"/>
      <c r="D2" s="142"/>
      <c r="E2" s="142"/>
      <c r="F2" s="142"/>
      <c r="G2" s="142"/>
      <c r="H2" s="142"/>
      <c r="I2" s="142"/>
      <c r="J2" s="142"/>
    </row>
    <row r="3" spans="1:10">
      <c r="A3" s="142"/>
      <c r="B3" s="142"/>
      <c r="C3" s="142"/>
      <c r="D3" s="142"/>
      <c r="E3" s="142"/>
      <c r="F3" s="142"/>
      <c r="G3" s="142"/>
      <c r="H3" s="142"/>
      <c r="I3" s="142"/>
      <c r="J3" s="142"/>
    </row>
    <row r="4" spans="1:10">
      <c r="A4" s="142"/>
      <c r="B4" s="142"/>
      <c r="C4" s="142"/>
      <c r="D4" s="142"/>
      <c r="E4" s="142"/>
      <c r="F4" s="142"/>
      <c r="G4" s="142"/>
      <c r="H4" s="142"/>
      <c r="I4" s="142"/>
      <c r="J4" s="142"/>
    </row>
    <row r="5" spans="1:10">
      <c r="A5" s="142"/>
      <c r="B5" s="142"/>
      <c r="C5" s="142"/>
      <c r="D5" s="142"/>
      <c r="E5" s="142"/>
      <c r="F5" s="142"/>
      <c r="G5" s="142"/>
      <c r="H5" s="142"/>
      <c r="I5" s="142"/>
      <c r="J5" s="142"/>
    </row>
    <row r="6" spans="1:10">
      <c r="A6" s="142"/>
      <c r="B6" s="142"/>
      <c r="C6" s="142"/>
      <c r="D6" s="142"/>
      <c r="E6" s="142"/>
      <c r="F6" s="142"/>
      <c r="G6" s="142"/>
      <c r="H6" s="142"/>
      <c r="I6" s="142"/>
      <c r="J6" s="142"/>
    </row>
    <row r="7" spans="1:10">
      <c r="A7" s="142"/>
      <c r="B7" s="142"/>
      <c r="C7" s="142"/>
      <c r="D7" s="142"/>
      <c r="E7" s="142"/>
      <c r="F7" s="142"/>
      <c r="G7" s="142"/>
      <c r="H7" s="142"/>
      <c r="I7" s="142"/>
      <c r="J7" s="142"/>
    </row>
    <row r="8" spans="1:10">
      <c r="A8" s="142"/>
      <c r="B8" s="142"/>
      <c r="C8" s="142"/>
      <c r="D8" s="142"/>
      <c r="E8" s="142"/>
      <c r="F8" s="142"/>
      <c r="G8" s="142"/>
      <c r="H8" s="142"/>
      <c r="I8" s="142"/>
      <c r="J8" s="142"/>
    </row>
    <row r="9" spans="1:10">
      <c r="A9" s="142"/>
      <c r="B9" s="142"/>
      <c r="C9" s="142"/>
      <c r="D9" s="142"/>
      <c r="E9" s="142"/>
      <c r="F9" s="142"/>
      <c r="G9" s="142"/>
      <c r="H9" s="142"/>
      <c r="I9" s="142"/>
      <c r="J9" s="142"/>
    </row>
    <row r="10" spans="1:10">
      <c r="A10" s="142"/>
      <c r="B10" s="142"/>
      <c r="C10" s="142"/>
      <c r="D10" s="142"/>
      <c r="E10" s="142"/>
      <c r="F10" s="142"/>
      <c r="G10" s="142"/>
      <c r="H10" s="142"/>
      <c r="I10" s="142"/>
      <c r="J10" s="142"/>
    </row>
    <row r="11" spans="1:10">
      <c r="A11" s="142"/>
      <c r="B11" s="142"/>
      <c r="C11" s="142"/>
      <c r="D11" s="142"/>
      <c r="E11" s="142"/>
      <c r="F11" s="142"/>
      <c r="G11" s="142"/>
      <c r="H11" s="142"/>
      <c r="I11" s="142"/>
      <c r="J11" s="142"/>
    </row>
    <row r="12" spans="1:10">
      <c r="A12" s="142"/>
      <c r="B12" s="142"/>
      <c r="C12" s="142"/>
      <c r="D12" s="142"/>
      <c r="E12" s="142"/>
      <c r="F12" s="142"/>
      <c r="G12" s="142"/>
      <c r="H12" s="142"/>
      <c r="I12" s="142"/>
      <c r="J12" s="142"/>
    </row>
    <row r="13" spans="1:10">
      <c r="A13" s="142"/>
      <c r="B13" s="142"/>
      <c r="C13" s="142"/>
      <c r="D13" s="142"/>
      <c r="E13" s="142"/>
      <c r="F13" s="142"/>
      <c r="G13" s="142"/>
      <c r="H13" s="142"/>
      <c r="I13" s="142"/>
      <c r="J13" s="142"/>
    </row>
    <row r="14" spans="1:10">
      <c r="A14" s="142"/>
      <c r="B14" s="142"/>
      <c r="C14" s="142"/>
      <c r="D14" s="142"/>
      <c r="E14" s="142"/>
      <c r="F14" s="142"/>
      <c r="G14" s="142"/>
      <c r="H14" s="142"/>
      <c r="I14" s="142"/>
      <c r="J14" s="142"/>
    </row>
    <row r="15" spans="1:10">
      <c r="A15" s="142"/>
      <c r="B15" s="142"/>
      <c r="C15" s="142"/>
      <c r="D15" s="142"/>
      <c r="E15" s="142"/>
      <c r="F15" s="142"/>
      <c r="G15" s="142"/>
      <c r="H15" s="142"/>
      <c r="I15" s="142"/>
      <c r="J15" s="142"/>
    </row>
    <row r="16" spans="1:10">
      <c r="A16" s="142"/>
      <c r="B16" s="142"/>
      <c r="C16" s="142"/>
      <c r="D16" s="142"/>
      <c r="E16" s="142"/>
      <c r="F16" s="142"/>
      <c r="G16" s="142"/>
      <c r="H16" s="142"/>
      <c r="I16" s="142"/>
      <c r="J16" s="142"/>
    </row>
    <row r="17" spans="1:10">
      <c r="A17" s="142"/>
      <c r="B17" s="142"/>
      <c r="C17" s="142"/>
      <c r="D17" s="142"/>
      <c r="E17" s="142"/>
      <c r="F17" s="142"/>
      <c r="G17" s="142"/>
      <c r="H17" s="142"/>
      <c r="I17" s="142"/>
      <c r="J17" s="142"/>
    </row>
    <row r="18" spans="1:10">
      <c r="A18" s="142"/>
      <c r="B18" s="142"/>
      <c r="C18" s="142"/>
      <c r="D18" s="142"/>
      <c r="E18" s="142"/>
      <c r="F18" s="142"/>
      <c r="G18" s="142"/>
      <c r="H18" s="142"/>
      <c r="I18" s="142"/>
      <c r="J18" s="142"/>
    </row>
    <row r="19" spans="1:10">
      <c r="A19" s="142"/>
      <c r="B19" s="142"/>
      <c r="C19" s="142"/>
      <c r="D19" s="142"/>
      <c r="E19" s="142"/>
      <c r="F19" s="142"/>
      <c r="G19" s="142"/>
      <c r="H19" s="142"/>
      <c r="I19" s="142"/>
      <c r="J19" s="142"/>
    </row>
    <row r="20" spans="1:10">
      <c r="A20" s="142"/>
      <c r="B20" s="142"/>
      <c r="C20" s="142"/>
      <c r="D20" s="142"/>
      <c r="E20" s="142"/>
      <c r="F20" s="142"/>
      <c r="G20" s="142"/>
      <c r="H20" s="142"/>
      <c r="I20" s="142"/>
      <c r="J20" s="142"/>
    </row>
    <row r="21" spans="1:10">
      <c r="A21" s="142"/>
      <c r="B21" s="142"/>
      <c r="C21" s="142"/>
      <c r="D21" s="142"/>
      <c r="E21" s="142"/>
      <c r="F21" s="142"/>
      <c r="G21" s="142"/>
      <c r="H21" s="142"/>
      <c r="I21" s="142"/>
      <c r="J21" s="142"/>
    </row>
    <row r="22" spans="1:10">
      <c r="A22" s="142"/>
      <c r="B22" s="142"/>
      <c r="C22" s="142"/>
      <c r="D22" s="142"/>
      <c r="E22" s="142"/>
      <c r="F22" s="142"/>
      <c r="G22" s="142"/>
      <c r="H22" s="142"/>
      <c r="I22" s="142"/>
      <c r="J22" s="142"/>
    </row>
    <row r="23" spans="1:10">
      <c r="A23" s="142"/>
      <c r="B23" s="142"/>
      <c r="C23" s="142"/>
      <c r="D23" s="142"/>
      <c r="E23" s="142"/>
      <c r="F23" s="142"/>
      <c r="G23" s="142"/>
      <c r="H23" s="142"/>
      <c r="I23" s="142"/>
      <c r="J23" s="142"/>
    </row>
    <row r="24" spans="1:10">
      <c r="A24" s="142"/>
      <c r="B24" s="142"/>
      <c r="C24" s="142"/>
      <c r="D24" s="142"/>
      <c r="E24" s="142"/>
      <c r="F24" s="142"/>
      <c r="G24" s="142"/>
      <c r="H24" s="142"/>
      <c r="I24" s="142"/>
      <c r="J24" s="142"/>
    </row>
    <row r="25" spans="1:10">
      <c r="A25" s="142"/>
      <c r="B25" s="142"/>
      <c r="C25" s="142"/>
      <c r="D25" s="142"/>
      <c r="E25" s="142"/>
      <c r="F25" s="142"/>
      <c r="G25" s="142"/>
      <c r="H25" s="142"/>
      <c r="I25" s="142"/>
      <c r="J25" s="142"/>
    </row>
    <row r="26" spans="1:10">
      <c r="A26" s="142"/>
      <c r="B26" s="142"/>
      <c r="C26" s="142"/>
      <c r="D26" s="142"/>
      <c r="E26" s="142"/>
      <c r="F26" s="142"/>
      <c r="G26" s="142"/>
      <c r="H26" s="142"/>
      <c r="I26" s="142"/>
      <c r="J26" s="142"/>
    </row>
    <row r="27" spans="1:10">
      <c r="A27" s="142"/>
      <c r="B27" s="142"/>
      <c r="C27" s="142"/>
      <c r="D27" s="142"/>
      <c r="E27" s="142"/>
      <c r="F27" s="142"/>
      <c r="G27" s="142"/>
      <c r="H27" s="142"/>
      <c r="I27" s="142"/>
      <c r="J27" s="142"/>
    </row>
    <row r="28" spans="1:10">
      <c r="A28" s="142"/>
      <c r="B28" s="142"/>
      <c r="C28" s="142"/>
      <c r="D28" s="142"/>
      <c r="E28" s="142"/>
      <c r="F28" s="142"/>
      <c r="G28" s="142"/>
      <c r="H28" s="142"/>
      <c r="I28" s="142"/>
      <c r="J28" s="142"/>
    </row>
    <row r="29" spans="1:10">
      <c r="A29" s="142"/>
      <c r="B29" s="142"/>
      <c r="C29" s="142"/>
      <c r="D29" s="142"/>
      <c r="E29" s="142"/>
      <c r="F29" s="142"/>
      <c r="G29" s="142"/>
      <c r="H29" s="142"/>
      <c r="I29" s="142"/>
      <c r="J29" s="142"/>
    </row>
    <row r="30" spans="1:10">
      <c r="A30" s="142"/>
      <c r="B30" s="142"/>
      <c r="C30" s="142"/>
      <c r="D30" s="142"/>
      <c r="E30" s="142"/>
      <c r="F30" s="142"/>
      <c r="G30" s="142"/>
      <c r="H30" s="142"/>
      <c r="I30" s="142"/>
      <c r="J30" s="142"/>
    </row>
    <row r="31" spans="1:10">
      <c r="A31" s="142"/>
      <c r="B31" s="142"/>
      <c r="C31" s="142"/>
      <c r="D31" s="142"/>
      <c r="E31" s="142"/>
      <c r="F31" s="142"/>
      <c r="G31" s="142"/>
      <c r="H31" s="142"/>
      <c r="I31" s="142"/>
      <c r="J31" s="142"/>
    </row>
    <row r="32" spans="1:10">
      <c r="A32" s="142"/>
      <c r="B32" s="142"/>
      <c r="C32" s="142"/>
      <c r="D32" s="142"/>
      <c r="E32" s="142"/>
      <c r="F32" s="142"/>
      <c r="G32" s="142"/>
      <c r="H32" s="142"/>
      <c r="I32" s="142"/>
      <c r="J32" s="142"/>
    </row>
    <row r="33" spans="1:10">
      <c r="A33" s="142"/>
      <c r="B33" s="142"/>
      <c r="C33" s="142"/>
      <c r="D33" s="142"/>
      <c r="E33" s="142"/>
      <c r="F33" s="142"/>
      <c r="G33" s="142"/>
      <c r="H33" s="142"/>
      <c r="I33" s="142"/>
      <c r="J33" s="142"/>
    </row>
    <row r="34" spans="1:10">
      <c r="A34" s="142"/>
      <c r="B34" s="142"/>
      <c r="C34" s="142"/>
      <c r="D34" s="142"/>
      <c r="E34" s="142"/>
      <c r="F34" s="142"/>
      <c r="G34" s="142"/>
      <c r="H34" s="142"/>
      <c r="I34" s="142"/>
      <c r="J34" s="142"/>
    </row>
    <row r="35" spans="1:10">
      <c r="A35" s="142"/>
      <c r="B35" s="142"/>
      <c r="C35" s="142"/>
      <c r="D35" s="142"/>
      <c r="E35" s="142"/>
      <c r="F35" s="142"/>
      <c r="G35" s="142"/>
      <c r="H35" s="142"/>
      <c r="I35" s="142"/>
      <c r="J35" s="142"/>
    </row>
    <row r="36" spans="1:10">
      <c r="A36" s="142"/>
      <c r="B36" s="142"/>
      <c r="C36" s="142"/>
      <c r="D36" s="142"/>
      <c r="E36" s="142"/>
      <c r="F36" s="142"/>
      <c r="G36" s="142"/>
      <c r="H36" s="142"/>
      <c r="I36" s="142"/>
      <c r="J36" s="142"/>
    </row>
    <row r="37" spans="1:10">
      <c r="A37" s="142"/>
      <c r="B37" s="142"/>
      <c r="C37" s="142"/>
      <c r="D37" s="142"/>
      <c r="E37" s="142"/>
      <c r="F37" s="142"/>
      <c r="G37" s="142"/>
      <c r="H37" s="142"/>
      <c r="I37" s="142"/>
      <c r="J37" s="142"/>
    </row>
    <row r="38" spans="1:10">
      <c r="A38" s="142"/>
      <c r="B38" s="142"/>
      <c r="C38" s="142"/>
      <c r="D38" s="142"/>
      <c r="E38" s="142"/>
      <c r="F38" s="142"/>
      <c r="G38" s="142"/>
      <c r="H38" s="142"/>
      <c r="I38" s="142"/>
      <c r="J38" s="142"/>
    </row>
    <row r="39" spans="1:10">
      <c r="A39" s="142"/>
      <c r="B39" s="142"/>
      <c r="C39" s="142"/>
      <c r="D39" s="142"/>
      <c r="E39" s="142"/>
      <c r="F39" s="142"/>
      <c r="G39" s="142"/>
      <c r="H39" s="142"/>
      <c r="I39" s="142"/>
      <c r="J39" s="142"/>
    </row>
    <row r="40" spans="1:10">
      <c r="A40" s="142"/>
      <c r="B40" s="142"/>
      <c r="C40" s="142"/>
      <c r="D40" s="142"/>
      <c r="E40" s="142"/>
      <c r="F40" s="142"/>
      <c r="G40" s="142"/>
      <c r="H40" s="142"/>
      <c r="I40" s="142"/>
      <c r="J40" s="142"/>
    </row>
    <row r="41" spans="1:10">
      <c r="A41" s="142"/>
      <c r="B41" s="142"/>
      <c r="C41" s="142"/>
      <c r="D41" s="142"/>
      <c r="E41" s="142"/>
      <c r="F41" s="142"/>
      <c r="G41" s="142"/>
      <c r="H41" s="142"/>
      <c r="I41" s="142"/>
      <c r="J41" s="142"/>
    </row>
    <row r="42" spans="1:10">
      <c r="A42" s="142"/>
      <c r="B42" s="142"/>
      <c r="C42" s="142"/>
      <c r="D42" s="142"/>
      <c r="E42" s="142"/>
      <c r="F42" s="142"/>
      <c r="G42" s="142"/>
      <c r="H42" s="142"/>
      <c r="I42" s="142"/>
      <c r="J42" s="142"/>
    </row>
    <row r="43" spans="1:10">
      <c r="A43" s="142"/>
      <c r="B43" s="142"/>
      <c r="C43" s="142"/>
      <c r="D43" s="142"/>
      <c r="E43" s="142"/>
      <c r="F43" s="142"/>
      <c r="G43" s="142"/>
      <c r="H43" s="142"/>
      <c r="I43" s="142"/>
      <c r="J43" s="142"/>
    </row>
    <row r="44" spans="1:10">
      <c r="A44" s="142"/>
      <c r="B44" s="142"/>
      <c r="C44" s="142"/>
      <c r="D44" s="142"/>
      <c r="E44" s="142"/>
      <c r="F44" s="142"/>
      <c r="G44" s="142"/>
      <c r="H44" s="142"/>
      <c r="I44" s="142"/>
      <c r="J44" s="142"/>
    </row>
    <row r="45" spans="1:10">
      <c r="A45" s="142"/>
      <c r="B45" s="142"/>
      <c r="C45" s="142"/>
      <c r="D45" s="142"/>
      <c r="E45" s="142"/>
      <c r="F45" s="142"/>
      <c r="G45" s="142"/>
      <c r="H45" s="142"/>
      <c r="I45" s="142"/>
      <c r="J45" s="142"/>
    </row>
    <row r="46" spans="1:10">
      <c r="A46" s="142"/>
      <c r="B46" s="142"/>
      <c r="C46" s="142"/>
      <c r="D46" s="142"/>
      <c r="E46" s="142"/>
      <c r="F46" s="142"/>
      <c r="G46" s="142"/>
      <c r="H46" s="142"/>
      <c r="I46" s="142"/>
      <c r="J46" s="142"/>
    </row>
    <row r="47" spans="1:10">
      <c r="A47" s="142"/>
      <c r="B47" s="142"/>
      <c r="C47" s="142"/>
      <c r="D47" s="142"/>
      <c r="E47" s="142"/>
      <c r="F47" s="142"/>
      <c r="G47" s="142"/>
      <c r="H47" s="142"/>
      <c r="I47" s="142"/>
      <c r="J47" s="142"/>
    </row>
    <row r="48" spans="1:10">
      <c r="A48" s="142"/>
      <c r="B48" s="142"/>
      <c r="C48" s="142"/>
      <c r="D48" s="142"/>
      <c r="E48" s="142"/>
      <c r="F48" s="142"/>
      <c r="G48" s="142"/>
      <c r="H48" s="142"/>
      <c r="I48" s="142"/>
      <c r="J48" s="142"/>
    </row>
    <row r="49" spans="1:10">
      <c r="A49" s="142"/>
      <c r="B49" s="142"/>
      <c r="C49" s="142"/>
      <c r="D49" s="142"/>
      <c r="E49" s="142"/>
      <c r="F49" s="142"/>
      <c r="G49" s="142"/>
      <c r="H49" s="142"/>
      <c r="I49" s="142"/>
      <c r="J49" s="142"/>
    </row>
    <row r="50" spans="1:10">
      <c r="A50" s="142"/>
      <c r="B50" s="142"/>
      <c r="C50" s="142"/>
      <c r="D50" s="142"/>
      <c r="E50" s="142"/>
      <c r="F50" s="142"/>
      <c r="G50" s="142"/>
      <c r="H50" s="142"/>
      <c r="I50" s="142"/>
      <c r="J50" s="142"/>
    </row>
    <row r="51" spans="1:10">
      <c r="A51" s="142"/>
      <c r="B51" s="142"/>
      <c r="C51" s="142"/>
      <c r="D51" s="142"/>
      <c r="E51" s="142"/>
      <c r="F51" s="142"/>
      <c r="G51" s="142"/>
      <c r="H51" s="142"/>
      <c r="I51" s="142"/>
      <c r="J51" s="142"/>
    </row>
    <row r="52" spans="1:10">
      <c r="A52" s="142"/>
      <c r="B52" s="142"/>
      <c r="C52" s="142"/>
      <c r="D52" s="142"/>
      <c r="E52" s="142"/>
      <c r="F52" s="142"/>
      <c r="G52" s="142"/>
      <c r="H52" s="142"/>
      <c r="I52" s="142"/>
      <c r="J52" s="142"/>
    </row>
    <row r="53" spans="1:10">
      <c r="A53" s="142"/>
      <c r="B53" s="142"/>
      <c r="C53" s="142"/>
      <c r="D53" s="142"/>
      <c r="E53" s="142"/>
      <c r="F53" s="142"/>
      <c r="G53" s="142"/>
      <c r="H53" s="142"/>
      <c r="I53" s="142"/>
      <c r="J53" s="142"/>
    </row>
  </sheetData>
  <pageMargins left="0.27559055118110237" right="0.27559055118110237" top="2.0078740157480315" bottom="0.47244094488188981" header="0.19685039370078741" footer="0.19685039370078741"/>
  <pageSetup paperSize="9" orientation="portrait" horizontalDpi="300" verticalDpi="300" r:id="rId1"/>
  <headerFooter>
    <oddHeader>&amp;C&amp;G</oddHeader>
  </headerFooter>
  <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DAE03-2EAE-4941-887B-16ACDB9749B8}">
  <sheetPr codeName="Folha3">
    <tabColor rgb="FFFFFF00"/>
  </sheetPr>
  <dimension ref="A1:Y56"/>
  <sheetViews>
    <sheetView showGridLines="0" showRowColHeaders="0" zoomScaleNormal="100" zoomScaleSheetLayoutView="100" workbookViewId="0"/>
  </sheetViews>
  <sheetFormatPr defaultColWidth="8.7109375" defaultRowHeight="15"/>
  <cols>
    <col min="1" max="11" width="8.42578125" style="542" customWidth="1"/>
    <col min="12" max="12" width="7" style="542" customWidth="1"/>
    <col min="13" max="16384" width="8.7109375" style="542"/>
  </cols>
  <sheetData>
    <row r="1" spans="1:23">
      <c r="A1" s="558"/>
      <c r="B1" s="558"/>
      <c r="C1" s="558"/>
      <c r="D1" s="558"/>
      <c r="E1" s="558"/>
      <c r="F1" s="558"/>
      <c r="G1" s="558"/>
      <c r="H1" s="558"/>
      <c r="I1" s="558"/>
      <c r="J1" s="558"/>
      <c r="K1" s="558"/>
      <c r="L1" s="558"/>
      <c r="M1" s="558"/>
      <c r="N1" s="558"/>
      <c r="O1" s="558"/>
      <c r="P1" s="558"/>
      <c r="Q1" s="558"/>
      <c r="R1" s="558"/>
      <c r="S1" s="558"/>
      <c r="T1" s="558"/>
      <c r="U1" s="558"/>
      <c r="V1" s="558"/>
      <c r="W1" s="558"/>
    </row>
    <row r="2" spans="1:23">
      <c r="A2" s="558"/>
      <c r="B2" s="558"/>
      <c r="C2" s="558"/>
      <c r="D2" s="558"/>
      <c r="E2" s="558"/>
      <c r="F2" s="558"/>
      <c r="G2" s="558"/>
      <c r="H2" s="558"/>
      <c r="I2" s="558"/>
      <c r="J2" s="558"/>
      <c r="K2" s="558"/>
      <c r="L2" s="558"/>
      <c r="M2" s="558"/>
      <c r="N2" s="558"/>
      <c r="O2" s="558"/>
      <c r="P2" s="558"/>
      <c r="Q2" s="558"/>
      <c r="R2" s="558"/>
      <c r="S2" s="558"/>
      <c r="T2" s="558"/>
      <c r="U2" s="558"/>
      <c r="V2" s="558"/>
      <c r="W2" s="558"/>
    </row>
    <row r="3" spans="1:23">
      <c r="A3" s="558"/>
      <c r="B3" s="558"/>
      <c r="C3" s="558"/>
      <c r="D3" s="558"/>
      <c r="E3" s="558"/>
      <c r="F3" s="558"/>
      <c r="G3" s="558"/>
      <c r="H3" s="558"/>
      <c r="I3" s="558"/>
      <c r="J3" s="558"/>
      <c r="K3" s="558"/>
      <c r="L3" s="558"/>
      <c r="M3" s="558"/>
      <c r="N3" s="558"/>
      <c r="O3" s="558"/>
      <c r="P3" s="558"/>
      <c r="Q3" s="558"/>
      <c r="R3" s="558"/>
      <c r="S3" s="558"/>
      <c r="T3" s="558"/>
      <c r="U3" s="558"/>
      <c r="V3" s="558"/>
      <c r="W3" s="558"/>
    </row>
    <row r="4" spans="1:23">
      <c r="A4" s="558"/>
      <c r="B4" s="558"/>
      <c r="C4" s="558"/>
      <c r="D4" s="558"/>
      <c r="E4" s="558"/>
      <c r="F4" s="558"/>
      <c r="G4" s="558"/>
      <c r="H4" s="558"/>
      <c r="I4" s="558"/>
      <c r="J4" s="558"/>
      <c r="K4" s="558"/>
      <c r="L4" s="558"/>
      <c r="M4" s="558"/>
      <c r="N4" s="558"/>
      <c r="O4" s="558"/>
      <c r="P4" s="558"/>
      <c r="Q4" s="558"/>
      <c r="R4" s="558"/>
      <c r="S4" s="558"/>
      <c r="T4" s="558"/>
      <c r="U4" s="558"/>
      <c r="V4" s="558"/>
      <c r="W4" s="558"/>
    </row>
    <row r="5" spans="1:23">
      <c r="A5" s="558"/>
      <c r="B5" s="558"/>
      <c r="C5" s="558"/>
      <c r="D5" s="558"/>
      <c r="E5" s="558"/>
      <c r="F5" s="558"/>
      <c r="G5" s="558"/>
      <c r="H5" s="558"/>
      <c r="I5" s="558"/>
      <c r="J5" s="558"/>
      <c r="K5" s="558"/>
      <c r="L5" s="558"/>
      <c r="M5" s="558"/>
      <c r="N5" s="558"/>
      <c r="O5" s="558"/>
      <c r="P5" s="558"/>
      <c r="Q5" s="558"/>
      <c r="R5" s="558"/>
      <c r="S5" s="558"/>
      <c r="T5" s="558"/>
      <c r="U5" s="558"/>
      <c r="V5" s="558"/>
      <c r="W5" s="558"/>
    </row>
    <row r="6" spans="1:23">
      <c r="A6" s="558"/>
      <c r="B6" s="558"/>
      <c r="C6" s="558"/>
      <c r="D6" s="558"/>
      <c r="E6" s="558"/>
      <c r="F6" s="558"/>
      <c r="G6" s="559"/>
      <c r="H6" s="558"/>
      <c r="I6" s="558"/>
      <c r="J6" s="558"/>
      <c r="K6" s="558"/>
      <c r="L6" s="560"/>
      <c r="M6" s="560"/>
      <c r="N6" s="560"/>
      <c r="O6" s="560"/>
      <c r="P6" s="560"/>
      <c r="Q6" s="560"/>
      <c r="R6" s="558"/>
      <c r="S6" s="558"/>
      <c r="T6" s="558"/>
      <c r="U6" s="558"/>
      <c r="V6" s="558"/>
      <c r="W6" s="558"/>
    </row>
    <row r="7" spans="1:23">
      <c r="A7" s="561"/>
      <c r="B7" s="561"/>
      <c r="C7" s="561"/>
      <c r="D7" s="561"/>
      <c r="E7" s="561"/>
      <c r="F7" s="561"/>
      <c r="G7" s="558"/>
      <c r="H7" s="558"/>
      <c r="I7" s="558"/>
      <c r="J7" s="558"/>
      <c r="K7" s="558"/>
      <c r="L7" s="558"/>
      <c r="M7" s="558"/>
      <c r="N7" s="558"/>
      <c r="O7" s="558"/>
      <c r="P7" s="558"/>
      <c r="Q7" s="558"/>
      <c r="R7" s="558"/>
      <c r="S7" s="558"/>
      <c r="T7" s="558"/>
      <c r="U7" s="558"/>
      <c r="V7" s="558"/>
      <c r="W7" s="558"/>
    </row>
    <row r="8" spans="1:23" ht="15" customHeight="1">
      <c r="A8" s="558"/>
      <c r="B8" s="558"/>
      <c r="C8" s="558"/>
      <c r="D8" s="558"/>
      <c r="E8" s="558"/>
      <c r="F8" s="558"/>
      <c r="G8" s="558"/>
      <c r="H8" s="558"/>
      <c r="I8" s="558"/>
      <c r="J8" s="558"/>
      <c r="K8" s="558"/>
      <c r="L8" s="558"/>
      <c r="M8" s="558"/>
      <c r="N8" s="558"/>
      <c r="O8" s="558"/>
      <c r="P8" s="558"/>
      <c r="Q8" s="558"/>
      <c r="R8" s="558"/>
      <c r="S8" s="558"/>
      <c r="T8" s="558"/>
      <c r="U8" s="558"/>
      <c r="V8" s="558"/>
      <c r="W8" s="558"/>
    </row>
    <row r="9" spans="1:23" ht="15" customHeight="1">
      <c r="A9" s="558"/>
      <c r="B9" s="558"/>
      <c r="C9" s="558"/>
      <c r="D9" s="558"/>
      <c r="E9" s="558"/>
      <c r="F9" s="558"/>
      <c r="G9" s="558"/>
      <c r="H9" s="558"/>
      <c r="I9" s="558"/>
      <c r="J9" s="558"/>
      <c r="K9" s="558"/>
      <c r="L9" s="558"/>
      <c r="M9" s="558"/>
      <c r="N9" s="558"/>
      <c r="O9" s="558"/>
      <c r="P9" s="558"/>
      <c r="Q9" s="558"/>
      <c r="R9" s="558"/>
      <c r="S9" s="558"/>
      <c r="T9" s="558"/>
      <c r="U9" s="558"/>
      <c r="V9" s="558"/>
      <c r="W9" s="558"/>
    </row>
    <row r="10" spans="1:23">
      <c r="A10" s="558"/>
      <c r="B10" s="558"/>
      <c r="C10" s="558"/>
      <c r="D10" s="558"/>
      <c r="E10" s="558"/>
      <c r="F10" s="558"/>
      <c r="G10" s="558"/>
      <c r="H10" s="558"/>
      <c r="I10" s="558"/>
      <c r="J10" s="558"/>
      <c r="K10" s="558"/>
      <c r="L10" s="558"/>
      <c r="M10" s="558"/>
      <c r="N10" s="558"/>
      <c r="O10" s="558"/>
      <c r="P10" s="558"/>
      <c r="Q10" s="558"/>
      <c r="R10" s="558"/>
      <c r="S10" s="558"/>
      <c r="T10" s="558"/>
      <c r="U10" s="558"/>
      <c r="V10" s="558"/>
      <c r="W10" s="558"/>
    </row>
    <row r="11" spans="1:23" ht="15" customHeight="1">
      <c r="A11" s="558"/>
      <c r="B11" s="558"/>
      <c r="C11" s="558"/>
      <c r="D11" s="558"/>
      <c r="E11" s="558"/>
      <c r="F11" s="558"/>
      <c r="G11" s="558"/>
      <c r="H11" s="558"/>
      <c r="I11" s="558"/>
      <c r="J11" s="558"/>
      <c r="K11" s="558"/>
      <c r="L11" s="558"/>
      <c r="M11" s="558"/>
      <c r="N11" s="558"/>
      <c r="O11" s="558"/>
      <c r="P11" s="558"/>
      <c r="Q11" s="558"/>
      <c r="R11" s="558"/>
      <c r="S11" s="558"/>
      <c r="T11" s="558"/>
      <c r="U11" s="558"/>
      <c r="V11" s="558"/>
      <c r="W11" s="558"/>
    </row>
    <row r="12" spans="1:23" ht="15" customHeight="1">
      <c r="A12" s="558"/>
      <c r="B12" s="558"/>
      <c r="C12" s="558"/>
      <c r="D12" s="558"/>
      <c r="E12" s="558"/>
      <c r="F12" s="558"/>
      <c r="G12" s="558"/>
      <c r="H12" s="558"/>
      <c r="I12" s="558"/>
      <c r="J12" s="558"/>
      <c r="K12" s="558"/>
      <c r="L12" s="558"/>
      <c r="M12" s="558"/>
      <c r="N12" s="558"/>
      <c r="O12" s="558"/>
      <c r="P12" s="558"/>
      <c r="Q12" s="558"/>
      <c r="R12" s="558"/>
      <c r="S12" s="558"/>
      <c r="T12" s="558"/>
      <c r="U12" s="558"/>
      <c r="V12" s="558"/>
      <c r="W12" s="558"/>
    </row>
    <row r="13" spans="1:23">
      <c r="A13" s="558"/>
      <c r="B13" s="558"/>
      <c r="C13" s="558"/>
      <c r="D13" s="558"/>
      <c r="E13" s="558"/>
      <c r="F13" s="558"/>
      <c r="G13" s="558"/>
      <c r="H13" s="558"/>
      <c r="I13" s="558"/>
      <c r="J13" s="558"/>
      <c r="K13" s="558"/>
      <c r="L13" s="558"/>
      <c r="M13" s="558"/>
      <c r="N13" s="558"/>
      <c r="O13" s="558"/>
      <c r="P13" s="558"/>
      <c r="Q13" s="558"/>
      <c r="R13" s="558"/>
      <c r="S13" s="558"/>
      <c r="T13" s="558"/>
      <c r="U13" s="558"/>
      <c r="V13" s="558"/>
      <c r="W13" s="558"/>
    </row>
    <row r="14" spans="1:23">
      <c r="A14" s="558"/>
      <c r="B14" s="558"/>
      <c r="C14" s="558"/>
      <c r="D14" s="558"/>
      <c r="E14" s="558"/>
      <c r="F14" s="558"/>
      <c r="G14" s="558"/>
      <c r="H14" s="558"/>
      <c r="I14" s="558"/>
      <c r="J14" s="558"/>
      <c r="K14" s="558"/>
      <c r="L14" s="558"/>
      <c r="M14" s="558"/>
      <c r="N14" s="558"/>
      <c r="O14" s="558"/>
      <c r="P14" s="558"/>
      <c r="Q14" s="558"/>
      <c r="R14" s="558"/>
      <c r="S14" s="558"/>
      <c r="T14" s="558"/>
      <c r="U14" s="558"/>
      <c r="V14" s="558"/>
      <c r="W14" s="558"/>
    </row>
    <row r="15" spans="1:23">
      <c r="A15" s="558"/>
      <c r="B15" s="558"/>
      <c r="C15" s="558"/>
      <c r="D15" s="558"/>
      <c r="E15" s="558"/>
      <c r="F15" s="558"/>
      <c r="G15" s="558"/>
      <c r="H15" s="558"/>
      <c r="I15" s="558"/>
      <c r="J15" s="558"/>
      <c r="K15" s="558"/>
      <c r="L15" s="558"/>
      <c r="M15" s="558"/>
      <c r="N15" s="558"/>
      <c r="O15" s="558"/>
      <c r="P15" s="558"/>
      <c r="Q15" s="558"/>
      <c r="R15" s="558"/>
      <c r="S15" s="558"/>
      <c r="T15" s="558"/>
      <c r="U15" s="558"/>
      <c r="V15" s="558"/>
      <c r="W15" s="558"/>
    </row>
    <row r="16" spans="1:23">
      <c r="A16" s="558"/>
      <c r="B16" s="558"/>
      <c r="C16" s="558"/>
      <c r="D16" s="558"/>
      <c r="E16" s="558"/>
      <c r="F16" s="558"/>
      <c r="G16" s="558"/>
      <c r="H16" s="558"/>
      <c r="I16" s="558"/>
      <c r="J16" s="558"/>
      <c r="K16" s="558"/>
      <c r="L16" s="558"/>
      <c r="M16" s="558"/>
      <c r="N16" s="558"/>
      <c r="O16" s="558"/>
      <c r="P16" s="558"/>
      <c r="Q16" s="558"/>
      <c r="R16" s="558"/>
      <c r="S16" s="558"/>
      <c r="T16" s="558"/>
      <c r="U16" s="558"/>
      <c r="V16" s="558"/>
      <c r="W16" s="558"/>
    </row>
    <row r="17" spans="1:25">
      <c r="A17" s="558"/>
      <c r="B17" s="558"/>
      <c r="C17" s="558"/>
      <c r="D17" s="558"/>
      <c r="E17" s="558"/>
      <c r="F17" s="558"/>
      <c r="G17" s="558"/>
      <c r="H17" s="558"/>
      <c r="I17" s="558"/>
      <c r="J17" s="558"/>
      <c r="K17" s="558"/>
      <c r="L17" s="558"/>
      <c r="M17" s="558"/>
      <c r="N17" s="558"/>
      <c r="O17" s="558"/>
      <c r="P17" s="558"/>
      <c r="Q17" s="558"/>
      <c r="R17" s="558"/>
      <c r="S17" s="558"/>
      <c r="T17" s="558"/>
      <c r="U17" s="558"/>
      <c r="V17" s="558"/>
      <c r="W17" s="558"/>
    </row>
    <row r="18" spans="1:25">
      <c r="A18" s="558"/>
      <c r="B18" s="558"/>
      <c r="C18" s="558"/>
      <c r="D18" s="558"/>
      <c r="E18" s="558"/>
      <c r="F18" s="558"/>
      <c r="G18" s="558"/>
      <c r="H18" s="558"/>
      <c r="I18" s="558"/>
      <c r="J18" s="558"/>
      <c r="K18" s="558"/>
      <c r="L18" s="558"/>
      <c r="M18" s="558"/>
      <c r="N18" s="558"/>
      <c r="O18" s="558"/>
      <c r="P18" s="558"/>
      <c r="Q18" s="558"/>
      <c r="R18" s="558"/>
      <c r="S18" s="558"/>
      <c r="T18" s="558"/>
      <c r="U18" s="558"/>
      <c r="V18" s="558"/>
      <c r="W18" s="558"/>
    </row>
    <row r="19" spans="1:25">
      <c r="A19" s="558"/>
      <c r="B19" s="558"/>
      <c r="C19" s="558"/>
      <c r="D19" s="558"/>
      <c r="E19" s="558"/>
      <c r="F19" s="558"/>
      <c r="G19" s="558"/>
      <c r="H19" s="558"/>
      <c r="I19" s="558"/>
      <c r="J19" s="558"/>
      <c r="K19" s="558"/>
      <c r="L19" s="558"/>
      <c r="M19" s="558"/>
      <c r="N19" s="558"/>
      <c r="O19" s="558"/>
      <c r="P19" s="558"/>
      <c r="Q19" s="558"/>
      <c r="R19" s="558"/>
      <c r="S19" s="558"/>
      <c r="T19" s="558"/>
      <c r="U19" s="558"/>
      <c r="V19" s="558"/>
      <c r="W19" s="558"/>
    </row>
    <row r="20" spans="1:25">
      <c r="A20" s="558"/>
      <c r="B20" s="558"/>
      <c r="C20" s="558"/>
      <c r="D20" s="558"/>
      <c r="E20" s="558"/>
      <c r="F20" s="558"/>
      <c r="G20" s="558"/>
      <c r="H20" s="558"/>
      <c r="I20" s="558"/>
      <c r="J20" s="558"/>
      <c r="K20" s="558"/>
      <c r="L20" s="558"/>
      <c r="M20" s="558"/>
      <c r="N20" s="558"/>
      <c r="O20" s="558"/>
      <c r="P20" s="558"/>
      <c r="Q20" s="558"/>
      <c r="R20" s="558"/>
      <c r="S20" s="558"/>
      <c r="T20" s="558"/>
      <c r="U20" s="558"/>
      <c r="V20" s="558"/>
      <c r="W20" s="558"/>
    </row>
    <row r="21" spans="1:25">
      <c r="A21" s="558"/>
      <c r="B21" s="558"/>
      <c r="C21" s="558"/>
      <c r="D21" s="558"/>
      <c r="E21" s="558"/>
      <c r="F21" s="558"/>
      <c r="G21" s="558"/>
      <c r="H21" s="558"/>
      <c r="I21" s="558"/>
      <c r="J21" s="558"/>
      <c r="K21" s="558"/>
      <c r="L21" s="558"/>
      <c r="M21" s="558"/>
      <c r="N21" s="558"/>
      <c r="O21" s="558"/>
      <c r="P21" s="558"/>
      <c r="Q21" s="558"/>
      <c r="R21" s="558"/>
      <c r="S21" s="558"/>
      <c r="T21" s="558"/>
      <c r="U21" s="558"/>
      <c r="V21" s="558"/>
      <c r="W21" s="558"/>
    </row>
    <row r="22" spans="1:25">
      <c r="A22" s="558"/>
      <c r="B22" s="558"/>
      <c r="C22" s="558"/>
      <c r="D22" s="558"/>
      <c r="E22" s="558"/>
      <c r="F22" s="558"/>
      <c r="G22" s="558"/>
      <c r="H22" s="558"/>
      <c r="I22" s="558"/>
      <c r="J22" s="558"/>
      <c r="K22" s="558"/>
      <c r="L22" s="558"/>
      <c r="M22" s="558"/>
      <c r="N22" s="558"/>
      <c r="O22" s="558"/>
      <c r="P22" s="558"/>
      <c r="Q22" s="558"/>
      <c r="R22" s="558"/>
      <c r="S22" s="558"/>
      <c r="T22" s="558"/>
      <c r="U22" s="558"/>
      <c r="V22" s="558"/>
      <c r="W22" s="558"/>
    </row>
    <row r="23" spans="1:25">
      <c r="A23" s="558"/>
      <c r="B23" s="558"/>
      <c r="C23" s="558"/>
      <c r="D23" s="558"/>
      <c r="E23" s="558"/>
      <c r="F23" s="558"/>
      <c r="G23" s="558"/>
      <c r="H23" s="558"/>
      <c r="I23" s="558"/>
      <c r="J23" s="558"/>
      <c r="K23" s="558"/>
      <c r="L23" s="558"/>
      <c r="M23" s="558"/>
      <c r="N23" s="558"/>
      <c r="O23" s="558"/>
      <c r="P23" s="558"/>
      <c r="Q23" s="558"/>
      <c r="R23" s="558"/>
      <c r="S23" s="558"/>
      <c r="T23" s="558"/>
      <c r="U23" s="558"/>
      <c r="V23" s="558"/>
      <c r="W23" s="558"/>
    </row>
    <row r="24" spans="1:25">
      <c r="A24" s="558"/>
      <c r="B24" s="558"/>
      <c r="C24" s="558"/>
      <c r="D24" s="558"/>
      <c r="E24" s="558"/>
      <c r="F24" s="558"/>
      <c r="G24" s="558"/>
      <c r="H24" s="558"/>
      <c r="I24" s="558"/>
      <c r="J24" s="558"/>
      <c r="K24" s="558"/>
      <c r="L24" s="558"/>
      <c r="M24" s="558"/>
      <c r="N24" s="558"/>
      <c r="O24" s="558"/>
      <c r="P24" s="558"/>
      <c r="Q24" s="558"/>
      <c r="R24" s="558"/>
      <c r="S24" s="558"/>
      <c r="T24" s="558"/>
      <c r="U24" s="558"/>
      <c r="V24" s="558"/>
      <c r="W24" s="558"/>
    </row>
    <row r="25" spans="1:25">
      <c r="A25" s="558"/>
      <c r="B25" s="558"/>
      <c r="C25" s="558"/>
      <c r="D25" s="558"/>
      <c r="E25" s="558"/>
      <c r="F25" s="558"/>
      <c r="G25" s="558"/>
      <c r="H25" s="558"/>
      <c r="I25" s="558"/>
      <c r="J25" s="558"/>
      <c r="K25" s="558"/>
      <c r="L25" s="558"/>
      <c r="M25" s="558"/>
      <c r="N25" s="558"/>
      <c r="O25" s="558"/>
      <c r="P25" s="558"/>
      <c r="Q25" s="558"/>
      <c r="R25" s="558"/>
      <c r="S25" s="558"/>
      <c r="T25" s="558"/>
      <c r="U25" s="558"/>
      <c r="V25" s="558"/>
      <c r="W25" s="558"/>
    </row>
    <row r="26" spans="1:25">
      <c r="A26" s="558"/>
      <c r="B26" s="558"/>
      <c r="C26" s="558"/>
      <c r="D26" s="558"/>
      <c r="E26" s="558"/>
      <c r="F26" s="558"/>
      <c r="G26" s="558"/>
      <c r="H26" s="558"/>
      <c r="I26" s="558"/>
      <c r="J26" s="558"/>
      <c r="K26" s="558"/>
      <c r="L26" s="558"/>
      <c r="M26" s="558"/>
      <c r="N26" s="558"/>
      <c r="O26" s="558"/>
      <c r="P26" s="558"/>
      <c r="Q26" s="558"/>
      <c r="R26" s="558"/>
      <c r="S26" s="558"/>
      <c r="T26" s="558"/>
      <c r="U26" s="558"/>
      <c r="V26" s="558"/>
      <c r="W26" s="558"/>
    </row>
    <row r="27" spans="1:25">
      <c r="A27" s="558"/>
      <c r="B27" s="558"/>
      <c r="C27" s="558"/>
      <c r="D27" s="558"/>
      <c r="E27" s="558"/>
      <c r="F27" s="558"/>
      <c r="G27" s="558"/>
      <c r="H27" s="558"/>
      <c r="I27" s="558"/>
      <c r="J27" s="558"/>
      <c r="K27" s="558"/>
      <c r="L27" s="558"/>
      <c r="M27" s="558"/>
      <c r="N27" s="558"/>
      <c r="O27" s="558"/>
      <c r="P27" s="558"/>
      <c r="Q27" s="558"/>
      <c r="R27" s="558"/>
      <c r="S27" s="558"/>
      <c r="T27" s="558"/>
      <c r="U27" s="558"/>
      <c r="V27" s="558"/>
      <c r="W27" s="558"/>
    </row>
    <row r="28" spans="1:25">
      <c r="A28" s="558"/>
      <c r="B28" s="558"/>
      <c r="C28" s="558"/>
      <c r="D28" s="558"/>
      <c r="E28" s="558"/>
      <c r="F28" s="558"/>
      <c r="G28" s="558"/>
      <c r="H28" s="558"/>
      <c r="I28" s="558"/>
      <c r="J28" s="558"/>
      <c r="K28" s="558"/>
      <c r="L28" s="558"/>
      <c r="M28" s="558"/>
      <c r="N28" s="558"/>
      <c r="O28" s="558"/>
      <c r="P28" s="562"/>
      <c r="Q28" s="562"/>
      <c r="R28" s="562"/>
      <c r="S28" s="562"/>
      <c r="T28" s="562"/>
      <c r="U28" s="562"/>
      <c r="V28" s="562"/>
      <c r="W28" s="562"/>
      <c r="X28" s="543"/>
      <c r="Y28" s="543"/>
    </row>
    <row r="29" spans="1:25">
      <c r="A29" s="558"/>
      <c r="B29" s="558"/>
      <c r="C29" s="558"/>
      <c r="D29" s="558"/>
      <c r="E29" s="558"/>
      <c r="F29" s="558"/>
      <c r="G29" s="558"/>
      <c r="H29" s="558"/>
      <c r="I29" s="558"/>
      <c r="J29" s="558"/>
      <c r="K29" s="558"/>
      <c r="L29" s="558"/>
      <c r="M29" s="558"/>
      <c r="N29" s="558"/>
      <c r="O29" s="558"/>
      <c r="P29" s="563"/>
      <c r="Q29" s="563"/>
      <c r="R29" s="563"/>
      <c r="S29" s="563"/>
      <c r="T29" s="563"/>
      <c r="U29" s="563"/>
      <c r="V29" s="558"/>
      <c r="W29" s="564"/>
      <c r="X29" s="544"/>
      <c r="Y29" s="544"/>
    </row>
    <row r="30" spans="1:25">
      <c r="A30" s="558"/>
      <c r="B30" s="558"/>
      <c r="C30" s="558"/>
      <c r="D30" s="558"/>
      <c r="E30" s="558"/>
      <c r="F30" s="558"/>
      <c r="G30" s="558"/>
      <c r="H30" s="558"/>
      <c r="I30" s="558"/>
      <c r="J30" s="558"/>
      <c r="K30" s="558"/>
      <c r="L30" s="558"/>
      <c r="M30" s="558"/>
      <c r="N30" s="558"/>
      <c r="O30" s="558"/>
      <c r="P30" s="558"/>
      <c r="Q30" s="558"/>
      <c r="R30" s="558"/>
      <c r="S30" s="558"/>
      <c r="T30" s="558"/>
      <c r="U30" s="558"/>
      <c r="V30" s="558"/>
      <c r="W30" s="558"/>
    </row>
    <row r="31" spans="1:25">
      <c r="A31" s="558"/>
      <c r="B31" s="558"/>
      <c r="C31" s="558"/>
      <c r="D31" s="558"/>
      <c r="E31" s="558"/>
      <c r="F31" s="558"/>
      <c r="G31" s="558"/>
      <c r="H31" s="558"/>
      <c r="I31" s="558"/>
      <c r="J31" s="558"/>
      <c r="K31" s="558"/>
      <c r="L31" s="558"/>
      <c r="M31" s="558"/>
      <c r="N31" s="558"/>
      <c r="O31" s="558"/>
      <c r="P31" s="565"/>
      <c r="Q31" s="558"/>
      <c r="R31" s="558"/>
      <c r="S31" s="558"/>
      <c r="T31" s="558"/>
      <c r="U31" s="558"/>
      <c r="V31" s="558"/>
      <c r="W31" s="558"/>
    </row>
    <row r="32" spans="1:25">
      <c r="A32" s="558"/>
      <c r="B32" s="558"/>
      <c r="C32" s="558"/>
      <c r="D32" s="558"/>
      <c r="E32" s="558"/>
      <c r="F32" s="558"/>
      <c r="G32" s="558"/>
      <c r="H32" s="558"/>
      <c r="I32" s="558"/>
      <c r="J32" s="558"/>
      <c r="K32" s="558"/>
      <c r="L32" s="558"/>
      <c r="M32" s="558"/>
      <c r="N32" s="558"/>
      <c r="O32" s="558"/>
      <c r="P32" s="564"/>
      <c r="Q32" s="558"/>
      <c r="R32" s="558"/>
      <c r="S32" s="558"/>
      <c r="T32" s="558"/>
      <c r="U32" s="558"/>
      <c r="V32" s="558"/>
      <c r="W32" s="558"/>
    </row>
    <row r="33" spans="1:23">
      <c r="A33" s="558"/>
      <c r="B33" s="558"/>
      <c r="C33" s="558"/>
      <c r="D33" s="558"/>
      <c r="E33" s="558"/>
      <c r="F33" s="558"/>
      <c r="G33" s="558"/>
      <c r="H33" s="558"/>
      <c r="I33" s="558"/>
      <c r="J33" s="558"/>
      <c r="K33" s="558"/>
      <c r="L33" s="558"/>
      <c r="M33" s="558"/>
      <c r="N33" s="558"/>
      <c r="O33" s="558"/>
      <c r="P33" s="564"/>
      <c r="Q33" s="558"/>
      <c r="R33" s="558"/>
      <c r="S33" s="558"/>
      <c r="T33" s="558"/>
      <c r="U33" s="558"/>
      <c r="V33" s="558"/>
      <c r="W33" s="558"/>
    </row>
    <row r="34" spans="1:23">
      <c r="A34" s="558"/>
      <c r="B34" s="558"/>
      <c r="C34" s="558"/>
      <c r="D34" s="558"/>
      <c r="E34" s="558"/>
      <c r="F34" s="558"/>
      <c r="G34" s="558"/>
      <c r="H34" s="558"/>
      <c r="I34" s="558"/>
      <c r="J34" s="558"/>
      <c r="K34" s="558"/>
      <c r="L34" s="558"/>
      <c r="M34" s="558"/>
      <c r="N34" s="558"/>
      <c r="O34" s="558"/>
      <c r="P34" s="564"/>
      <c r="Q34" s="558"/>
      <c r="R34" s="558"/>
      <c r="S34" s="558"/>
      <c r="T34" s="558"/>
      <c r="U34" s="558"/>
      <c r="V34" s="558"/>
      <c r="W34" s="558"/>
    </row>
    <row r="35" spans="1:23">
      <c r="A35" s="558"/>
      <c r="B35" s="558"/>
      <c r="C35" s="558"/>
      <c r="D35" s="558"/>
      <c r="E35" s="558"/>
      <c r="F35" s="558"/>
      <c r="G35" s="558"/>
      <c r="H35" s="566"/>
      <c r="I35" s="558"/>
      <c r="J35" s="565"/>
      <c r="K35" s="558"/>
      <c r="L35" s="558"/>
      <c r="M35" s="564"/>
      <c r="N35" s="564"/>
      <c r="O35" s="564"/>
      <c r="P35" s="564"/>
      <c r="Q35" s="558"/>
      <c r="R35" s="558"/>
      <c r="S35" s="558"/>
      <c r="T35" s="558"/>
      <c r="U35" s="558"/>
      <c r="V35" s="558"/>
      <c r="W35" s="558"/>
    </row>
    <row r="36" spans="1:23">
      <c r="A36" s="558"/>
      <c r="B36" s="558"/>
      <c r="C36" s="558"/>
      <c r="D36" s="558"/>
      <c r="E36" s="558"/>
      <c r="F36" s="558"/>
      <c r="G36" s="558"/>
      <c r="H36" s="566"/>
      <c r="I36" s="558"/>
      <c r="J36" s="565"/>
      <c r="K36" s="558"/>
      <c r="L36" s="558"/>
      <c r="M36" s="564"/>
      <c r="N36" s="564"/>
      <c r="O36" s="564"/>
      <c r="P36" s="564"/>
      <c r="Q36" s="558"/>
      <c r="R36" s="558"/>
      <c r="S36" s="558"/>
      <c r="T36" s="558"/>
      <c r="U36" s="558"/>
      <c r="V36" s="558"/>
      <c r="W36" s="558"/>
    </row>
    <row r="37" spans="1:23">
      <c r="A37" s="558"/>
      <c r="B37" s="558"/>
      <c r="C37" s="558"/>
      <c r="D37" s="558"/>
      <c r="E37" s="558"/>
      <c r="F37" s="558"/>
      <c r="G37" s="558"/>
      <c r="H37" s="558"/>
      <c r="I37" s="558"/>
      <c r="J37" s="565"/>
      <c r="K37" s="558"/>
      <c r="L37" s="558"/>
      <c r="M37" s="567"/>
      <c r="N37" s="566"/>
      <c r="O37" s="564"/>
      <c r="P37" s="564"/>
      <c r="Q37" s="558"/>
      <c r="R37" s="558"/>
      <c r="S37" s="558"/>
      <c r="T37" s="558"/>
      <c r="U37" s="558"/>
      <c r="V37" s="558"/>
      <c r="W37" s="558"/>
    </row>
    <row r="38" spans="1:23">
      <c r="A38" s="558"/>
      <c r="B38" s="558"/>
      <c r="C38" s="558"/>
      <c r="D38" s="558"/>
      <c r="E38" s="558"/>
      <c r="F38" s="558"/>
      <c r="G38" s="558"/>
      <c r="H38" s="566"/>
      <c r="I38" s="558"/>
      <c r="J38" s="565"/>
      <c r="K38" s="558"/>
      <c r="L38" s="558"/>
      <c r="M38" s="564"/>
      <c r="N38" s="564"/>
      <c r="O38" s="564"/>
      <c r="P38" s="564"/>
      <c r="Q38" s="558"/>
      <c r="R38" s="558"/>
      <c r="S38" s="558"/>
      <c r="T38" s="558"/>
      <c r="U38" s="558"/>
      <c r="V38" s="558"/>
      <c r="W38" s="558"/>
    </row>
    <row r="39" spans="1:23">
      <c r="A39" s="558"/>
      <c r="B39" s="558"/>
      <c r="C39" s="558"/>
      <c r="D39" s="558"/>
      <c r="E39" s="558"/>
      <c r="F39" s="558"/>
      <c r="G39" s="558"/>
      <c r="H39" s="565"/>
      <c r="I39" s="565"/>
      <c r="J39" s="565"/>
      <c r="K39" s="558"/>
      <c r="L39" s="564"/>
      <c r="M39" s="564"/>
      <c r="N39" s="564"/>
      <c r="O39" s="564"/>
      <c r="P39" s="564"/>
      <c r="Q39" s="558"/>
      <c r="R39" s="558"/>
      <c r="S39" s="558"/>
      <c r="T39" s="558"/>
      <c r="U39" s="558"/>
      <c r="V39" s="558"/>
      <c r="W39" s="558"/>
    </row>
    <row r="40" spans="1:23">
      <c r="A40" s="558"/>
      <c r="B40" s="558"/>
      <c r="C40" s="558"/>
      <c r="D40" s="558"/>
      <c r="E40" s="558"/>
      <c r="F40" s="558"/>
      <c r="G40" s="564"/>
      <c r="H40" s="564"/>
      <c r="I40" s="564"/>
      <c r="J40" s="564"/>
      <c r="K40" s="564"/>
      <c r="L40" s="564"/>
      <c r="M40" s="564"/>
      <c r="N40" s="564"/>
      <c r="O40" s="564"/>
      <c r="P40" s="564"/>
      <c r="Q40" s="558"/>
      <c r="R40" s="558"/>
      <c r="S40" s="558"/>
      <c r="T40" s="558"/>
      <c r="U40" s="558"/>
      <c r="V40" s="558"/>
      <c r="W40" s="558"/>
    </row>
    <row r="41" spans="1:23">
      <c r="A41" s="558"/>
      <c r="B41" s="558"/>
      <c r="C41" s="558"/>
      <c r="D41" s="558"/>
      <c r="E41" s="558"/>
      <c r="F41" s="558"/>
      <c r="G41" s="564"/>
      <c r="H41" s="564"/>
      <c r="I41" s="564"/>
      <c r="J41" s="564"/>
      <c r="K41" s="564"/>
      <c r="L41" s="564"/>
      <c r="M41" s="564"/>
      <c r="N41" s="564"/>
      <c r="O41" s="564"/>
      <c r="P41" s="564"/>
      <c r="Q41" s="558"/>
      <c r="R41" s="558"/>
      <c r="S41" s="558"/>
      <c r="T41" s="558"/>
      <c r="U41" s="558"/>
      <c r="V41" s="558"/>
      <c r="W41" s="558"/>
    </row>
    <row r="42" spans="1:23">
      <c r="A42" s="558"/>
      <c r="B42" s="558"/>
      <c r="C42" s="558"/>
      <c r="D42" s="558"/>
      <c r="E42" s="558"/>
      <c r="F42" s="558"/>
      <c r="G42" s="564"/>
      <c r="H42" s="564"/>
      <c r="I42" s="564"/>
      <c r="J42" s="564"/>
      <c r="K42" s="564"/>
      <c r="L42" s="564"/>
      <c r="M42" s="564"/>
      <c r="N42" s="564"/>
      <c r="O42" s="564"/>
      <c r="P42" s="564"/>
      <c r="Q42" s="558"/>
      <c r="R42" s="558"/>
      <c r="S42" s="558"/>
      <c r="T42" s="558"/>
      <c r="U42" s="558"/>
      <c r="V42" s="558"/>
      <c r="W42" s="558"/>
    </row>
    <row r="43" spans="1:23">
      <c r="A43" s="558"/>
      <c r="B43" s="558"/>
      <c r="C43" s="558"/>
      <c r="D43" s="558"/>
      <c r="E43" s="558"/>
      <c r="F43" s="558"/>
      <c r="G43" s="564"/>
      <c r="H43" s="564"/>
      <c r="I43" s="564"/>
      <c r="J43" s="564"/>
      <c r="K43" s="564"/>
      <c r="L43" s="564"/>
      <c r="M43" s="564"/>
      <c r="N43" s="564"/>
      <c r="O43" s="564"/>
      <c r="P43" s="564"/>
      <c r="Q43" s="558"/>
      <c r="R43" s="558"/>
      <c r="S43" s="558"/>
      <c r="T43" s="558"/>
      <c r="U43" s="558"/>
      <c r="V43" s="558"/>
      <c r="W43" s="558"/>
    </row>
    <row r="44" spans="1:23">
      <c r="A44" s="558"/>
      <c r="B44" s="558"/>
      <c r="C44" s="558"/>
      <c r="D44" s="558"/>
      <c r="E44" s="558"/>
      <c r="F44" s="558"/>
      <c r="G44" s="564"/>
      <c r="H44" s="564"/>
      <c r="I44" s="564"/>
      <c r="J44" s="564"/>
      <c r="K44" s="564"/>
      <c r="L44" s="564"/>
      <c r="M44" s="564"/>
      <c r="N44" s="564"/>
      <c r="O44" s="564"/>
      <c r="P44" s="564"/>
      <c r="Q44" s="558"/>
      <c r="R44" s="558"/>
      <c r="S44" s="558"/>
      <c r="T44" s="558"/>
      <c r="U44" s="558"/>
      <c r="V44" s="558"/>
      <c r="W44" s="558"/>
    </row>
    <row r="45" spans="1:23">
      <c r="A45" s="558"/>
      <c r="B45" s="558"/>
      <c r="C45" s="558"/>
      <c r="D45" s="558"/>
      <c r="E45" s="558"/>
      <c r="F45" s="558"/>
      <c r="G45" s="564"/>
      <c r="H45" s="564"/>
      <c r="I45" s="564"/>
      <c r="J45" s="564"/>
      <c r="K45" s="564"/>
      <c r="L45" s="564"/>
      <c r="M45" s="564"/>
      <c r="N45" s="564"/>
      <c r="O45" s="564"/>
      <c r="P45" s="564"/>
      <c r="Q45" s="564"/>
      <c r="R45" s="558"/>
      <c r="S45" s="558"/>
      <c r="T45" s="558"/>
      <c r="U45" s="558"/>
      <c r="V45" s="558"/>
      <c r="W45" s="558"/>
    </row>
    <row r="46" spans="1:23">
      <c r="A46" s="558"/>
      <c r="B46" s="558"/>
      <c r="C46" s="558"/>
      <c r="D46" s="558"/>
      <c r="E46" s="558"/>
      <c r="F46" s="558"/>
      <c r="G46" s="564"/>
      <c r="H46" s="564"/>
      <c r="I46" s="564"/>
      <c r="J46" s="564"/>
      <c r="K46" s="564"/>
      <c r="L46" s="564"/>
      <c r="M46" s="564"/>
      <c r="N46" s="564"/>
      <c r="O46" s="564"/>
      <c r="P46" s="564"/>
      <c r="Q46" s="558"/>
      <c r="R46" s="558"/>
      <c r="S46" s="558"/>
      <c r="T46" s="558"/>
      <c r="U46" s="558"/>
      <c r="V46" s="558"/>
      <c r="W46" s="558"/>
    </row>
    <row r="47" spans="1:23">
      <c r="A47" s="558"/>
      <c r="B47" s="558"/>
      <c r="C47" s="558"/>
      <c r="D47" s="558"/>
      <c r="E47" s="558"/>
      <c r="F47" s="558"/>
      <c r="G47" s="564"/>
      <c r="H47" s="564"/>
      <c r="I47" s="564"/>
      <c r="J47" s="564"/>
      <c r="K47" s="564"/>
      <c r="L47" s="564"/>
      <c r="M47" s="564"/>
      <c r="N47" s="564"/>
      <c r="O47" s="564"/>
      <c r="P47" s="564"/>
      <c r="Q47" s="558"/>
      <c r="R47" s="558"/>
      <c r="S47" s="558"/>
      <c r="T47" s="558"/>
      <c r="U47" s="558"/>
      <c r="V47" s="558"/>
      <c r="W47" s="558"/>
    </row>
    <row r="48" spans="1:23">
      <c r="A48" s="558"/>
      <c r="B48" s="558"/>
      <c r="C48" s="558"/>
      <c r="D48" s="558"/>
      <c r="E48" s="558"/>
      <c r="F48" s="558"/>
      <c r="G48" s="564"/>
      <c r="H48" s="564"/>
      <c r="I48" s="564"/>
      <c r="J48" s="564"/>
      <c r="K48" s="564"/>
      <c r="L48" s="564"/>
      <c r="M48" s="564"/>
      <c r="N48" s="564"/>
      <c r="O48" s="564"/>
      <c r="P48" s="564"/>
      <c r="Q48" s="558"/>
      <c r="R48" s="558"/>
      <c r="S48" s="558"/>
      <c r="T48" s="558"/>
      <c r="U48" s="558"/>
      <c r="V48" s="558"/>
      <c r="W48" s="558"/>
    </row>
    <row r="49" spans="1:25">
      <c r="A49" s="558"/>
      <c r="B49" s="558"/>
      <c r="C49" s="558"/>
      <c r="D49" s="558"/>
      <c r="E49" s="558"/>
      <c r="F49" s="558"/>
      <c r="G49" s="564"/>
      <c r="H49" s="564"/>
      <c r="I49" s="564"/>
      <c r="J49" s="564"/>
      <c r="K49" s="564"/>
      <c r="L49" s="558"/>
      <c r="M49" s="558"/>
      <c r="N49" s="558"/>
      <c r="O49" s="558"/>
      <c r="P49" s="564"/>
      <c r="Q49" s="564"/>
      <c r="R49" s="564"/>
      <c r="S49" s="564"/>
      <c r="T49" s="564"/>
      <c r="U49" s="564"/>
      <c r="V49" s="564"/>
      <c r="W49" s="564"/>
      <c r="X49" s="544"/>
      <c r="Y49" s="544"/>
    </row>
    <row r="50" spans="1:25">
      <c r="A50" s="558"/>
      <c r="B50" s="558"/>
      <c r="C50" s="558"/>
      <c r="D50" s="558"/>
      <c r="E50" s="558"/>
      <c r="F50" s="558"/>
      <c r="G50" s="564"/>
      <c r="H50" s="564"/>
      <c r="I50" s="564"/>
      <c r="J50" s="564"/>
      <c r="K50" s="564"/>
      <c r="L50" s="564"/>
      <c r="M50" s="564"/>
      <c r="N50" s="564"/>
      <c r="O50" s="564"/>
      <c r="P50" s="564"/>
      <c r="Q50" s="564"/>
      <c r="R50" s="564"/>
      <c r="S50" s="564"/>
      <c r="T50" s="564"/>
      <c r="U50" s="564"/>
      <c r="V50" s="564"/>
      <c r="W50" s="564"/>
      <c r="X50" s="544"/>
      <c r="Y50" s="544"/>
    </row>
    <row r="51" spans="1:25">
      <c r="A51" s="558"/>
      <c r="B51" s="558"/>
      <c r="C51" s="558"/>
      <c r="D51" s="558"/>
      <c r="E51" s="558"/>
      <c r="F51" s="558"/>
      <c r="G51" s="564"/>
      <c r="H51" s="564"/>
      <c r="I51" s="564"/>
      <c r="J51" s="564"/>
      <c r="K51" s="564"/>
      <c r="L51" s="564"/>
      <c r="M51" s="564"/>
      <c r="N51" s="564"/>
      <c r="O51" s="564"/>
      <c r="P51" s="558"/>
      <c r="Q51" s="558"/>
      <c r="R51" s="558"/>
      <c r="S51" s="558"/>
      <c r="T51" s="558"/>
      <c r="U51" s="558"/>
      <c r="V51" s="558"/>
      <c r="W51" s="558"/>
    </row>
    <row r="52" spans="1:25">
      <c r="A52" s="558"/>
      <c r="B52" s="558"/>
      <c r="C52" s="558"/>
      <c r="D52" s="558"/>
      <c r="E52" s="558"/>
      <c r="F52" s="558"/>
      <c r="G52" s="558"/>
      <c r="H52" s="558"/>
      <c r="I52" s="558"/>
      <c r="J52" s="558"/>
      <c r="K52" s="558"/>
      <c r="L52" s="558"/>
      <c r="M52" s="558"/>
      <c r="N52" s="558"/>
      <c r="O52" s="558"/>
      <c r="P52" s="558"/>
      <c r="Q52" s="558"/>
      <c r="R52" s="558"/>
      <c r="S52" s="558"/>
      <c r="T52" s="558"/>
      <c r="U52" s="558"/>
      <c r="V52" s="558"/>
      <c r="W52" s="558"/>
    </row>
    <row r="53" spans="1:25">
      <c r="A53" s="558"/>
      <c r="B53" s="558"/>
      <c r="C53" s="558"/>
      <c r="D53" s="558"/>
      <c r="E53" s="558"/>
      <c r="F53" s="558"/>
      <c r="G53" s="558"/>
      <c r="H53" s="558"/>
      <c r="I53" s="558"/>
      <c r="J53" s="558"/>
      <c r="K53" s="558"/>
      <c r="L53" s="558"/>
      <c r="M53" s="558"/>
      <c r="N53" s="558"/>
      <c r="O53" s="558"/>
      <c r="P53" s="558"/>
      <c r="Q53" s="558"/>
      <c r="R53" s="558"/>
      <c r="S53" s="558"/>
      <c r="T53" s="558"/>
      <c r="U53" s="558"/>
      <c r="V53" s="558"/>
      <c r="W53" s="558"/>
    </row>
    <row r="55" spans="1:25">
      <c r="J55" s="547"/>
      <c r="R55" s="547"/>
    </row>
    <row r="56" spans="1:25">
      <c r="R56" s="547"/>
    </row>
  </sheetData>
  <sheetProtection algorithmName="SHA-512" hashValue="Vk0ohFjcUsxEp/g2Y1EAog/RwhJ438llpDdNgtnd/067Tl899cZtPRpg4lpGX2LWDqUzVSEY4XYBsIUxptjQZQ==" saltValue="m7atiFVlsFfM0XpGSwU4bg==" spinCount="100000" sheet="1" objects="1" scenarios="1"/>
  <printOptions horizontalCentered="1" verticalCentered="1"/>
  <pageMargins left="0.19685039370078741" right="0.19685039370078741" top="0.19685039370078741" bottom="0.19685039370078741" header="0.19685039370078741" footer="0.19685039370078741"/>
  <pageSetup paperSize="9" scale="68"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5124" r:id="rId4" name="Drop Down 4">
              <controlPr defaultSize="0" autoLine="0" autoPict="0">
                <anchor moveWithCells="1">
                  <from>
                    <xdr:col>14</xdr:col>
                    <xdr:colOff>438150</xdr:colOff>
                    <xdr:row>3</xdr:row>
                    <xdr:rowOff>9525</xdr:rowOff>
                  </from>
                  <to>
                    <xdr:col>16</xdr:col>
                    <xdr:colOff>571500</xdr:colOff>
                    <xdr:row>4</xdr:row>
                    <xdr:rowOff>28575</xdr:rowOff>
                  </to>
                </anchor>
              </controlPr>
            </control>
          </mc:Choice>
        </mc:AlternateContent>
        <mc:AlternateContent xmlns:mc="http://schemas.openxmlformats.org/markup-compatibility/2006">
          <mc:Choice Requires="x14">
            <control shapeId="5125" r:id="rId5" name="Drop Down 5">
              <controlPr defaultSize="0" autoLine="0" autoPict="0">
                <anchor moveWithCells="1">
                  <from>
                    <xdr:col>14</xdr:col>
                    <xdr:colOff>561975</xdr:colOff>
                    <xdr:row>27</xdr:row>
                    <xdr:rowOff>114300</xdr:rowOff>
                  </from>
                  <to>
                    <xdr:col>17</xdr:col>
                    <xdr:colOff>66675</xdr:colOff>
                    <xdr:row>28</xdr:row>
                    <xdr:rowOff>114300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7DCCC-5854-46D5-B2CF-34E810D37ADD}">
  <sheetPr>
    <tabColor rgb="FFFFFF00"/>
  </sheetPr>
  <dimension ref="A1:Y56"/>
  <sheetViews>
    <sheetView showGridLines="0" showRowColHeaders="0" zoomScaleNormal="100" zoomScaleSheetLayoutView="100" workbookViewId="0">
      <selection sqref="A1:XFD1048576"/>
    </sheetView>
  </sheetViews>
  <sheetFormatPr defaultColWidth="8.7109375" defaultRowHeight="15"/>
  <cols>
    <col min="1" max="11" width="8.42578125" style="542" customWidth="1"/>
    <col min="12" max="12" width="7" style="542" customWidth="1"/>
    <col min="13" max="16384" width="8.7109375" style="542"/>
  </cols>
  <sheetData>
    <row r="1" spans="1:23">
      <c r="A1" s="558"/>
      <c r="B1" s="558"/>
      <c r="C1" s="558"/>
      <c r="D1" s="558"/>
      <c r="E1" s="558"/>
      <c r="F1" s="558"/>
      <c r="G1" s="558"/>
      <c r="H1" s="558"/>
      <c r="I1" s="558"/>
      <c r="J1" s="558"/>
      <c r="K1" s="558"/>
      <c r="L1" s="558"/>
      <c r="M1" s="558"/>
      <c r="N1" s="558"/>
      <c r="O1" s="558"/>
      <c r="P1" s="558"/>
      <c r="Q1" s="558"/>
      <c r="R1" s="558"/>
      <c r="S1" s="558"/>
      <c r="T1" s="558"/>
      <c r="U1" s="558"/>
      <c r="V1" s="558"/>
      <c r="W1" s="558"/>
    </row>
    <row r="2" spans="1:23">
      <c r="A2" s="558"/>
      <c r="B2" s="558"/>
      <c r="C2" s="558"/>
      <c r="D2" s="558"/>
      <c r="E2" s="558"/>
      <c r="F2" s="558"/>
      <c r="G2" s="558"/>
      <c r="H2" s="558"/>
      <c r="I2" s="558"/>
      <c r="J2" s="558"/>
      <c r="K2" s="558"/>
      <c r="L2" s="558"/>
      <c r="M2" s="558"/>
      <c r="N2" s="558"/>
      <c r="O2" s="558"/>
      <c r="P2" s="558"/>
      <c r="Q2" s="558"/>
      <c r="R2" s="558"/>
      <c r="S2" s="558"/>
      <c r="T2" s="558"/>
      <c r="U2" s="558"/>
      <c r="V2" s="558"/>
      <c r="W2" s="558"/>
    </row>
    <row r="3" spans="1:23">
      <c r="A3" s="558"/>
      <c r="B3" s="558"/>
      <c r="C3" s="558"/>
      <c r="D3" s="558"/>
      <c r="E3" s="558"/>
      <c r="F3" s="558"/>
      <c r="G3" s="558"/>
      <c r="H3" s="558"/>
      <c r="I3" s="558"/>
      <c r="J3" s="558"/>
      <c r="K3" s="558"/>
      <c r="L3" s="558"/>
      <c r="M3" s="558"/>
      <c r="N3" s="558"/>
      <c r="O3" s="558"/>
      <c r="P3" s="558"/>
      <c r="Q3" s="558"/>
      <c r="R3" s="558"/>
      <c r="S3" s="558"/>
      <c r="T3" s="558"/>
      <c r="U3" s="558"/>
      <c r="V3" s="558"/>
      <c r="W3" s="558"/>
    </row>
    <row r="4" spans="1:23">
      <c r="A4" s="558"/>
      <c r="B4" s="558"/>
      <c r="C4" s="558"/>
      <c r="D4" s="558"/>
      <c r="E4" s="558"/>
      <c r="F4" s="558"/>
      <c r="G4" s="558"/>
      <c r="H4" s="558"/>
      <c r="I4" s="558"/>
      <c r="J4" s="558"/>
      <c r="K4" s="558"/>
      <c r="L4" s="558"/>
      <c r="M4" s="558"/>
      <c r="N4" s="558"/>
      <c r="O4" s="558"/>
      <c r="P4" s="558"/>
      <c r="Q4" s="558"/>
      <c r="R4" s="558"/>
      <c r="S4" s="558"/>
      <c r="T4" s="558"/>
      <c r="U4" s="558"/>
      <c r="V4" s="558"/>
      <c r="W4" s="558"/>
    </row>
    <row r="5" spans="1:23">
      <c r="A5" s="558"/>
      <c r="B5" s="558"/>
      <c r="C5" s="558"/>
      <c r="D5" s="558"/>
      <c r="E5" s="558"/>
      <c r="F5" s="558"/>
      <c r="G5" s="558"/>
      <c r="H5" s="558"/>
      <c r="I5" s="558"/>
      <c r="J5" s="558"/>
      <c r="K5" s="558"/>
      <c r="L5" s="558"/>
      <c r="M5" s="558"/>
      <c r="N5" s="558"/>
      <c r="O5" s="558"/>
      <c r="P5" s="558"/>
      <c r="Q5" s="558"/>
      <c r="R5" s="558"/>
      <c r="S5" s="558"/>
      <c r="T5" s="558"/>
      <c r="U5" s="558"/>
      <c r="V5" s="558"/>
      <c r="W5" s="558"/>
    </row>
    <row r="6" spans="1:23">
      <c r="A6" s="558"/>
      <c r="B6" s="558"/>
      <c r="C6" s="558"/>
      <c r="D6" s="558"/>
      <c r="E6" s="558"/>
      <c r="F6" s="558"/>
      <c r="G6" s="559"/>
      <c r="H6" s="558"/>
      <c r="I6" s="558"/>
      <c r="J6" s="558"/>
      <c r="K6" s="558"/>
      <c r="L6" s="560"/>
      <c r="M6" s="560"/>
      <c r="N6" s="560"/>
      <c r="O6" s="560"/>
      <c r="P6" s="560"/>
      <c r="Q6" s="560"/>
      <c r="R6" s="558"/>
      <c r="S6" s="558"/>
      <c r="T6" s="558"/>
      <c r="U6" s="558"/>
      <c r="V6" s="558"/>
      <c r="W6" s="558"/>
    </row>
    <row r="7" spans="1:23">
      <c r="A7" s="561"/>
      <c r="B7" s="561"/>
      <c r="C7" s="561"/>
      <c r="D7" s="561"/>
      <c r="E7" s="561"/>
      <c r="F7" s="561"/>
      <c r="G7" s="558"/>
      <c r="H7" s="558"/>
      <c r="I7" s="558"/>
      <c r="J7" s="558"/>
      <c r="K7" s="558"/>
      <c r="L7" s="558"/>
      <c r="M7" s="558"/>
      <c r="N7" s="558"/>
      <c r="O7" s="558"/>
      <c r="P7" s="558"/>
      <c r="Q7" s="558"/>
      <c r="R7" s="558"/>
      <c r="S7" s="558"/>
      <c r="T7" s="558"/>
      <c r="U7" s="558"/>
      <c r="V7" s="558"/>
      <c r="W7" s="558"/>
    </row>
    <row r="8" spans="1:23" ht="15" customHeight="1">
      <c r="A8" s="558"/>
      <c r="B8" s="558"/>
      <c r="C8" s="558"/>
      <c r="D8" s="558"/>
      <c r="E8" s="558"/>
      <c r="F8" s="558"/>
      <c r="G8" s="558"/>
      <c r="H8" s="558"/>
      <c r="I8" s="558"/>
      <c r="J8" s="558"/>
      <c r="K8" s="558"/>
      <c r="L8" s="558"/>
      <c r="M8" s="558"/>
      <c r="N8" s="558"/>
      <c r="O8" s="558"/>
      <c r="P8" s="558"/>
      <c r="Q8" s="558"/>
      <c r="R8" s="558"/>
      <c r="S8" s="558"/>
      <c r="T8" s="558"/>
      <c r="U8" s="558"/>
      <c r="V8" s="558"/>
      <c r="W8" s="558"/>
    </row>
    <row r="9" spans="1:23" ht="15" customHeight="1">
      <c r="A9" s="558"/>
      <c r="B9" s="558"/>
      <c r="C9" s="558"/>
      <c r="D9" s="558"/>
      <c r="E9" s="558"/>
      <c r="F9" s="558"/>
      <c r="G9" s="558"/>
      <c r="H9" s="558"/>
      <c r="I9" s="558"/>
      <c r="J9" s="558"/>
      <c r="K9" s="558"/>
      <c r="L9" s="558"/>
      <c r="M9" s="558"/>
      <c r="N9" s="558"/>
      <c r="O9" s="558"/>
      <c r="P9" s="558"/>
      <c r="Q9" s="558"/>
      <c r="R9" s="558"/>
      <c r="S9" s="558"/>
      <c r="T9" s="558"/>
      <c r="U9" s="558"/>
      <c r="V9" s="558"/>
      <c r="W9" s="558"/>
    </row>
    <row r="10" spans="1:23">
      <c r="A10" s="558"/>
      <c r="B10" s="558"/>
      <c r="C10" s="558"/>
      <c r="D10" s="558"/>
      <c r="E10" s="558"/>
      <c r="F10" s="558"/>
      <c r="G10" s="558"/>
      <c r="H10" s="558"/>
      <c r="I10" s="558"/>
      <c r="J10" s="558"/>
      <c r="K10" s="558"/>
      <c r="L10" s="558"/>
      <c r="M10" s="558"/>
      <c r="N10" s="558"/>
      <c r="O10" s="558"/>
      <c r="P10" s="558"/>
      <c r="Q10" s="558"/>
      <c r="R10" s="558"/>
      <c r="S10" s="558"/>
      <c r="T10" s="558"/>
      <c r="U10" s="558"/>
      <c r="V10" s="558"/>
      <c r="W10" s="558"/>
    </row>
    <row r="11" spans="1:23" ht="15" customHeight="1">
      <c r="A11" s="558"/>
      <c r="B11" s="558"/>
      <c r="C11" s="558"/>
      <c r="D11" s="558"/>
      <c r="E11" s="558"/>
      <c r="F11" s="558"/>
      <c r="G11" s="558"/>
      <c r="H11" s="558"/>
      <c r="I11" s="558"/>
      <c r="J11" s="558"/>
      <c r="K11" s="558"/>
      <c r="L11" s="558"/>
      <c r="M11" s="558"/>
      <c r="N11" s="558"/>
      <c r="O11" s="558"/>
      <c r="P11" s="558"/>
      <c r="Q11" s="558"/>
      <c r="R11" s="558"/>
      <c r="S11" s="558"/>
      <c r="T11" s="558"/>
      <c r="U11" s="558"/>
      <c r="V11" s="558"/>
      <c r="W11" s="558"/>
    </row>
    <row r="12" spans="1:23" ht="15" customHeight="1">
      <c r="A12" s="558"/>
      <c r="B12" s="558"/>
      <c r="C12" s="558"/>
      <c r="D12" s="558"/>
      <c r="E12" s="558"/>
      <c r="F12" s="558"/>
      <c r="G12" s="558"/>
      <c r="H12" s="558"/>
      <c r="I12" s="558"/>
      <c r="J12" s="558"/>
      <c r="K12" s="558"/>
      <c r="L12" s="558"/>
      <c r="M12" s="558"/>
      <c r="N12" s="558"/>
      <c r="O12" s="558"/>
      <c r="P12" s="558"/>
      <c r="Q12" s="558"/>
      <c r="R12" s="558"/>
      <c r="S12" s="558"/>
      <c r="T12" s="558"/>
      <c r="U12" s="558"/>
      <c r="V12" s="558"/>
      <c r="W12" s="558"/>
    </row>
    <row r="13" spans="1:23">
      <c r="A13" s="558"/>
      <c r="B13" s="558"/>
      <c r="C13" s="558"/>
      <c r="D13" s="558"/>
      <c r="E13" s="558"/>
      <c r="F13" s="558"/>
      <c r="G13" s="558"/>
      <c r="H13" s="558"/>
      <c r="I13" s="558"/>
      <c r="J13" s="558"/>
      <c r="K13" s="558"/>
      <c r="L13" s="558"/>
      <c r="M13" s="558"/>
      <c r="N13" s="558"/>
      <c r="O13" s="558"/>
      <c r="P13" s="558"/>
      <c r="Q13" s="558"/>
      <c r="R13" s="558"/>
      <c r="S13" s="558"/>
      <c r="T13" s="558"/>
      <c r="U13" s="558"/>
      <c r="V13" s="558"/>
      <c r="W13" s="558"/>
    </row>
    <row r="14" spans="1:23">
      <c r="A14" s="558"/>
      <c r="B14" s="558"/>
      <c r="C14" s="558"/>
      <c r="D14" s="558"/>
      <c r="E14" s="558"/>
      <c r="F14" s="558"/>
      <c r="G14" s="558"/>
      <c r="H14" s="558"/>
      <c r="I14" s="558"/>
      <c r="J14" s="558"/>
      <c r="K14" s="558"/>
      <c r="L14" s="558"/>
      <c r="M14" s="558"/>
      <c r="N14" s="558"/>
      <c r="O14" s="558"/>
      <c r="P14" s="558"/>
      <c r="Q14" s="558"/>
      <c r="R14" s="558"/>
      <c r="S14" s="558"/>
      <c r="T14" s="558"/>
      <c r="U14" s="558"/>
      <c r="V14" s="558"/>
      <c r="W14" s="558"/>
    </row>
    <row r="15" spans="1:23">
      <c r="A15" s="558"/>
      <c r="B15" s="558"/>
      <c r="C15" s="558"/>
      <c r="D15" s="558"/>
      <c r="E15" s="558"/>
      <c r="F15" s="558"/>
      <c r="G15" s="558"/>
      <c r="H15" s="558"/>
      <c r="I15" s="558"/>
      <c r="J15" s="558"/>
      <c r="K15" s="558"/>
      <c r="L15" s="558"/>
      <c r="M15" s="558"/>
      <c r="N15" s="558"/>
      <c r="O15" s="558"/>
      <c r="P15" s="558"/>
      <c r="Q15" s="558"/>
      <c r="R15" s="558"/>
      <c r="S15" s="558"/>
      <c r="T15" s="558"/>
      <c r="U15" s="558"/>
      <c r="V15" s="558"/>
      <c r="W15" s="558"/>
    </row>
    <row r="16" spans="1:23">
      <c r="A16" s="558"/>
      <c r="B16" s="558"/>
      <c r="C16" s="558"/>
      <c r="D16" s="558"/>
      <c r="E16" s="558"/>
      <c r="F16" s="558"/>
      <c r="G16" s="558"/>
      <c r="H16" s="558"/>
      <c r="I16" s="558"/>
      <c r="J16" s="558"/>
      <c r="K16" s="558"/>
      <c r="L16" s="558"/>
      <c r="M16" s="558"/>
      <c r="N16" s="558"/>
      <c r="O16" s="558"/>
      <c r="P16" s="558"/>
      <c r="Q16" s="558"/>
      <c r="R16" s="558"/>
      <c r="S16" s="558"/>
      <c r="T16" s="558"/>
      <c r="U16" s="558"/>
      <c r="V16" s="558"/>
      <c r="W16" s="558"/>
    </row>
    <row r="17" spans="1:25">
      <c r="A17" s="558"/>
      <c r="B17" s="558"/>
      <c r="C17" s="558"/>
      <c r="D17" s="558"/>
      <c r="E17" s="558"/>
      <c r="F17" s="558"/>
      <c r="G17" s="558"/>
      <c r="H17" s="558"/>
      <c r="I17" s="558"/>
      <c r="J17" s="558"/>
      <c r="K17" s="558"/>
      <c r="L17" s="558"/>
      <c r="M17" s="558"/>
      <c r="N17" s="558"/>
      <c r="O17" s="558"/>
      <c r="P17" s="558"/>
      <c r="Q17" s="558"/>
      <c r="R17" s="558"/>
      <c r="S17" s="558"/>
      <c r="T17" s="558"/>
      <c r="U17" s="558"/>
      <c r="V17" s="558"/>
      <c r="W17" s="558"/>
    </row>
    <row r="18" spans="1:25">
      <c r="A18" s="558"/>
      <c r="B18" s="558"/>
      <c r="C18" s="558"/>
      <c r="D18" s="558"/>
      <c r="E18" s="558"/>
      <c r="F18" s="558"/>
      <c r="G18" s="558"/>
      <c r="H18" s="558"/>
      <c r="I18" s="558"/>
      <c r="J18" s="558"/>
      <c r="K18" s="558"/>
      <c r="L18" s="558"/>
      <c r="M18" s="558"/>
      <c r="N18" s="558"/>
      <c r="O18" s="558"/>
      <c r="P18" s="558"/>
      <c r="Q18" s="558"/>
      <c r="R18" s="558"/>
      <c r="S18" s="558"/>
      <c r="T18" s="558"/>
      <c r="U18" s="558"/>
      <c r="V18" s="558"/>
      <c r="W18" s="558"/>
    </row>
    <row r="19" spans="1:25">
      <c r="A19" s="558"/>
      <c r="B19" s="558"/>
      <c r="C19" s="558"/>
      <c r="D19" s="558"/>
      <c r="E19" s="558"/>
      <c r="F19" s="558"/>
      <c r="G19" s="558"/>
      <c r="H19" s="558"/>
      <c r="I19" s="558"/>
      <c r="J19" s="558"/>
      <c r="K19" s="558"/>
      <c r="L19" s="558"/>
      <c r="M19" s="558"/>
      <c r="N19" s="558"/>
      <c r="O19" s="558"/>
      <c r="P19" s="558"/>
      <c r="Q19" s="558"/>
      <c r="R19" s="558"/>
      <c r="S19" s="558"/>
      <c r="T19" s="558"/>
      <c r="U19" s="558"/>
      <c r="V19" s="558"/>
      <c r="W19" s="558"/>
    </row>
    <row r="20" spans="1:25">
      <c r="A20" s="558"/>
      <c r="B20" s="558"/>
      <c r="C20" s="558"/>
      <c r="D20" s="558"/>
      <c r="E20" s="558"/>
      <c r="F20" s="558"/>
      <c r="G20" s="558"/>
      <c r="H20" s="558"/>
      <c r="I20" s="558"/>
      <c r="J20" s="558"/>
      <c r="K20" s="558"/>
      <c r="L20" s="558"/>
      <c r="M20" s="558"/>
      <c r="N20" s="558"/>
      <c r="O20" s="558"/>
      <c r="P20" s="558"/>
      <c r="Q20" s="558"/>
      <c r="R20" s="558"/>
      <c r="S20" s="558"/>
      <c r="T20" s="558"/>
      <c r="U20" s="558"/>
      <c r="V20" s="558"/>
      <c r="W20" s="558"/>
    </row>
    <row r="21" spans="1:25">
      <c r="A21" s="558"/>
      <c r="B21" s="558"/>
      <c r="C21" s="558"/>
      <c r="D21" s="558"/>
      <c r="E21" s="558"/>
      <c r="F21" s="558"/>
      <c r="G21" s="558"/>
      <c r="H21" s="558"/>
      <c r="I21" s="558"/>
      <c r="J21" s="558"/>
      <c r="K21" s="558"/>
      <c r="L21" s="558"/>
      <c r="M21" s="558"/>
      <c r="N21" s="558"/>
      <c r="O21" s="558"/>
      <c r="P21" s="558"/>
      <c r="Q21" s="558"/>
      <c r="R21" s="558"/>
      <c r="S21" s="558"/>
      <c r="T21" s="558"/>
      <c r="U21" s="558"/>
      <c r="V21" s="558"/>
      <c r="W21" s="558"/>
    </row>
    <row r="22" spans="1:25">
      <c r="A22" s="558"/>
      <c r="B22" s="558"/>
      <c r="C22" s="558"/>
      <c r="D22" s="558"/>
      <c r="E22" s="558"/>
      <c r="F22" s="558"/>
      <c r="G22" s="558"/>
      <c r="H22" s="558"/>
      <c r="I22" s="558"/>
      <c r="J22" s="558"/>
      <c r="K22" s="558"/>
      <c r="L22" s="558"/>
      <c r="M22" s="558"/>
      <c r="N22" s="558"/>
      <c r="O22" s="558"/>
      <c r="P22" s="558"/>
      <c r="Q22" s="558"/>
      <c r="R22" s="558"/>
      <c r="S22" s="558"/>
      <c r="T22" s="558"/>
      <c r="U22" s="558"/>
      <c r="V22" s="558"/>
      <c r="W22" s="558"/>
    </row>
    <row r="23" spans="1:25">
      <c r="A23" s="558"/>
      <c r="B23" s="558"/>
      <c r="C23" s="558"/>
      <c r="D23" s="558"/>
      <c r="E23" s="558"/>
      <c r="F23" s="558"/>
      <c r="G23" s="558"/>
      <c r="H23" s="558"/>
      <c r="I23" s="558"/>
      <c r="J23" s="558"/>
      <c r="K23" s="558"/>
      <c r="L23" s="558"/>
      <c r="M23" s="558"/>
      <c r="N23" s="558"/>
      <c r="O23" s="558"/>
      <c r="P23" s="558"/>
      <c r="Q23" s="558"/>
      <c r="R23" s="558"/>
      <c r="S23" s="558"/>
      <c r="T23" s="558"/>
      <c r="U23" s="558"/>
      <c r="V23" s="558"/>
      <c r="W23" s="558"/>
    </row>
    <row r="24" spans="1:25">
      <c r="A24" s="558"/>
      <c r="B24" s="558"/>
      <c r="C24" s="558"/>
      <c r="D24" s="558"/>
      <c r="E24" s="558"/>
      <c r="F24" s="558"/>
      <c r="G24" s="558"/>
      <c r="H24" s="558"/>
      <c r="I24" s="558"/>
      <c r="J24" s="558"/>
      <c r="K24" s="558"/>
      <c r="L24" s="558"/>
      <c r="M24" s="558"/>
      <c r="N24" s="558"/>
      <c r="O24" s="558"/>
      <c r="P24" s="558"/>
      <c r="Q24" s="558"/>
      <c r="R24" s="558"/>
      <c r="S24" s="558"/>
      <c r="T24" s="558"/>
      <c r="U24" s="558"/>
      <c r="V24" s="558"/>
      <c r="W24" s="558"/>
    </row>
    <row r="25" spans="1:25">
      <c r="A25" s="558"/>
      <c r="B25" s="558"/>
      <c r="C25" s="558"/>
      <c r="D25" s="558"/>
      <c r="E25" s="558"/>
      <c r="F25" s="558"/>
      <c r="G25" s="558"/>
      <c r="H25" s="558"/>
      <c r="I25" s="558"/>
      <c r="J25" s="558"/>
      <c r="K25" s="558"/>
      <c r="L25" s="558"/>
      <c r="M25" s="558"/>
      <c r="N25" s="558"/>
      <c r="O25" s="558"/>
      <c r="P25" s="558"/>
      <c r="Q25" s="558"/>
      <c r="R25" s="558"/>
      <c r="S25" s="558"/>
      <c r="T25" s="558"/>
      <c r="U25" s="558"/>
      <c r="V25" s="558"/>
      <c r="W25" s="558"/>
    </row>
    <row r="26" spans="1:25">
      <c r="A26" s="558"/>
      <c r="B26" s="558"/>
      <c r="C26" s="558"/>
      <c r="D26" s="558"/>
      <c r="E26" s="558"/>
      <c r="F26" s="558"/>
      <c r="G26" s="558"/>
      <c r="H26" s="558"/>
      <c r="I26" s="558"/>
      <c r="J26" s="558"/>
      <c r="K26" s="558"/>
      <c r="L26" s="558"/>
      <c r="M26" s="558"/>
      <c r="N26" s="558"/>
      <c r="O26" s="558"/>
      <c r="P26" s="558"/>
      <c r="Q26" s="558"/>
      <c r="R26" s="558"/>
      <c r="S26" s="558"/>
      <c r="T26" s="558"/>
      <c r="U26" s="558"/>
      <c r="V26" s="558"/>
      <c r="W26" s="558"/>
    </row>
    <row r="27" spans="1:25">
      <c r="A27" s="558"/>
      <c r="B27" s="558"/>
      <c r="C27" s="558"/>
      <c r="D27" s="558"/>
      <c r="E27" s="558"/>
      <c r="F27" s="558"/>
      <c r="G27" s="558"/>
      <c r="H27" s="558"/>
      <c r="I27" s="558"/>
      <c r="J27" s="558"/>
      <c r="K27" s="558"/>
      <c r="L27" s="558"/>
      <c r="M27" s="558"/>
      <c r="N27" s="558"/>
      <c r="O27" s="558"/>
      <c r="P27" s="558"/>
      <c r="Q27" s="558"/>
      <c r="R27" s="558"/>
      <c r="S27" s="558"/>
      <c r="T27" s="558"/>
      <c r="U27" s="558"/>
      <c r="V27" s="558"/>
      <c r="W27" s="558"/>
    </row>
    <row r="28" spans="1:25">
      <c r="A28" s="558"/>
      <c r="B28" s="558"/>
      <c r="C28" s="558"/>
      <c r="D28" s="558"/>
      <c r="E28" s="558"/>
      <c r="F28" s="558"/>
      <c r="G28" s="558"/>
      <c r="H28" s="558"/>
      <c r="I28" s="558"/>
      <c r="J28" s="558"/>
      <c r="K28" s="558"/>
      <c r="L28" s="558"/>
      <c r="M28" s="558"/>
      <c r="N28" s="558"/>
      <c r="O28" s="558"/>
      <c r="P28" s="562"/>
      <c r="Q28" s="562"/>
      <c r="R28" s="562"/>
      <c r="S28" s="562"/>
      <c r="T28" s="562"/>
      <c r="U28" s="562"/>
      <c r="V28" s="562"/>
      <c r="W28" s="562"/>
      <c r="X28" s="543"/>
      <c r="Y28" s="543"/>
    </row>
    <row r="29" spans="1:25">
      <c r="A29" s="558"/>
      <c r="B29" s="558"/>
      <c r="C29" s="558"/>
      <c r="D29" s="558"/>
      <c r="E29" s="558"/>
      <c r="F29" s="558"/>
      <c r="G29" s="558"/>
      <c r="H29" s="558"/>
      <c r="I29" s="558"/>
      <c r="J29" s="558"/>
      <c r="K29" s="558"/>
      <c r="L29" s="558"/>
      <c r="M29" s="558"/>
      <c r="N29" s="558"/>
      <c r="O29" s="558"/>
      <c r="P29" s="563"/>
      <c r="Q29" s="563"/>
      <c r="R29" s="563"/>
      <c r="S29" s="563"/>
      <c r="T29" s="563"/>
      <c r="U29" s="563"/>
      <c r="V29" s="558"/>
      <c r="W29" s="564"/>
      <c r="X29" s="544"/>
      <c r="Y29" s="544"/>
    </row>
    <row r="30" spans="1:25">
      <c r="A30" s="558"/>
      <c r="B30" s="558"/>
      <c r="C30" s="558"/>
      <c r="D30" s="558"/>
      <c r="E30" s="558"/>
      <c r="F30" s="558"/>
      <c r="G30" s="558"/>
      <c r="H30" s="558"/>
      <c r="I30" s="558"/>
      <c r="J30" s="558"/>
      <c r="K30" s="558"/>
      <c r="L30" s="558"/>
      <c r="M30" s="558"/>
      <c r="N30" s="558"/>
      <c r="O30" s="558"/>
      <c r="P30" s="558"/>
      <c r="Q30" s="558"/>
      <c r="R30" s="558"/>
      <c r="S30" s="558"/>
      <c r="T30" s="558"/>
      <c r="U30" s="558"/>
      <c r="V30" s="558"/>
      <c r="W30" s="558"/>
    </row>
    <row r="31" spans="1:25">
      <c r="A31" s="558"/>
      <c r="B31" s="558"/>
      <c r="C31" s="558"/>
      <c r="D31" s="558"/>
      <c r="E31" s="558"/>
      <c r="F31" s="558"/>
      <c r="G31" s="558"/>
      <c r="H31" s="558"/>
      <c r="I31" s="558"/>
      <c r="J31" s="558"/>
      <c r="K31" s="558"/>
      <c r="L31" s="558"/>
      <c r="M31" s="558"/>
      <c r="N31" s="558"/>
      <c r="O31" s="558"/>
      <c r="P31" s="565"/>
      <c r="Q31" s="558"/>
      <c r="R31" s="558"/>
      <c r="S31" s="558"/>
      <c r="T31" s="558"/>
      <c r="U31" s="558"/>
      <c r="V31" s="558"/>
      <c r="W31" s="558"/>
    </row>
    <row r="32" spans="1:25">
      <c r="A32" s="558"/>
      <c r="B32" s="558"/>
      <c r="C32" s="558"/>
      <c r="D32" s="558"/>
      <c r="E32" s="558"/>
      <c r="F32" s="558"/>
      <c r="G32" s="558"/>
      <c r="H32" s="558"/>
      <c r="I32" s="558"/>
      <c r="J32" s="558"/>
      <c r="K32" s="558"/>
      <c r="L32" s="558"/>
      <c r="M32" s="558"/>
      <c r="N32" s="558"/>
      <c r="O32" s="558"/>
      <c r="P32" s="564"/>
      <c r="Q32" s="558"/>
      <c r="R32" s="558"/>
      <c r="S32" s="558"/>
      <c r="T32" s="558"/>
      <c r="U32" s="558"/>
      <c r="V32" s="558"/>
      <c r="W32" s="558"/>
    </row>
    <row r="33" spans="1:23">
      <c r="A33" s="558"/>
      <c r="B33" s="558"/>
      <c r="C33" s="558"/>
      <c r="D33" s="558"/>
      <c r="E33" s="558"/>
      <c r="F33" s="558"/>
      <c r="G33" s="558"/>
      <c r="H33" s="558"/>
      <c r="I33" s="558"/>
      <c r="J33" s="558"/>
      <c r="K33" s="558"/>
      <c r="L33" s="558"/>
      <c r="M33" s="558"/>
      <c r="N33" s="558"/>
      <c r="O33" s="558"/>
      <c r="P33" s="564"/>
      <c r="Q33" s="558"/>
      <c r="R33" s="558"/>
      <c r="S33" s="558"/>
      <c r="T33" s="558"/>
      <c r="U33" s="558"/>
      <c r="V33" s="558"/>
      <c r="W33" s="558"/>
    </row>
    <row r="34" spans="1:23">
      <c r="A34" s="558"/>
      <c r="B34" s="558"/>
      <c r="C34" s="558"/>
      <c r="D34" s="558"/>
      <c r="E34" s="558"/>
      <c r="F34" s="558"/>
      <c r="G34" s="558"/>
      <c r="H34" s="558"/>
      <c r="I34" s="558"/>
      <c r="J34" s="558"/>
      <c r="K34" s="558"/>
      <c r="L34" s="558"/>
      <c r="M34" s="558"/>
      <c r="N34" s="558"/>
      <c r="O34" s="558"/>
      <c r="P34" s="564"/>
      <c r="Q34" s="558"/>
      <c r="R34" s="558"/>
      <c r="S34" s="558"/>
      <c r="T34" s="558"/>
      <c r="U34" s="558"/>
      <c r="V34" s="558"/>
      <c r="W34" s="558"/>
    </row>
    <row r="35" spans="1:23">
      <c r="A35" s="558"/>
      <c r="B35" s="558"/>
      <c r="C35" s="558"/>
      <c r="D35" s="558"/>
      <c r="E35" s="558"/>
      <c r="F35" s="558"/>
      <c r="G35" s="558"/>
      <c r="H35" s="566"/>
      <c r="I35" s="558"/>
      <c r="J35" s="565"/>
      <c r="K35" s="558"/>
      <c r="L35" s="558"/>
      <c r="M35" s="564"/>
      <c r="N35" s="564"/>
      <c r="O35" s="564"/>
      <c r="P35" s="564"/>
      <c r="Q35" s="558"/>
      <c r="R35" s="558"/>
      <c r="S35" s="558"/>
      <c r="T35" s="558"/>
      <c r="U35" s="558"/>
      <c r="V35" s="558"/>
      <c r="W35" s="558"/>
    </row>
    <row r="36" spans="1:23">
      <c r="A36" s="558"/>
      <c r="B36" s="558"/>
      <c r="C36" s="558"/>
      <c r="D36" s="558"/>
      <c r="E36" s="558"/>
      <c r="F36" s="558"/>
      <c r="G36" s="558"/>
      <c r="H36" s="566"/>
      <c r="I36" s="558"/>
      <c r="J36" s="565"/>
      <c r="K36" s="558"/>
      <c r="L36" s="558"/>
      <c r="M36" s="564"/>
      <c r="N36" s="564"/>
      <c r="O36" s="564"/>
      <c r="P36" s="564"/>
      <c r="Q36" s="558"/>
      <c r="R36" s="558"/>
      <c r="S36" s="558"/>
      <c r="T36" s="558"/>
      <c r="U36" s="558"/>
      <c r="V36" s="558"/>
      <c r="W36" s="558"/>
    </row>
    <row r="37" spans="1:23">
      <c r="A37" s="558"/>
      <c r="B37" s="558"/>
      <c r="C37" s="558"/>
      <c r="D37" s="558"/>
      <c r="E37" s="558"/>
      <c r="F37" s="558"/>
      <c r="G37" s="558"/>
      <c r="H37" s="558"/>
      <c r="I37" s="558"/>
      <c r="J37" s="565"/>
      <c r="K37" s="558"/>
      <c r="L37" s="558"/>
      <c r="M37" s="567"/>
      <c r="N37" s="566"/>
      <c r="O37" s="564"/>
      <c r="P37" s="564"/>
      <c r="Q37" s="558"/>
      <c r="R37" s="558"/>
      <c r="S37" s="558"/>
      <c r="T37" s="558"/>
      <c r="U37" s="558"/>
      <c r="V37" s="558"/>
      <c r="W37" s="558"/>
    </row>
    <row r="38" spans="1:23">
      <c r="A38" s="558"/>
      <c r="B38" s="558"/>
      <c r="C38" s="558"/>
      <c r="D38" s="558"/>
      <c r="E38" s="558"/>
      <c r="F38" s="558"/>
      <c r="G38" s="558"/>
      <c r="H38" s="566"/>
      <c r="I38" s="558"/>
      <c r="J38" s="565"/>
      <c r="K38" s="558"/>
      <c r="L38" s="558"/>
      <c r="M38" s="564"/>
      <c r="N38" s="564"/>
      <c r="O38" s="564"/>
      <c r="P38" s="564"/>
      <c r="Q38" s="558"/>
      <c r="R38" s="558"/>
      <c r="S38" s="558"/>
      <c r="T38" s="558"/>
      <c r="U38" s="558"/>
      <c r="V38" s="558"/>
      <c r="W38" s="558"/>
    </row>
    <row r="39" spans="1:23">
      <c r="A39" s="558"/>
      <c r="B39" s="558"/>
      <c r="C39" s="558"/>
      <c r="D39" s="558"/>
      <c r="E39" s="558"/>
      <c r="F39" s="558"/>
      <c r="G39" s="558"/>
      <c r="H39" s="565"/>
      <c r="I39" s="565"/>
      <c r="J39" s="565"/>
      <c r="K39" s="558"/>
      <c r="L39" s="564"/>
      <c r="M39" s="564"/>
      <c r="N39" s="564"/>
      <c r="O39" s="564"/>
      <c r="P39" s="564"/>
      <c r="Q39" s="558"/>
      <c r="R39" s="558"/>
      <c r="S39" s="558"/>
      <c r="T39" s="558"/>
      <c r="U39" s="558"/>
      <c r="V39" s="558"/>
      <c r="W39" s="558"/>
    </row>
    <row r="40" spans="1:23">
      <c r="A40" s="558"/>
      <c r="B40" s="558"/>
      <c r="C40" s="558"/>
      <c r="D40" s="558"/>
      <c r="E40" s="558"/>
      <c r="F40" s="558"/>
      <c r="G40" s="564"/>
      <c r="H40" s="564"/>
      <c r="I40" s="564"/>
      <c r="J40" s="564"/>
      <c r="K40" s="564"/>
      <c r="L40" s="564"/>
      <c r="M40" s="564"/>
      <c r="N40" s="564"/>
      <c r="O40" s="564"/>
      <c r="P40" s="564"/>
      <c r="Q40" s="558"/>
      <c r="R40" s="558"/>
      <c r="S40" s="558"/>
      <c r="T40" s="558"/>
      <c r="U40" s="558"/>
      <c r="V40" s="558"/>
      <c r="W40" s="558"/>
    </row>
    <row r="41" spans="1:23">
      <c r="A41" s="558"/>
      <c r="B41" s="558"/>
      <c r="C41" s="558"/>
      <c r="D41" s="558"/>
      <c r="E41" s="558"/>
      <c r="F41" s="558"/>
      <c r="G41" s="564"/>
      <c r="H41" s="564"/>
      <c r="I41" s="564"/>
      <c r="J41" s="564"/>
      <c r="K41" s="564"/>
      <c r="L41" s="564"/>
      <c r="M41" s="564"/>
      <c r="N41" s="564"/>
      <c r="O41" s="564"/>
      <c r="P41" s="564"/>
      <c r="Q41" s="558"/>
      <c r="R41" s="558"/>
      <c r="S41" s="558"/>
      <c r="T41" s="558"/>
      <c r="U41" s="558"/>
      <c r="V41" s="558"/>
      <c r="W41" s="558"/>
    </row>
    <row r="42" spans="1:23">
      <c r="A42" s="558"/>
      <c r="B42" s="558"/>
      <c r="C42" s="558"/>
      <c r="D42" s="558"/>
      <c r="E42" s="558"/>
      <c r="F42" s="558"/>
      <c r="G42" s="564"/>
      <c r="H42" s="564"/>
      <c r="I42" s="564"/>
      <c r="J42" s="564"/>
      <c r="K42" s="564"/>
      <c r="L42" s="564"/>
      <c r="M42" s="564"/>
      <c r="N42" s="564"/>
      <c r="O42" s="564"/>
      <c r="P42" s="564"/>
      <c r="Q42" s="558"/>
      <c r="R42" s="558"/>
      <c r="S42" s="558"/>
      <c r="T42" s="558"/>
      <c r="U42" s="558"/>
      <c r="V42" s="558"/>
      <c r="W42" s="558"/>
    </row>
    <row r="43" spans="1:23">
      <c r="A43" s="558"/>
      <c r="B43" s="558"/>
      <c r="C43" s="558"/>
      <c r="D43" s="558"/>
      <c r="E43" s="558"/>
      <c r="F43" s="558"/>
      <c r="G43" s="564"/>
      <c r="H43" s="564"/>
      <c r="I43" s="564"/>
      <c r="J43" s="564"/>
      <c r="K43" s="564"/>
      <c r="L43" s="564"/>
      <c r="M43" s="564"/>
      <c r="N43" s="564"/>
      <c r="O43" s="564"/>
      <c r="P43" s="564"/>
      <c r="Q43" s="558"/>
      <c r="R43" s="558"/>
      <c r="S43" s="558"/>
      <c r="T43" s="558"/>
      <c r="U43" s="558"/>
      <c r="V43" s="558"/>
      <c r="W43" s="558"/>
    </row>
    <row r="44" spans="1:23">
      <c r="A44" s="558"/>
      <c r="B44" s="558"/>
      <c r="C44" s="558"/>
      <c r="D44" s="558"/>
      <c r="E44" s="558"/>
      <c r="F44" s="558"/>
      <c r="G44" s="564"/>
      <c r="H44" s="564"/>
      <c r="I44" s="564"/>
      <c r="J44" s="564"/>
      <c r="K44" s="564"/>
      <c r="L44" s="564"/>
      <c r="M44" s="564"/>
      <c r="N44" s="564"/>
      <c r="O44" s="564"/>
      <c r="P44" s="564"/>
      <c r="Q44" s="558"/>
      <c r="R44" s="558"/>
      <c r="S44" s="558"/>
      <c r="T44" s="558"/>
      <c r="U44" s="558"/>
      <c r="V44" s="558"/>
      <c r="W44" s="558"/>
    </row>
    <row r="45" spans="1:23">
      <c r="A45" s="558"/>
      <c r="B45" s="558"/>
      <c r="C45" s="558"/>
      <c r="D45" s="558"/>
      <c r="E45" s="558"/>
      <c r="F45" s="558"/>
      <c r="G45" s="564"/>
      <c r="H45" s="564"/>
      <c r="I45" s="564"/>
      <c r="J45" s="564"/>
      <c r="K45" s="564"/>
      <c r="L45" s="564"/>
      <c r="M45" s="564"/>
      <c r="N45" s="564"/>
      <c r="O45" s="564"/>
      <c r="P45" s="564"/>
      <c r="Q45" s="564"/>
      <c r="R45" s="558"/>
      <c r="S45" s="558"/>
      <c r="T45" s="558"/>
      <c r="U45" s="558"/>
      <c r="V45" s="558"/>
      <c r="W45" s="558"/>
    </row>
    <row r="46" spans="1:23">
      <c r="A46" s="558"/>
      <c r="B46" s="558"/>
      <c r="C46" s="558"/>
      <c r="D46" s="558"/>
      <c r="E46" s="558"/>
      <c r="F46" s="558"/>
      <c r="G46" s="564"/>
      <c r="H46" s="564"/>
      <c r="I46" s="564"/>
      <c r="J46" s="564"/>
      <c r="K46" s="564"/>
      <c r="L46" s="564"/>
      <c r="M46" s="564"/>
      <c r="N46" s="564"/>
      <c r="O46" s="564"/>
      <c r="P46" s="564"/>
      <c r="Q46" s="558"/>
      <c r="R46" s="558"/>
      <c r="S46" s="558"/>
      <c r="T46" s="558"/>
      <c r="U46" s="558"/>
      <c r="V46" s="558"/>
      <c r="W46" s="558"/>
    </row>
    <row r="47" spans="1:23">
      <c r="A47" s="558"/>
      <c r="B47" s="558"/>
      <c r="C47" s="558"/>
      <c r="D47" s="558"/>
      <c r="E47" s="558"/>
      <c r="F47" s="558"/>
      <c r="G47" s="564"/>
      <c r="H47" s="564"/>
      <c r="I47" s="564"/>
      <c r="J47" s="564"/>
      <c r="K47" s="564"/>
      <c r="L47" s="564"/>
      <c r="M47" s="564"/>
      <c r="N47" s="564"/>
      <c r="O47" s="564"/>
      <c r="P47" s="564"/>
      <c r="Q47" s="558"/>
      <c r="R47" s="558"/>
      <c r="S47" s="558"/>
      <c r="T47" s="558"/>
      <c r="U47" s="558"/>
      <c r="V47" s="558"/>
      <c r="W47" s="558"/>
    </row>
    <row r="48" spans="1:23">
      <c r="A48" s="558"/>
      <c r="B48" s="558"/>
      <c r="C48" s="558"/>
      <c r="D48" s="558"/>
      <c r="E48" s="558"/>
      <c r="F48" s="558"/>
      <c r="G48" s="564"/>
      <c r="H48" s="564"/>
      <c r="I48" s="564"/>
      <c r="J48" s="564"/>
      <c r="K48" s="564"/>
      <c r="L48" s="564"/>
      <c r="M48" s="564"/>
      <c r="N48" s="564"/>
      <c r="O48" s="564"/>
      <c r="P48" s="564"/>
      <c r="Q48" s="558"/>
      <c r="R48" s="558"/>
      <c r="S48" s="558"/>
      <c r="T48" s="558"/>
      <c r="U48" s="558"/>
      <c r="V48" s="558"/>
      <c r="W48" s="558"/>
    </row>
    <row r="49" spans="1:25">
      <c r="A49" s="558"/>
      <c r="B49" s="558"/>
      <c r="C49" s="558"/>
      <c r="D49" s="558"/>
      <c r="E49" s="558"/>
      <c r="F49" s="558"/>
      <c r="G49" s="564"/>
      <c r="H49" s="564"/>
      <c r="I49" s="564"/>
      <c r="J49" s="564"/>
      <c r="K49" s="564"/>
      <c r="L49" s="558"/>
      <c r="M49" s="558"/>
      <c r="N49" s="558"/>
      <c r="O49" s="558"/>
      <c r="P49" s="564"/>
      <c r="Q49" s="564"/>
      <c r="R49" s="564"/>
      <c r="S49" s="564"/>
      <c r="T49" s="564"/>
      <c r="U49" s="564"/>
      <c r="V49" s="564"/>
      <c r="W49" s="564"/>
      <c r="X49" s="544"/>
      <c r="Y49" s="544"/>
    </row>
    <row r="50" spans="1:25">
      <c r="A50" s="558"/>
      <c r="B50" s="558"/>
      <c r="C50" s="558"/>
      <c r="D50" s="558"/>
      <c r="E50" s="558"/>
      <c r="F50" s="558"/>
      <c r="G50" s="564"/>
      <c r="H50" s="564"/>
      <c r="I50" s="564"/>
      <c r="J50" s="564"/>
      <c r="K50" s="564"/>
      <c r="L50" s="564"/>
      <c r="M50" s="564"/>
      <c r="N50" s="564"/>
      <c r="O50" s="564"/>
      <c r="P50" s="564"/>
      <c r="Q50" s="564"/>
      <c r="R50" s="564"/>
      <c r="S50" s="564"/>
      <c r="T50" s="564"/>
      <c r="U50" s="564"/>
      <c r="V50" s="564"/>
      <c r="W50" s="564"/>
      <c r="X50" s="544"/>
      <c r="Y50" s="544"/>
    </row>
    <row r="51" spans="1:25">
      <c r="A51" s="558"/>
      <c r="B51" s="558"/>
      <c r="C51" s="558"/>
      <c r="D51" s="558"/>
      <c r="E51" s="558"/>
      <c r="F51" s="558"/>
      <c r="G51" s="564"/>
      <c r="H51" s="564"/>
      <c r="I51" s="564"/>
      <c r="J51" s="564"/>
      <c r="K51" s="564"/>
      <c r="L51" s="564"/>
      <c r="M51" s="564"/>
      <c r="N51" s="564"/>
      <c r="O51" s="564"/>
      <c r="P51" s="558"/>
      <c r="Q51" s="558"/>
      <c r="R51" s="558"/>
      <c r="S51" s="558"/>
      <c r="T51" s="558"/>
      <c r="U51" s="558"/>
      <c r="V51" s="558"/>
      <c r="W51" s="558"/>
    </row>
    <row r="52" spans="1:25">
      <c r="A52" s="558"/>
      <c r="B52" s="558"/>
      <c r="C52" s="558"/>
      <c r="D52" s="558"/>
      <c r="E52" s="558"/>
      <c r="F52" s="558"/>
      <c r="G52" s="558"/>
      <c r="H52" s="558"/>
      <c r="I52" s="558"/>
      <c r="J52" s="558"/>
      <c r="K52" s="558"/>
      <c r="L52" s="558"/>
      <c r="M52" s="558"/>
      <c r="N52" s="558"/>
      <c r="O52" s="558"/>
      <c r="P52" s="558"/>
      <c r="Q52" s="558"/>
      <c r="R52" s="558"/>
      <c r="S52" s="558"/>
      <c r="T52" s="558"/>
      <c r="U52" s="558"/>
      <c r="V52" s="558"/>
      <c r="W52" s="558"/>
    </row>
    <row r="53" spans="1:25">
      <c r="A53" s="558"/>
      <c r="B53" s="558"/>
      <c r="C53" s="558"/>
      <c r="D53" s="558"/>
      <c r="E53" s="558"/>
      <c r="F53" s="558"/>
      <c r="G53" s="558"/>
      <c r="H53" s="558"/>
      <c r="I53" s="558"/>
      <c r="J53" s="558"/>
      <c r="K53" s="558"/>
      <c r="L53" s="558"/>
      <c r="M53" s="558"/>
      <c r="N53" s="558"/>
      <c r="O53" s="558"/>
      <c r="P53" s="558"/>
      <c r="Q53" s="558"/>
      <c r="R53" s="558"/>
      <c r="S53" s="558"/>
      <c r="T53" s="558"/>
      <c r="U53" s="558"/>
      <c r="V53" s="558"/>
      <c r="W53" s="558"/>
    </row>
    <row r="55" spans="1:25">
      <c r="J55" s="547"/>
      <c r="R55" s="547"/>
    </row>
    <row r="56" spans="1:25">
      <c r="R56" s="547"/>
    </row>
  </sheetData>
  <sheetProtection algorithmName="SHA-512" hashValue="7pjk8P8uUdnCdGAzfD2pD9WcgigKV17KNfrcRzHiH60ZsLvb9r4qdYgHa9EnDW4keRoCv3PTK0+wgWS4fZ9Y3w==" saltValue="uRJ8EZM/WYdN/YWxoXILhQ==" spinCount="100000" sheet="1" objects="1" scenarios="1" selectLockedCells="1" selectUnlockedCells="1"/>
  <printOptions horizontalCentered="1" verticalCentered="1"/>
  <pageMargins left="0.19685039370078741" right="0.19685039370078741" top="0.19685039370078741" bottom="0.19685039370078741" header="0.19685039370078741" footer="0.19685039370078741"/>
  <pageSetup paperSize="9" scale="65"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8194" r:id="rId4" name="Drop Down 2">
              <controlPr defaultSize="0" autoLine="0" autoPict="0">
                <anchor moveWithCells="1">
                  <from>
                    <xdr:col>18</xdr:col>
                    <xdr:colOff>95250</xdr:colOff>
                    <xdr:row>35</xdr:row>
                    <xdr:rowOff>76200</xdr:rowOff>
                  </from>
                  <to>
                    <xdr:col>19</xdr:col>
                    <xdr:colOff>323850</xdr:colOff>
                    <xdr:row>36</xdr:row>
                    <xdr:rowOff>114300</xdr:rowOff>
                  </to>
                </anchor>
              </controlPr>
            </control>
          </mc:Choice>
        </mc:AlternateContent>
      </controls>
    </mc:Choice>
  </mc:AlternateContent>
  <extLst>
    <ext xmlns:x14="http://schemas.microsoft.com/office/spreadsheetml/2009/9/main" uri="{A8765BA9-456A-4dab-B4F3-ACF838C121DE}">
      <x14:slicerList>
        <x14:slicer r:id="rId5"/>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76</vt:i4>
      </vt:variant>
      <vt:variant>
        <vt:lpstr>Intervalos com Nome</vt:lpstr>
      </vt:variant>
      <vt:variant>
        <vt:i4>57</vt:i4>
      </vt:variant>
    </vt:vector>
  </HeadingPairs>
  <TitlesOfParts>
    <vt:vector size="133" baseType="lpstr">
      <vt:lpstr>Capa_Serie</vt:lpstr>
      <vt:lpstr>Capa_Indice</vt:lpstr>
      <vt:lpstr>Introdução e Metainformação</vt:lpstr>
      <vt:lpstr>ficha técnica</vt:lpstr>
      <vt:lpstr>índice de quadros</vt:lpstr>
      <vt:lpstr>Introdução</vt:lpstr>
      <vt:lpstr>Estrutura Empresarial_Sep</vt:lpstr>
      <vt:lpstr>Estrutura Empresarial</vt:lpstr>
      <vt:lpstr>Estrutura Empresarial_Rem</vt:lpstr>
      <vt:lpstr>Distritos</vt:lpstr>
      <vt:lpstr>NUTS 2024</vt:lpstr>
      <vt:lpstr>Caracteristicas TCO</vt:lpstr>
      <vt:lpstr>Desigualdade_Contratacao</vt:lpstr>
      <vt:lpstr>q1_q2_q4_q5_Fig</vt:lpstr>
      <vt:lpstr>q7_q8_q10_q11_Fig</vt:lpstr>
      <vt:lpstr>q17_q18_q25_q26_Fig</vt:lpstr>
      <vt:lpstr>q18_q26_Fig</vt:lpstr>
      <vt:lpstr>q17_q25_Fig</vt:lpstr>
      <vt:lpstr>q11a</vt:lpstr>
      <vt:lpstr>q18_Aux</vt:lpstr>
      <vt:lpstr>q26_Aux</vt:lpstr>
      <vt:lpstr>q3_q6_q9_q12_q19_q27_Fig</vt:lpstr>
      <vt:lpstr>q3.1_6.1_9.1_12.1_19.1_27.1_Fig</vt:lpstr>
      <vt:lpstr>Imagem - Legenda</vt:lpstr>
      <vt:lpstr>q13_q14_q20_q21_q28_q29_Fig</vt:lpstr>
      <vt:lpstr>q13a</vt:lpstr>
      <vt:lpstr>q20_Aux</vt:lpstr>
      <vt:lpstr>q28_Aux</vt:lpstr>
      <vt:lpstr>q16_q23_Fig</vt:lpstr>
      <vt:lpstr>q15_q22_q31_Fig</vt:lpstr>
      <vt:lpstr>q24_Fig</vt:lpstr>
      <vt:lpstr>Aux</vt:lpstr>
      <vt:lpstr>COMBO BOX</vt:lpstr>
      <vt:lpstr>q1</vt:lpstr>
      <vt:lpstr>q2</vt:lpstr>
      <vt:lpstr>q3</vt:lpstr>
      <vt:lpstr>q3.1</vt:lpstr>
      <vt:lpstr>q4</vt:lpstr>
      <vt:lpstr>q5</vt:lpstr>
      <vt:lpstr>q6</vt:lpstr>
      <vt:lpstr>q6.1</vt:lpstr>
      <vt:lpstr>Emprego</vt:lpstr>
      <vt:lpstr>q7</vt:lpstr>
      <vt:lpstr>q8</vt:lpstr>
      <vt:lpstr>q9</vt:lpstr>
      <vt:lpstr>q9.1</vt:lpstr>
      <vt:lpstr>q10</vt:lpstr>
      <vt:lpstr>q11</vt:lpstr>
      <vt:lpstr>q12</vt:lpstr>
      <vt:lpstr>q12.1</vt:lpstr>
      <vt:lpstr>q13</vt:lpstr>
      <vt:lpstr>q14</vt:lpstr>
      <vt:lpstr>q15</vt:lpstr>
      <vt:lpstr>Remunerações</vt:lpstr>
      <vt:lpstr>q16</vt:lpstr>
      <vt:lpstr>q17</vt:lpstr>
      <vt:lpstr>q18</vt:lpstr>
      <vt:lpstr>q19</vt:lpstr>
      <vt:lpstr>q19.1</vt:lpstr>
      <vt:lpstr>q20</vt:lpstr>
      <vt:lpstr>q21</vt:lpstr>
      <vt:lpstr>q22</vt:lpstr>
      <vt:lpstr>q23</vt:lpstr>
      <vt:lpstr>q24 </vt:lpstr>
      <vt:lpstr>q25</vt:lpstr>
      <vt:lpstr>q26</vt:lpstr>
      <vt:lpstr>q27</vt:lpstr>
      <vt:lpstr>q27.1</vt:lpstr>
      <vt:lpstr>q28</vt:lpstr>
      <vt:lpstr>q29</vt:lpstr>
      <vt:lpstr>q30</vt:lpstr>
      <vt:lpstr>q31</vt:lpstr>
      <vt:lpstr>Conceitos e nomenclaturas</vt:lpstr>
      <vt:lpstr>Conceitos1</vt:lpstr>
      <vt:lpstr>Conceitos2</vt:lpstr>
      <vt:lpstr>Nomenclaturas</vt:lpstr>
      <vt:lpstr>Capa_Indice!Área_de_Impressão</vt:lpstr>
      <vt:lpstr>Capa_Serie!Área_de_Impressão</vt:lpstr>
      <vt:lpstr>'Caracteristicas TCO'!Área_de_Impressão</vt:lpstr>
      <vt:lpstr>Conceitos1!Área_de_Impressão</vt:lpstr>
      <vt:lpstr>Conceitos2!Área_de_Impressão</vt:lpstr>
      <vt:lpstr>Desigualdade_Contratacao!Área_de_Impressão</vt:lpstr>
      <vt:lpstr>Distritos!Área_de_Impressão</vt:lpstr>
      <vt:lpstr>'Estrutura Empresarial'!Área_de_Impressão</vt:lpstr>
      <vt:lpstr>'Estrutura Empresarial_Rem'!Área_de_Impressão</vt:lpstr>
      <vt:lpstr>'índice de quadros'!Área_de_Impressão</vt:lpstr>
      <vt:lpstr>Introdução!Área_de_Impressão</vt:lpstr>
      <vt:lpstr>'Introdução e Metainformação'!Área_de_Impressão</vt:lpstr>
      <vt:lpstr>Nomenclaturas!Área_de_Impressão</vt:lpstr>
      <vt:lpstr>'NUTS 2024'!Área_de_Impressão</vt:lpstr>
      <vt:lpstr>'q1'!Área_de_Impressão</vt:lpstr>
      <vt:lpstr>'q10'!Área_de_Impressão</vt:lpstr>
      <vt:lpstr>'q11'!Área_de_Impressão</vt:lpstr>
      <vt:lpstr>q11a!Área_de_Impressão</vt:lpstr>
      <vt:lpstr>'q12'!Área_de_Impressão</vt:lpstr>
      <vt:lpstr>q12.1!Área_de_Impressão</vt:lpstr>
      <vt:lpstr>'q13'!Área_de_Impressão</vt:lpstr>
      <vt:lpstr>q13a!Área_de_Impressão</vt:lpstr>
      <vt:lpstr>'q14'!Área_de_Impressão</vt:lpstr>
      <vt:lpstr>'q15'!Área_de_Impressão</vt:lpstr>
      <vt:lpstr>'q16'!Área_de_Impressão</vt:lpstr>
      <vt:lpstr>'q17'!Área_de_Impressão</vt:lpstr>
      <vt:lpstr>'q18'!Área_de_Impressão</vt:lpstr>
      <vt:lpstr>q18_Aux!Área_de_Impressão</vt:lpstr>
      <vt:lpstr>'q19'!Área_de_Impressão</vt:lpstr>
      <vt:lpstr>q19.1!Área_de_Impressão</vt:lpstr>
      <vt:lpstr>'q2'!Área_de_Impressão</vt:lpstr>
      <vt:lpstr>'q20'!Área_de_Impressão</vt:lpstr>
      <vt:lpstr>q20_Aux!Área_de_Impressão</vt:lpstr>
      <vt:lpstr>'q21'!Área_de_Impressão</vt:lpstr>
      <vt:lpstr>'q22'!Área_de_Impressão</vt:lpstr>
      <vt:lpstr>'q23'!Área_de_Impressão</vt:lpstr>
      <vt:lpstr>'q24 '!Área_de_Impressão</vt:lpstr>
      <vt:lpstr>'q25'!Área_de_Impressão</vt:lpstr>
      <vt:lpstr>'q26'!Área_de_Impressão</vt:lpstr>
      <vt:lpstr>q26_Aux!Área_de_Impressão</vt:lpstr>
      <vt:lpstr>'q27'!Área_de_Impressão</vt:lpstr>
      <vt:lpstr>q27.1!Área_de_Impressão</vt:lpstr>
      <vt:lpstr>'q28'!Área_de_Impressão</vt:lpstr>
      <vt:lpstr>q28_Aux!Área_de_Impressão</vt:lpstr>
      <vt:lpstr>'q29'!Área_de_Impressão</vt:lpstr>
      <vt:lpstr>'q3'!Área_de_Impressão</vt:lpstr>
      <vt:lpstr>q3.1!Área_de_Impressão</vt:lpstr>
      <vt:lpstr>'q30'!Área_de_Impressão</vt:lpstr>
      <vt:lpstr>'q31'!Área_de_Impressão</vt:lpstr>
      <vt:lpstr>'q4'!Área_de_Impressão</vt:lpstr>
      <vt:lpstr>'q5'!Área_de_Impressão</vt:lpstr>
      <vt:lpstr>'q6'!Área_de_Impressão</vt:lpstr>
      <vt:lpstr>q6.1!Área_de_Impressão</vt:lpstr>
      <vt:lpstr>'q7'!Área_de_Impressão</vt:lpstr>
      <vt:lpstr>'q8'!Área_de_Impressão</vt:lpstr>
      <vt:lpstr>'q9'!Área_de_Impressão</vt:lpstr>
      <vt:lpstr>q9.1!Área_de_Impressão</vt:lpstr>
    </vt:vector>
  </TitlesOfParts>
  <Company>GEP/MTSS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Sérires Cronológicas - Quadros de Pessoal 1991-2006</dc:title>
  <dc:subject>Estrutura Empresarial; Emprego e Remunerações</dc:subject>
  <dc:creator>ESIIE/Gabinete de Estratégia e Planeamento (GEP), MTSS</dc:creator>
  <cp:keywords>Empresas, Estabelecimentos; Pessoas ao serviço, Trabalhadores por conta de outrem; Remunerações; Remuneração Base; Ganho</cp:keywords>
  <cp:lastModifiedBy>Elsa Oliveira</cp:lastModifiedBy>
  <cp:lastPrinted>2024-10-01T10:07:20Z</cp:lastPrinted>
  <dcterms:created xsi:type="dcterms:W3CDTF">2009-06-01T13:56:07Z</dcterms:created>
  <dcterms:modified xsi:type="dcterms:W3CDTF">2024-10-01T15:41:56Z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ata de conclusão">
    <vt:lpwstr>Agosto 2009</vt:lpwstr>
  </property>
</Properties>
</file>